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comments1.xml" ContentType="application/vnd.openxmlformats-officedocument.spreadsheetml.comments+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2.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employees.root.local\PW\EFF\StLouisMO\ees_evergy_ci\ENERGY EFFICIENCY\PROGRAM DEVELOPMENT\Applications\Final Applications\"/>
    </mc:Choice>
  </mc:AlternateContent>
  <xr:revisionPtr revIDLastSave="0" documentId="13_ncr:1_{E5DCEB9B-BFD5-4FC0-92DE-C2F294DAA505}" xr6:coauthVersionLast="47" xr6:coauthVersionMax="47" xr10:uidLastSave="{00000000-0000-0000-0000-000000000000}"/>
  <workbookProtection workbookAlgorithmName="SHA-512" workbookHashValue="3D9sNgqcjjeRCyKT+pp6vpVFdU1LTvskhHKOF8IJ9N1T/6cqXX9ldnFKBKOYlqxTVgVtKmoH3D7U8JlXz5JyAQ==" workbookSaltValue="2WJIXbZ5/inh7667LcFqPg==" workbookSpinCount="100000" lockStructure="1"/>
  <bookViews>
    <workbookView showSheetTabs="0" xWindow="15" yWindow="0" windowWidth="25785" windowHeight="21000" tabRatio="774" firstSheet="9" activeTab="9" xr2:uid="{C98375D3-8807-4737-9D81-1E80D0E13379}"/>
  </bookViews>
  <sheets>
    <sheet name="Changelog" sheetId="107" state="hidden" r:id="rId1"/>
    <sheet name="MASTER" sheetId="247" state="hidden" r:id="rId2"/>
    <sheet name="DATA TABLES" sheetId="109" state="hidden" r:id="rId3"/>
    <sheet name="CBDATA" sheetId="108" state="hidden" r:id="rId4"/>
    <sheet name="TEMPLATE" sheetId="3" state="hidden" r:id="rId5"/>
    <sheet name="MEASURES1_M" sheetId="173" state="hidden" r:id="rId6"/>
    <sheet name="MEASURES2_M" sheetId="202" state="hidden" r:id="rId7"/>
    <sheet name="MEASURES3_M" sheetId="106" state="hidden" r:id="rId8"/>
    <sheet name="EXPORT" sheetId="110" state="hidden" r:id="rId9"/>
    <sheet name="M01-S01" sheetId="8" r:id="rId10"/>
    <sheet name="M01-S02" sheetId="172" r:id="rId11"/>
    <sheet name="M01-S03" sheetId="152" r:id="rId12"/>
    <sheet name="M02-S01" sheetId="144" r:id="rId13"/>
    <sheet name="M02-S02" sheetId="166" r:id="rId14"/>
    <sheet name="M02-S03" sheetId="147" r:id="rId15"/>
    <sheet name="M02-S04" sheetId="148" r:id="rId16"/>
    <sheet name="M03-S01" sheetId="151" r:id="rId17"/>
    <sheet name="M03-S02" sheetId="158" r:id="rId18"/>
    <sheet name="M03-S03" sheetId="159" r:id="rId19"/>
    <sheet name="M03-S04" sheetId="160" r:id="rId20"/>
    <sheet name="M03-S05" sheetId="161" r:id="rId21"/>
    <sheet name="M03-S08" sheetId="182" r:id="rId22"/>
    <sheet name="M03-S06" sheetId="162" r:id="rId23"/>
    <sheet name="M03-S07" sheetId="163" r:id="rId24"/>
    <sheet name="M04-S02" sheetId="167" r:id="rId25"/>
    <sheet name="M04-S03" sheetId="168" r:id="rId26"/>
    <sheet name="M04-S04" sheetId="169" r:id="rId27"/>
    <sheet name="M04-S05" sheetId="170" r:id="rId28"/>
    <sheet name="M04-S08" sheetId="175" r:id="rId29"/>
    <sheet name="M04-S06" sheetId="171" r:id="rId30"/>
    <sheet name="M04-S07" sheetId="13" r:id="rId31"/>
    <sheet name="M04-S09" sheetId="176" r:id="rId32"/>
    <sheet name="M05-S01" sheetId="153" r:id="rId33"/>
    <sheet name="M05-S02" sheetId="154" r:id="rId34"/>
    <sheet name="M05-S02-1" sheetId="180" r:id="rId35"/>
    <sheet name="M05-S03" sheetId="14" r:id="rId36"/>
    <sheet name="M05-S04" sheetId="155" r:id="rId37"/>
    <sheet name="M05-S05" sheetId="156" r:id="rId38"/>
    <sheet name="M05-S07" sheetId="81" r:id="rId39"/>
  </sheets>
  <definedNames>
    <definedName name="ACTIVEBLOCK">'M05-S07'!$AN$23</definedName>
    <definedName name="ACTIVEBLOCK_N">#REF!</definedName>
    <definedName name="ACTIVEBLOCK_X">#REF!</definedName>
    <definedName name="ACTIVEBONUS">TEMPLATE!$H$5</definedName>
    <definedName name="ACTIVEBONUS_N">#REF!</definedName>
    <definedName name="ACTIVEBONUS_X">#REF!</definedName>
    <definedName name="ACTIVECOMPL">'M05-S07'!$AN$22</definedName>
    <definedName name="ACTIVECOMPL_N">#REF!</definedName>
    <definedName name="ACTIVECOMPL_X">#REF!</definedName>
    <definedName name="ACTIVEOFFER">'M05-S07'!$AN$21</definedName>
    <definedName name="ACTIVEOFFER_N">#REF!</definedName>
    <definedName name="ACTIVEOFFER_X">#REF!</definedName>
    <definedName name="ACTIVERCX_X">#REF!</definedName>
    <definedName name="ACTIVEWBP_N">#REF!</definedName>
    <definedName name="APP_TYPE">MASTER!$B$3</definedName>
    <definedName name="BLOCKBIDRATE">'DATA TABLES'!$D$115</definedName>
    <definedName name="BUILDING">BUILDINGTYPE[Building Type]</definedName>
    <definedName name="BUILDINGSELECT">#REF!</definedName>
    <definedName name="BUSDEVELNAME">BUSDEVEL[Business Development Lead]</definedName>
    <definedName name="CBALL">TEMPLATE!$S$30</definedName>
    <definedName name="CBALL_N">#REF!</definedName>
    <definedName name="CBCUSE">TEMPLATE!$S$29</definedName>
    <definedName name="CBCUST_N">#REF!</definedName>
    <definedName name="CBLIGHT_N">#REF!</definedName>
    <definedName name="CBPRESE">TEMPLATE!$S$28</definedName>
    <definedName name="CBPROJ_N">#REF!</definedName>
    <definedName name="CBRCX">#REF!</definedName>
    <definedName name="CBREQ">'DATA TABLES'!$D$109</definedName>
    <definedName name="CBXALL">#REF!</definedName>
    <definedName name="CBXCUS">#REF!</definedName>
    <definedName name="CITIES_LIST">CITIES[City]</definedName>
    <definedName name="CITYCODE">#REF!</definedName>
    <definedName name="CMECOMPAIRDESC">INDEX(CMECOMPAIR[Proj Desc 1],MATCH('M04-S06'!$AF1,CMECOMPAIR[Cost Basis],0),1):INDEX(CMECOMPAIR[Proj Desc 1],MATCH('M04-S06'!$AF1,CMECOMPAIR[Cost Basis],1),1)</definedName>
    <definedName name="CMECOMPAIRLIST_N">#REF!</definedName>
    <definedName name="CMECOOKDESC">INDEX(CMECOOK[Proj Desc 1],MATCH('M04-S07'!$AF1,CMECOOK[Cost Basis],0),1):INDEX(CMECOOK[Proj Desc 1],MATCH('M04-S07'!$AF1,CMECOOK[Cost Basis],1),1)</definedName>
    <definedName name="CMECOOKLIST_N">#REF!</definedName>
    <definedName name="CMEHVACDESC">INDEX(CMEHVAC[Proj Desc 1],MATCH('M04-S05'!$AF1,CMEHVAC[Cost Basis],0),1):INDEX(CMEHVAC[Proj Desc 1],MATCH('M04-S05'!$AF1,CMEHVAC[Cost Basis],1),1)</definedName>
    <definedName name="CMEHVACLIST_N">#REF!</definedName>
    <definedName name="CMELIGHTACTUALW">CMLIGHTBASE[Base Watt 2]</definedName>
    <definedName name="CMELIGHTBASE1">CMLIGHTBASE[Base Desc 1]</definedName>
    <definedName name="CMELIGHTBASEW">CMLIGHTBASE[Base Watt 1]</definedName>
    <definedName name="CMELIGHTCONDESC">INDEX(CMELIGHTCON[Proj Desc 1],MATCH('M04-S03'!$G1,CMELIGHTCON[Project Category],0),1):INDEX(CMELIGHTCON[Proj Desc 1],MATCH('M04-S03'!$G1,CMELIGHTCON[Project Category],1),1)</definedName>
    <definedName name="CMELIGHTEFF1" localSheetId="16">CMLIGHTEFF[Eff Desc 1]</definedName>
    <definedName name="CMELIGHTEFF1" localSheetId="28">CMLIGHTEFF[Eff Desc 1]</definedName>
    <definedName name="CMELIGHTEFF1" localSheetId="31">CMLIGHTEFF[Eff Desc 1]</definedName>
    <definedName name="CMELIGHTEFF1">CMLIGHTEFF[Eff Desc 1]</definedName>
    <definedName name="CMELIGHTEFFBASEW" localSheetId="16">CMLIGHTEFF[Eff Watt 1]</definedName>
    <definedName name="CMELIGHTEFFBASEW" localSheetId="28">CMLIGHTEFF[Eff Watt 1]</definedName>
    <definedName name="CMELIGHTEFFBASEW" localSheetId="31">CMLIGHTEFF[Eff Watt 1]</definedName>
    <definedName name="CMELIGHTEFFBASEW">CMLIGHTEFF[Eff Watt 1]</definedName>
    <definedName name="CMEMISC2DESC">CMEMISC2[Proj Desc 1]</definedName>
    <definedName name="CMEMISC3DESC">INDEX(CMEMISC3[Proj Desc 1],MATCH('M04-S09'!$AF1,CMEMISC3[Cost Basis],0),0):INDEX(CMEMISC3[Proj Desc 1],MATCH('M04-S09'!$AF1,CMEMISC3[Cost Basis],1),0)</definedName>
    <definedName name="CMEMISCDESC">INDEX(CMEMISC[Proj Desc 1],MATCH('M04-S09'!$AF1,CMEMISC[Cost Basis],0),1):INDEX(CMEMISC[Proj Desc 1],MATCH('M04-S09'!$AF1,CMEMISC[Cost Basis],1),1)</definedName>
    <definedName name="CMEMISCLIST_N">#REF!</definedName>
    <definedName name="CMEMOTORDESC">INDEX(CMEMOTOR[Proj Desc 1],MATCH('M04-S08'!$AF1,CMEMOTOR[Cost Basis],0),1):INDEX(CMEMOTOR[Proj Desc 1],MATCH('M04-S08'!$AF1,CMEMOTOR[Cost Basis],1),1)</definedName>
    <definedName name="CMEMOTORLIST_N">#REF!</definedName>
    <definedName name="CMEREFRIDESC">INDEX(CMEREFRI[Proj Desc 1], MATCH('M04-S04'!$AF1, CMEREFRI[Cost Basis], 0), 1):INDEX(CMEREFRI[Proj Desc 1], MATCH('M04-S04'!$AF1, CMEREFRI[Cost Basis], 1), 1)</definedName>
    <definedName name="CMEREFRILIST_N">#REF!</definedName>
    <definedName name="CODE_CITY">INDEX( CITYCOUNTYCODES[], MATCH( N02S03F17, CITYCOUNTYCODES[City], 0), 3)</definedName>
    <definedName name="CODE_COUNTY">OFFSET(INDEX(ZIPCODES_N, 1, 1), MATCH(N02S03F19, ZIPCODES_N, 0) - 1, 4)</definedName>
    <definedName name="COMPBUILD">TEMPLATE!$E$114</definedName>
    <definedName name="COMPBUILD_N">#REF!</definedName>
    <definedName name="COMPBUILD_X">#REF!</definedName>
    <definedName name="COMPCUSTOMER">TEMPLATE!$E$101</definedName>
    <definedName name="COMPDTM_N">#REF!</definedName>
    <definedName name="COMPMEASURE">TEMPLATE!$E$142</definedName>
    <definedName name="COMPMEASURE_N">#REF!</definedName>
    <definedName name="COMPMEASURE_X">#REF!</definedName>
    <definedName name="COMPPAY">TEMPLATE!$E$147</definedName>
    <definedName name="COMPPAY_N">#REF!</definedName>
    <definedName name="COMPPAY_X">#REF!</definedName>
    <definedName name="COMPRCX">#REF!</definedName>
    <definedName name="COMPSELECT">#REF!</definedName>
    <definedName name="COMPSUMMARY">TEMPLATE!$E$165</definedName>
    <definedName name="COMPTA">TEMPLATE!$E$81</definedName>
    <definedName name="COMPTA_N">#REF!</definedName>
    <definedName name="COMPTA_X">#REF!</definedName>
    <definedName name="COMPTERMS">TEMPLATE!$E$75</definedName>
    <definedName name="COMPTERMS_N">#REF!</definedName>
    <definedName name="COMPTERMS_X">#REF!</definedName>
    <definedName name="COMPWBP_N">#REF!</definedName>
    <definedName name="COSTTOTAL">TEMPLATE!$O$30</definedName>
    <definedName name="COSTTOTAL_N">#REF!</definedName>
    <definedName name="COSTTOTALALL">TEMPLATE!$K$30</definedName>
    <definedName name="COSTTOTALALL_N">#REF!</definedName>
    <definedName name="COSTTOTALALLCUSE">TEMPLATE!$K$29</definedName>
    <definedName name="COSTTOTALALLPRESE">TEMPLATE!$K$28</definedName>
    <definedName name="COSTTOTALALLRCXE">#REF!</definedName>
    <definedName name="COSTTOTALALLX">#REF!</definedName>
    <definedName name="COSTTOTALALLXCUS">#REF!</definedName>
    <definedName name="COSTTOTALCUSE">TEMPLATE!$O$29</definedName>
    <definedName name="COSTTOTALCUST_N">#REF!</definedName>
    <definedName name="COSTTOTALLIGHT_N">#REF!</definedName>
    <definedName name="COSTTOTALPRESE">TEMPLATE!$O$28</definedName>
    <definedName name="COSTTOTALSTD_N">#REF!</definedName>
    <definedName name="COSTTOTALWBP_N">#REF!</definedName>
    <definedName name="COSTTYPELIST">COSTTYPE[Cost Type]</definedName>
    <definedName name="COUNTYCODE">#REF!</definedName>
    <definedName name="CUSTINFOLIST">CUSTINFO[Customer Info]</definedName>
    <definedName name="CUSTLIGHTCONTLIST">CMELIGHTCON[Proj Desc 1]</definedName>
    <definedName name="CUSTOMPROJECTTYPE">PROJECTTYPE[Project Category]</definedName>
    <definedName name="DESIGNTEAMLIST">DESIGNTEAM[Design Team Options]</definedName>
    <definedName name="EDR">CBDATA!$B$7</definedName>
    <definedName name="ELECPHASES">Table83[Electrical Phase Types]</definedName>
    <definedName name="ELOSS">CBDATA!$B$6</definedName>
    <definedName name="ENDUSECAT" localSheetId="28">ENDUSEALL[End Use to Coincident Peak Demand Factors]</definedName>
    <definedName name="ENDUSECAT" localSheetId="31">ENDUSEALL[End Use to Coincident Peak Demand Factors]</definedName>
    <definedName name="ENDUSECAT">ENDUSEALL[End Use to Coincident Peak Demand Factors]</definedName>
    <definedName name="ENERGYCODESLIST">ENERGYCODES[Codes]</definedName>
    <definedName name="ENERGYMODELLIST">ENERGYMODEL[Energy Modeling Software]</definedName>
    <definedName name="ENGCALC">'M05-S04'!$Q$43</definedName>
    <definedName name="ENGCALC_N">#REF!</definedName>
    <definedName name="ENGCALC_X">#REF!</definedName>
    <definedName name="ENGDATE">'M05-S04'!$AI$42</definedName>
    <definedName name="ENGDATE_N">#REF!</definedName>
    <definedName name="ENGDATE_X">#REF!</definedName>
    <definedName name="ENGNRSNAMES" localSheetId="28">ENGNRS[Engineers]</definedName>
    <definedName name="ENGNRSNAMES" localSheetId="31">ENGNRS[Engineers]</definedName>
    <definedName name="ENGNRSNAMES">ENGNRS[Engineers]</definedName>
    <definedName name="ENGSIGN">'M05-S04'!$Q$42</definedName>
    <definedName name="ENGSIGN_N">#REF!</definedName>
    <definedName name="ENGSIGN_X">#REF!</definedName>
    <definedName name="Excel_Ack_Compl_Main">INDIRECT(Excel_Ack_Compl[Main])</definedName>
    <definedName name="Excel_Ack_Compl_NC">INDIRECT(Excel_Ack_Compl[NC])</definedName>
    <definedName name="Excel_Ack_Compl_RCx">INDIRECT(Excel_Ack_Compl[RCx])</definedName>
    <definedName name="Excel_Ack_Contact_Main">INDIRECT(Excel_Ack_Contact[Main])</definedName>
    <definedName name="Excel_Ack_Contact_NC">INDIRECT(Excel_Ack_Contact[NC])</definedName>
    <definedName name="Excel_Ack_Contact_RCx">INDIRECT(Excel_Ack_Contact[RCx])</definedName>
    <definedName name="Excel_Ack_Main">INDIRECT(Excel_Ack[Main])</definedName>
    <definedName name="Excel_Ack_NC">INDIRECT(Excel_Ack[NC])</definedName>
    <definedName name="Excel_Ack_Offer_Main">INDIRECT(Excel_Ack_Offer[Main])</definedName>
    <definedName name="Excel_Ack_Offer_NC">INDIRECT(Excel_Ack_Offer[NC])</definedName>
    <definedName name="Excel_Ack_Offer_RCx">INDIRECT(Excel_Ack_Offer[RCx])</definedName>
    <definedName name="Excel_Ack_RCx">INDIRECT(Excel_Ack[RCx])</definedName>
    <definedName name="EXPIRATION">MASTER!$B$6</definedName>
    <definedName name="EXPIRATION_DATE">MASTER!$B$5</definedName>
    <definedName name="EXPNOTICE">'M01-S01'!$Q$1</definedName>
    <definedName name="EXPNOTICE_N">#REF!</definedName>
    <definedName name="EXPNOTICE_X">#REF!</definedName>
    <definedName name="EXTLPDNUMBER">#REF!</definedName>
    <definedName name="FOOT1">'DATA TABLES'!$D$1</definedName>
    <definedName name="FOOT2">'DATA TABLES'!$D$2</definedName>
    <definedName name="FOOT3">'DATA TABLES'!$D$3</definedName>
    <definedName name="FOOT4">'DATA TABLES'!$D$4</definedName>
    <definedName name="FOOT5">'DATA TABLES'!$D$5</definedName>
    <definedName name="FOOT6">'DATA TABLES'!$D$6</definedName>
    <definedName name="FOOTDISCLAIM">'DATA TABLES'!$D$7</definedName>
    <definedName name="FOOTDISCLAIM_N">'DATA TABLES'!$D$8</definedName>
    <definedName name="FOOTDISCLAIM_X">'DATA TABLES'!$D$9</definedName>
    <definedName name="GDR">CBDATA!$N$42</definedName>
    <definedName name="GLOSS">CBDATA!$N$41</definedName>
    <definedName name="GROWBASELABOR">#REF!</definedName>
    <definedName name="GROWBASELABOR2">#REF!</definedName>
    <definedName name="GROWBASELABOR3">#REF!</definedName>
    <definedName name="GROWBASELABOR4">#REF!</definedName>
    <definedName name="GROWBASEMATERIAL">#REF!</definedName>
    <definedName name="GROWBASEMATERIAL2">#REF!</definedName>
    <definedName name="GROWBASEMATERIAL3">#REF!</definedName>
    <definedName name="GROWBASEMATERIAL4">#REF!</definedName>
    <definedName name="GROWBASEWATT">#REF!</definedName>
    <definedName name="GROWBASEWATT2">#REF!</definedName>
    <definedName name="GROWBASEWATT3">#REF!</definedName>
    <definedName name="GROWBASEWATT4">#REF!</definedName>
    <definedName name="GROWEFFLABOR">#REF!</definedName>
    <definedName name="GROWEFFLABOR2">#REF!</definedName>
    <definedName name="GROWEFFLABOR3">#REF!</definedName>
    <definedName name="GROWEFFLABOR4">#REF!</definedName>
    <definedName name="GROWEFFMATERIAL">#REF!</definedName>
    <definedName name="GROWEFFMATERIAL2">#REF!</definedName>
    <definedName name="GROWEFFMATERIAL3">#REF!</definedName>
    <definedName name="GROWEFFMATERIAL4">#REF!</definedName>
    <definedName name="GROWEFFPPF">#REF!</definedName>
    <definedName name="GROWEFFPPF2">#REF!</definedName>
    <definedName name="GROWEFFPPF3">#REF!</definedName>
    <definedName name="GROWEFFPPF4">#REF!</definedName>
    <definedName name="GROWEFFWATT">#REF!</definedName>
    <definedName name="GROWEFFWATT2">#REF!</definedName>
    <definedName name="GROWEFFWATT3">#REF!</definedName>
    <definedName name="GROWEFFWATT4">#REF!</definedName>
    <definedName name="Hotline">"(844)687-0229"</definedName>
    <definedName name="IMPLSPECNAME" localSheetId="28">IMPLSPEC[Impl. Specialist]</definedName>
    <definedName name="IMPLSPECNAME" localSheetId="31">IMPLSPEC[Impl. Specialist]</definedName>
    <definedName name="IMPLSPECNAME">IMPLSPEC[Impl. Specialist]</definedName>
    <definedName name="INCCOSTCAP">'DATA TABLES'!$D$114</definedName>
    <definedName name="INCENSTATUS">TEMPLATE!$H$2</definedName>
    <definedName name="INCENSTATUS_N">#REF!</definedName>
    <definedName name="INCENSTATUS_X">#REF!</definedName>
    <definedName name="INCENTOTAL">TEMPLATE!$L$30</definedName>
    <definedName name="INCENTOTAL_N">#REF!</definedName>
    <definedName name="INCENTOTAL_X">#REF!</definedName>
    <definedName name="INCENTOTALCUSE">TEMPLATE!$L$29</definedName>
    <definedName name="INCENTOTALCUST_N">#REF!</definedName>
    <definedName name="INCENTOTALLIGHT_N">#REF!</definedName>
    <definedName name="INCENTOTALPRESE">TEMPLATE!$L$28</definedName>
    <definedName name="INCENTOTALPROV_N">#REF!</definedName>
    <definedName name="INCENTOTALSTD_N">#REF!</definedName>
    <definedName name="INCENTOTALWBP_N">#REF!</definedName>
    <definedName name="INCENTTOTALRCXE">#REF!</definedName>
    <definedName name="INCENTTOTALSTUDY">#REF!</definedName>
    <definedName name="INCENTTOTALXCUS">#REF!</definedName>
    <definedName name="INCENTTYPE_LIST">INCENTTYPE[Incentive Type]</definedName>
    <definedName name="INCPREAPPROVAL">'DATA TABLES'!$D$121</definedName>
    <definedName name="INSTALL" localSheetId="28">INSTALLER[Installer]</definedName>
    <definedName name="INSTALL" localSheetId="31">INSTALLER[Installer]</definedName>
    <definedName name="INSTALL">INSTALLER[Installer]</definedName>
    <definedName name="INSTALLERLIST" localSheetId="28">INSTALLER[Installer]</definedName>
    <definedName name="INSTALLERLIST" localSheetId="31">INSTALLER[Installer]</definedName>
    <definedName name="INSTALLERLIST">INSTALLER[Installer]</definedName>
    <definedName name="INTLPDNUMBER">#REF!</definedName>
    <definedName name="JotForm_FT">"https://www.jotform.com/form/210876036521149"</definedName>
    <definedName name="JotForm_PA">"https://www.jotform.com/build/213415627586158"</definedName>
    <definedName name="KWHRATEMAX">'DATA TABLES'!$D$112</definedName>
    <definedName name="KWHRATEMIN">'DATA TABLES'!$D$111</definedName>
    <definedName name="KWHSTATUS">TEMPLATE!$H$1</definedName>
    <definedName name="KWHSTATUS_N">#REF!</definedName>
    <definedName name="KWHSTATUS_X">#REF!</definedName>
    <definedName name="KWHTOTAL">TEMPLATE!$M$30</definedName>
    <definedName name="KWHTOTAL_N">#REF!</definedName>
    <definedName name="KWHTOTALALL">TEMPLATE!$I$30</definedName>
    <definedName name="KWHTOTALALL_N">#REF!</definedName>
    <definedName name="KWHTOTALALLCUSE">TEMPLATE!$I$29</definedName>
    <definedName name="KWHTOTALALLCUST_N">#REF!</definedName>
    <definedName name="KWHTOTALALLLIGHT_N">#REF!</definedName>
    <definedName name="KWHTOTALALLPRESE">TEMPLATE!$I$28</definedName>
    <definedName name="KWHTOTALALLRCXE">#REF!</definedName>
    <definedName name="KWHTOTALALLSTD_N">#REF!</definedName>
    <definedName name="KWHTOTALALLWBP_N">#REF!</definedName>
    <definedName name="KWHTOTALALLX">#REF!</definedName>
    <definedName name="KWHTOTALALLXCUS">#REF!</definedName>
    <definedName name="KWHTOTALCUSE">TEMPLATE!$M$29</definedName>
    <definedName name="KWHTOTALCUST_N">#REF!</definedName>
    <definedName name="KWHTOTALLIGHT_N">#REF!</definedName>
    <definedName name="KWHTOTALPRESE">TEMPLATE!$M$28</definedName>
    <definedName name="KWHTOTALPROV_N">#REF!</definedName>
    <definedName name="KWHTOTALSTD_N">#REF!</definedName>
    <definedName name="KWHTOTALWBP_N">#REF!</definedName>
    <definedName name="KWRATE">'DATA TABLES'!$D$116</definedName>
    <definedName name="KWTOTAL">TEMPLATE!$N$30</definedName>
    <definedName name="KWTOTAL_N">#REF!</definedName>
    <definedName name="KWTOTALALL">TEMPLATE!$J$30</definedName>
    <definedName name="KWTOTALALL_N">#REF!</definedName>
    <definedName name="KWTOTALALLCUSE">TEMPLATE!$J$29</definedName>
    <definedName name="KWTOTALALLPRESE">TEMPLATE!$J$28</definedName>
    <definedName name="KWTOTALALLRCXE">#REF!</definedName>
    <definedName name="KWTOTALALLXCUS">#REF!</definedName>
    <definedName name="KWTOTALCUSE">TEMPLATE!$N$29</definedName>
    <definedName name="KWTOTALCUST_N">#REF!</definedName>
    <definedName name="KWTOTALLIGHT_N">#REF!</definedName>
    <definedName name="KWTOTALPRESE">TEMPLATE!$N$28</definedName>
    <definedName name="KWTOTALPROV_N">#REF!</definedName>
    <definedName name="KWTOTALSTD_N">#REF!</definedName>
    <definedName name="KWTOTALWBP_N">#REF!</definedName>
    <definedName name="LEAKBASELINE">#REF!</definedName>
    <definedName name="LEAKREPAIRCOST">#REF!</definedName>
    <definedName name="LEAKREPAIRHRS">#REF!</definedName>
    <definedName name="LEAKREPAIRINC">#REF!</definedName>
    <definedName name="LEAKREPAIRKW">#REF!</definedName>
    <definedName name="LEAKREPAIRKWH">#REF!</definedName>
    <definedName name="LEAKSELECT">#REF!</definedName>
    <definedName name="LEAKUNIT_List">INDEX(#REF!,MATCH(#REF!,#REF!,0)):INDEX(#REF!,MATCH(#REF!,#REF!,1))</definedName>
    <definedName name="LIGHTHEATCOIN">'DATA TABLES'!#REF!</definedName>
    <definedName name="LIST_Transformer_LF">BUILDINGTYPE[Transformer LF]</definedName>
    <definedName name="LOCATIONTYPELIST">LOCATIONTYPE[Location Type]</definedName>
    <definedName name="LPDSPACELIST">#REF!</definedName>
    <definedName name="M02S01F01">'M02-S01'!$H$27</definedName>
    <definedName name="M02S01F02">'M02-S01'!$Z$27</definedName>
    <definedName name="M02S01F03">'M02-S01'!$AN$27</definedName>
    <definedName name="M02S02F01">'M02-S02'!$AB$13</definedName>
    <definedName name="M02S02F02">'M02-S02'!$H$18</definedName>
    <definedName name="M02S02F03">'M02-S02'!$O$18</definedName>
    <definedName name="M02S02F04">'M02-S02'!$V$18</definedName>
    <definedName name="M02S02F05">'M02-S02'!$AC$18</definedName>
    <definedName name="M02S02F06">'M02-S02'!$AJ$18</definedName>
    <definedName name="M02S02F07">'M02-S02'!$H$21</definedName>
    <definedName name="M02S02F08">'M02-S02'!$O$21</definedName>
    <definedName name="M02S02F09">'M02-S02'!$V$21</definedName>
    <definedName name="M02S02F10">'M02-S02'!$AC$21</definedName>
    <definedName name="M02S02F11">'M02-S02'!$AJ$21</definedName>
    <definedName name="M02S02F12">'M02-S02'!$AB$15</definedName>
    <definedName name="M02S02F13">'M02-S02'!$H$26</definedName>
    <definedName name="M02S02F14">'M02-S02'!$O$26</definedName>
    <definedName name="M02S02F15">'M02-S02'!$V$26</definedName>
    <definedName name="M02S02F16">'M02-S02'!$AC$26</definedName>
    <definedName name="M02S02F17">'M02-S02'!$AJ$26</definedName>
    <definedName name="M02S03F01">'M02-S03'!$H$15</definedName>
    <definedName name="M02S03F02">'M02-S03'!$O$15</definedName>
    <definedName name="M02S03F03">'M02-S03'!$V$15</definedName>
    <definedName name="M02S03F04">'M02-S03'!$AC$15</definedName>
    <definedName name="M02S03F05">'M02-S03'!$AJ$15</definedName>
    <definedName name="M02S03F06">'M02-S03'!$H$18</definedName>
    <definedName name="M02S03F07">'M02-S03'!$O$18</definedName>
    <definedName name="M02S03F08">'M02-S03'!$V$18</definedName>
    <definedName name="M02S03F09">'M02-S03'!$AC$18</definedName>
    <definedName name="M02S03F10">'M02-S03'!$AJ$18</definedName>
    <definedName name="M02S04F01">'M02-S04'!$BL$12</definedName>
    <definedName name="M02S04F02">'M02-S04'!$X$20</definedName>
    <definedName name="M02S04F03">'M02-S04'!$K$15</definedName>
    <definedName name="M02S04F04">'M02-S04'!$R$15</definedName>
    <definedName name="M02S04F05">'M02-S04'!$Y$15</definedName>
    <definedName name="M02S04F06">'M02-S04'!$AF$15</definedName>
    <definedName name="M02S04F07">'M02-S04'!$H$18</definedName>
    <definedName name="M02S04F08">'M02-S04'!$O$18</definedName>
    <definedName name="M02S04F09">'M02-S04'!$V$18</definedName>
    <definedName name="M02S04F10">'M02-S04'!$AC$18</definedName>
    <definedName name="M02S04F11">'M02-S04'!$AJ$18</definedName>
    <definedName name="M02S04F12">'M02-S04'!$H$23</definedName>
    <definedName name="M02S04F13">'M02-S04'!$O$23</definedName>
    <definedName name="M02S04F14">'M02-S04'!$V$23</definedName>
    <definedName name="M02S04F15">'M02-S04'!$AC$23</definedName>
    <definedName name="M02S04F16">'M02-S04'!$AJ$23</definedName>
    <definedName name="M02S04F17">'M02-S04'!$AZ$15</definedName>
    <definedName name="M02S04F18">'M02-S04'!$K$29</definedName>
    <definedName name="M02S04F19">'M02-S04'!$K$32</definedName>
    <definedName name="M02S04F20">'M02-S04'!$R$32</definedName>
    <definedName name="M02S04F21">'M02-S04'!$Y$32</definedName>
    <definedName name="M02S04F22">'M02-S04'!$AF$32</definedName>
    <definedName name="M02S04F23">'M02-S04'!$H$35</definedName>
    <definedName name="M02S04F24">'M02-S04'!$R$29</definedName>
    <definedName name="M02S04F25">'M02-S04'!$Y$29</definedName>
    <definedName name="M05S01F01">'M05-S01'!$X$13</definedName>
    <definedName name="M05S01F02">'M05-S01'!$H$16</definedName>
    <definedName name="M05S01F03">'M05-S01'!$O$16</definedName>
    <definedName name="M05S01F04">'M05-S01'!$V$16</definedName>
    <definedName name="M05S01F05">'M05-S01'!$AC$16</definedName>
    <definedName name="M05S01F06">'M05-S01'!$AJ$16</definedName>
    <definedName name="M05S01F07">'M05-S01'!$H$19</definedName>
    <definedName name="M05S01F08">'M05-S01'!$O$19</definedName>
    <definedName name="M05S01F09">'M05-S01'!$V$19</definedName>
    <definedName name="M05S01F10">'M05-S01'!$AC$19</definedName>
    <definedName name="M05S01F11">'M05-S01'!$AC$22</definedName>
    <definedName name="M05S01F12">'M05-S01'!$AJ$22</definedName>
    <definedName name="M05S01F13">'M05-S01'!$AL$22</definedName>
    <definedName name="M05S01F14">'M05-S01'!$AJ$19</definedName>
    <definedName name="M05S02F01">'M05-S02'!$AD$38</definedName>
    <definedName name="M05S02F02">'M05-S02'!$AK$38</definedName>
    <definedName name="M05S02HIDE">'M05-S02'!$L$6</definedName>
    <definedName name="M05S04F01">'M05-S04'!$M$51</definedName>
    <definedName name="M05S04F02">'M05-S04'!$S$51</definedName>
    <definedName name="M05S04F03">'M05-S04'!$AA$51</definedName>
    <definedName name="M05S04F04">'M05-S04'!$AI$51</definedName>
    <definedName name="M05S05F01">'M05-S05'!$M$58</definedName>
    <definedName name="M05S05F02">'M05-S05'!$U$58</definedName>
    <definedName name="M05S07F02">'M05-S07'!$AN$14</definedName>
    <definedName name="M05S07F03">'M05-S07'!$AN$15</definedName>
    <definedName name="M05S07F04">'M05-S07'!$AN$16</definedName>
    <definedName name="M05S07F05">'M05-S07'!$AN$17</definedName>
    <definedName name="M05S07F06">'M05-S07'!$AN$18</definedName>
    <definedName name="M05S07F07">'M05-S07'!$I$19</definedName>
    <definedName name="M05S07F08">'M05-S07'!$Y$13</definedName>
    <definedName name="M05S07F09">'M05-S07'!$Y$19</definedName>
    <definedName name="M1S1">TEMPLATE!$B$10</definedName>
    <definedName name="M1S2">TEMPLATE!$B$11</definedName>
    <definedName name="M1S3">TEMPLATE!$B$12</definedName>
    <definedName name="M1S4">TEMPLATE!$B$13</definedName>
    <definedName name="M1S5">TEMPLATE!$B$14</definedName>
    <definedName name="M1S6">TEMPLATE!$B$15</definedName>
    <definedName name="M1S7">TEMPLATE!$B$16</definedName>
    <definedName name="M1S8">TEMPLATE!$B$17</definedName>
    <definedName name="M2S1">TEMPLATE!$B$19</definedName>
    <definedName name="M2S2">TEMPLATE!$B$20</definedName>
    <definedName name="M2S3">TEMPLATE!$B$21</definedName>
    <definedName name="M2S4">TEMPLATE!$B$22</definedName>
    <definedName name="M2S5">TEMPLATE!$B$23</definedName>
    <definedName name="M2S6">TEMPLATE!$B$24</definedName>
    <definedName name="M2S7">TEMPLATE!$B$25</definedName>
    <definedName name="M2S8">TEMPLATE!$B$26</definedName>
    <definedName name="M3S1">TEMPLATE!$B$28</definedName>
    <definedName name="M3S2">TEMPLATE!$B$29</definedName>
    <definedName name="M3S3">TEMPLATE!$B$30</definedName>
    <definedName name="M3S4">TEMPLATE!$B$31</definedName>
    <definedName name="M3S5">TEMPLATE!$B$32</definedName>
    <definedName name="M3S5ErrorCheck">'M03-S05'!$BE$200</definedName>
    <definedName name="M3S6">TEMPLATE!$B$33</definedName>
    <definedName name="M3S7">TEMPLATE!$B$34</definedName>
    <definedName name="M3S8">TEMPLATE!$B$35</definedName>
    <definedName name="M4S1">TEMPLATE!$B$37</definedName>
    <definedName name="M4S2">TEMPLATE!$B$38</definedName>
    <definedName name="M4S3">TEMPLATE!$B$39</definedName>
    <definedName name="M4S4">TEMPLATE!$B$40</definedName>
    <definedName name="M4S4UNITCHECK">'M04-S04'!$BA$200</definedName>
    <definedName name="M4S5">TEMPLATE!$B$41</definedName>
    <definedName name="M4S5UNITCHECK">'M04-S05'!$BA$200</definedName>
    <definedName name="M4S6">TEMPLATE!$B$42</definedName>
    <definedName name="M4S6UNITCHECK">'M04-S06'!$BA$200</definedName>
    <definedName name="M4S7">TEMPLATE!$B$43</definedName>
    <definedName name="M4S7UNITCHECK">'M04-S07'!$BA$200</definedName>
    <definedName name="M4S8">TEMPLATE!$B$44</definedName>
    <definedName name="M4S8UNITCHECK">'M04-S08'!$BA$200</definedName>
    <definedName name="M4S9">TEMPLATE!$B$45</definedName>
    <definedName name="M4S9UNITCHECK">'M04-S09'!$BA$200</definedName>
    <definedName name="M5S1">TEMPLATE!$B$47</definedName>
    <definedName name="M5S2">TEMPLATE!$B$48</definedName>
    <definedName name="M5S3">TEMPLATE!$B$49</definedName>
    <definedName name="M5S4">TEMPLATE!$B$50</definedName>
    <definedName name="M5S5">TEMPLATE!$B$51</definedName>
    <definedName name="M5S6">TEMPLATE!$B$52</definedName>
    <definedName name="M5S7">TEMPLATE!$B$53</definedName>
    <definedName name="M5S8">TEMPLATE!$B$54</definedName>
    <definedName name="M6S1">TEMPLATE!$B$56</definedName>
    <definedName name="M6S2">TEMPLATE!$B$57</definedName>
    <definedName name="M6S3">TEMPLATE!$B$58</definedName>
    <definedName name="M6S4">TEMPLATE!$B$59</definedName>
    <definedName name="M6S5">TEMPLATE!$B$60</definedName>
    <definedName name="M6S6">TEMPLATE!$B$61</definedName>
    <definedName name="M6S7">TEMPLATE!$B$62</definedName>
    <definedName name="M6S8">TEMPLATE!$B$63</definedName>
    <definedName name="M7S1">TEMPLATE!$B$65</definedName>
    <definedName name="M7S2">TEMPLATE!$B$66</definedName>
    <definedName name="M7S3">TEMPLATE!$B$67</definedName>
    <definedName name="M7S4">TEMPLATE!$B$68</definedName>
    <definedName name="M7S5">TEMPLATE!$B$69</definedName>
    <definedName name="M7S6">TEMPLATE!$B$70</definedName>
    <definedName name="M7S7">TEMPLATE!$B$71</definedName>
    <definedName name="M7S8">TEMPLATE!$B$72</definedName>
    <definedName name="MAIN_N">#REF!</definedName>
    <definedName name="MAIN1">TEMPLATE!$B$9</definedName>
    <definedName name="MAIN1_X">#REF!</definedName>
    <definedName name="MAIN2">TEMPLATE!$B$18</definedName>
    <definedName name="MAIN2_X">#REF!</definedName>
    <definedName name="MAIN3">TEMPLATE!$B$27</definedName>
    <definedName name="MAIN3_N">#REF!</definedName>
    <definedName name="MAIN3_X">#REF!</definedName>
    <definedName name="MAIN4">TEMPLATE!$B$36</definedName>
    <definedName name="MAIN4_N">#REF!</definedName>
    <definedName name="MAIN4_X">#REF!</definedName>
    <definedName name="MAIN5">TEMPLATE!$B$46</definedName>
    <definedName name="MAIN5_N">#REF!</definedName>
    <definedName name="MAIN5_X">#REF!</definedName>
    <definedName name="MAIN6">TEMPLATE!$B$55</definedName>
    <definedName name="MAIN6_N">#REF!</definedName>
    <definedName name="MAIN6_X">#REF!</definedName>
    <definedName name="MAIN7">TEMPLATE!$B$64</definedName>
    <definedName name="MAIN7_N">#REF!</definedName>
    <definedName name="MEASTOTALALL">TEMPLATE!$H$30</definedName>
    <definedName name="MEASTOTALALL_N">#REF!</definedName>
    <definedName name="MEASTOTALALL_X">#REF!</definedName>
    <definedName name="MEASTOTALCUS_N">#REF!</definedName>
    <definedName name="MEASTOTALCUSE">TEMPLATE!$H$29</definedName>
    <definedName name="MEASTOTALLIGHT_N">#REF!</definedName>
    <definedName name="MEASTOTALPRES_N">#REF!</definedName>
    <definedName name="MEASTOTALPRESE">TEMPLATE!$H$28</definedName>
    <definedName name="MEASTOTALWBP_N">#REF!</definedName>
    <definedName name="MEASUREBLDG">'DATA TABLES'!$C$100</definedName>
    <definedName name="MEASURECB">'DATA TABLES'!$C$94</definedName>
    <definedName name="MEASUREELI">'DATA TABLES'!$C$91</definedName>
    <definedName name="MEASUREINCR">'DATA TABLES'!$C$104</definedName>
    <definedName name="MEASURELPD">'DATA TABLES'!$C$103</definedName>
    <definedName name="MEASUREPAY">'DATA TABLES'!$C$93</definedName>
    <definedName name="MEASURERATE">'DATA TABLES'!$C$96</definedName>
    <definedName name="MEASURESAVE">'DATA TABLES'!$C$92</definedName>
    <definedName name="MEASURESITE">'DATA TABLES'!$C$101</definedName>
    <definedName name="MEASURESTEP1">'DATA TABLES'!$C$102</definedName>
    <definedName name="MEASURESUBMIT">'DATA TABLES'!$C$95</definedName>
    <definedName name="N02S01F01">#REF!</definedName>
    <definedName name="N02S01F02">#REF!</definedName>
    <definedName name="N02S01F03">#REF!</definedName>
    <definedName name="N02S02F01">#REF!</definedName>
    <definedName name="N02S02F02">#REF!</definedName>
    <definedName name="N02S02F03">#REF!</definedName>
    <definedName name="N02S02F04">#REF!</definedName>
    <definedName name="N02S02F05">#REF!</definedName>
    <definedName name="N02S02F06">#REF!</definedName>
    <definedName name="N02S02F07">#REF!</definedName>
    <definedName name="N02S02F08">#REF!</definedName>
    <definedName name="N02S02F09">#REF!</definedName>
    <definedName name="N02S02F10">#REF!</definedName>
    <definedName name="N02S02F11">#REF!</definedName>
    <definedName name="N02S02F12">#REF!</definedName>
    <definedName name="N02S02F13">#REF!</definedName>
    <definedName name="N02S02F14">#REF!</definedName>
    <definedName name="N02S02F15">#REF!</definedName>
    <definedName name="N02S02F16">#REF!</definedName>
    <definedName name="N02S02F17">#REF!</definedName>
    <definedName name="N02S02F18">#REF!</definedName>
    <definedName name="N02S02F19">#REF!</definedName>
    <definedName name="N02S02F20">#REF!</definedName>
    <definedName name="N02S02F21">#REF!</definedName>
    <definedName name="N02S02F22">#REF!</definedName>
    <definedName name="N02S02F23">#REF!</definedName>
    <definedName name="N02S02F24">#REF!</definedName>
    <definedName name="N02S02F25">#REF!</definedName>
    <definedName name="N02S02F26">#REF!</definedName>
    <definedName name="N02S02F27">#REF!</definedName>
    <definedName name="N02S02F28">#REF!</definedName>
    <definedName name="N02S02F29">#REF!</definedName>
    <definedName name="N02S02F30">#REF!</definedName>
    <definedName name="N02S02F31">#REF!</definedName>
    <definedName name="N02S02F32">#REF!</definedName>
    <definedName name="N02S02F33">#REF!</definedName>
    <definedName name="N02S02F34">#REF!</definedName>
    <definedName name="N02S02F35">#REF!</definedName>
    <definedName name="N02S02F36">#REF!</definedName>
    <definedName name="N02S02F37">#REF!</definedName>
    <definedName name="N02S02F38">#REF!</definedName>
    <definedName name="N02S02F39">#REF!</definedName>
    <definedName name="N02S02F40">#REF!</definedName>
    <definedName name="N02S02F41">#REF!</definedName>
    <definedName name="N02S02F42">#REF!</definedName>
    <definedName name="N02S02F43">#REF!</definedName>
    <definedName name="N02S02F44">#REF!</definedName>
    <definedName name="N02S02F45">#REF!</definedName>
    <definedName name="N02S02F46">#REF!</definedName>
    <definedName name="N02S02F47">#REF!</definedName>
    <definedName name="N02S02F48">#REF!</definedName>
    <definedName name="N02S02F49">#REF!</definedName>
    <definedName name="N02S02F50">#REF!</definedName>
    <definedName name="N02S02F51">#REF!</definedName>
    <definedName name="N02S02F52">#REF!</definedName>
    <definedName name="N02S02F53">#REF!</definedName>
    <definedName name="N02S02F54">#REF!</definedName>
    <definedName name="N02S02F55">#REF!</definedName>
    <definedName name="N02S02F56">#REF!</definedName>
    <definedName name="N02S02F57">#REF!</definedName>
    <definedName name="N02S02F58">#REF!</definedName>
    <definedName name="N02S02F59">#REF!</definedName>
    <definedName name="N02S02F60">#REF!</definedName>
    <definedName name="N02S03F01">#REF!</definedName>
    <definedName name="N02S03F02">#REF!</definedName>
    <definedName name="N02S03F03">#REF!</definedName>
    <definedName name="N02S03F04">#REF!</definedName>
    <definedName name="N02S03F05">#REF!</definedName>
    <definedName name="N02S03F06">#REF!</definedName>
    <definedName name="N02S03F07">#REF!</definedName>
    <definedName name="N02S03F08">#REF!</definedName>
    <definedName name="N02S03F09">#REF!</definedName>
    <definedName name="N02S03F10">#REF!</definedName>
    <definedName name="N02S03F11">#REF!</definedName>
    <definedName name="N02S03F12">#REF!</definedName>
    <definedName name="N02S03F13">#REF!</definedName>
    <definedName name="N02S03F14">#REF!</definedName>
    <definedName name="N02S03F15">#REF!</definedName>
    <definedName name="N02S03F16">#REF!</definedName>
    <definedName name="N02S03F17">#REF!</definedName>
    <definedName name="N02S03F18">#REF!</definedName>
    <definedName name="N02S03F19">#REF!</definedName>
    <definedName name="N02S03F20">#REF!</definedName>
    <definedName name="N02S03F21">#REF!</definedName>
    <definedName name="N02S03F22">#REF!</definedName>
    <definedName name="N02S03F23">#REF!</definedName>
    <definedName name="N02S03F24">#REF!</definedName>
    <definedName name="N02S03F25">#REF!</definedName>
    <definedName name="N02S03F26">#REF!</definedName>
    <definedName name="N02S03F27">#REF!</definedName>
    <definedName name="N02S03F28">#REF!</definedName>
    <definedName name="N02S03F29">#REF!</definedName>
    <definedName name="N02S03F30">#REF!</definedName>
    <definedName name="N02S03F31">#REF!</definedName>
    <definedName name="N02S03F32">#REF!</definedName>
    <definedName name="N02S03F33">#REF!</definedName>
    <definedName name="N02S03F34">#REF!</definedName>
    <definedName name="N02S03F35">#REF!</definedName>
    <definedName name="N02S03F36">#REF!</definedName>
    <definedName name="N02S04F01">#REF!</definedName>
    <definedName name="N02S04F02">#REF!</definedName>
    <definedName name="N02S04F03">#REF!</definedName>
    <definedName name="N02S04F04">#REF!</definedName>
    <definedName name="N02S04F05">#REF!</definedName>
    <definedName name="N02S04F06">#REF!</definedName>
    <definedName name="N02S04F07">#REF!</definedName>
    <definedName name="N02S04F08">#REF!</definedName>
    <definedName name="N02S04F09">#REF!</definedName>
    <definedName name="N02S04F10">#REF!</definedName>
    <definedName name="N02S04F11">#REF!</definedName>
    <definedName name="N02S04F12">#REF!</definedName>
    <definedName name="N02S04F13">#REF!</definedName>
    <definedName name="N02S04F14">#REF!</definedName>
    <definedName name="N02S04F15">#REF!</definedName>
    <definedName name="N02S04F16">#REF!</definedName>
    <definedName name="N02S04F17">#REF!</definedName>
    <definedName name="N02S04F18">#REF!</definedName>
    <definedName name="N02S04F19">#REF!</definedName>
    <definedName name="N02S04F20">#REF!</definedName>
    <definedName name="N02S04F21">#REF!</definedName>
    <definedName name="N02S04F22">#REF!</definedName>
    <definedName name="N02S04F23">#REF!</definedName>
    <definedName name="N02S04F24">#REF!</definedName>
    <definedName name="N02S04F25">#REF!</definedName>
    <definedName name="N02S04F26">#REF!</definedName>
    <definedName name="N02S04F27">#REF!</definedName>
    <definedName name="N02S04F28">#REF!</definedName>
    <definedName name="N02S04F29">#REF!</definedName>
    <definedName name="N02S04F30">#REF!</definedName>
    <definedName name="N02S04F31">#REF!</definedName>
    <definedName name="N02S04F32">#REF!</definedName>
    <definedName name="N02S04F33">#REF!</definedName>
    <definedName name="N02S04F34">#REF!</definedName>
    <definedName name="N02S04F35">#REF!</definedName>
    <definedName name="N02S04F36">#REF!</definedName>
    <definedName name="N02S04F37">#REF!</definedName>
    <definedName name="N02S04F38">#REF!</definedName>
    <definedName name="N02S04F39">#REF!</definedName>
    <definedName name="N02S04F40">#REF!</definedName>
    <definedName name="N02S04F41">#REF!</definedName>
    <definedName name="N02S04TB1">#REF!</definedName>
    <definedName name="N02S04TB10">#REF!</definedName>
    <definedName name="N02S04TB11">#REF!</definedName>
    <definedName name="N02S04TB12">#REF!</definedName>
    <definedName name="N02S04TB13">#REF!</definedName>
    <definedName name="N02S04TB14">#REF!</definedName>
    <definedName name="N02S04TB15">#REF!</definedName>
    <definedName name="N02S04TB2">#REF!</definedName>
    <definedName name="N02S04TB3">#REF!</definedName>
    <definedName name="N02S04TB4">#REF!</definedName>
    <definedName name="N02S04TB5">#REF!</definedName>
    <definedName name="N02S04TB6">#REF!</definedName>
    <definedName name="N02S04TB7">#REF!</definedName>
    <definedName name="N02S04TB8">#REF!</definedName>
    <definedName name="N02S04TB9">#REF!</definedName>
    <definedName name="N04S09F01">#REF!</definedName>
    <definedName name="N04S09F02">#REF!</definedName>
    <definedName name="N04S09F03">#REF!</definedName>
    <definedName name="N04S09F04">#REF!</definedName>
    <definedName name="N04S09F05">#REF!</definedName>
    <definedName name="N04S09F06">#REF!</definedName>
    <definedName name="N04S09F07">#REF!</definedName>
    <definedName name="N04S09F08">#REF!</definedName>
    <definedName name="N04S09F09">#REF!</definedName>
    <definedName name="N04S09F10">#REF!</definedName>
    <definedName name="N05S01F01">#REF!</definedName>
    <definedName name="N05S01F02">#REF!</definedName>
    <definedName name="N05S01F03">#REF!</definedName>
    <definedName name="N05S01F04">#REF!</definedName>
    <definedName name="N05S01F05">#REF!</definedName>
    <definedName name="N05S01F06">#REF!</definedName>
    <definedName name="N05S01F07">#REF!</definedName>
    <definedName name="N05S01F08">#REF!</definedName>
    <definedName name="N05S01F09">#REF!</definedName>
    <definedName name="N05S01F10">#REF!</definedName>
    <definedName name="N05S01F11">#REF!</definedName>
    <definedName name="N05S01F12">#REF!</definedName>
    <definedName name="N05S01F13">#REF!</definedName>
    <definedName name="N05S01F14">#REF!</definedName>
    <definedName name="N05S01F15">#REF!</definedName>
    <definedName name="N05S04F01">#REF!</definedName>
    <definedName name="N05S04F02">#REF!</definedName>
    <definedName name="N05S04F03">#REF!</definedName>
    <definedName name="N05S05F01">#REF!</definedName>
    <definedName name="N05S05F02">#REF!</definedName>
    <definedName name="N05S07F02">#REF!</definedName>
    <definedName name="N05S07F03">#REF!</definedName>
    <definedName name="N05S07F04">#REF!</definedName>
    <definedName name="N05S07F05">#REF!</definedName>
    <definedName name="N05S07F06">#REF!</definedName>
    <definedName name="N05S07F07">#REF!</definedName>
    <definedName name="N05S07F08">#REF!</definedName>
    <definedName name="N05S07F09">#REF!</definedName>
    <definedName name="N1S1">#REF!</definedName>
    <definedName name="N1S2">#REF!</definedName>
    <definedName name="N1S3">#REF!</definedName>
    <definedName name="N1S4">#REF!</definedName>
    <definedName name="N1S5">#REF!</definedName>
    <definedName name="N1S6">#REF!</definedName>
    <definedName name="N1S7">#REF!</definedName>
    <definedName name="N1S8">#REF!</definedName>
    <definedName name="N2S1">#REF!</definedName>
    <definedName name="N2S2">#REF!</definedName>
    <definedName name="N2S3">#REF!</definedName>
    <definedName name="N2S4">#REF!</definedName>
    <definedName name="N2S5">#REF!</definedName>
    <definedName name="N2S6">#REF!</definedName>
    <definedName name="N2S7">#REF!</definedName>
    <definedName name="N2S8">#REF!</definedName>
    <definedName name="N3S1">#REF!</definedName>
    <definedName name="N3S2">#REF!</definedName>
    <definedName name="N3S3">#REF!</definedName>
    <definedName name="N3S4">#REF!</definedName>
    <definedName name="N3S4ErrorCheck">#REF!</definedName>
    <definedName name="N3S5">#REF!</definedName>
    <definedName name="N3S6">#REF!</definedName>
    <definedName name="N3S7">#REF!</definedName>
    <definedName name="N3S8">#REF!</definedName>
    <definedName name="N3S9">#REF!</definedName>
    <definedName name="N4S1">#REF!</definedName>
    <definedName name="N4S1UNITCHECK">#REF!</definedName>
    <definedName name="N4S2">#REF!</definedName>
    <definedName name="N4S2UNITCHECK">#REF!</definedName>
    <definedName name="N4S3">#REF!</definedName>
    <definedName name="N4S3UNITCHECK">#REF!</definedName>
    <definedName name="N4S4">#REF!</definedName>
    <definedName name="N4S4UNITCHECK">#REF!</definedName>
    <definedName name="N4S5">#REF!</definedName>
    <definedName name="N4S5UNITCHECK">#REF!</definedName>
    <definedName name="N4S6">#REF!</definedName>
    <definedName name="N4S6UNITCHECK">#REF!</definedName>
    <definedName name="N4S7">#REF!</definedName>
    <definedName name="N4S8">#REF!</definedName>
    <definedName name="N4S9">#REF!</definedName>
    <definedName name="N5S1">#REF!</definedName>
    <definedName name="N5S2">#REF!</definedName>
    <definedName name="N5S3">#REF!</definedName>
    <definedName name="N5S4">#REF!</definedName>
    <definedName name="N5S5">#REF!</definedName>
    <definedName name="N5S6">#REF!</definedName>
    <definedName name="N5S7">#REF!</definedName>
    <definedName name="N5S8">#REF!</definedName>
    <definedName name="N6S1">#REF!</definedName>
    <definedName name="N6S2">#REF!</definedName>
    <definedName name="N6S3">#REF!</definedName>
    <definedName name="N6S4">#REF!</definedName>
    <definedName name="N6S5">#REF!</definedName>
    <definedName name="N6S6">#REF!</definedName>
    <definedName name="N6S7">#REF!</definedName>
    <definedName name="N6S8">#REF!</definedName>
    <definedName name="N7S1">#REF!</definedName>
    <definedName name="N7S2">#REF!</definedName>
    <definedName name="N7S3">#REF!</definedName>
    <definedName name="N7S4">#REF!</definedName>
    <definedName name="N7S5">#REF!</definedName>
    <definedName name="N7S6">#REF!</definedName>
    <definedName name="N7S7">#REF!</definedName>
    <definedName name="N7S8">#REF!</definedName>
    <definedName name="NCLIGHTINGCAP">'DATA TABLES'!$D$119</definedName>
    <definedName name="NCLIGHTINGRATE">'DATA TABLES'!$D$118</definedName>
    <definedName name="NEWCONCODE">#REF!</definedName>
    <definedName name="OVERRIDETOTAL">TEMPLATE!$Q$30</definedName>
    <definedName name="OVERRIDETOTAL_N">#REF!</definedName>
    <definedName name="OVERRIDETOTAL_X">#REF!</definedName>
    <definedName name="PAYALL">TEMPLATE!$T$30</definedName>
    <definedName name="PAYALL_N">#REF!</definedName>
    <definedName name="PAYBACKREQ">'DATA TABLES'!$D$110</definedName>
    <definedName name="PAYCUSE">TEMPLATE!$T$29</definedName>
    <definedName name="PAYCUST_N">#REF!</definedName>
    <definedName name="PayeeChckBox">TEMPLATE!$C$162</definedName>
    <definedName name="PayeeChckBox_N">#REF!</definedName>
    <definedName name="PayeeChckBox_X">#REF!</definedName>
    <definedName name="PAYLIGHT_N">#REF!</definedName>
    <definedName name="PAYMENTLIST" localSheetId="28">PAYMENT[Payment to]</definedName>
    <definedName name="PAYMENTLIST" localSheetId="31">PAYMENT[Payment to]</definedName>
    <definedName name="PAYMENTLIST">PAYMENT[Payment to]</definedName>
    <definedName name="PAYMENTLIST_N">PAYMENT_N[Payment to]</definedName>
    <definedName name="Paymentlist_x">PAYMENT_X[Payment to]</definedName>
    <definedName name="PAYPRESE">TEMPLATE!$T$28</definedName>
    <definedName name="PAYPROJ_N">#REF!</definedName>
    <definedName name="PAYRCX">#REF!</definedName>
    <definedName name="PAYTO" localSheetId="28">PAYMENT[Payment to]</definedName>
    <definedName name="PAYTO" localSheetId="31">PAYMENT[Payment to]</definedName>
    <definedName name="PAYTO">PAYMENT[Payment to]</definedName>
    <definedName name="PAYXALL">#REF!</definedName>
    <definedName name="PAYXCUS">#REF!</definedName>
    <definedName name="PEAKTD">CBDATA!$B$8</definedName>
    <definedName name="PMATCHSIZE">#REF!</definedName>
    <definedName name="PNAME">MASTER!$B$2</definedName>
    <definedName name="PREAPPROV2018">'DATA TABLES'!#REF!</definedName>
    <definedName name="_xlnm.Print_Area" localSheetId="9">'M01-S01'!$A$1:$AW$202</definedName>
    <definedName name="_xlnm.Print_Area" localSheetId="10">'M01-S02'!$A$1:$AW$202</definedName>
    <definedName name="_xlnm.Print_Area" localSheetId="11">'M01-S03'!$A$1:$AW$202</definedName>
    <definedName name="_xlnm.Print_Area" localSheetId="12">'M02-S01'!$A$1:$AW$202</definedName>
    <definedName name="_xlnm.Print_Area" localSheetId="13">'M02-S02'!$A$1:$AW$202</definedName>
    <definedName name="_xlnm.Print_Area" localSheetId="14">'M02-S03'!$A$1:$AW$202</definedName>
    <definedName name="_xlnm.Print_Area" localSheetId="15">'M02-S04'!$A$1:$AW$202</definedName>
    <definedName name="_xlnm.Print_Area" localSheetId="16">'M03-S01'!$A$1:$AW$202</definedName>
    <definedName name="_xlnm.Print_Area" localSheetId="17">'M03-S02'!$A$1:$AW$202</definedName>
    <definedName name="_xlnm.Print_Area" localSheetId="18">'M03-S03'!$A$1:$AW$202</definedName>
    <definedName name="_xlnm.Print_Area" localSheetId="19">'M03-S04'!$A$1:$AW$202</definedName>
    <definedName name="_xlnm.Print_Area" localSheetId="20">'M03-S05'!$A$1:$AW$202</definedName>
    <definedName name="_xlnm.Print_Area" localSheetId="22">'M03-S06'!$A$1:$AW$202</definedName>
    <definedName name="_xlnm.Print_Area" localSheetId="23">'M03-S07'!$A$1:$AW$202</definedName>
    <definedName name="_xlnm.Print_Area" localSheetId="21">'M03-S08'!$A$1:$AW$202</definedName>
    <definedName name="_xlnm.Print_Area" localSheetId="24">'M04-S02'!$A$1:$AW$202</definedName>
    <definedName name="_xlnm.Print_Area" localSheetId="25">'M04-S03'!$A$1:$AW$202</definedName>
    <definedName name="_xlnm.Print_Area" localSheetId="26">'M04-S04'!$A$1:$AW$202</definedName>
    <definedName name="_xlnm.Print_Area" localSheetId="27">'M04-S05'!$A$1:$AW$202</definedName>
    <definedName name="_xlnm.Print_Area" localSheetId="29">'M04-S06'!$A$1:$AW$202</definedName>
    <definedName name="_xlnm.Print_Area" localSheetId="30">'M04-S07'!$A$1:$AW$202</definedName>
    <definedName name="_xlnm.Print_Area" localSheetId="28">'M04-S08'!$A$1:$AW$202</definedName>
    <definedName name="_xlnm.Print_Area" localSheetId="31">'M04-S09'!$A$1:$AW$202</definedName>
    <definedName name="_xlnm.Print_Area" localSheetId="32">'M05-S01'!$A$1:$AW$202</definedName>
    <definedName name="_xlnm.Print_Area" localSheetId="33">'M05-S02'!$A$1:$AW$202</definedName>
    <definedName name="_xlnm.Print_Area" localSheetId="34">'M05-S02-1'!$A$1:$AW$202</definedName>
    <definedName name="_xlnm.Print_Area" localSheetId="35">'M05-S03'!$L$16:$AL$77</definedName>
    <definedName name="_xlnm.Print_Area" localSheetId="36">'M05-S04'!$L$14:$AL$73</definedName>
    <definedName name="_xlnm.Print_Area" localSheetId="37">'M05-S05'!$L$14:$AL$72</definedName>
    <definedName name="_xlnm.Print_Area" localSheetId="38">'M05-S07'!$E$10:$AS$48</definedName>
    <definedName name="PROGRAM" localSheetId="28">PROGRAMTYPE[Project Type]</definedName>
    <definedName name="PROGRAM" localSheetId="31">PROGRAMTYPE[Project Type]</definedName>
    <definedName name="PROGRAM">PROGRAMTYPE[Project Type]</definedName>
    <definedName name="PROGRESSSTATUS">TEMPLATE!$H$4</definedName>
    <definedName name="PROGRESSSTATUS_N">#REF!</definedName>
    <definedName name="PROGRESSSTATUS_X">#REF!</definedName>
    <definedName name="PROJECTSTATCB">'DATA TABLES'!$A$56</definedName>
    <definedName name="PROJECTSTATPAYBACK">'DATA TABLES'!$A$55</definedName>
    <definedName name="PROJECTSTATPAYBACKCUS">'DATA TABLES'!$A$58</definedName>
    <definedName name="PROJECTSTATPAYBACKRCX">'DATA TABLES'!$A$57</definedName>
    <definedName name="PROJECTTYPELIST">PROGRAMTYPE[Project Type]</definedName>
    <definedName name="PROJID">'M05-S07'!$AN$13</definedName>
    <definedName name="PROJID_N">#REF!</definedName>
    <definedName name="PROJID_X">#REF!</definedName>
    <definedName name="PROJSTATELI">'DATA TABLES'!$A$52</definedName>
    <definedName name="PROJSTATEXP">'DATA TABLES'!$A$51</definedName>
    <definedName name="PROJSTATMEASURE">'DATA TABLES'!$A$47</definedName>
    <definedName name="PROJSTATPREAPPROVE">'DATA TABLES'!$A$49</definedName>
    <definedName name="PROJSTATRES">'DATA TABLES'!$A$54</definedName>
    <definedName name="PROJSTATREVIEW">'DATA TABLES'!$A$50</definedName>
    <definedName name="PROJSTATSTANDARD">'DATA TABLES'!$A$48</definedName>
    <definedName name="PROJSTATUNDER">'DATA TABLES'!$A$53</definedName>
    <definedName name="PROJSTATUS">TEMPLATE!$H$3</definedName>
    <definedName name="PROJSTATUS_N">#REF!</definedName>
    <definedName name="PROJSTATUS_X">#REF!</definedName>
    <definedName name="PROJTYPELIST_N">PROJTYPE_N[New Construction Project Type]</definedName>
    <definedName name="RATECLASSLIST">RATECLASS[Rate Schedules]</definedName>
    <definedName name="RCXPROJECTCOST">#REF!</definedName>
    <definedName name="RCXTHRESH">'DATA TABLES'!$D$117</definedName>
    <definedName name="REFRIGSELECT">#REF!</definedName>
    <definedName name="SHEAT">SPACEHEAT[Space Conditioning]</definedName>
    <definedName name="SPACELPD1">#REF!</definedName>
    <definedName name="SPACELPD2">#REF!</definedName>
    <definedName name="SPACELPD3">#REF!</definedName>
    <definedName name="SPACELPD4">#REF!</definedName>
    <definedName name="SPACELPD5">#REF!</definedName>
    <definedName name="SPACELPD6">#REF!</definedName>
    <definedName name="SPACETYPE1">#REF!</definedName>
    <definedName name="SPACETYPE2">#REF!</definedName>
    <definedName name="SPACETYPE3">#REF!</definedName>
    <definedName name="SPACETYPE4">#REF!</definedName>
    <definedName name="SPACETYPE5">#REF!</definedName>
    <definedName name="SPACETYPE6">#REF!</definedName>
    <definedName name="SPACEWATT1">#REF!</definedName>
    <definedName name="SPACEWATT2">#REF!</definedName>
    <definedName name="SPACEWATT3">#REF!</definedName>
    <definedName name="SPACEWATT4">#REF!</definedName>
    <definedName name="SPACEWATT5">#REF!</definedName>
    <definedName name="SPACEWATT6">#REF!</definedName>
    <definedName name="SPILLOVERNUMBER">'DATA TABLES'!$A$110</definedName>
    <definedName name="SPOpts_X">#REF!</definedName>
    <definedName name="STATESABBREV">STATES[Abbrev]</definedName>
    <definedName name="STDCOMPRESSINC">STDCOMPRESS[Base Incentive]</definedName>
    <definedName name="STDCOMPRESSLIST">STDCOMPRESS[Measure Name]</definedName>
    <definedName name="STDHVACEFFMIN">STDHVAC[Base Efficiency 1]</definedName>
    <definedName name="STDHVACEFFMIN_N">#REF!</definedName>
    <definedName name="STDHVACEFFMIN2">#REF!</definedName>
    <definedName name="STDHVACEFFMIN2_N">#REF!</definedName>
    <definedName name="STDHVACINC">STDHVAC[Base Incentive]</definedName>
    <definedName name="STDHVACINC_N">#REF!</definedName>
    <definedName name="STDHVACLIST">STDHVAC[Measure Name]</definedName>
    <definedName name="STDHVACLIST_N">#REF!</definedName>
    <definedName name="STDHVACMEASURES">STDHVAC[Measure Name]</definedName>
    <definedName name="STDHVACMEASURES_N">#REF!</definedName>
    <definedName name="STDHVACTONMAX">STDHVAC[Max Tons]</definedName>
    <definedName name="STDHVACTONMAX_N">#REF!</definedName>
    <definedName name="STDHVACTONMIN">STDHVAC[Min Tons]</definedName>
    <definedName name="STDHVACTONMIN_N">#REF!</definedName>
    <definedName name="STDLIGHTBASEMAX">STDLIGHT[Baseline Max Wattage]</definedName>
    <definedName name="STDLIGHTBASEMIN">STDLIGHT[Baseline Min Wattage]</definedName>
    <definedName name="STDLIGHTCATLIST">STDLIGHTCAT[Eff Category 1]</definedName>
    <definedName name="STDLIGHTCONMIN">INDEX(STDLIGHTCONT[Min Watts Controlled],MATCH('M03-S03'!$G1,STDLIGHTCONT[Measure Name],0))</definedName>
    <definedName name="STDLIGHTCONTINC">STDLIGHTCONT[Base Incentive]</definedName>
    <definedName name="STDLIGHTCONTLIST">STDLIGHTCONT[Measure Name]</definedName>
    <definedName name="STDLIGHTEFFMAX">STDLIGHT[Eff Max Wattage]</definedName>
    <definedName name="STDLIGHTEFFMIN">STDLIGHT[Eff Min Wattage]</definedName>
    <definedName name="STDLIGHTINC">STDLIGHT[Base Incentive]</definedName>
    <definedName name="STDLIGHTINEFCAT1_LIST">INDEX(STDLIGHTINEFCAT1[Options],MATCH(INDEX(STDLIGHT[Ineff Dropdown 1],MATCH('M03-S02'!$G1,STDLIGHT[Measure Name],0)),STDLIGHTINEFCAT1[Ineff Dropdown 1],0),1):INDEX(STDLIGHTINEFCAT1[Options],MATCH(INDEX(STDLIGHT[Ineff Dropdown 1],MATCH('M03-S02'!$G1,STDLIGHT[Measure Name],0)),STDLIGHTINEFCAT1[Ineff Dropdown 1],1),1)</definedName>
    <definedName name="STDLIGHTINEFCAT2_LIST">INDEX(STDLIGHTINEFCAT2[Options],MATCH('M03-S02'!$M1&amp;"_"&amp;INDEX(STDLIGHT[Ineff Dropdown 2],MATCH('M03-S02'!$G1,STDLIGHT[Measure Name],0)),STDLIGHTINEFCAT2[Match],0),1):INDEX(STDLIGHTINEFCAT2[Options],MATCH('M03-S02'!$M1&amp;"_"&amp;INDEX(STDLIGHT[Ineff Dropdown 2],MATCH('M03-S02'!$G1,STDLIGHT[Measure Name],0)),STDLIGHTINEFCAT2[Match],1),1)</definedName>
    <definedName name="STDLIGHTINEFCAT2DROP">STDLIGHT[Ineff Dropdown 2]</definedName>
    <definedName name="STDLIGHTINEFCAT2NAME">STDLIGHTINEFCAT2[Full Name]</definedName>
    <definedName name="STDLIGHTINEFCAT2W">STDLIGHTINEFCAT2[System Wattage]</definedName>
    <definedName name="STDLIGHTLIST">STDLIGHT[Measure Name]</definedName>
    <definedName name="STDLIGHTMEASURELIST">INDEX(STDLIGHT[Measure Name],MATCH('M03-S02'!$C1,STDLIGHT[Eff Category 1],0),1):INDEX(STDLIGHT[Measure Name],MATCH('M03-S02'!$C1,STDLIGHT[Eff Category 1],1),1)</definedName>
    <definedName name="STDLIGHTMEASURES">STDLIGHT[Measure Name]</definedName>
    <definedName name="STDMOTORSHPMAX">STDMOTORS[Max Unit]</definedName>
    <definedName name="STDMOTORSHPMIN">STDMOTORS[Min Unit]</definedName>
    <definedName name="STDMOTORSINC">STDMOTORS[Base Incentive]</definedName>
    <definedName name="STDMOTORSLIST">STDMOTORS[Measure Name]</definedName>
    <definedName name="STDREFRIGINC">STDREFRIG[Base Incentive]</definedName>
    <definedName name="STDREFRIGINC_N">#REF!</definedName>
    <definedName name="STDREFRIGLIST">STDREFRIG[Measure Name]</definedName>
    <definedName name="STDREFRIGLIST_N">#REF!</definedName>
    <definedName name="STDWATERINC">STDWATER[Base Incentive]</definedName>
    <definedName name="STDWATERINC_N">#REF!</definedName>
    <definedName name="STDWATERLIST">STDWATER[Measure Name]</definedName>
    <definedName name="STDWATERLIST_N">#REF!</definedName>
    <definedName name="TAXLIST">TAXENTITY[Tax Entity]</definedName>
    <definedName name="TOTALCOSTALLSTUDY">#REF!</definedName>
    <definedName name="TOTCOSTCAP">'DATA TABLES'!$D$113</definedName>
    <definedName name="TRANSFERID">MASTER!$B$4</definedName>
    <definedName name="VERSION">MASTER!$B$1</definedName>
    <definedName name="WBPCAP">'DATA TABLES'!$D$120</definedName>
    <definedName name="WBPELIGIBILENO">#REF!</definedName>
    <definedName name="WBPELIGIBILEYES">#REF!</definedName>
    <definedName name="X02S01F01">#REF!</definedName>
    <definedName name="X02S01F02">#REF!</definedName>
    <definedName name="X02S01F03">#REF!</definedName>
    <definedName name="X02S02F01">#REF!</definedName>
    <definedName name="X02S02F02">#REF!</definedName>
    <definedName name="X02S02F03">#REF!</definedName>
    <definedName name="X02S02F04">#REF!</definedName>
    <definedName name="X02S02F05">#REF!</definedName>
    <definedName name="X02S02F06">#REF!</definedName>
    <definedName name="X02S02F07">#REF!</definedName>
    <definedName name="X02S02F08">#REF!</definedName>
    <definedName name="X02S02F09">#REF!</definedName>
    <definedName name="X02S02F10">#REF!</definedName>
    <definedName name="X02S02F11">#REF!</definedName>
    <definedName name="X02S02F12">#REF!</definedName>
    <definedName name="X02S02F13">#REF!</definedName>
    <definedName name="X02S02F14">#REF!</definedName>
    <definedName name="X02S02F15">#REF!</definedName>
    <definedName name="X02S02F16">#REF!</definedName>
    <definedName name="X02S02F17">#REF!</definedName>
    <definedName name="X02S02F18">#REF!</definedName>
    <definedName name="X02S02F19">#REF!</definedName>
    <definedName name="X02S02F20">#REF!</definedName>
    <definedName name="X02S02F21">#REF!</definedName>
    <definedName name="X02S02F22">#REF!</definedName>
    <definedName name="X02S02F23">#REF!</definedName>
    <definedName name="X02S02F24">#REF!</definedName>
    <definedName name="X02S02F25">#REF!</definedName>
    <definedName name="X02S02F26">#REF!</definedName>
    <definedName name="X02S02F27">#REF!</definedName>
    <definedName name="X02S02F28">#REF!</definedName>
    <definedName name="X02S02F29">#REF!</definedName>
    <definedName name="X02S02F30">#REF!</definedName>
    <definedName name="X02S02F31">#REF!</definedName>
    <definedName name="X02S02F32">#REF!</definedName>
    <definedName name="X02S02F33">#REF!</definedName>
    <definedName name="X02S03F01">#REF!</definedName>
    <definedName name="X02S03F02">#REF!</definedName>
    <definedName name="X02S03F03">#REF!</definedName>
    <definedName name="X02S03F04">#REF!</definedName>
    <definedName name="X02S03F05">#REF!</definedName>
    <definedName name="X02S03F06">#REF!</definedName>
    <definedName name="X02S03F07">#REF!</definedName>
    <definedName name="X02S03F08">#REF!</definedName>
    <definedName name="X02S03F09">#REF!</definedName>
    <definedName name="X02S03F10">#REF!</definedName>
    <definedName name="X02S03F11">#REF!</definedName>
    <definedName name="X02S03F12">#REF!</definedName>
    <definedName name="X02S03F13">#REF!</definedName>
    <definedName name="X02S03F14">#REF!</definedName>
    <definedName name="X02S03F15">#REF!</definedName>
    <definedName name="X02S03F16">#REF!</definedName>
    <definedName name="X02S03F17">#REF!</definedName>
    <definedName name="X02S03F18">#REF!</definedName>
    <definedName name="X02S03F19">#REF!</definedName>
    <definedName name="X02S03F20">#REF!</definedName>
    <definedName name="X02S03F21">#REF!</definedName>
    <definedName name="X02S03F22">#REF!</definedName>
    <definedName name="X02S03F23">#REF!</definedName>
    <definedName name="X02S03F24">#REF!</definedName>
    <definedName name="X02S03F25">#REF!</definedName>
    <definedName name="X02S03F26">#REF!</definedName>
    <definedName name="X02S03F27">#REF!</definedName>
    <definedName name="X02S03F28">#REF!</definedName>
    <definedName name="X02S03F29">#REF!</definedName>
    <definedName name="X02S03F30">#REF!</definedName>
    <definedName name="X02S03F31">#REF!</definedName>
    <definedName name="X02S03F32">#REF!</definedName>
    <definedName name="X02S03F33">#REF!</definedName>
    <definedName name="X02S03F34">#REF!</definedName>
    <definedName name="X02S04F01">#REF!</definedName>
    <definedName name="X02S04F02">#REF!</definedName>
    <definedName name="X02S04F03">#REF!</definedName>
    <definedName name="X02S04F04">#REF!</definedName>
    <definedName name="X02S04F05">#REF!</definedName>
    <definedName name="X02S04F06">#REF!</definedName>
    <definedName name="X02S04F07">#REF!</definedName>
    <definedName name="X02S04F08">#REF!</definedName>
    <definedName name="X02S04F09">#REF!</definedName>
    <definedName name="X03S02TB1">#REF!</definedName>
    <definedName name="X03S02TB2">#REF!</definedName>
    <definedName name="X03S02TB3">#REF!</definedName>
    <definedName name="X03S04AF01">#REF!</definedName>
    <definedName name="X03S04AF02">#REF!</definedName>
    <definedName name="X03S04AF03">#REF!</definedName>
    <definedName name="X03S04AF04">#REF!</definedName>
    <definedName name="X03S04AF05">#REF!</definedName>
    <definedName name="X03S04AF06">#REF!</definedName>
    <definedName name="X03S04AF07">#REF!</definedName>
    <definedName name="X05S01F01">#REF!</definedName>
    <definedName name="X05S01F02">#REF!</definedName>
    <definedName name="X05S01F03">#REF!</definedName>
    <definedName name="X05S01F04">#REF!</definedName>
    <definedName name="X05S01F05">#REF!</definedName>
    <definedName name="X05S01F06">#REF!</definedName>
    <definedName name="X05S01F07">#REF!</definedName>
    <definedName name="X05S01F08">#REF!</definedName>
    <definedName name="X05S01F09">#REF!</definedName>
    <definedName name="X05S01F10">#REF!</definedName>
    <definedName name="X05S01F11">#REF!</definedName>
    <definedName name="X05S01F12">#REF!</definedName>
    <definedName name="X05S01F13">#REF!</definedName>
    <definedName name="X05S01F14">#REF!</definedName>
    <definedName name="X05S01F15">#REF!</definedName>
    <definedName name="X05S04F01">#REF!</definedName>
    <definedName name="X05S04F02">#REF!</definedName>
    <definedName name="X05S04F03">#REF!</definedName>
    <definedName name="X05S04F04">#REF!</definedName>
    <definedName name="X05S05F01">#REF!</definedName>
    <definedName name="X05S05F02">#REF!</definedName>
    <definedName name="X05S07F02">#REF!</definedName>
    <definedName name="X05S07F03">#REF!</definedName>
    <definedName name="X05S07F04">#REF!</definedName>
    <definedName name="X05S07F05">#REF!</definedName>
    <definedName name="X05S07F06">#REF!</definedName>
    <definedName name="X05S07F07">#REF!</definedName>
    <definedName name="X05S07F08">#REF!</definedName>
    <definedName name="X05S07F09">#REF!</definedName>
    <definedName name="X05S07F10">#REF!</definedName>
    <definedName name="X1S1">#REF!</definedName>
    <definedName name="X1S2">#REF!</definedName>
    <definedName name="X1S3">#REF!</definedName>
    <definedName name="X1S4">#REF!</definedName>
    <definedName name="X1S5">#REF!</definedName>
    <definedName name="X1S6">#REF!</definedName>
    <definedName name="X1S7">#REF!</definedName>
    <definedName name="X1S8">#REF!</definedName>
    <definedName name="X2S1">#REF!</definedName>
    <definedName name="X2S2">#REF!</definedName>
    <definedName name="X2S3">#REF!</definedName>
    <definedName name="X2S4">#REF!</definedName>
    <definedName name="X2S5">#REF!</definedName>
    <definedName name="X2S6">#REF!</definedName>
    <definedName name="X2S7">#REF!</definedName>
    <definedName name="X2S8">#REF!</definedName>
    <definedName name="X3S1">#REF!</definedName>
    <definedName name="X3S2">#REF!</definedName>
    <definedName name="X3S2UNITCHECK">#REF!</definedName>
    <definedName name="X3S3">#REF!</definedName>
    <definedName name="X3S3UNITCHECK">#REF!</definedName>
    <definedName name="X3S4">#REF!</definedName>
    <definedName name="X3S4UNITCHECK">#REF!</definedName>
    <definedName name="X3S5">#REF!</definedName>
    <definedName name="X3S6">#REF!</definedName>
    <definedName name="X3S7">#REF!</definedName>
    <definedName name="X3S8">#REF!</definedName>
    <definedName name="X4S1">#REF!</definedName>
    <definedName name="X4S2">#REF!</definedName>
    <definedName name="X4S3">#REF!</definedName>
    <definedName name="X4S4">#REF!</definedName>
    <definedName name="X4S5">#REF!</definedName>
    <definedName name="X4S6">#REF!</definedName>
    <definedName name="X4S7">#REF!</definedName>
    <definedName name="X4S8">#REF!</definedName>
    <definedName name="X4S9">#REF!</definedName>
    <definedName name="X5S1">#REF!</definedName>
    <definedName name="X5S2">#REF!</definedName>
    <definedName name="X5S3">#REF!</definedName>
    <definedName name="X5S4">#REF!</definedName>
    <definedName name="X5S5">#REF!</definedName>
    <definedName name="X5S6">#REF!</definedName>
    <definedName name="X5S7">#REF!</definedName>
    <definedName name="X5S8">#REF!</definedName>
    <definedName name="X6S1">#REF!</definedName>
    <definedName name="X6S10">#REF!</definedName>
    <definedName name="X6S11">#REF!</definedName>
    <definedName name="X6S12">#REF!</definedName>
    <definedName name="X6S13">#REF!</definedName>
    <definedName name="X6S14">#REF!</definedName>
    <definedName name="X6S15">#REF!</definedName>
    <definedName name="X6S16">#REF!</definedName>
    <definedName name="X6S17">#REF!</definedName>
    <definedName name="X6S2">#REF!</definedName>
    <definedName name="X6S3">#REF!</definedName>
    <definedName name="X6S4">#REF!</definedName>
    <definedName name="X6S5">#REF!</definedName>
    <definedName name="X6S6">#REF!</definedName>
    <definedName name="X6S7">#REF!</definedName>
    <definedName name="X6S8">#REF!</definedName>
    <definedName name="X6S9">#REF!</definedName>
    <definedName name="XBOPT">#REF!</definedName>
    <definedName name="XBOPTDESC1">#REF!</definedName>
    <definedName name="XBOPTDESC2">#REF!</definedName>
    <definedName name="XBOPTENDUSE">#REF!</definedName>
    <definedName name="XBOPTEUL">#REF!</definedName>
    <definedName name="XBOPTMN">#REF!</definedName>
    <definedName name="XBOPTUNIT">#REF!</definedName>
    <definedName name="XCOMPAIR">#REF!</definedName>
    <definedName name="XCOMPAIRDESC1">#REF!</definedName>
    <definedName name="XCOMPAIRDESC2">#REF!</definedName>
    <definedName name="XCOMPAIRENDUSE">#REF!</definedName>
    <definedName name="XCOMPAIREUL">#REF!</definedName>
    <definedName name="XCOMPAIRMN">#REF!</definedName>
    <definedName name="XCOMPAIRUNIT">#REF!</definedName>
    <definedName name="XREFR">#REF!</definedName>
    <definedName name="XREFRDESC1">#REF!</definedName>
    <definedName name="XREFRDESC2">#REF!</definedName>
    <definedName name="XREFRENDUSE">#REF!</definedName>
    <definedName name="XREFREUL">#REF!</definedName>
    <definedName name="XREFRMN">#REF!</definedName>
    <definedName name="XREFRUNIT">#REF!</definedName>
    <definedName name="YESNOLIST">YESNO[Options]</definedName>
    <definedName name="ZIPCODES">INDEX(CITYCOUNTYCODES[ZIP Code],MATCH(M02S04F09,CITYCOUNTYCODES[City],0),1):INDEX(CITYCOUNTYCODES[ZIP Code],MATCH(M02S04F09,CITYCOUNTYCODES[City],1),1)</definedName>
    <definedName name="ZIPCODES_N">INDEX(CITYCOUNTYCODES[ZIP Code],MATCH(N02S03F17,CITYCOUNTYCODES[City],0),1):INDEX(CITYCOUNTYCODES[ZIP Code],MATCH(N02S03F17,CITYCOUNTYCODES[City],1),1)</definedName>
    <definedName name="ZIPCODES_X">INDEX(CITYCOUNTYCODES[ZIP Code],MATCH(X02S03F26,CITYCOUNTYCODES[City],0),1):INDEX(CITYCOUNTYCODES[ZIP Code],MATCH(X02S03F26,CITYCOUNTYCODES[City],1),1)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36" i="176" l="1" a="1"/>
  <c r="X36" i="176" s="1"/>
  <c r="AR36" i="159"/>
  <c r="AO36" i="159"/>
  <c r="AM36" i="159"/>
  <c r="M36" i="159"/>
  <c r="M62" i="8"/>
  <c r="T20" i="161"/>
  <c r="AY20" i="161" s="1"/>
  <c r="T22" i="161"/>
  <c r="BQ22" i="161" s="1"/>
  <c r="T24" i="161"/>
  <c r="BJ24" i="161" s="1"/>
  <c r="T26" i="161"/>
  <c r="BA26" i="161" s="1"/>
  <c r="T28" i="161"/>
  <c r="T30" i="161"/>
  <c r="T32" i="161"/>
  <c r="T34" i="161"/>
  <c r="T36" i="161"/>
  <c r="T38" i="161"/>
  <c r="T40" i="161"/>
  <c r="T42" i="161"/>
  <c r="T44" i="161"/>
  <c r="T46" i="161"/>
  <c r="T48" i="161"/>
  <c r="T50" i="161"/>
  <c r="T52" i="161"/>
  <c r="T54" i="161"/>
  <c r="T56" i="161"/>
  <c r="T58" i="161"/>
  <c r="T60" i="161"/>
  <c r="T62" i="161"/>
  <c r="T64" i="161"/>
  <c r="T66" i="161"/>
  <c r="T68" i="161"/>
  <c r="T70" i="161"/>
  <c r="T72" i="161"/>
  <c r="T74" i="161"/>
  <c r="T76" i="161"/>
  <c r="T78" i="161"/>
  <c r="T80" i="161"/>
  <c r="T82" i="161"/>
  <c r="T84" i="161"/>
  <c r="T86" i="161"/>
  <c r="R20" i="161"/>
  <c r="R22" i="161"/>
  <c r="R24" i="161"/>
  <c r="R26" i="161"/>
  <c r="R28" i="161"/>
  <c r="R30" i="161"/>
  <c r="R32" i="161"/>
  <c r="R34" i="161"/>
  <c r="R36" i="161"/>
  <c r="R38" i="161"/>
  <c r="R40" i="161"/>
  <c r="R42" i="161"/>
  <c r="R44" i="161"/>
  <c r="R46" i="161"/>
  <c r="R48" i="161"/>
  <c r="R50" i="161"/>
  <c r="R52" i="161"/>
  <c r="R54" i="161"/>
  <c r="R56" i="161"/>
  <c r="R58" i="161"/>
  <c r="R60" i="161"/>
  <c r="R62" i="161"/>
  <c r="R64" i="161"/>
  <c r="R66" i="161"/>
  <c r="R68" i="161"/>
  <c r="R70" i="161"/>
  <c r="R72" i="161"/>
  <c r="R74" i="161"/>
  <c r="R76" i="161"/>
  <c r="R78" i="161"/>
  <c r="R80" i="161"/>
  <c r="R82" i="161"/>
  <c r="R84" i="161"/>
  <c r="R86" i="161"/>
  <c r="BR20" i="161"/>
  <c r="BR22" i="161"/>
  <c r="BR24" i="161"/>
  <c r="BR26" i="161"/>
  <c r="BR28" i="161"/>
  <c r="BR30" i="161"/>
  <c r="BR32" i="161"/>
  <c r="BR34" i="161"/>
  <c r="BR36" i="161"/>
  <c r="BR38" i="161"/>
  <c r="BR40" i="161"/>
  <c r="BR42" i="161"/>
  <c r="BR44" i="161"/>
  <c r="BR46" i="161"/>
  <c r="BR48" i="161"/>
  <c r="BR50" i="161"/>
  <c r="BR52" i="161"/>
  <c r="BR54" i="161"/>
  <c r="BR56" i="161"/>
  <c r="BR58" i="161"/>
  <c r="BR60" i="161"/>
  <c r="BR62" i="161"/>
  <c r="BR64" i="161"/>
  <c r="BR66" i="161"/>
  <c r="BR68" i="161"/>
  <c r="BR70" i="161"/>
  <c r="BR72" i="161"/>
  <c r="BR74" i="161"/>
  <c r="BR76" i="161"/>
  <c r="BR78" i="161"/>
  <c r="BR80" i="161"/>
  <c r="BR82" i="161"/>
  <c r="BR84" i="161"/>
  <c r="BR86" i="161"/>
  <c r="BO20" i="161"/>
  <c r="BO22" i="161"/>
  <c r="BO24" i="161"/>
  <c r="BO26" i="161"/>
  <c r="BO28" i="161"/>
  <c r="BO30" i="161"/>
  <c r="BO32" i="161"/>
  <c r="BO34" i="161"/>
  <c r="BO36" i="161"/>
  <c r="BO38" i="161"/>
  <c r="BO40" i="161"/>
  <c r="BO42" i="161"/>
  <c r="BO44" i="161"/>
  <c r="BO46" i="161"/>
  <c r="BO48" i="161"/>
  <c r="BO50" i="161"/>
  <c r="BO52" i="161"/>
  <c r="BO54" i="161"/>
  <c r="BO56" i="161"/>
  <c r="BO58" i="161"/>
  <c r="BO60" i="161"/>
  <c r="BO62" i="161"/>
  <c r="BO64" i="161"/>
  <c r="BO66" i="161"/>
  <c r="BO68" i="161"/>
  <c r="BO70" i="161"/>
  <c r="BO72" i="161"/>
  <c r="BO74" i="161"/>
  <c r="BO76" i="161"/>
  <c r="BO78" i="161"/>
  <c r="BO80" i="161"/>
  <c r="BO82" i="161"/>
  <c r="BO84" i="161"/>
  <c r="BO86" i="161"/>
  <c r="BN20" i="161"/>
  <c r="BN22" i="161"/>
  <c r="BN24" i="161"/>
  <c r="BN26" i="161"/>
  <c r="BN28" i="161"/>
  <c r="BN30" i="161"/>
  <c r="BN32" i="161"/>
  <c r="BN34" i="161"/>
  <c r="BN36" i="161"/>
  <c r="BN38" i="161"/>
  <c r="BN40" i="161"/>
  <c r="BN42" i="161"/>
  <c r="BN44" i="161"/>
  <c r="BN46" i="161"/>
  <c r="BN48" i="161"/>
  <c r="BN50" i="161"/>
  <c r="BN52" i="161"/>
  <c r="BN54" i="161"/>
  <c r="BN56" i="161"/>
  <c r="BN58" i="161"/>
  <c r="BN60" i="161"/>
  <c r="BN62" i="161"/>
  <c r="BN64" i="161"/>
  <c r="BN66" i="161"/>
  <c r="BN68" i="161"/>
  <c r="BN70" i="161"/>
  <c r="BN72" i="161"/>
  <c r="BN74" i="161"/>
  <c r="BN76" i="161"/>
  <c r="BN78" i="161"/>
  <c r="BN80" i="161"/>
  <c r="BN82" i="161"/>
  <c r="BN84" i="161"/>
  <c r="BN86" i="161"/>
  <c r="BM20" i="161"/>
  <c r="BM22" i="161"/>
  <c r="BM24" i="161"/>
  <c r="BM26" i="161"/>
  <c r="BM28" i="161"/>
  <c r="BM30" i="161"/>
  <c r="BM32" i="161"/>
  <c r="BM34" i="161"/>
  <c r="BM36" i="161"/>
  <c r="BM38" i="161"/>
  <c r="BM40" i="161"/>
  <c r="BM42" i="161"/>
  <c r="BM44" i="161"/>
  <c r="BM46" i="161"/>
  <c r="BM48" i="161"/>
  <c r="BM50" i="161"/>
  <c r="BM52" i="161"/>
  <c r="BM54" i="161"/>
  <c r="BM56" i="161"/>
  <c r="BM58" i="161"/>
  <c r="BM60" i="161"/>
  <c r="BM62" i="161"/>
  <c r="BM64" i="161"/>
  <c r="BM66" i="161"/>
  <c r="BM68" i="161"/>
  <c r="BM70" i="161"/>
  <c r="BM72" i="161"/>
  <c r="BM74" i="161"/>
  <c r="BM76" i="161"/>
  <c r="BM78" i="161"/>
  <c r="BM80" i="161"/>
  <c r="BM82" i="161"/>
  <c r="BM84" i="161"/>
  <c r="BM86" i="161"/>
  <c r="BK20" i="161"/>
  <c r="BK22" i="161"/>
  <c r="BK24" i="161"/>
  <c r="BK26" i="161"/>
  <c r="BK28" i="161"/>
  <c r="BK30" i="161"/>
  <c r="BK32" i="161"/>
  <c r="BK34" i="161"/>
  <c r="BK36" i="161"/>
  <c r="BK38" i="161"/>
  <c r="BK40" i="161"/>
  <c r="BK42" i="161"/>
  <c r="BK44" i="161"/>
  <c r="BK46" i="161"/>
  <c r="BK48" i="161"/>
  <c r="BK50" i="161"/>
  <c r="BK52" i="161"/>
  <c r="BK54" i="161"/>
  <c r="BK56" i="161"/>
  <c r="BK58" i="161"/>
  <c r="BK60" i="161"/>
  <c r="BK62" i="161"/>
  <c r="BK64" i="161"/>
  <c r="BK66" i="161"/>
  <c r="BK68" i="161"/>
  <c r="BK70" i="161"/>
  <c r="BK72" i="161"/>
  <c r="BK74" i="161"/>
  <c r="BK76" i="161"/>
  <c r="BK78" i="161"/>
  <c r="BK80" i="161"/>
  <c r="BK82" i="161"/>
  <c r="BK84" i="161"/>
  <c r="BK86" i="161"/>
  <c r="BR18" i="161"/>
  <c r="BO18" i="161"/>
  <c r="BN18" i="161"/>
  <c r="BK18" i="161"/>
  <c r="BM18" i="161"/>
  <c r="BE22" i="161"/>
  <c r="BF22" i="161"/>
  <c r="BF24" i="161"/>
  <c r="BF26" i="161"/>
  <c r="BE28" i="161"/>
  <c r="BF28" i="161"/>
  <c r="BE30" i="161"/>
  <c r="BF30" i="161"/>
  <c r="BE32" i="161"/>
  <c r="BF32" i="161"/>
  <c r="BE34" i="161"/>
  <c r="BF34" i="161"/>
  <c r="BE36" i="161"/>
  <c r="BF36" i="161"/>
  <c r="BE38" i="161"/>
  <c r="BF38" i="161"/>
  <c r="BE40" i="161"/>
  <c r="BF40" i="161"/>
  <c r="BE42" i="161"/>
  <c r="BF42" i="161"/>
  <c r="BE44" i="161"/>
  <c r="BF44" i="161"/>
  <c r="BE46" i="161"/>
  <c r="BF46" i="161"/>
  <c r="BE48" i="161"/>
  <c r="BF48" i="161"/>
  <c r="BE50" i="161"/>
  <c r="BF50" i="161"/>
  <c r="BE52" i="161"/>
  <c r="BF52" i="161"/>
  <c r="BE54" i="161"/>
  <c r="BF54" i="161"/>
  <c r="BE56" i="161"/>
  <c r="BF56" i="161"/>
  <c r="BE58" i="161"/>
  <c r="BF58" i="161"/>
  <c r="BE60" i="161"/>
  <c r="BF60" i="161"/>
  <c r="BE62" i="161"/>
  <c r="BF62" i="161"/>
  <c r="BE64" i="161"/>
  <c r="BF64" i="161"/>
  <c r="BE66" i="161"/>
  <c r="BF66" i="161"/>
  <c r="BE68" i="161"/>
  <c r="BF68" i="161"/>
  <c r="BE70" i="161"/>
  <c r="BF70" i="161"/>
  <c r="BE72" i="161"/>
  <c r="BF72" i="161"/>
  <c r="BE74" i="161"/>
  <c r="BF74" i="161"/>
  <c r="BE76" i="161"/>
  <c r="BF76" i="161"/>
  <c r="BE78" i="161"/>
  <c r="BF78" i="161"/>
  <c r="BE80" i="161"/>
  <c r="BF80" i="161"/>
  <c r="BE82" i="161"/>
  <c r="BF82" i="161"/>
  <c r="BE84" i="161"/>
  <c r="BF84" i="161"/>
  <c r="BE86" i="161"/>
  <c r="BF86" i="161"/>
  <c r="T18" i="161"/>
  <c r="BQ18" i="161" s="1"/>
  <c r="BF20" i="161"/>
  <c r="BJ18" i="163"/>
  <c r="BJ18" i="162"/>
  <c r="BM18" i="168"/>
  <c r="BJ18" i="168"/>
  <c r="BF18" i="168"/>
  <c r="BE18" i="168"/>
  <c r="BB18" i="168"/>
  <c r="BA18" i="168"/>
  <c r="AX18" i="168"/>
  <c r="AR18" i="168"/>
  <c r="AO18" i="168"/>
  <c r="AL18" i="168"/>
  <c r="BN18" i="159"/>
  <c r="BL18" i="159"/>
  <c r="BJ18" i="159"/>
  <c r="BF18" i="159"/>
  <c r="BD18" i="159"/>
  <c r="BA18" i="159"/>
  <c r="AZ18" i="159" a="1"/>
  <c r="AZ18" i="159" s="1"/>
  <c r="AY18" i="159"/>
  <c r="AX18" i="159"/>
  <c r="AR18" i="159"/>
  <c r="BH18" i="159" s="1"/>
  <c r="AO18" i="159"/>
  <c r="AX22" i="161" l="1"/>
  <c r="BJ26" i="161"/>
  <c r="BJ22" i="161"/>
  <c r="BJ20" i="161"/>
  <c r="AZ26" i="161"/>
  <c r="BA22" i="161"/>
  <c r="AZ22" i="161"/>
  <c r="BA20" i="161"/>
  <c r="AZ20" i="161"/>
  <c r="AY26" i="161"/>
  <c r="BQ26" i="161"/>
  <c r="AY24" i="161"/>
  <c r="BQ20" i="161"/>
  <c r="AY22" i="161"/>
  <c r="BL26" i="161"/>
  <c r="BQ24" i="161"/>
  <c r="BA24" i="161"/>
  <c r="AZ24" i="161"/>
  <c r="AX26" i="161"/>
  <c r="BL24" i="161"/>
  <c r="AX24" i="161"/>
  <c r="BL22" i="161"/>
  <c r="AY18" i="161"/>
  <c r="BD18" i="161"/>
  <c r="BA18" i="161"/>
  <c r="AZ18" i="161"/>
  <c r="BQ20" i="159"/>
  <c r="BQ22" i="159"/>
  <c r="BQ24" i="159"/>
  <c r="BQ26" i="159"/>
  <c r="BQ28" i="159"/>
  <c r="BQ30" i="159"/>
  <c r="BQ32" i="159"/>
  <c r="BQ34" i="159"/>
  <c r="BQ36" i="159"/>
  <c r="BN20" i="159"/>
  <c r="BN22" i="159"/>
  <c r="BN24" i="159"/>
  <c r="BN26" i="159"/>
  <c r="BN28" i="159"/>
  <c r="BN30" i="159"/>
  <c r="BN32" i="159"/>
  <c r="BN34" i="159"/>
  <c r="BN36" i="159"/>
  <c r="BJ20" i="159"/>
  <c r="BK20" i="159"/>
  <c r="BL20" i="159"/>
  <c r="BM20" i="159"/>
  <c r="BJ22" i="159"/>
  <c r="BK22" i="159"/>
  <c r="BL22" i="159"/>
  <c r="BM22" i="159"/>
  <c r="BJ24" i="159"/>
  <c r="BK24" i="159"/>
  <c r="BL24" i="159"/>
  <c r="BM24" i="159"/>
  <c r="BJ26" i="159"/>
  <c r="BK26" i="159"/>
  <c r="BL26" i="159"/>
  <c r="BM26" i="159"/>
  <c r="BJ28" i="159"/>
  <c r="BK28" i="159"/>
  <c r="BL28" i="159"/>
  <c r="BM28" i="159"/>
  <c r="BJ30" i="159"/>
  <c r="BK30" i="159"/>
  <c r="BL30" i="159"/>
  <c r="BM30" i="159"/>
  <c r="BJ32" i="159"/>
  <c r="BK32" i="159"/>
  <c r="BL32" i="159"/>
  <c r="BM32" i="159"/>
  <c r="BJ34" i="159"/>
  <c r="BK34" i="159"/>
  <c r="BL34" i="159"/>
  <c r="BM34" i="159"/>
  <c r="BJ36" i="159"/>
  <c r="BK36" i="159"/>
  <c r="BL36" i="159"/>
  <c r="BM36" i="159"/>
  <c r="AZ20" i="159" a="1"/>
  <c r="AZ20" i="159" s="1"/>
  <c r="BA20" i="159"/>
  <c r="BD20" i="159"/>
  <c r="BE20" i="159"/>
  <c r="BF20" i="159"/>
  <c r="AZ22" i="159" a="1"/>
  <c r="AZ22" i="159" s="1"/>
  <c r="BA22" i="159"/>
  <c r="BD22" i="159"/>
  <c r="BE22" i="159"/>
  <c r="BF22" i="159"/>
  <c r="AZ24" i="159" a="1"/>
  <c r="AZ24" i="159" s="1"/>
  <c r="BA24" i="159"/>
  <c r="BD24" i="159"/>
  <c r="BE24" i="159"/>
  <c r="BF24" i="159"/>
  <c r="AZ26" i="159" a="1"/>
  <c r="AZ26" i="159" s="1"/>
  <c r="BA26" i="159"/>
  <c r="BD26" i="159"/>
  <c r="BE26" i="159"/>
  <c r="BF26" i="159"/>
  <c r="AZ28" i="159" a="1"/>
  <c r="AZ28" i="159" s="1"/>
  <c r="BA28" i="159"/>
  <c r="BD28" i="159"/>
  <c r="BE28" i="159"/>
  <c r="BF28" i="159"/>
  <c r="AZ30" i="159" a="1"/>
  <c r="AZ30" i="159" s="1"/>
  <c r="BA30" i="159"/>
  <c r="BD30" i="159"/>
  <c r="BE30" i="159"/>
  <c r="BF30" i="159"/>
  <c r="AZ32" i="159" a="1"/>
  <c r="AZ32" i="159" s="1"/>
  <c r="BA32" i="159"/>
  <c r="BD32" i="159"/>
  <c r="BE32" i="159"/>
  <c r="BF32" i="159"/>
  <c r="AZ34" i="159" a="1"/>
  <c r="AZ34" i="159" s="1"/>
  <c r="BA34" i="159"/>
  <c r="BD34" i="159"/>
  <c r="BE34" i="159"/>
  <c r="BF34" i="159"/>
  <c r="AZ36" i="159" a="1"/>
  <c r="AZ36" i="159" s="1"/>
  <c r="BA36" i="159"/>
  <c r="BD36" i="159"/>
  <c r="BE36" i="159"/>
  <c r="BF36" i="159"/>
  <c r="AY20" i="159"/>
  <c r="AY22" i="159"/>
  <c r="AY24" i="159"/>
  <c r="AY26" i="159"/>
  <c r="AY28" i="159"/>
  <c r="AY30" i="159"/>
  <c r="AY32" i="159"/>
  <c r="AY34" i="159"/>
  <c r="AY36" i="159"/>
  <c r="AX20" i="159"/>
  <c r="AX22" i="159"/>
  <c r="AX24" i="159"/>
  <c r="AX26" i="159"/>
  <c r="AX28" i="159"/>
  <c r="AX30" i="159"/>
  <c r="AX32" i="159"/>
  <c r="AX34" i="159"/>
  <c r="AX36" i="159"/>
  <c r="AR20" i="159"/>
  <c r="BH20" i="159" s="1"/>
  <c r="BO20" i="159" s="1"/>
  <c r="AR22" i="159"/>
  <c r="BH22" i="159" s="1"/>
  <c r="BO22" i="159" s="1"/>
  <c r="AR24" i="159"/>
  <c r="BH24" i="159" s="1"/>
  <c r="BO24" i="159" s="1"/>
  <c r="AR26" i="159"/>
  <c r="AR28" i="159"/>
  <c r="BH28" i="159" s="1"/>
  <c r="BO28" i="159" s="1"/>
  <c r="AR30" i="159"/>
  <c r="BH30" i="159" s="1"/>
  <c r="BO30" i="159" s="1"/>
  <c r="AR32" i="159"/>
  <c r="BH32" i="159" s="1"/>
  <c r="BO32" i="159" s="1"/>
  <c r="AR34" i="159"/>
  <c r="AO20" i="159"/>
  <c r="AO22" i="159"/>
  <c r="AO24" i="159"/>
  <c r="AO26" i="159"/>
  <c r="AO28" i="159"/>
  <c r="AO30" i="159"/>
  <c r="AO32" i="159"/>
  <c r="AO34" i="159"/>
  <c r="AM20" i="159"/>
  <c r="BG20" i="159" s="1"/>
  <c r="AM22" i="159"/>
  <c r="BG22" i="159" s="1"/>
  <c r="AM24" i="159"/>
  <c r="BG24" i="159" s="1"/>
  <c r="AM26" i="159"/>
  <c r="BG26" i="159" s="1"/>
  <c r="AM28" i="159"/>
  <c r="BG28" i="159" s="1"/>
  <c r="AM30" i="159"/>
  <c r="BG30" i="159" s="1"/>
  <c r="AM32" i="159"/>
  <c r="BG32" i="159" s="1"/>
  <c r="AM34" i="159"/>
  <c r="BG34" i="159" s="1"/>
  <c r="M20" i="159"/>
  <c r="M22" i="159"/>
  <c r="M24" i="159"/>
  <c r="M26" i="159"/>
  <c r="M28" i="159"/>
  <c r="M30" i="159"/>
  <c r="M32" i="159"/>
  <c r="M34" i="159"/>
  <c r="BQ18" i="159"/>
  <c r="BM18" i="159"/>
  <c r="BE18" i="159"/>
  <c r="AM18" i="159"/>
  <c r="BG18" i="159" s="1"/>
  <c r="AO18" i="161" l="1"/>
  <c r="AX18" i="161" s="1"/>
  <c r="BI34" i="159"/>
  <c r="BI26" i="159"/>
  <c r="BH34" i="159"/>
  <c r="BO34" i="159" s="1"/>
  <c r="BH26" i="159"/>
  <c r="BO26" i="159" s="1"/>
  <c r="BI32" i="159"/>
  <c r="BI24" i="159"/>
  <c r="BI30" i="159"/>
  <c r="BI22" i="159"/>
  <c r="BI28" i="159"/>
  <c r="BI20" i="159"/>
  <c r="K49" i="108" l="1"/>
  <c r="K50" i="108" s="1"/>
  <c r="K51" i="108" s="1"/>
  <c r="K52" i="108" s="1"/>
  <c r="K53" i="108" s="1"/>
  <c r="K54" i="108" s="1"/>
  <c r="K55" i="108" s="1"/>
  <c r="K56" i="108" s="1"/>
  <c r="K57" i="108" s="1"/>
  <c r="K58" i="108" s="1"/>
  <c r="K59" i="108" s="1"/>
  <c r="K60" i="108" s="1"/>
  <c r="K61" i="108" s="1"/>
  <c r="K62" i="108" s="1"/>
  <c r="K63" i="108" s="1"/>
  <c r="K64" i="108" s="1"/>
  <c r="K65" i="108" s="1"/>
  <c r="K66" i="108" s="1"/>
  <c r="K67" i="108" s="1"/>
  <c r="K68" i="108" s="1"/>
  <c r="K69" i="108" s="1"/>
  <c r="K70" i="108" s="1"/>
  <c r="K71" i="108" s="1"/>
  <c r="K72" i="108" s="1"/>
  <c r="K73" i="108" s="1"/>
  <c r="E76" i="108"/>
  <c r="F76" i="108"/>
  <c r="M16" i="109" l="1"/>
  <c r="L16" i="109"/>
  <c r="K16" i="109"/>
  <c r="J24" i="109" a="1"/>
  <c r="J24" i="109" s="1"/>
  <c r="M24" i="109" s="1"/>
  <c r="J20" i="109" a="1"/>
  <c r="J20" i="109" s="1"/>
  <c r="L20" i="109" s="1"/>
  <c r="J16" i="109" a="1"/>
  <c r="J16" i="109" s="1"/>
  <c r="L71" i="156"/>
  <c r="L72" i="155"/>
  <c r="L61" i="155"/>
  <c r="AC73" i="14"/>
  <c r="AE8" i="152"/>
  <c r="D2" i="109"/>
  <c r="K12" i="109"/>
  <c r="M12" i="109"/>
  <c r="L12" i="109"/>
  <c r="L136" i="110"/>
  <c r="M136" i="110"/>
  <c r="L137" i="110"/>
  <c r="M137" i="110"/>
  <c r="L138" i="110"/>
  <c r="M138" i="110"/>
  <c r="L139" i="110"/>
  <c r="M139" i="110"/>
  <c r="L140" i="110"/>
  <c r="M140" i="110"/>
  <c r="L141" i="110"/>
  <c r="M141" i="110"/>
  <c r="L142" i="110"/>
  <c r="M142" i="110"/>
  <c r="L143" i="110"/>
  <c r="M143" i="110"/>
  <c r="L144" i="110"/>
  <c r="M144" i="110"/>
  <c r="L145" i="110"/>
  <c r="M145" i="110"/>
  <c r="L146" i="110"/>
  <c r="M146" i="110"/>
  <c r="L147" i="110"/>
  <c r="M147" i="110"/>
  <c r="L148" i="110"/>
  <c r="M148" i="110"/>
  <c r="L149" i="110"/>
  <c r="M149" i="110"/>
  <c r="M135" i="110"/>
  <c r="L135" i="110"/>
  <c r="BK20" i="182"/>
  <c r="BQ20" i="182"/>
  <c r="BK22" i="182"/>
  <c r="BQ22" i="182"/>
  <c r="BK24" i="182"/>
  <c r="BQ24" i="182"/>
  <c r="BK26" i="182"/>
  <c r="BQ26" i="182"/>
  <c r="BK28" i="182"/>
  <c r="BQ28" i="182"/>
  <c r="BK30" i="182"/>
  <c r="BQ30" i="182"/>
  <c r="BK32" i="182"/>
  <c r="BQ32" i="182"/>
  <c r="BK34" i="182"/>
  <c r="BQ34" i="182"/>
  <c r="BK36" i="182"/>
  <c r="BQ36" i="182"/>
  <c r="AM20" i="182"/>
  <c r="BG20" i="182" s="1"/>
  <c r="AM22" i="182"/>
  <c r="BG22" i="182" s="1"/>
  <c r="AM24" i="182"/>
  <c r="BG24" i="182" s="1"/>
  <c r="AM26" i="182"/>
  <c r="BG26" i="182" s="1"/>
  <c r="AM28" i="182"/>
  <c r="BG28" i="182" s="1"/>
  <c r="AM30" i="182"/>
  <c r="BG30" i="182" s="1"/>
  <c r="AM32" i="182"/>
  <c r="BG32" i="182" s="1"/>
  <c r="AM34" i="182"/>
  <c r="BG34" i="182" s="1"/>
  <c r="AM36" i="182"/>
  <c r="BG36" i="182" s="1"/>
  <c r="L24" i="109" l="1"/>
  <c r="K20" i="109"/>
  <c r="M20" i="109"/>
  <c r="K24" i="109"/>
  <c r="J20" i="161" l="1"/>
  <c r="J22" i="161"/>
  <c r="J24" i="161"/>
  <c r="J26" i="161"/>
  <c r="J28" i="161"/>
  <c r="J30" i="161"/>
  <c r="J32" i="161"/>
  <c r="J34" i="161"/>
  <c r="J36" i="161"/>
  <c r="J38" i="161"/>
  <c r="J40" i="161"/>
  <c r="J42" i="161"/>
  <c r="J44" i="161"/>
  <c r="J46" i="161"/>
  <c r="J48" i="161"/>
  <c r="J50" i="161"/>
  <c r="J52" i="161"/>
  <c r="J54" i="161"/>
  <c r="J56" i="161"/>
  <c r="J58" i="161"/>
  <c r="J60" i="161"/>
  <c r="J62" i="161"/>
  <c r="J64" i="161"/>
  <c r="J66" i="161"/>
  <c r="J68" i="161"/>
  <c r="J70" i="161"/>
  <c r="J72" i="161"/>
  <c r="J74" i="161"/>
  <c r="J76" i="161"/>
  <c r="J78" i="161"/>
  <c r="J80" i="161"/>
  <c r="J82" i="161"/>
  <c r="J84" i="161"/>
  <c r="J86" i="161"/>
  <c r="J18" i="161"/>
  <c r="BO30" i="176" l="1"/>
  <c r="AQ256" i="110"/>
  <c r="AQ257" i="110"/>
  <c r="AQ258" i="110"/>
  <c r="AQ259" i="110"/>
  <c r="AQ260" i="110"/>
  <c r="AQ240" i="110"/>
  <c r="AQ241" i="110"/>
  <c r="AQ242" i="110"/>
  <c r="AQ243" i="110"/>
  <c r="AQ244" i="110"/>
  <c r="AP256" i="110"/>
  <c r="AP257" i="110"/>
  <c r="AP258" i="110"/>
  <c r="AP259" i="110"/>
  <c r="AP260" i="110"/>
  <c r="AP240" i="110"/>
  <c r="AP241" i="110"/>
  <c r="AP242" i="110"/>
  <c r="AP243" i="110"/>
  <c r="AP244" i="110"/>
  <c r="AO256" i="110"/>
  <c r="AO257" i="110"/>
  <c r="AO258" i="110"/>
  <c r="AO259" i="110"/>
  <c r="AO260" i="110"/>
  <c r="AO240" i="110"/>
  <c r="AO241" i="110"/>
  <c r="AO242" i="110"/>
  <c r="AO243" i="110"/>
  <c r="AO244" i="110"/>
  <c r="AN256" i="110"/>
  <c r="AN257" i="110"/>
  <c r="AN258" i="110"/>
  <c r="AN259" i="110"/>
  <c r="AN260" i="110"/>
  <c r="AN240" i="110"/>
  <c r="AN241" i="110"/>
  <c r="AN242" i="110"/>
  <c r="AN243" i="110"/>
  <c r="AN244" i="110"/>
  <c r="AE256" i="110" a="1"/>
  <c r="AE256" i="110" s="1"/>
  <c r="AE257" i="110" a="1"/>
  <c r="AE257" i="110" s="1"/>
  <c r="AE258" i="110" a="1"/>
  <c r="AE258" i="110" s="1"/>
  <c r="AE259" i="110" a="1"/>
  <c r="AE259" i="110" s="1"/>
  <c r="AE260" i="110" a="1"/>
  <c r="AE260" i="110" s="1"/>
  <c r="AE240" i="110" a="1"/>
  <c r="AE240" i="110" s="1"/>
  <c r="AE241" i="110" a="1"/>
  <c r="AE241" i="110" s="1"/>
  <c r="AE242" i="110" a="1"/>
  <c r="AE242" i="110" s="1"/>
  <c r="AE243" i="110" a="1"/>
  <c r="AE243" i="110" s="1"/>
  <c r="AE244" i="110" a="1"/>
  <c r="AE244" i="110" s="1"/>
  <c r="AD256" i="110" a="1"/>
  <c r="AD256" i="110" s="1"/>
  <c r="AD257" i="110" a="1"/>
  <c r="AD257" i="110" s="1"/>
  <c r="AD258" i="110" a="1"/>
  <c r="AD258" i="110" s="1"/>
  <c r="AD259" i="110" a="1"/>
  <c r="AD259" i="110" s="1"/>
  <c r="AD260" i="110" a="1"/>
  <c r="AD260" i="110" s="1"/>
  <c r="AD240" i="110" a="1"/>
  <c r="AD240" i="110" s="1"/>
  <c r="AD241" i="110" a="1"/>
  <c r="AD241" i="110" s="1"/>
  <c r="AD242" i="110" a="1"/>
  <c r="AD242" i="110" s="1"/>
  <c r="AD243" i="110" a="1"/>
  <c r="AD243" i="110" s="1"/>
  <c r="AD244" i="110" a="1"/>
  <c r="AD244" i="110" s="1"/>
  <c r="AC256" i="110"/>
  <c r="AC257" i="110"/>
  <c r="AC258" i="110"/>
  <c r="AC259" i="110"/>
  <c r="AC260" i="110"/>
  <c r="AC240" i="110"/>
  <c r="AC241" i="110"/>
  <c r="AC242" i="110"/>
  <c r="AC243" i="110"/>
  <c r="AC244" i="110"/>
  <c r="E256" i="110"/>
  <c r="E257" i="110"/>
  <c r="E258" i="110"/>
  <c r="E259" i="110"/>
  <c r="E260" i="110"/>
  <c r="E240" i="110"/>
  <c r="E241" i="110"/>
  <c r="E242" i="110"/>
  <c r="E243" i="110"/>
  <c r="E244" i="110"/>
  <c r="C256" i="110"/>
  <c r="C257" i="110"/>
  <c r="C258" i="110"/>
  <c r="C259" i="110"/>
  <c r="C260" i="110"/>
  <c r="C240" i="110"/>
  <c r="C241" i="110"/>
  <c r="C242" i="110"/>
  <c r="C243" i="110"/>
  <c r="C244" i="110"/>
  <c r="B3" i="247" a="1"/>
  <c r="B3" i="247" s="1"/>
  <c r="AT145" i="110" l="1" a="1"/>
  <c r="AT145" i="110" s="1"/>
  <c r="AT146" i="110" a="1"/>
  <c r="AT146" i="110" s="1"/>
  <c r="AT147" i="110" a="1"/>
  <c r="AT147" i="110" s="1"/>
  <c r="AT148" i="110" a="1"/>
  <c r="AT148" i="110" s="1"/>
  <c r="AT149" i="110" a="1"/>
  <c r="AT149" i="110" s="1"/>
  <c r="AT129" i="110" a="1"/>
  <c r="AT129" i="110" s="1"/>
  <c r="AT130" i="110" a="1"/>
  <c r="AT130" i="110" s="1"/>
  <c r="AT131" i="110" a="1"/>
  <c r="AT131" i="110" s="1"/>
  <c r="AT132" i="110" a="1"/>
  <c r="AT132" i="110" s="1"/>
  <c r="AT133" i="110" a="1"/>
  <c r="AT133" i="110" s="1"/>
  <c r="AT113" i="110" a="1"/>
  <c r="AT113" i="110" s="1"/>
  <c r="AT114" i="110" a="1"/>
  <c r="AT114" i="110" s="1"/>
  <c r="AT115" i="110" a="1"/>
  <c r="AT115" i="110" s="1"/>
  <c r="AT116" i="110" a="1"/>
  <c r="AT116" i="110" s="1"/>
  <c r="AT117" i="110" a="1"/>
  <c r="AT117" i="110" s="1"/>
  <c r="AT61" i="110" a="1"/>
  <c r="AT61" i="110" s="1"/>
  <c r="AT62" i="110" a="1"/>
  <c r="AT62" i="110" s="1"/>
  <c r="AT63" i="110" a="1"/>
  <c r="AT63" i="110" s="1"/>
  <c r="AT64" i="110" a="1"/>
  <c r="AT64" i="110" s="1"/>
  <c r="AT65" i="110" a="1"/>
  <c r="AT65" i="110" s="1"/>
  <c r="AT45" i="110" a="1"/>
  <c r="AT45" i="110" s="1"/>
  <c r="AT46" i="110" a="1"/>
  <c r="AT46" i="110" s="1"/>
  <c r="AT47" i="110" a="1"/>
  <c r="AT47" i="110" s="1"/>
  <c r="AT48" i="110" a="1"/>
  <c r="AT48" i="110" s="1"/>
  <c r="AT49" i="110" a="1"/>
  <c r="AT49" i="110" s="1"/>
  <c r="BQ20" i="163"/>
  <c r="BQ22" i="163"/>
  <c r="BQ24" i="163"/>
  <c r="BQ26" i="163"/>
  <c r="BQ28" i="163"/>
  <c r="BQ30" i="163"/>
  <c r="BQ32" i="163"/>
  <c r="BQ34" i="163"/>
  <c r="BQ36" i="163"/>
  <c r="BQ18" i="163"/>
  <c r="BQ20" i="162"/>
  <c r="BQ22" i="162"/>
  <c r="BQ24" i="162"/>
  <c r="BQ26" i="162"/>
  <c r="BQ28" i="162"/>
  <c r="BQ30" i="162"/>
  <c r="BQ32" i="162"/>
  <c r="BQ34" i="162"/>
  <c r="BQ36" i="162"/>
  <c r="BQ18" i="162"/>
  <c r="BQ18" i="182"/>
  <c r="BQ20" i="160"/>
  <c r="BQ22" i="160"/>
  <c r="BQ24" i="160"/>
  <c r="BQ26" i="160"/>
  <c r="BQ28" i="160"/>
  <c r="BQ30" i="160"/>
  <c r="BQ32" i="160"/>
  <c r="BQ34" i="160"/>
  <c r="BQ36" i="160"/>
  <c r="BQ18" i="160"/>
  <c r="BQ20" i="158"/>
  <c r="BQ22" i="158"/>
  <c r="BQ24" i="158"/>
  <c r="BQ26" i="158"/>
  <c r="BQ28" i="158"/>
  <c r="BQ30" i="158"/>
  <c r="BQ32" i="158"/>
  <c r="BQ34" i="158"/>
  <c r="BQ36" i="158"/>
  <c r="BQ38" i="158"/>
  <c r="BQ40" i="158"/>
  <c r="BQ42" i="158"/>
  <c r="BQ44" i="158"/>
  <c r="BQ46" i="158"/>
  <c r="BQ48" i="158"/>
  <c r="BQ50" i="158"/>
  <c r="BQ52" i="158"/>
  <c r="BQ54" i="158"/>
  <c r="BQ56" i="158"/>
  <c r="BQ58" i="158"/>
  <c r="BQ60" i="158"/>
  <c r="BQ62" i="158"/>
  <c r="BQ64" i="158"/>
  <c r="BQ66" i="158"/>
  <c r="BQ68" i="158"/>
  <c r="BQ70" i="158"/>
  <c r="BQ72" i="158"/>
  <c r="BQ74" i="158"/>
  <c r="BQ76" i="158"/>
  <c r="BQ18" i="158"/>
  <c r="AZ20" i="167"/>
  <c r="BC20" i="167"/>
  <c r="BD20" i="167"/>
  <c r="BH20" i="167" s="1"/>
  <c r="AZ22" i="167"/>
  <c r="BC22" i="167"/>
  <c r="BD22" i="167"/>
  <c r="BH22" i="167" s="1"/>
  <c r="AZ24" i="167"/>
  <c r="BC24" i="167"/>
  <c r="BD24" i="167"/>
  <c r="BH24" i="167" s="1"/>
  <c r="AZ26" i="167"/>
  <c r="BC26" i="167"/>
  <c r="BD26" i="167"/>
  <c r="BH26" i="167" s="1"/>
  <c r="AZ28" i="167"/>
  <c r="BC28" i="167"/>
  <c r="BD28" i="167"/>
  <c r="BH28" i="167" s="1"/>
  <c r="AZ30" i="167"/>
  <c r="BC30" i="167"/>
  <c r="BD30" i="167"/>
  <c r="BH30" i="167" s="1"/>
  <c r="AZ32" i="167"/>
  <c r="BC32" i="167"/>
  <c r="BD32" i="167"/>
  <c r="BH32" i="167" s="1"/>
  <c r="AZ34" i="167"/>
  <c r="BC34" i="167"/>
  <c r="BD34" i="167"/>
  <c r="BH34" i="167" s="1"/>
  <c r="AZ36" i="167"/>
  <c r="BC36" i="167"/>
  <c r="BD36" i="167"/>
  <c r="BH36" i="167" s="1"/>
  <c r="AZ38" i="167"/>
  <c r="BC38" i="167"/>
  <c r="BD38" i="167"/>
  <c r="BH38" i="167" s="1"/>
  <c r="AZ40" i="167"/>
  <c r="BC40" i="167"/>
  <c r="BD40" i="167"/>
  <c r="BH40" i="167" s="1"/>
  <c r="AZ42" i="167"/>
  <c r="BC42" i="167"/>
  <c r="BD42" i="167"/>
  <c r="BH42" i="167" s="1"/>
  <c r="AZ44" i="167"/>
  <c r="BC44" i="167"/>
  <c r="BD44" i="167"/>
  <c r="BH44" i="167" s="1"/>
  <c r="AZ46" i="167"/>
  <c r="BC46" i="167"/>
  <c r="BD46" i="167"/>
  <c r="BH46" i="167" s="1"/>
  <c r="AZ48" i="167"/>
  <c r="BC48" i="167"/>
  <c r="BD48" i="167"/>
  <c r="BH48" i="167" s="1"/>
  <c r="AZ50" i="167"/>
  <c r="BC50" i="167"/>
  <c r="BD50" i="167"/>
  <c r="BH50" i="167" s="1"/>
  <c r="AZ52" i="167"/>
  <c r="BC52" i="167"/>
  <c r="BD52" i="167"/>
  <c r="BH52" i="167" s="1"/>
  <c r="AZ54" i="167"/>
  <c r="BC54" i="167"/>
  <c r="BD54" i="167"/>
  <c r="BH54" i="167" s="1"/>
  <c r="AZ56" i="167"/>
  <c r="BC56" i="167"/>
  <c r="BD56" i="167"/>
  <c r="BH56" i="167" s="1"/>
  <c r="AZ58" i="167"/>
  <c r="BC58" i="167"/>
  <c r="BD58" i="167"/>
  <c r="BH58" i="167" s="1"/>
  <c r="AZ60" i="167"/>
  <c r="BC60" i="167"/>
  <c r="BD60" i="167"/>
  <c r="BH60" i="167" s="1"/>
  <c r="AZ62" i="167"/>
  <c r="BC62" i="167"/>
  <c r="BD62" i="167"/>
  <c r="BH62" i="167" s="1"/>
  <c r="AZ64" i="167"/>
  <c r="BC64" i="167"/>
  <c r="BD64" i="167"/>
  <c r="BH64" i="167" s="1"/>
  <c r="AZ66" i="167"/>
  <c r="BC66" i="167"/>
  <c r="BD66" i="167"/>
  <c r="BH66" i="167" s="1"/>
  <c r="AZ68" i="167"/>
  <c r="BC68" i="167"/>
  <c r="BD68" i="167"/>
  <c r="BH68" i="167" s="1"/>
  <c r="AZ70" i="167"/>
  <c r="BC70" i="167"/>
  <c r="BD70" i="167"/>
  <c r="BH70" i="167" s="1"/>
  <c r="AZ72" i="167"/>
  <c r="BC72" i="167"/>
  <c r="BD72" i="167"/>
  <c r="BH72" i="167" s="1"/>
  <c r="AZ74" i="167"/>
  <c r="BC74" i="167"/>
  <c r="BD74" i="167"/>
  <c r="BH74" i="167" s="1"/>
  <c r="AZ76" i="167"/>
  <c r="BC76" i="167"/>
  <c r="BD76" i="167"/>
  <c r="BH76" i="167" s="1"/>
  <c r="AZ18" i="167"/>
  <c r="R22" i="158" l="1"/>
  <c r="T22" i="158"/>
  <c r="AM284" i="110"/>
  <c r="AM279" i="110"/>
  <c r="AM280" i="110"/>
  <c r="AM281" i="110"/>
  <c r="AM278" i="110"/>
  <c r="AM263" i="110"/>
  <c r="AM264" i="110"/>
  <c r="AM265" i="110"/>
  <c r="AM266" i="110"/>
  <c r="AM267" i="110"/>
  <c r="AM268" i="110"/>
  <c r="AM269" i="110"/>
  <c r="AM270" i="110"/>
  <c r="AM271" i="110"/>
  <c r="AM272" i="110"/>
  <c r="AM273" i="110"/>
  <c r="AM274" i="110"/>
  <c r="AM275" i="110"/>
  <c r="AM276" i="110"/>
  <c r="AM262" i="110"/>
  <c r="AM247" i="110"/>
  <c r="AM248" i="110"/>
  <c r="AM249" i="110"/>
  <c r="AM250" i="110"/>
  <c r="AM251" i="110"/>
  <c r="AM252" i="110"/>
  <c r="AM253" i="110"/>
  <c r="AM254" i="110"/>
  <c r="AM255" i="110"/>
  <c r="AM256" i="110"/>
  <c r="AM257" i="110"/>
  <c r="AM258" i="110"/>
  <c r="AM259" i="110"/>
  <c r="AM260" i="110"/>
  <c r="AM246" i="110"/>
  <c r="AM231" i="110"/>
  <c r="AM232" i="110"/>
  <c r="AM233" i="110"/>
  <c r="AM234" i="110"/>
  <c r="AM235" i="110"/>
  <c r="AM236" i="110"/>
  <c r="AM237" i="110"/>
  <c r="AM238" i="110"/>
  <c r="AM239" i="110"/>
  <c r="AM240" i="110"/>
  <c r="AM241" i="110"/>
  <c r="AM242" i="110"/>
  <c r="AM243" i="110"/>
  <c r="AM244" i="110"/>
  <c r="AM230" i="110"/>
  <c r="AM215" i="110"/>
  <c r="AM216" i="110"/>
  <c r="AM217" i="110"/>
  <c r="AM218" i="110"/>
  <c r="AM219" i="110"/>
  <c r="AM220" i="110"/>
  <c r="AM221" i="110"/>
  <c r="AM222" i="110"/>
  <c r="AM223" i="110"/>
  <c r="AM224" i="110"/>
  <c r="AM225" i="110"/>
  <c r="AM226" i="110"/>
  <c r="AM227" i="110"/>
  <c r="AM228" i="110"/>
  <c r="AM214" i="110"/>
  <c r="AM199" i="110"/>
  <c r="AM200" i="110"/>
  <c r="AM201" i="110"/>
  <c r="AM202" i="110"/>
  <c r="AM203" i="110"/>
  <c r="AM204" i="110"/>
  <c r="AM205" i="110"/>
  <c r="AM206" i="110"/>
  <c r="AM207" i="110"/>
  <c r="AM208" i="110"/>
  <c r="AM209" i="110"/>
  <c r="AM210" i="110"/>
  <c r="AM211" i="110"/>
  <c r="AM212" i="110"/>
  <c r="AM198" i="110"/>
  <c r="AL287" i="110"/>
  <c r="AL284" i="110"/>
  <c r="AL279" i="110"/>
  <c r="AL280" i="110"/>
  <c r="AL281" i="110"/>
  <c r="AL278" i="110"/>
  <c r="AL263" i="110"/>
  <c r="AL264" i="110"/>
  <c r="AL265" i="110"/>
  <c r="AL266" i="110"/>
  <c r="AL267" i="110"/>
  <c r="AL268" i="110"/>
  <c r="AL269" i="110"/>
  <c r="AL270" i="110"/>
  <c r="AL271" i="110"/>
  <c r="AL272" i="110"/>
  <c r="AL273" i="110"/>
  <c r="AL274" i="110"/>
  <c r="AL275" i="110"/>
  <c r="AL276" i="110"/>
  <c r="AL262" i="110"/>
  <c r="AL247" i="110"/>
  <c r="AL248" i="110"/>
  <c r="AL249" i="110"/>
  <c r="AL250" i="110"/>
  <c r="AL251" i="110"/>
  <c r="AL252" i="110"/>
  <c r="AL253" i="110"/>
  <c r="AL254" i="110"/>
  <c r="AL255" i="110"/>
  <c r="AL256" i="110"/>
  <c r="AL257" i="110"/>
  <c r="AL258" i="110"/>
  <c r="AL259" i="110"/>
  <c r="AL260" i="110"/>
  <c r="AL246" i="110"/>
  <c r="AL231" i="110"/>
  <c r="AL232" i="110"/>
  <c r="AL233" i="110"/>
  <c r="AL234" i="110"/>
  <c r="AL235" i="110"/>
  <c r="AL236" i="110"/>
  <c r="AL237" i="110"/>
  <c r="AL238" i="110"/>
  <c r="AL239" i="110"/>
  <c r="AL240" i="110"/>
  <c r="AL241" i="110"/>
  <c r="AL242" i="110"/>
  <c r="AL243" i="110"/>
  <c r="AL244" i="110"/>
  <c r="AL230" i="110"/>
  <c r="AL215" i="110"/>
  <c r="AL216" i="110"/>
  <c r="AL217" i="110"/>
  <c r="AL218" i="110"/>
  <c r="AL219" i="110"/>
  <c r="AL220" i="110"/>
  <c r="AL221" i="110"/>
  <c r="AL222" i="110"/>
  <c r="AL223" i="110"/>
  <c r="AL224" i="110"/>
  <c r="AL225" i="110"/>
  <c r="AL226" i="110"/>
  <c r="AL227" i="110"/>
  <c r="AL228" i="110"/>
  <c r="AL214" i="110"/>
  <c r="AL199" i="110"/>
  <c r="AL200" i="110"/>
  <c r="AL201" i="110"/>
  <c r="AL202" i="110"/>
  <c r="AL203" i="110"/>
  <c r="AL204" i="110"/>
  <c r="AL205" i="110"/>
  <c r="AL206" i="110"/>
  <c r="AL207" i="110"/>
  <c r="AL208" i="110"/>
  <c r="AL209" i="110"/>
  <c r="AL210" i="110"/>
  <c r="AL211" i="110"/>
  <c r="AL212" i="110"/>
  <c r="AL198" i="110"/>
  <c r="AK287" i="110"/>
  <c r="AK284" i="110"/>
  <c r="AK279" i="110"/>
  <c r="AK280" i="110"/>
  <c r="AK281" i="110"/>
  <c r="AK278" i="110"/>
  <c r="AK263" i="110"/>
  <c r="AK264" i="110"/>
  <c r="AK265" i="110"/>
  <c r="AK266" i="110"/>
  <c r="AK267" i="110"/>
  <c r="AK268" i="110"/>
  <c r="AK269" i="110"/>
  <c r="AK270" i="110"/>
  <c r="AK271" i="110"/>
  <c r="AK272" i="110"/>
  <c r="AK273" i="110"/>
  <c r="AK274" i="110"/>
  <c r="AK275" i="110"/>
  <c r="AK276" i="110"/>
  <c r="AK262" i="110"/>
  <c r="AK247" i="110"/>
  <c r="AK248" i="110"/>
  <c r="AK249" i="110"/>
  <c r="AK250" i="110"/>
  <c r="AK251" i="110"/>
  <c r="AK252" i="110"/>
  <c r="AK253" i="110"/>
  <c r="AK254" i="110"/>
  <c r="AK255" i="110"/>
  <c r="AK256" i="110"/>
  <c r="AK257" i="110"/>
  <c r="AK258" i="110"/>
  <c r="AK259" i="110"/>
  <c r="AK260" i="110"/>
  <c r="AK246" i="110"/>
  <c r="AK231" i="110"/>
  <c r="AK232" i="110"/>
  <c r="AK233" i="110"/>
  <c r="AK234" i="110"/>
  <c r="AK235" i="110"/>
  <c r="AK236" i="110"/>
  <c r="AK237" i="110"/>
  <c r="AK238" i="110"/>
  <c r="AK239" i="110"/>
  <c r="AK240" i="110"/>
  <c r="AK241" i="110"/>
  <c r="AK242" i="110"/>
  <c r="AK243" i="110"/>
  <c r="AK244" i="110"/>
  <c r="AK230" i="110"/>
  <c r="AK215" i="110"/>
  <c r="AK216" i="110"/>
  <c r="AK217" i="110"/>
  <c r="AK218" i="110"/>
  <c r="AK219" i="110"/>
  <c r="AK220" i="110"/>
  <c r="AK221" i="110"/>
  <c r="AK222" i="110"/>
  <c r="AK223" i="110"/>
  <c r="AK224" i="110"/>
  <c r="AK225" i="110"/>
  <c r="AK226" i="110"/>
  <c r="AK227" i="110"/>
  <c r="AK228" i="110"/>
  <c r="AK214" i="110"/>
  <c r="AK199" i="110"/>
  <c r="AK200" i="110"/>
  <c r="AK201" i="110"/>
  <c r="AK202" i="110"/>
  <c r="AK203" i="110"/>
  <c r="AK204" i="110"/>
  <c r="AK205" i="110"/>
  <c r="AK206" i="110"/>
  <c r="AK207" i="110"/>
  <c r="AK208" i="110"/>
  <c r="AK209" i="110"/>
  <c r="AK210" i="110"/>
  <c r="AK211" i="110"/>
  <c r="AK212" i="110"/>
  <c r="AK198" i="110"/>
  <c r="AH183" i="110"/>
  <c r="AH184" i="110"/>
  <c r="AH185" i="110"/>
  <c r="AH186" i="110"/>
  <c r="AH187" i="110"/>
  <c r="AH188" i="110"/>
  <c r="AH189" i="110"/>
  <c r="AH190" i="110"/>
  <c r="AH191" i="110"/>
  <c r="AH192" i="110"/>
  <c r="AH193" i="110"/>
  <c r="AH194" i="110"/>
  <c r="AH195" i="110"/>
  <c r="AH196" i="110"/>
  <c r="AH182" i="110"/>
  <c r="F183" i="110"/>
  <c r="F184" i="110"/>
  <c r="F185" i="110"/>
  <c r="F186" i="110"/>
  <c r="F187" i="110"/>
  <c r="F188" i="110"/>
  <c r="F189" i="110"/>
  <c r="F190" i="110"/>
  <c r="F191" i="110"/>
  <c r="F192" i="110"/>
  <c r="F193" i="110"/>
  <c r="F194" i="110"/>
  <c r="F195" i="110"/>
  <c r="F196" i="110"/>
  <c r="F182" i="110"/>
  <c r="AM152" i="110"/>
  <c r="AM153" i="110"/>
  <c r="AM154" i="110"/>
  <c r="AM155" i="110"/>
  <c r="AM156" i="110"/>
  <c r="AM157" i="110"/>
  <c r="AM158" i="110"/>
  <c r="AM159" i="110"/>
  <c r="AM160" i="110"/>
  <c r="AM161" i="110"/>
  <c r="AM162" i="110"/>
  <c r="AM163" i="110"/>
  <c r="AM164" i="110"/>
  <c r="AM165" i="110"/>
  <c r="AM166" i="110"/>
  <c r="AM167" i="110"/>
  <c r="AM168" i="110"/>
  <c r="AM169" i="110"/>
  <c r="AM170" i="110"/>
  <c r="AM171" i="110"/>
  <c r="AM172" i="110"/>
  <c r="AM173" i="110"/>
  <c r="AM174" i="110"/>
  <c r="AM175" i="110"/>
  <c r="AM176" i="110"/>
  <c r="AM177" i="110"/>
  <c r="AM178" i="110"/>
  <c r="AM179" i="110"/>
  <c r="AM180" i="110"/>
  <c r="AM151" i="110"/>
  <c r="AL152" i="110"/>
  <c r="AL153" i="110"/>
  <c r="AL154" i="110"/>
  <c r="AL155" i="110"/>
  <c r="AL156" i="110"/>
  <c r="AL157" i="110"/>
  <c r="AL158" i="110"/>
  <c r="AL159" i="110"/>
  <c r="AL160" i="110"/>
  <c r="AL161" i="110"/>
  <c r="AL162" i="110"/>
  <c r="AL163" i="110"/>
  <c r="AL164" i="110"/>
  <c r="AL165" i="110"/>
  <c r="AL166" i="110"/>
  <c r="AL167" i="110"/>
  <c r="AL168" i="110"/>
  <c r="AL169" i="110"/>
  <c r="AL170" i="110"/>
  <c r="AL171" i="110"/>
  <c r="AL172" i="110"/>
  <c r="AL173" i="110"/>
  <c r="AL174" i="110"/>
  <c r="AL175" i="110"/>
  <c r="AL176" i="110"/>
  <c r="AL177" i="110"/>
  <c r="AL178" i="110"/>
  <c r="AL179" i="110"/>
  <c r="AL180" i="110"/>
  <c r="AL151" i="110"/>
  <c r="AK152" i="110"/>
  <c r="AK153" i="110"/>
  <c r="AK154" i="110"/>
  <c r="AK155" i="110"/>
  <c r="AK156" i="110"/>
  <c r="AK157" i="110"/>
  <c r="AK158" i="110"/>
  <c r="AK159" i="110"/>
  <c r="AK160" i="110"/>
  <c r="AK161" i="110"/>
  <c r="AK162" i="110"/>
  <c r="AK163" i="110"/>
  <c r="AK164" i="110"/>
  <c r="AK165" i="110"/>
  <c r="AK166" i="110"/>
  <c r="AK167" i="110"/>
  <c r="AK168" i="110"/>
  <c r="AK169" i="110"/>
  <c r="AK170" i="110"/>
  <c r="AK171" i="110"/>
  <c r="AK172" i="110"/>
  <c r="AK173" i="110"/>
  <c r="AK174" i="110"/>
  <c r="AK175" i="110"/>
  <c r="AK176" i="110"/>
  <c r="AK177" i="110"/>
  <c r="AK178" i="110"/>
  <c r="AK179" i="110"/>
  <c r="AK180" i="110"/>
  <c r="AK151" i="110"/>
  <c r="AJ152" i="110"/>
  <c r="AJ153" i="110"/>
  <c r="AJ154" i="110"/>
  <c r="AJ155" i="110"/>
  <c r="AJ156" i="110"/>
  <c r="AJ157" i="110"/>
  <c r="AJ158" i="110"/>
  <c r="AJ159" i="110"/>
  <c r="AJ160" i="110"/>
  <c r="AJ161" i="110"/>
  <c r="AJ162" i="110"/>
  <c r="AJ163" i="110"/>
  <c r="AJ164" i="110"/>
  <c r="AJ165" i="110"/>
  <c r="AJ166" i="110"/>
  <c r="AJ167" i="110"/>
  <c r="AJ168" i="110"/>
  <c r="AJ169" i="110"/>
  <c r="AJ170" i="110"/>
  <c r="AJ171" i="110"/>
  <c r="AJ172" i="110"/>
  <c r="AJ173" i="110"/>
  <c r="AJ174" i="110"/>
  <c r="AJ175" i="110"/>
  <c r="AJ176" i="110"/>
  <c r="AJ177" i="110"/>
  <c r="AJ178" i="110"/>
  <c r="AJ179" i="110"/>
  <c r="AJ180" i="110"/>
  <c r="AJ151" i="110"/>
  <c r="G152" i="110"/>
  <c r="G153" i="110"/>
  <c r="G154" i="110"/>
  <c r="G155" i="110"/>
  <c r="G156" i="110"/>
  <c r="G157" i="110"/>
  <c r="G158" i="110"/>
  <c r="G159" i="110"/>
  <c r="G160" i="110"/>
  <c r="G161" i="110"/>
  <c r="G162" i="110"/>
  <c r="G163" i="110"/>
  <c r="G164" i="110"/>
  <c r="G165" i="110"/>
  <c r="G166" i="110"/>
  <c r="G167" i="110"/>
  <c r="G168" i="110"/>
  <c r="G169" i="110"/>
  <c r="G170" i="110"/>
  <c r="G171" i="110"/>
  <c r="G172" i="110"/>
  <c r="G173" i="110"/>
  <c r="G174" i="110"/>
  <c r="G175" i="110"/>
  <c r="G176" i="110"/>
  <c r="G177" i="110"/>
  <c r="G178" i="110"/>
  <c r="G179" i="110"/>
  <c r="G180" i="110"/>
  <c r="G151" i="110"/>
  <c r="F152" i="110"/>
  <c r="F153" i="110"/>
  <c r="F154" i="110"/>
  <c r="F155" i="110"/>
  <c r="F156" i="110"/>
  <c r="F157" i="110"/>
  <c r="F158" i="110"/>
  <c r="F159" i="110"/>
  <c r="F160" i="110"/>
  <c r="F161" i="110"/>
  <c r="F162" i="110"/>
  <c r="F163" i="110"/>
  <c r="F164" i="110"/>
  <c r="F165" i="110"/>
  <c r="F166" i="110"/>
  <c r="F167" i="110"/>
  <c r="F168" i="110"/>
  <c r="F169" i="110"/>
  <c r="F170" i="110"/>
  <c r="F171" i="110"/>
  <c r="F172" i="110"/>
  <c r="F173" i="110"/>
  <c r="F174" i="110"/>
  <c r="F175" i="110"/>
  <c r="F176" i="110"/>
  <c r="F177" i="110"/>
  <c r="F178" i="110"/>
  <c r="F179" i="110"/>
  <c r="F180" i="110"/>
  <c r="F151" i="110"/>
  <c r="Q23" i="3"/>
  <c r="Q22" i="3"/>
  <c r="Q21" i="3"/>
  <c r="Q18" i="3"/>
  <c r="BF20" i="13"/>
  <c r="BF22" i="13"/>
  <c r="E248" i="110" s="1"/>
  <c r="BF24" i="13"/>
  <c r="BF26" i="13"/>
  <c r="BF28" i="13"/>
  <c r="BF30" i="13"/>
  <c r="E252" i="110" s="1"/>
  <c r="BF32" i="13"/>
  <c r="BF34" i="13"/>
  <c r="E254" i="110" s="1"/>
  <c r="BF36" i="13"/>
  <c r="E255" i="110" s="1"/>
  <c r="BE20" i="13"/>
  <c r="AQ247" i="110" s="1"/>
  <c r="BE22" i="13"/>
  <c r="AQ248" i="110" s="1"/>
  <c r="BE24" i="13"/>
  <c r="AQ249" i="110" s="1"/>
  <c r="BE26" i="13"/>
  <c r="AQ250" i="110" s="1"/>
  <c r="BE28" i="13"/>
  <c r="AQ251" i="110" s="1"/>
  <c r="BE30" i="13"/>
  <c r="AQ252" i="110" s="1"/>
  <c r="BE32" i="13"/>
  <c r="AQ253" i="110" s="1"/>
  <c r="BE34" i="13"/>
  <c r="AQ254" i="110" s="1"/>
  <c r="BE36" i="13"/>
  <c r="AQ255" i="110" s="1"/>
  <c r="BF18" i="13"/>
  <c r="E246" i="110" s="1"/>
  <c r="BE18" i="13"/>
  <c r="AQ246" i="110" s="1"/>
  <c r="AZ20" i="13"/>
  <c r="AP247" i="110" s="1"/>
  <c r="AZ22" i="13"/>
  <c r="AP248" i="110" s="1"/>
  <c r="AZ24" i="13"/>
  <c r="AP249" i="110" s="1"/>
  <c r="AZ26" i="13"/>
  <c r="AP250" i="110" s="1"/>
  <c r="AZ28" i="13"/>
  <c r="AP251" i="110" s="1"/>
  <c r="AZ30" i="13"/>
  <c r="AP252" i="110" s="1"/>
  <c r="AZ32" i="13"/>
  <c r="AP253" i="110" s="1"/>
  <c r="AZ34" i="13"/>
  <c r="AP254" i="110" s="1"/>
  <c r="AZ36" i="13"/>
  <c r="AP255" i="110" s="1"/>
  <c r="AZ18" i="13"/>
  <c r="AP246" i="110" s="1"/>
  <c r="BH200" i="13"/>
  <c r="BF20" i="171"/>
  <c r="BF22" i="171"/>
  <c r="BF24" i="171"/>
  <c r="BF26" i="171"/>
  <c r="BF28" i="171"/>
  <c r="BF30" i="171"/>
  <c r="BF32" i="171"/>
  <c r="BF34" i="171"/>
  <c r="BF36" i="171"/>
  <c r="E239" i="110" s="1"/>
  <c r="BF18" i="171"/>
  <c r="BE20" i="171"/>
  <c r="AQ231" i="110" s="1"/>
  <c r="BE22" i="171"/>
  <c r="AQ232" i="110" s="1"/>
  <c r="BE24" i="171"/>
  <c r="AQ233" i="110" s="1"/>
  <c r="BE26" i="171"/>
  <c r="AQ234" i="110" s="1"/>
  <c r="BE28" i="171"/>
  <c r="AQ235" i="110" s="1"/>
  <c r="BE30" i="171"/>
  <c r="AQ236" i="110" s="1"/>
  <c r="BE32" i="171"/>
  <c r="AQ237" i="110" s="1"/>
  <c r="BE34" i="171"/>
  <c r="AQ238" i="110" s="1"/>
  <c r="BE36" i="171"/>
  <c r="AQ239" i="110" s="1"/>
  <c r="BE18" i="171"/>
  <c r="AQ230" i="110" s="1"/>
  <c r="AZ20" i="171"/>
  <c r="AP231" i="110" s="1"/>
  <c r="AZ22" i="171"/>
  <c r="AP232" i="110" s="1"/>
  <c r="AZ24" i="171"/>
  <c r="AP233" i="110" s="1"/>
  <c r="AZ26" i="171"/>
  <c r="AP234" i="110" s="1"/>
  <c r="AZ28" i="171"/>
  <c r="AP235" i="110" s="1"/>
  <c r="AZ30" i="171"/>
  <c r="AP236" i="110" s="1"/>
  <c r="AZ32" i="171"/>
  <c r="AP237" i="110" s="1"/>
  <c r="AZ34" i="171"/>
  <c r="AP238" i="110" s="1"/>
  <c r="AZ36" i="171"/>
  <c r="AP239" i="110" s="1"/>
  <c r="AZ18" i="171"/>
  <c r="AP230" i="110" s="1"/>
  <c r="BH200" i="171"/>
  <c r="E152" i="110"/>
  <c r="E153" i="110"/>
  <c r="E154" i="110"/>
  <c r="E156" i="110"/>
  <c r="E157" i="110"/>
  <c r="E158" i="110"/>
  <c r="E159" i="110"/>
  <c r="E162" i="110"/>
  <c r="E163" i="110"/>
  <c r="E164" i="110"/>
  <c r="E165" i="110"/>
  <c r="E166" i="110"/>
  <c r="E167" i="110"/>
  <c r="E168" i="110"/>
  <c r="E169" i="110"/>
  <c r="E170" i="110"/>
  <c r="E173" i="110"/>
  <c r="E174" i="110"/>
  <c r="E175" i="110"/>
  <c r="E178" i="110"/>
  <c r="E179" i="110"/>
  <c r="E180" i="110"/>
  <c r="BD18" i="167"/>
  <c r="E151" i="110" s="1"/>
  <c r="AQ152" i="110"/>
  <c r="AQ153" i="110"/>
  <c r="AQ154" i="110"/>
  <c r="AQ155" i="110"/>
  <c r="AQ156" i="110"/>
  <c r="AQ157" i="110"/>
  <c r="AQ158" i="110"/>
  <c r="AQ159" i="110"/>
  <c r="AQ160" i="110"/>
  <c r="AQ161" i="110"/>
  <c r="AQ162" i="110"/>
  <c r="AQ163" i="110"/>
  <c r="AQ164" i="110"/>
  <c r="AQ165" i="110"/>
  <c r="AQ166" i="110"/>
  <c r="AQ167" i="110"/>
  <c r="AQ168" i="110"/>
  <c r="AQ169" i="110"/>
  <c r="AQ170" i="110"/>
  <c r="AQ171" i="110"/>
  <c r="AQ172" i="110"/>
  <c r="AQ173" i="110"/>
  <c r="AQ174" i="110"/>
  <c r="AQ175" i="110"/>
  <c r="AQ176" i="110"/>
  <c r="AQ177" i="110"/>
  <c r="AQ178" i="110"/>
  <c r="AQ179" i="110"/>
  <c r="AQ180" i="110"/>
  <c r="BC18" i="167"/>
  <c r="AQ151" i="110" s="1"/>
  <c r="AP152" i="110"/>
  <c r="AP153" i="110"/>
  <c r="AP154" i="110"/>
  <c r="AP155" i="110"/>
  <c r="AP156" i="110"/>
  <c r="AP157" i="110"/>
  <c r="AP158" i="110"/>
  <c r="AP159" i="110"/>
  <c r="AP160" i="110"/>
  <c r="AP161" i="110"/>
  <c r="AP162" i="110"/>
  <c r="AP163" i="110"/>
  <c r="AP164" i="110"/>
  <c r="AP165" i="110"/>
  <c r="AP166" i="110"/>
  <c r="AP167" i="110"/>
  <c r="AP168" i="110"/>
  <c r="AP169" i="110"/>
  <c r="AP170" i="110"/>
  <c r="AP171" i="110"/>
  <c r="AP172" i="110"/>
  <c r="AP173" i="110"/>
  <c r="AP174" i="110"/>
  <c r="AP175" i="110"/>
  <c r="AP176" i="110"/>
  <c r="AP177" i="110"/>
  <c r="AP178" i="110"/>
  <c r="AP179" i="110"/>
  <c r="AP180" i="110"/>
  <c r="AP151" i="110"/>
  <c r="BJ20" i="171" l="1"/>
  <c r="E231" i="110"/>
  <c r="BJ18" i="171"/>
  <c r="E230" i="110"/>
  <c r="BJ28" i="13"/>
  <c r="E251" i="110"/>
  <c r="BJ26" i="13"/>
  <c r="E250" i="110"/>
  <c r="BJ24" i="171"/>
  <c r="E233" i="110"/>
  <c r="BJ32" i="13"/>
  <c r="E253" i="110"/>
  <c r="BJ34" i="171"/>
  <c r="E238" i="110"/>
  <c r="BJ24" i="13"/>
  <c r="E249" i="110"/>
  <c r="BJ32" i="171"/>
  <c r="E237" i="110"/>
  <c r="BJ30" i="171"/>
  <c r="E236" i="110"/>
  <c r="BJ20" i="13"/>
  <c r="E247" i="110"/>
  <c r="BJ22" i="171"/>
  <c r="E232" i="110"/>
  <c r="BJ28" i="171"/>
  <c r="E235" i="110"/>
  <c r="BJ26" i="171"/>
  <c r="E234" i="110"/>
  <c r="E172" i="110"/>
  <c r="E161" i="110"/>
  <c r="E160" i="110"/>
  <c r="E155" i="110"/>
  <c r="E176" i="110"/>
  <c r="J23" i="3"/>
  <c r="E171" i="110"/>
  <c r="J22" i="3"/>
  <c r="E177" i="110"/>
  <c r="BJ36" i="13"/>
  <c r="BJ36" i="171"/>
  <c r="BJ18" i="13"/>
  <c r="BJ34" i="13"/>
  <c r="BJ22" i="13"/>
  <c r="BJ30" i="13"/>
  <c r="BH18" i="167"/>
  <c r="A68" i="110" l="1"/>
  <c r="H68" i="110"/>
  <c r="I68" i="110"/>
  <c r="L68" i="110"/>
  <c r="M68" i="110"/>
  <c r="AD68" i="110"/>
  <c r="AE68" i="110"/>
  <c r="AI68" i="110"/>
  <c r="AK68" i="110"/>
  <c r="A69" i="110"/>
  <c r="H69" i="110"/>
  <c r="I69" i="110"/>
  <c r="L69" i="110"/>
  <c r="M69" i="110"/>
  <c r="AD69" i="110"/>
  <c r="AE69" i="110"/>
  <c r="AI69" i="110"/>
  <c r="AK69" i="110"/>
  <c r="A70" i="110"/>
  <c r="H70" i="110"/>
  <c r="I70" i="110"/>
  <c r="L70" i="110"/>
  <c r="M70" i="110"/>
  <c r="AD70" i="110"/>
  <c r="AE70" i="110"/>
  <c r="AI70" i="110"/>
  <c r="AK70" i="110"/>
  <c r="A71" i="110"/>
  <c r="H71" i="110"/>
  <c r="I71" i="110"/>
  <c r="L71" i="110"/>
  <c r="M71" i="110"/>
  <c r="AD71" i="110"/>
  <c r="AE71" i="110"/>
  <c r="AI71" i="110"/>
  <c r="AK71" i="110"/>
  <c r="A72" i="110"/>
  <c r="H72" i="110"/>
  <c r="I72" i="110"/>
  <c r="L72" i="110"/>
  <c r="M72" i="110"/>
  <c r="AD72" i="110"/>
  <c r="AE72" i="110"/>
  <c r="AI72" i="110"/>
  <c r="AK72" i="110"/>
  <c r="A73" i="110"/>
  <c r="H73" i="110"/>
  <c r="I73" i="110"/>
  <c r="L73" i="110"/>
  <c r="M73" i="110"/>
  <c r="AD73" i="110"/>
  <c r="AE73" i="110"/>
  <c r="AI73" i="110"/>
  <c r="AK73" i="110"/>
  <c r="A74" i="110"/>
  <c r="H74" i="110"/>
  <c r="I74" i="110"/>
  <c r="L74" i="110"/>
  <c r="M74" i="110"/>
  <c r="AD74" i="110"/>
  <c r="AE74" i="110"/>
  <c r="AI74" i="110"/>
  <c r="AK74" i="110"/>
  <c r="A75" i="110"/>
  <c r="H75" i="110"/>
  <c r="I75" i="110"/>
  <c r="L75" i="110"/>
  <c r="M75" i="110"/>
  <c r="AD75" i="110"/>
  <c r="AE75" i="110"/>
  <c r="AI75" i="110"/>
  <c r="AK75" i="110"/>
  <c r="A76" i="110"/>
  <c r="H76" i="110"/>
  <c r="I76" i="110"/>
  <c r="L76" i="110"/>
  <c r="M76" i="110"/>
  <c r="AD76" i="110"/>
  <c r="AE76" i="110"/>
  <c r="AI76" i="110"/>
  <c r="AK76" i="110"/>
  <c r="A77" i="110"/>
  <c r="H77" i="110"/>
  <c r="I77" i="110"/>
  <c r="L77" i="110"/>
  <c r="M77" i="110"/>
  <c r="AD77" i="110"/>
  <c r="AE77" i="110"/>
  <c r="AI77" i="110"/>
  <c r="AK77" i="110"/>
  <c r="A78" i="110"/>
  <c r="H78" i="110"/>
  <c r="I78" i="110"/>
  <c r="L78" i="110"/>
  <c r="M78" i="110"/>
  <c r="AD78" i="110"/>
  <c r="AE78" i="110"/>
  <c r="AI78" i="110"/>
  <c r="AK78" i="110"/>
  <c r="A79" i="110"/>
  <c r="H79" i="110"/>
  <c r="I79" i="110"/>
  <c r="L79" i="110"/>
  <c r="M79" i="110"/>
  <c r="AD79" i="110"/>
  <c r="AE79" i="110"/>
  <c r="AI79" i="110"/>
  <c r="AK79" i="110"/>
  <c r="A80" i="110"/>
  <c r="H80" i="110"/>
  <c r="I80" i="110"/>
  <c r="L80" i="110"/>
  <c r="M80" i="110"/>
  <c r="AD80" i="110"/>
  <c r="AE80" i="110"/>
  <c r="AI80" i="110"/>
  <c r="AK80" i="110"/>
  <c r="A81" i="110"/>
  <c r="H81" i="110"/>
  <c r="I81" i="110"/>
  <c r="L81" i="110"/>
  <c r="M81" i="110"/>
  <c r="AD81" i="110"/>
  <c r="AE81" i="110"/>
  <c r="AI81" i="110"/>
  <c r="AK81" i="110"/>
  <c r="A82" i="110"/>
  <c r="H82" i="110"/>
  <c r="I82" i="110"/>
  <c r="L82" i="110"/>
  <c r="M82" i="110"/>
  <c r="AD82" i="110"/>
  <c r="AE82" i="110"/>
  <c r="AI82" i="110"/>
  <c r="AK82" i="110"/>
  <c r="A83" i="110"/>
  <c r="H83" i="110"/>
  <c r="I83" i="110"/>
  <c r="L83" i="110"/>
  <c r="M83" i="110"/>
  <c r="AD83" i="110"/>
  <c r="AE83" i="110"/>
  <c r="AI83" i="110"/>
  <c r="AK83" i="110"/>
  <c r="A84" i="110"/>
  <c r="H84" i="110"/>
  <c r="I84" i="110"/>
  <c r="L84" i="110"/>
  <c r="M84" i="110"/>
  <c r="AD84" i="110"/>
  <c r="AE84" i="110"/>
  <c r="AI84" i="110"/>
  <c r="AK84" i="110"/>
  <c r="A85" i="110"/>
  <c r="H85" i="110"/>
  <c r="I85" i="110"/>
  <c r="L85" i="110"/>
  <c r="M85" i="110"/>
  <c r="AD85" i="110"/>
  <c r="AE85" i="110"/>
  <c r="AI85" i="110"/>
  <c r="AK85" i="110"/>
  <c r="A86" i="110"/>
  <c r="H86" i="110"/>
  <c r="I86" i="110"/>
  <c r="L86" i="110"/>
  <c r="M86" i="110"/>
  <c r="AD86" i="110"/>
  <c r="AE86" i="110"/>
  <c r="AI86" i="110"/>
  <c r="AK86" i="110"/>
  <c r="A87" i="110"/>
  <c r="H87" i="110"/>
  <c r="I87" i="110"/>
  <c r="L87" i="110"/>
  <c r="M87" i="110"/>
  <c r="AD87" i="110"/>
  <c r="AE87" i="110"/>
  <c r="AI87" i="110"/>
  <c r="AK87" i="110"/>
  <c r="A88" i="110"/>
  <c r="H88" i="110"/>
  <c r="I88" i="110"/>
  <c r="L88" i="110"/>
  <c r="M88" i="110"/>
  <c r="AD88" i="110"/>
  <c r="AE88" i="110"/>
  <c r="AI88" i="110"/>
  <c r="AK88" i="110"/>
  <c r="A89" i="110"/>
  <c r="H89" i="110"/>
  <c r="I89" i="110"/>
  <c r="L89" i="110"/>
  <c r="M89" i="110"/>
  <c r="AD89" i="110"/>
  <c r="AE89" i="110"/>
  <c r="AI89" i="110"/>
  <c r="AK89" i="110"/>
  <c r="A90" i="110"/>
  <c r="H90" i="110"/>
  <c r="I90" i="110"/>
  <c r="L90" i="110"/>
  <c r="M90" i="110"/>
  <c r="AD90" i="110"/>
  <c r="AE90" i="110"/>
  <c r="AI90" i="110"/>
  <c r="AK90" i="110"/>
  <c r="A91" i="110"/>
  <c r="H91" i="110"/>
  <c r="I91" i="110"/>
  <c r="L91" i="110"/>
  <c r="M91" i="110"/>
  <c r="AD91" i="110"/>
  <c r="AE91" i="110"/>
  <c r="AI91" i="110"/>
  <c r="AK91" i="110"/>
  <c r="A92" i="110"/>
  <c r="H92" i="110"/>
  <c r="I92" i="110"/>
  <c r="L92" i="110"/>
  <c r="M92" i="110"/>
  <c r="AD92" i="110"/>
  <c r="AE92" i="110"/>
  <c r="AI92" i="110"/>
  <c r="AK92" i="110"/>
  <c r="A93" i="110"/>
  <c r="H93" i="110"/>
  <c r="I93" i="110"/>
  <c r="L93" i="110"/>
  <c r="M93" i="110"/>
  <c r="AD93" i="110"/>
  <c r="AE93" i="110"/>
  <c r="AI93" i="110"/>
  <c r="AK93" i="110"/>
  <c r="A94" i="110"/>
  <c r="H94" i="110"/>
  <c r="I94" i="110"/>
  <c r="L94" i="110"/>
  <c r="M94" i="110"/>
  <c r="AD94" i="110"/>
  <c r="AE94" i="110"/>
  <c r="AI94" i="110"/>
  <c r="AK94" i="110"/>
  <c r="A95" i="110"/>
  <c r="H95" i="110"/>
  <c r="I95" i="110"/>
  <c r="L95" i="110"/>
  <c r="M95" i="110"/>
  <c r="AD95" i="110"/>
  <c r="AE95" i="110"/>
  <c r="AI95" i="110"/>
  <c r="AK95" i="110"/>
  <c r="A96" i="110"/>
  <c r="H96" i="110"/>
  <c r="I96" i="110"/>
  <c r="L96" i="110"/>
  <c r="M96" i="110"/>
  <c r="AD96" i="110"/>
  <c r="AE96" i="110"/>
  <c r="AI96" i="110"/>
  <c r="AK96" i="110"/>
  <c r="A97" i="110"/>
  <c r="H97" i="110"/>
  <c r="I97" i="110"/>
  <c r="L97" i="110"/>
  <c r="M97" i="110"/>
  <c r="AD97" i="110"/>
  <c r="AE97" i="110"/>
  <c r="AI97" i="110"/>
  <c r="AK97" i="110"/>
  <c r="A98" i="110"/>
  <c r="H98" i="110"/>
  <c r="I98" i="110"/>
  <c r="L98" i="110"/>
  <c r="M98" i="110"/>
  <c r="AD98" i="110"/>
  <c r="AE98" i="110"/>
  <c r="AI98" i="110"/>
  <c r="AK98" i="110"/>
  <c r="A99" i="110"/>
  <c r="H99" i="110"/>
  <c r="I99" i="110"/>
  <c r="L99" i="110"/>
  <c r="M99" i="110"/>
  <c r="AD99" i="110"/>
  <c r="AE99" i="110"/>
  <c r="AI99" i="110"/>
  <c r="AK99" i="110"/>
  <c r="A100" i="110"/>
  <c r="H100" i="110"/>
  <c r="I100" i="110"/>
  <c r="L100" i="110"/>
  <c r="M100" i="110"/>
  <c r="AD100" i="110"/>
  <c r="AE100" i="110"/>
  <c r="AI100" i="110"/>
  <c r="AK100" i="110"/>
  <c r="A101" i="110"/>
  <c r="H101" i="110"/>
  <c r="I101" i="110"/>
  <c r="L101" i="110"/>
  <c r="M101" i="110"/>
  <c r="AD101" i="110"/>
  <c r="AE101" i="110"/>
  <c r="AI101" i="110"/>
  <c r="AK101" i="110"/>
  <c r="AK67" i="110"/>
  <c r="M67" i="110"/>
  <c r="L67" i="110"/>
  <c r="AM136" i="110"/>
  <c r="AM137" i="110"/>
  <c r="AM138" i="110"/>
  <c r="AM139" i="110"/>
  <c r="AM140" i="110"/>
  <c r="AM141" i="110"/>
  <c r="AM142" i="110"/>
  <c r="AM143" i="110"/>
  <c r="AM144" i="110"/>
  <c r="AM145" i="110"/>
  <c r="AM146" i="110"/>
  <c r="AM147" i="110"/>
  <c r="AM148" i="110"/>
  <c r="AM149" i="110"/>
  <c r="AM135" i="110"/>
  <c r="AK136" i="110"/>
  <c r="AK137" i="110"/>
  <c r="AK138" i="110"/>
  <c r="AK139" i="110"/>
  <c r="AK140" i="110"/>
  <c r="AK141" i="110"/>
  <c r="AK142" i="110"/>
  <c r="AK143" i="110"/>
  <c r="AK144" i="110"/>
  <c r="AK145" i="110"/>
  <c r="AK146" i="110"/>
  <c r="AK147" i="110"/>
  <c r="AK148" i="110"/>
  <c r="AK149" i="110"/>
  <c r="AK135" i="110"/>
  <c r="AK120" i="110"/>
  <c r="AK121" i="110"/>
  <c r="AK122" i="110"/>
  <c r="AK123" i="110"/>
  <c r="AK124" i="110"/>
  <c r="AK125" i="110"/>
  <c r="AK126" i="110"/>
  <c r="AK127" i="110"/>
  <c r="AK128" i="110"/>
  <c r="AK129" i="110"/>
  <c r="AK130" i="110"/>
  <c r="AK131" i="110"/>
  <c r="AK132" i="110"/>
  <c r="AK133" i="110"/>
  <c r="AK119" i="110"/>
  <c r="L120" i="110"/>
  <c r="M120" i="110"/>
  <c r="L121" i="110"/>
  <c r="M121" i="110"/>
  <c r="L122" i="110"/>
  <c r="M122" i="110"/>
  <c r="L123" i="110"/>
  <c r="M123" i="110"/>
  <c r="L124" i="110"/>
  <c r="M124" i="110"/>
  <c r="L125" i="110"/>
  <c r="M125" i="110"/>
  <c r="L126" i="110"/>
  <c r="M126" i="110"/>
  <c r="L127" i="110"/>
  <c r="M127" i="110"/>
  <c r="L128" i="110"/>
  <c r="M128" i="110"/>
  <c r="L129" i="110"/>
  <c r="M129" i="110"/>
  <c r="L130" i="110"/>
  <c r="M130" i="110"/>
  <c r="L131" i="110"/>
  <c r="M131" i="110"/>
  <c r="L132" i="110"/>
  <c r="M132" i="110"/>
  <c r="L133" i="110"/>
  <c r="M133" i="110"/>
  <c r="M119" i="110"/>
  <c r="L119" i="110"/>
  <c r="AK104" i="110"/>
  <c r="AK105" i="110"/>
  <c r="AK106" i="110"/>
  <c r="AK107" i="110"/>
  <c r="AK108" i="110"/>
  <c r="AK109" i="110"/>
  <c r="AK110" i="110"/>
  <c r="AK111" i="110"/>
  <c r="AK112" i="110"/>
  <c r="AK113" i="110"/>
  <c r="AK114" i="110"/>
  <c r="AK115" i="110"/>
  <c r="AK116" i="110"/>
  <c r="AK117" i="110"/>
  <c r="AK103" i="110"/>
  <c r="L104" i="110"/>
  <c r="M104" i="110"/>
  <c r="L105" i="110"/>
  <c r="M105" i="110"/>
  <c r="L106" i="110"/>
  <c r="M106" i="110"/>
  <c r="L107" i="110"/>
  <c r="M107" i="110"/>
  <c r="L108" i="110"/>
  <c r="M108" i="110"/>
  <c r="L109" i="110"/>
  <c r="M109" i="110"/>
  <c r="L110" i="110"/>
  <c r="M110" i="110"/>
  <c r="L111" i="110"/>
  <c r="M111" i="110"/>
  <c r="L112" i="110"/>
  <c r="M112" i="110"/>
  <c r="L113" i="110"/>
  <c r="M113" i="110"/>
  <c r="L114" i="110"/>
  <c r="M114" i="110"/>
  <c r="L115" i="110"/>
  <c r="M115" i="110"/>
  <c r="L116" i="110"/>
  <c r="M116" i="110"/>
  <c r="L117" i="110"/>
  <c r="M117" i="110"/>
  <c r="M103" i="110"/>
  <c r="L103" i="110"/>
  <c r="AK52" i="110"/>
  <c r="AK53" i="110"/>
  <c r="AK54" i="110"/>
  <c r="AK55" i="110"/>
  <c r="AK56" i="110"/>
  <c r="AK57" i="110"/>
  <c r="AK58" i="110"/>
  <c r="AK59" i="110"/>
  <c r="AK60" i="110"/>
  <c r="AK61" i="110"/>
  <c r="AK62" i="110"/>
  <c r="AK63" i="110"/>
  <c r="AK64" i="110"/>
  <c r="AK65" i="110"/>
  <c r="AK51" i="110"/>
  <c r="L52" i="110"/>
  <c r="M52" i="110"/>
  <c r="L53" i="110"/>
  <c r="M53" i="110"/>
  <c r="L54" i="110"/>
  <c r="M54" i="110"/>
  <c r="L55" i="110"/>
  <c r="M55" i="110"/>
  <c r="L56" i="110"/>
  <c r="M56" i="110"/>
  <c r="L57" i="110"/>
  <c r="M57" i="110"/>
  <c r="L58" i="110"/>
  <c r="M58" i="110"/>
  <c r="L59" i="110"/>
  <c r="M59" i="110"/>
  <c r="L60" i="110"/>
  <c r="M60" i="110"/>
  <c r="L61" i="110"/>
  <c r="M61" i="110"/>
  <c r="L62" i="110"/>
  <c r="M62" i="110"/>
  <c r="L63" i="110"/>
  <c r="M63" i="110"/>
  <c r="L64" i="110"/>
  <c r="M64" i="110"/>
  <c r="L65" i="110"/>
  <c r="M65" i="110"/>
  <c r="M51" i="110"/>
  <c r="L51" i="110"/>
  <c r="AK36" i="110"/>
  <c r="AK37" i="110"/>
  <c r="AK38" i="110"/>
  <c r="AK39" i="110"/>
  <c r="AK40" i="110"/>
  <c r="AK41" i="110"/>
  <c r="AK42" i="110"/>
  <c r="AK43" i="110"/>
  <c r="AK44" i="110"/>
  <c r="AK45" i="110"/>
  <c r="AK46" i="110"/>
  <c r="AK47" i="110"/>
  <c r="AK48" i="110"/>
  <c r="AK49" i="110"/>
  <c r="AK35" i="110"/>
  <c r="AH36" i="110"/>
  <c r="AH37" i="110"/>
  <c r="AH38" i="110"/>
  <c r="AH39" i="110"/>
  <c r="AH40" i="110"/>
  <c r="AH41" i="110"/>
  <c r="AH42" i="110"/>
  <c r="AH43" i="110"/>
  <c r="AH44" i="110"/>
  <c r="AH45" i="110"/>
  <c r="AH46" i="110"/>
  <c r="AH47" i="110"/>
  <c r="AH48" i="110"/>
  <c r="AH49" i="110"/>
  <c r="AH35" i="110"/>
  <c r="L36" i="110"/>
  <c r="M36" i="110"/>
  <c r="L37" i="110"/>
  <c r="M37" i="110"/>
  <c r="L38" i="110"/>
  <c r="M38" i="110"/>
  <c r="L39" i="110"/>
  <c r="M39" i="110"/>
  <c r="L40" i="110"/>
  <c r="M40" i="110"/>
  <c r="L41" i="110"/>
  <c r="M41" i="110"/>
  <c r="L42" i="110"/>
  <c r="M42" i="110"/>
  <c r="L43" i="110"/>
  <c r="M43" i="110"/>
  <c r="L44" i="110"/>
  <c r="M44" i="110"/>
  <c r="L45" i="110"/>
  <c r="M45" i="110"/>
  <c r="L46" i="110"/>
  <c r="M46" i="110"/>
  <c r="L47" i="110"/>
  <c r="M47" i="110"/>
  <c r="L48" i="110"/>
  <c r="M48" i="110"/>
  <c r="L49" i="110"/>
  <c r="M49" i="110"/>
  <c r="M35" i="110"/>
  <c r="L35" i="110"/>
  <c r="F36" i="110"/>
  <c r="F37" i="110"/>
  <c r="F38" i="110"/>
  <c r="F39" i="110"/>
  <c r="F40" i="110"/>
  <c r="F41" i="110"/>
  <c r="F42" i="110"/>
  <c r="F43" i="110"/>
  <c r="F44" i="110"/>
  <c r="F45" i="110"/>
  <c r="F46" i="110"/>
  <c r="F47" i="110"/>
  <c r="F48" i="110"/>
  <c r="F49" i="110"/>
  <c r="F35" i="110"/>
  <c r="AL5" i="110"/>
  <c r="AM5" i="110"/>
  <c r="AL6" i="110"/>
  <c r="AM6" i="110"/>
  <c r="AL7" i="110"/>
  <c r="AM7" i="110"/>
  <c r="AL8" i="110"/>
  <c r="AM8" i="110"/>
  <c r="AL9" i="110"/>
  <c r="AM9" i="110"/>
  <c r="AL10" i="110"/>
  <c r="AM10" i="110"/>
  <c r="AL11" i="110"/>
  <c r="AM11" i="110"/>
  <c r="AL12" i="110"/>
  <c r="AM12" i="110"/>
  <c r="AL13" i="110"/>
  <c r="AM13" i="110"/>
  <c r="AL14" i="110"/>
  <c r="AM14" i="110"/>
  <c r="AL15" i="110"/>
  <c r="AM15" i="110"/>
  <c r="AL16" i="110"/>
  <c r="AM16" i="110"/>
  <c r="AL17" i="110"/>
  <c r="AM17" i="110"/>
  <c r="AL18" i="110"/>
  <c r="AM18" i="110"/>
  <c r="AL19" i="110"/>
  <c r="AM19" i="110"/>
  <c r="AL20" i="110"/>
  <c r="AM20" i="110"/>
  <c r="AL21" i="110"/>
  <c r="AM21" i="110"/>
  <c r="AL22" i="110"/>
  <c r="AM22" i="110"/>
  <c r="AL23" i="110"/>
  <c r="AM23" i="110"/>
  <c r="AL24" i="110"/>
  <c r="AM24" i="110"/>
  <c r="AL25" i="110"/>
  <c r="AM25" i="110"/>
  <c r="AL26" i="110"/>
  <c r="AM26" i="110"/>
  <c r="AL27" i="110"/>
  <c r="AM27" i="110"/>
  <c r="AL28" i="110"/>
  <c r="AM28" i="110"/>
  <c r="AL29" i="110"/>
  <c r="AM29" i="110"/>
  <c r="AL30" i="110"/>
  <c r="AM30" i="110"/>
  <c r="AL31" i="110"/>
  <c r="AM31" i="110"/>
  <c r="AL32" i="110"/>
  <c r="AM32" i="110"/>
  <c r="AL33" i="110"/>
  <c r="AM33" i="110"/>
  <c r="AM4" i="110"/>
  <c r="AL4" i="110"/>
  <c r="AK5" i="110"/>
  <c r="AK6" i="110"/>
  <c r="AK7" i="110"/>
  <c r="AK8" i="110"/>
  <c r="AK9" i="110"/>
  <c r="AK10" i="110"/>
  <c r="AK11" i="110"/>
  <c r="AK12" i="110"/>
  <c r="AK13" i="110"/>
  <c r="AK14" i="110"/>
  <c r="AK15" i="110"/>
  <c r="AK16" i="110"/>
  <c r="AK17" i="110"/>
  <c r="AK18" i="110"/>
  <c r="AK19" i="110"/>
  <c r="AK20" i="110"/>
  <c r="AK21" i="110"/>
  <c r="AK22" i="110"/>
  <c r="AK23" i="110"/>
  <c r="AK24" i="110"/>
  <c r="AK25" i="110"/>
  <c r="AK26" i="110"/>
  <c r="AK27" i="110"/>
  <c r="AK28" i="110"/>
  <c r="AK29" i="110"/>
  <c r="AK30" i="110"/>
  <c r="AK31" i="110"/>
  <c r="AK32" i="110"/>
  <c r="AK33" i="110"/>
  <c r="AK4" i="110"/>
  <c r="L5" i="110"/>
  <c r="M5" i="110"/>
  <c r="L6" i="110"/>
  <c r="M6" i="110"/>
  <c r="L7" i="110"/>
  <c r="M7" i="110"/>
  <c r="L8" i="110"/>
  <c r="M8" i="110"/>
  <c r="L9" i="110"/>
  <c r="M9" i="110"/>
  <c r="L10" i="110"/>
  <c r="M10" i="110"/>
  <c r="L11" i="110"/>
  <c r="M11" i="110"/>
  <c r="L12" i="110"/>
  <c r="M12" i="110"/>
  <c r="L13" i="110"/>
  <c r="M13" i="110"/>
  <c r="L14" i="110"/>
  <c r="M14" i="110"/>
  <c r="L15" i="110"/>
  <c r="M15" i="110"/>
  <c r="L16" i="110"/>
  <c r="M16" i="110"/>
  <c r="L17" i="110"/>
  <c r="M17" i="110"/>
  <c r="L18" i="110"/>
  <c r="M18" i="110"/>
  <c r="L19" i="110"/>
  <c r="M19" i="110"/>
  <c r="L20" i="110"/>
  <c r="M20" i="110"/>
  <c r="L21" i="110"/>
  <c r="M21" i="110"/>
  <c r="L22" i="110"/>
  <c r="M22" i="110"/>
  <c r="L23" i="110"/>
  <c r="M23" i="110"/>
  <c r="L24" i="110"/>
  <c r="M24" i="110"/>
  <c r="L25" i="110"/>
  <c r="M25" i="110"/>
  <c r="L26" i="110"/>
  <c r="M26" i="110"/>
  <c r="L27" i="110"/>
  <c r="M27" i="110"/>
  <c r="L28" i="110"/>
  <c r="M28" i="110"/>
  <c r="L29" i="110"/>
  <c r="M29" i="110"/>
  <c r="L30" i="110"/>
  <c r="M30" i="110"/>
  <c r="L31" i="110"/>
  <c r="M31" i="110"/>
  <c r="L32" i="110"/>
  <c r="M32" i="110"/>
  <c r="L33" i="110"/>
  <c r="M33" i="110"/>
  <c r="M4" i="110"/>
  <c r="L4" i="110"/>
  <c r="F5" i="110"/>
  <c r="F6" i="110"/>
  <c r="F7" i="110"/>
  <c r="F8" i="110"/>
  <c r="F9" i="110"/>
  <c r="F10" i="110"/>
  <c r="F11" i="110"/>
  <c r="F12" i="110"/>
  <c r="F13" i="110"/>
  <c r="F14" i="110"/>
  <c r="F15" i="110"/>
  <c r="F16" i="110"/>
  <c r="F17" i="110"/>
  <c r="F18" i="110"/>
  <c r="F19" i="110"/>
  <c r="F20" i="110"/>
  <c r="F21" i="110"/>
  <c r="F22" i="110"/>
  <c r="F23" i="110"/>
  <c r="F24" i="110"/>
  <c r="F25" i="110"/>
  <c r="F26" i="110"/>
  <c r="F27" i="110"/>
  <c r="F28" i="110"/>
  <c r="F29" i="110"/>
  <c r="F30" i="110"/>
  <c r="F31" i="110"/>
  <c r="F32" i="110"/>
  <c r="F33" i="110"/>
  <c r="F4" i="110"/>
  <c r="AP1" i="81"/>
  <c r="AL1" i="81"/>
  <c r="J1" i="81"/>
  <c r="F1" i="81"/>
  <c r="AP1" i="156"/>
  <c r="AL1" i="156"/>
  <c r="J1" i="156"/>
  <c r="F1" i="156"/>
  <c r="AP1" i="155"/>
  <c r="AL1" i="155"/>
  <c r="J1" i="155"/>
  <c r="F1" i="155"/>
  <c r="AP1" i="14"/>
  <c r="AL1" i="14"/>
  <c r="J1" i="14"/>
  <c r="F1" i="14"/>
  <c r="AP1" i="180"/>
  <c r="AL1" i="180"/>
  <c r="J1" i="180"/>
  <c r="F1" i="180"/>
  <c r="AP1" i="154"/>
  <c r="AL1" i="154"/>
  <c r="J1" i="154"/>
  <c r="F1" i="154"/>
  <c r="AP1" i="153"/>
  <c r="AL1" i="153"/>
  <c r="J1" i="153"/>
  <c r="F1" i="153"/>
  <c r="AP1" i="176"/>
  <c r="AL1" i="176"/>
  <c r="J1" i="176"/>
  <c r="F1" i="176"/>
  <c r="AP1" i="13"/>
  <c r="AL1" i="13"/>
  <c r="J1" i="13"/>
  <c r="F1" i="13"/>
  <c r="AP1" i="171"/>
  <c r="AL1" i="171"/>
  <c r="J1" i="171"/>
  <c r="F1" i="171"/>
  <c r="AP1" i="175"/>
  <c r="AL1" i="175"/>
  <c r="J1" i="175"/>
  <c r="F1" i="175"/>
  <c r="AP1" i="170"/>
  <c r="AL1" i="170"/>
  <c r="J1" i="170"/>
  <c r="F1" i="170"/>
  <c r="AP1" i="169"/>
  <c r="AL1" i="169"/>
  <c r="J1" i="169"/>
  <c r="F1" i="169"/>
  <c r="AP1" i="168" l="1"/>
  <c r="AL1" i="168"/>
  <c r="J1" i="168"/>
  <c r="F1" i="168"/>
  <c r="AP1" i="167"/>
  <c r="AL1" i="167"/>
  <c r="J1" i="167"/>
  <c r="F1" i="167"/>
  <c r="AP1" i="163"/>
  <c r="AL1" i="163"/>
  <c r="J1" i="163"/>
  <c r="F1" i="163"/>
  <c r="AP1" i="162"/>
  <c r="AL1" i="162"/>
  <c r="J1" i="162"/>
  <c r="F1" i="162"/>
  <c r="AP1" i="182"/>
  <c r="AL1" i="182"/>
  <c r="J1" i="182"/>
  <c r="F1" i="182"/>
  <c r="AP1" i="161"/>
  <c r="AL1" i="161"/>
  <c r="J1" i="161"/>
  <c r="F1" i="161"/>
  <c r="AP1" i="160"/>
  <c r="AL1" i="160"/>
  <c r="J1" i="160"/>
  <c r="F1" i="160"/>
  <c r="AP1" i="159"/>
  <c r="AL1" i="159"/>
  <c r="J1" i="159"/>
  <c r="F1" i="159"/>
  <c r="AP1" i="158"/>
  <c r="AL1" i="158"/>
  <c r="J1" i="158"/>
  <c r="F1" i="158"/>
  <c r="AP1" i="151"/>
  <c r="AL1" i="151"/>
  <c r="J1" i="151"/>
  <c r="F1" i="151"/>
  <c r="AP1" i="148"/>
  <c r="AL1" i="148"/>
  <c r="J1" i="148"/>
  <c r="F1" i="148"/>
  <c r="AP1" i="147"/>
  <c r="AL1" i="147"/>
  <c r="J1" i="147"/>
  <c r="F1" i="147"/>
  <c r="AP1" i="166"/>
  <c r="AL1" i="166"/>
  <c r="J1" i="166"/>
  <c r="F1" i="166"/>
  <c r="AP1" i="144"/>
  <c r="AL1" i="144"/>
  <c r="J1" i="144"/>
  <c r="F1" i="144"/>
  <c r="J1" i="172" l="1"/>
  <c r="AP1" i="172"/>
  <c r="AL1" i="172"/>
  <c r="Q1" i="172" a="1"/>
  <c r="Q1" i="172" s="1"/>
  <c r="F1" i="172"/>
  <c r="O72" i="110" l="1"/>
  <c r="O74" i="110"/>
  <c r="O75" i="110"/>
  <c r="O76" i="110"/>
  <c r="O77" i="110"/>
  <c r="O78" i="110"/>
  <c r="O79" i="110"/>
  <c r="O80" i="110"/>
  <c r="O81" i="110"/>
  <c r="O82" i="110"/>
  <c r="O83" i="110"/>
  <c r="O84" i="110"/>
  <c r="O85" i="110"/>
  <c r="O86" i="110"/>
  <c r="O87" i="110"/>
  <c r="O88" i="110"/>
  <c r="O89" i="110"/>
  <c r="O90" i="110"/>
  <c r="O91" i="110"/>
  <c r="O92" i="110"/>
  <c r="O93" i="110"/>
  <c r="O94" i="110"/>
  <c r="O95" i="110"/>
  <c r="O96" i="110"/>
  <c r="O97" i="110"/>
  <c r="O98" i="110"/>
  <c r="O99" i="110"/>
  <c r="O100" i="110"/>
  <c r="O101" i="110"/>
  <c r="L28" i="161"/>
  <c r="L32" i="161"/>
  <c r="L34" i="161"/>
  <c r="L36" i="161"/>
  <c r="L38" i="161"/>
  <c r="L40" i="161"/>
  <c r="L42" i="161"/>
  <c r="L44" i="161"/>
  <c r="L46" i="161"/>
  <c r="L48" i="161"/>
  <c r="L50" i="161"/>
  <c r="L52" i="161"/>
  <c r="L54" i="161"/>
  <c r="L56" i="161"/>
  <c r="L58" i="161"/>
  <c r="L60" i="161"/>
  <c r="L62" i="161"/>
  <c r="L64" i="161"/>
  <c r="L66" i="161"/>
  <c r="L68" i="161"/>
  <c r="L70" i="161"/>
  <c r="L72" i="161"/>
  <c r="L74" i="161"/>
  <c r="L76" i="161"/>
  <c r="L78" i="161"/>
  <c r="L80" i="161"/>
  <c r="L82" i="161"/>
  <c r="L84" i="161"/>
  <c r="L86" i="161"/>
  <c r="L30" i="161"/>
  <c r="O73" i="110" s="1"/>
  <c r="L26" i="161"/>
  <c r="L24" i="161"/>
  <c r="BE24" i="161" s="1"/>
  <c r="L22" i="161"/>
  <c r="O69" i="110" s="1"/>
  <c r="L20" i="161"/>
  <c r="L18" i="161"/>
  <c r="BE26" i="161" l="1"/>
  <c r="O71" i="110" s="1"/>
  <c r="BE18" i="161"/>
  <c r="BF18" i="161"/>
  <c r="O70" i="110"/>
  <c r="BE20" i="161"/>
  <c r="O68" i="110" s="1"/>
  <c r="N70" i="110"/>
  <c r="P70" i="110"/>
  <c r="BD24" i="161"/>
  <c r="BD22" i="161"/>
  <c r="BD20" i="161"/>
  <c r="R18" i="158"/>
  <c r="AF4" i="110" s="1"/>
  <c r="J6" i="202"/>
  <c r="K6" i="202" s="1"/>
  <c r="B5" i="3"/>
  <c r="B4" i="3"/>
  <c r="B2" i="3"/>
  <c r="B1" i="3"/>
  <c r="B6" i="247"/>
  <c r="BJ18" i="161" l="1"/>
  <c r="AO24" i="161"/>
  <c r="AO22" i="161"/>
  <c r="AO20" i="161"/>
  <c r="AX20" i="161" s="1"/>
  <c r="B6" i="3"/>
  <c r="B3" i="3"/>
  <c r="AR30" i="176"/>
  <c r="AR26" i="168" l="1"/>
  <c r="AR28" i="168"/>
  <c r="AR30" i="168"/>
  <c r="AR32" i="168"/>
  <c r="AR34" i="168"/>
  <c r="AR36" i="168"/>
  <c r="AM20" i="163" l="1"/>
  <c r="AM22" i="163"/>
  <c r="AM24" i="163"/>
  <c r="AM26" i="163"/>
  <c r="AM28" i="163"/>
  <c r="AM30" i="163"/>
  <c r="AM32" i="163"/>
  <c r="AM34" i="163"/>
  <c r="AM36" i="163"/>
  <c r="AM18" i="163"/>
  <c r="AM20" i="162"/>
  <c r="AM22" i="162"/>
  <c r="AM24" i="162"/>
  <c r="AM26" i="162"/>
  <c r="AM28" i="162"/>
  <c r="AM30" i="162"/>
  <c r="AM32" i="162"/>
  <c r="AM34" i="162"/>
  <c r="AM36" i="162"/>
  <c r="AM18" i="162"/>
  <c r="AM18" i="182"/>
  <c r="BG18" i="182" s="1"/>
  <c r="AM20" i="161"/>
  <c r="AM22" i="161"/>
  <c r="AM24" i="161"/>
  <c r="AM26" i="161"/>
  <c r="AM28" i="161"/>
  <c r="AM30" i="161"/>
  <c r="AM32" i="161"/>
  <c r="AM34" i="161"/>
  <c r="AM36" i="161"/>
  <c r="AM38" i="161"/>
  <c r="AM40" i="161"/>
  <c r="AM42" i="161"/>
  <c r="AM44" i="161"/>
  <c r="AM46" i="161"/>
  <c r="AM48" i="161"/>
  <c r="AM50" i="161"/>
  <c r="AM52" i="161"/>
  <c r="AM54" i="161"/>
  <c r="AM56" i="161"/>
  <c r="AM58" i="161"/>
  <c r="AM60" i="161"/>
  <c r="AM62" i="161"/>
  <c r="AM64" i="161"/>
  <c r="AM66" i="161"/>
  <c r="AM68" i="161"/>
  <c r="AM70" i="161"/>
  <c r="AM72" i="161"/>
  <c r="AM74" i="161"/>
  <c r="AM76" i="161"/>
  <c r="AM78" i="161"/>
  <c r="AM80" i="161"/>
  <c r="AM82" i="161"/>
  <c r="AM84" i="161"/>
  <c r="AM86" i="161"/>
  <c r="AM18" i="161"/>
  <c r="AM20" i="160"/>
  <c r="AM22" i="160"/>
  <c r="AM24" i="160"/>
  <c r="AM26" i="160"/>
  <c r="AM28" i="160"/>
  <c r="AM30" i="160"/>
  <c r="AM32" i="160"/>
  <c r="AM34" i="160"/>
  <c r="AM36" i="160"/>
  <c r="AM18" i="160"/>
  <c r="BG36" i="159"/>
  <c r="AM20" i="158"/>
  <c r="AM22" i="158"/>
  <c r="AM24" i="158"/>
  <c r="AM26" i="158"/>
  <c r="AM28" i="158"/>
  <c r="AM30" i="158"/>
  <c r="AM32" i="158"/>
  <c r="AM34" i="158"/>
  <c r="AM36" i="158"/>
  <c r="AM38" i="158"/>
  <c r="AM40" i="158"/>
  <c r="AM42" i="158"/>
  <c r="AM44" i="158"/>
  <c r="AM46" i="158"/>
  <c r="AM48" i="158"/>
  <c r="AM50" i="158"/>
  <c r="AM52" i="158"/>
  <c r="AM54" i="158"/>
  <c r="AM56" i="158"/>
  <c r="AM58" i="158"/>
  <c r="AM60" i="158"/>
  <c r="AM62" i="158"/>
  <c r="AM64" i="158"/>
  <c r="AM66" i="158"/>
  <c r="AM68" i="158"/>
  <c r="AM70" i="158"/>
  <c r="AM72" i="158"/>
  <c r="AM74" i="158"/>
  <c r="AM76" i="158"/>
  <c r="AM18" i="158"/>
  <c r="AJ23" i="148"/>
  <c r="AC23" i="148"/>
  <c r="V23" i="148"/>
  <c r="O23" i="148"/>
  <c r="H23" i="148"/>
  <c r="AF36" i="176"/>
  <c r="AF20" i="176"/>
  <c r="AF22" i="176"/>
  <c r="AF24" i="176"/>
  <c r="AF18" i="176"/>
  <c r="AF20" i="13"/>
  <c r="AF22" i="13"/>
  <c r="AF24" i="13"/>
  <c r="AF26" i="13"/>
  <c r="AF28" i="13"/>
  <c r="AF30" i="13"/>
  <c r="AF32" i="13"/>
  <c r="AF34" i="13"/>
  <c r="AF36" i="13"/>
  <c r="AF18" i="13"/>
  <c r="AF20" i="171"/>
  <c r="AF22" i="171"/>
  <c r="AF24" i="171"/>
  <c r="AF26" i="171"/>
  <c r="AF28" i="171"/>
  <c r="AF30" i="171"/>
  <c r="AF32" i="171"/>
  <c r="AF34" i="171"/>
  <c r="AF36" i="171"/>
  <c r="AF18" i="171"/>
  <c r="AF20" i="175"/>
  <c r="AF22" i="175"/>
  <c r="AF24" i="175"/>
  <c r="AF26" i="175"/>
  <c r="AF28" i="175"/>
  <c r="AF30" i="175"/>
  <c r="AF32" i="175"/>
  <c r="AF34" i="175"/>
  <c r="AF36" i="175"/>
  <c r="AF18" i="175"/>
  <c r="AF20" i="170"/>
  <c r="AF22" i="170"/>
  <c r="AJ22" i="170" s="1"/>
  <c r="AF24" i="170"/>
  <c r="AF26" i="170"/>
  <c r="AF28" i="170"/>
  <c r="AF30" i="170"/>
  <c r="AF32" i="170"/>
  <c r="AF34" i="170"/>
  <c r="AF36" i="170"/>
  <c r="AF18" i="170"/>
  <c r="AJ18" i="170" s="1"/>
  <c r="AF20" i="169"/>
  <c r="AF22" i="169"/>
  <c r="AF24" i="169"/>
  <c r="AF26" i="169"/>
  <c r="AF28" i="169"/>
  <c r="AF30" i="169"/>
  <c r="AF32" i="169"/>
  <c r="AF34" i="169"/>
  <c r="AF36" i="169"/>
  <c r="AF18" i="169"/>
  <c r="Q1" i="8" a="1"/>
  <c r="Q1" i="8" s="1"/>
  <c r="Q1" i="81" s="1"/>
  <c r="Q1" i="155" l="1"/>
  <c r="Q1" i="156"/>
  <c r="Q1" i="180"/>
  <c r="Q1" i="14"/>
  <c r="Q1" i="153"/>
  <c r="Q1" i="154"/>
  <c r="Q1" i="13"/>
  <c r="Q1" i="176"/>
  <c r="Q1" i="175"/>
  <c r="Q1" i="171"/>
  <c r="Q1" i="169"/>
  <c r="Q1" i="170"/>
  <c r="Q1" i="167"/>
  <c r="Q1" i="168"/>
  <c r="Q1" i="162"/>
  <c r="Q1" i="163"/>
  <c r="Q1" i="161"/>
  <c r="Q1" i="182"/>
  <c r="Q1" i="159"/>
  <c r="Q1" i="160"/>
  <c r="Q1" i="151"/>
  <c r="Q1" i="158"/>
  <c r="Q1" i="147"/>
  <c r="Q1" i="148"/>
  <c r="Q1" i="144"/>
  <c r="Q1" i="166"/>
  <c r="AJ36" i="176"/>
  <c r="AJ18" i="169"/>
  <c r="AR18" i="169" s="1"/>
  <c r="AJ34" i="169"/>
  <c r="AR34" i="169" s="1"/>
  <c r="AJ36" i="169"/>
  <c r="AR36" i="169" s="1"/>
  <c r="AJ32" i="169"/>
  <c r="AR32" i="169" s="1"/>
  <c r="AJ30" i="169"/>
  <c r="AR30" i="169" s="1"/>
  <c r="AJ28" i="169"/>
  <c r="AR28" i="169" s="1"/>
  <c r="AJ26" i="169"/>
  <c r="AR26" i="169" s="1"/>
  <c r="AJ24" i="169"/>
  <c r="AR24" i="169" s="1"/>
  <c r="AJ22" i="169"/>
  <c r="AR22" i="169" s="1"/>
  <c r="AJ20" i="169"/>
  <c r="AR20" i="169" s="1"/>
  <c r="AM287" i="110" l="1"/>
  <c r="AI287" i="110"/>
  <c r="A287" i="110"/>
  <c r="AR36" i="176"/>
  <c r="AJ24" i="176"/>
  <c r="AR24" i="176" s="1"/>
  <c r="T36" i="176"/>
  <c r="AP38" i="109"/>
  <c r="AP37" i="109"/>
  <c r="AP36" i="109"/>
  <c r="AP35" i="109"/>
  <c r="AL34" i="109"/>
  <c r="AP33" i="109"/>
  <c r="AL32" i="109"/>
  <c r="AL31" i="109"/>
  <c r="AP30" i="109"/>
  <c r="AL30" i="109"/>
  <c r="AL29" i="109"/>
  <c r="AP28" i="109"/>
  <c r="AL27" i="109"/>
  <c r="AP26" i="109"/>
  <c r="AL25" i="109"/>
  <c r="AP24" i="109"/>
  <c r="AP23" i="109"/>
  <c r="AL22" i="109"/>
  <c r="AP21" i="109"/>
  <c r="AL21" i="109"/>
  <c r="AL20" i="109"/>
  <c r="AP19" i="109"/>
  <c r="AL18" i="109"/>
  <c r="AP17" i="109"/>
  <c r="AL16" i="109"/>
  <c r="AP15" i="109"/>
  <c r="AL15" i="109"/>
  <c r="AL36" i="176" l="1"/>
  <c r="K27" i="3" s="1"/>
  <c r="AC36" i="176"/>
  <c r="Z36" i="176"/>
  <c r="Q26" i="3"/>
  <c r="G26" i="3"/>
  <c r="G27" i="3"/>
  <c r="AZ36" i="176"/>
  <c r="BE36" i="176"/>
  <c r="BF36" i="176"/>
  <c r="BB36" i="176"/>
  <c r="BA36" i="176"/>
  <c r="BK36" i="176" l="1"/>
  <c r="BJ36" i="176"/>
  <c r="BD36" i="176"/>
  <c r="E287" i="110" s="1"/>
  <c r="BC36" i="176"/>
  <c r="AO36" i="176" l="1"/>
  <c r="I27" i="3" s="1"/>
  <c r="BG36" i="176" l="1"/>
  <c r="J27" i="3" s="1"/>
  <c r="BI36" i="176"/>
  <c r="BM36" i="176" s="1"/>
  <c r="BF20" i="168"/>
  <c r="BF22" i="168"/>
  <c r="BF24" i="168"/>
  <c r="BF26" i="168"/>
  <c r="BF28" i="168"/>
  <c r="BF30" i="168"/>
  <c r="BF32" i="168"/>
  <c r="BF34" i="168"/>
  <c r="BF36" i="168"/>
  <c r="R76" i="158" l="1"/>
  <c r="AF33" i="110" s="1"/>
  <c r="T76" i="158"/>
  <c r="AG33" i="110" s="1"/>
  <c r="T18" i="158"/>
  <c r="AG4" i="110" s="1"/>
  <c r="AY86" i="161" l="1"/>
  <c r="BQ86" i="161"/>
  <c r="BL86" i="161"/>
  <c r="AZ86" i="161"/>
  <c r="N101" i="110" s="1"/>
  <c r="BA86" i="161"/>
  <c r="P101" i="110" s="1"/>
  <c r="BJ86" i="161"/>
  <c r="AX86" i="161"/>
  <c r="AR86" i="161"/>
  <c r="AO86" i="161"/>
  <c r="BD86" i="161"/>
  <c r="N68" i="110"/>
  <c r="P68" i="110"/>
  <c r="AT37" i="110" a="1"/>
  <c r="AT37" i="110" s="1"/>
  <c r="AT38" i="110" a="1"/>
  <c r="AT38" i="110" s="1"/>
  <c r="AT39" i="110" a="1"/>
  <c r="AT39" i="110" s="1"/>
  <c r="AT40" i="110" a="1"/>
  <c r="AT40" i="110" s="1"/>
  <c r="AT41" i="110" a="1"/>
  <c r="AT41" i="110" s="1"/>
  <c r="AT42" i="110" a="1"/>
  <c r="AT42" i="110" s="1"/>
  <c r="AT43" i="110" a="1"/>
  <c r="AT43" i="110" s="1"/>
  <c r="BH86" i="161" l="1"/>
  <c r="R101" i="110"/>
  <c r="R20" i="158"/>
  <c r="AF5" i="110" s="1"/>
  <c r="J697" i="202"/>
  <c r="K697" i="202" s="1"/>
  <c r="J695" i="202"/>
  <c r="K695" i="202" s="1"/>
  <c r="J630" i="202"/>
  <c r="K630" i="202" s="1"/>
  <c r="J631" i="202"/>
  <c r="K631" i="202" s="1"/>
  <c r="O18" i="167" l="1"/>
  <c r="BL28" i="161" l="1"/>
  <c r="BJ28" i="161"/>
  <c r="AX28" i="161"/>
  <c r="BQ28" i="161"/>
  <c r="AZ28" i="161"/>
  <c r="N72" i="110" s="1"/>
  <c r="AY28" i="161"/>
  <c r="BA28" i="161"/>
  <c r="AR26" i="161"/>
  <c r="N71" i="110"/>
  <c r="P71" i="110"/>
  <c r="P72" i="110"/>
  <c r="AO28" i="161"/>
  <c r="AR28" i="161"/>
  <c r="BD28" i="161"/>
  <c r="AO26" i="161"/>
  <c r="BD26" i="161"/>
  <c r="BF18" i="167"/>
  <c r="BE18" i="167"/>
  <c r="BM18" i="167"/>
  <c r="BJ18" i="167"/>
  <c r="C151" i="110" s="1"/>
  <c r="AF151" i="110"/>
  <c r="AR18" i="167"/>
  <c r="AO18" i="167"/>
  <c r="BB18" i="167"/>
  <c r="AE151" i="110" s="1" a="1"/>
  <c r="AE151" i="110" s="1"/>
  <c r="BA18" i="167"/>
  <c r="AD151" i="110" s="1" a="1"/>
  <c r="AD151" i="110" s="1"/>
  <c r="AX18" i="167"/>
  <c r="N69" i="110"/>
  <c r="P69" i="110"/>
  <c r="AJ22" i="175"/>
  <c r="AR22" i="175" s="1"/>
  <c r="AJ20" i="175"/>
  <c r="AR20" i="175" s="1"/>
  <c r="AJ18" i="175"/>
  <c r="AR18" i="175" s="1"/>
  <c r="AJ20" i="170"/>
  <c r="AJ18" i="171"/>
  <c r="AJ18" i="176"/>
  <c r="AR18" i="176" s="1"/>
  <c r="AJ18" i="13"/>
  <c r="AJ20" i="176"/>
  <c r="AR20" i="176" s="1"/>
  <c r="A123" i="109"/>
  <c r="A122" i="109"/>
  <c r="BH28" i="161" l="1"/>
  <c r="BH26" i="161"/>
  <c r="AN151" i="110"/>
  <c r="AR18" i="13"/>
  <c r="AO18" i="13"/>
  <c r="AO18" i="171"/>
  <c r="AR18" i="171"/>
  <c r="BC18" i="13"/>
  <c r="AD246" i="110" s="1" a="1"/>
  <c r="AD246" i="110" s="1"/>
  <c r="BO18" i="13"/>
  <c r="BG18" i="13"/>
  <c r="BL18" i="13"/>
  <c r="C246" i="110" s="1"/>
  <c r="AX18" i="13"/>
  <c r="BD18" i="13"/>
  <c r="AE246" i="110" s="1" a="1"/>
  <c r="AE246" i="110" s="1"/>
  <c r="BC18" i="171"/>
  <c r="AD230" i="110" s="1" a="1"/>
  <c r="AD230" i="110" s="1"/>
  <c r="BG18" i="171"/>
  <c r="AX18" i="171"/>
  <c r="BD18" i="171"/>
  <c r="AE230" i="110" s="1" a="1"/>
  <c r="AE230" i="110" s="1"/>
  <c r="BL18" i="171"/>
  <c r="C230" i="110" s="1"/>
  <c r="BO18" i="171"/>
  <c r="BI18" i="167"/>
  <c r="R72" i="110"/>
  <c r="R71" i="110"/>
  <c r="BD30" i="109"/>
  <c r="BC30" i="109"/>
  <c r="BB30" i="109"/>
  <c r="BA30" i="109"/>
  <c r="AZ30" i="109"/>
  <c r="AY30" i="109"/>
  <c r="AX30" i="109"/>
  <c r="AW30" i="109"/>
  <c r="AV30" i="109"/>
  <c r="BD23" i="109"/>
  <c r="BC23" i="109"/>
  <c r="BB23" i="109"/>
  <c r="BA23" i="109"/>
  <c r="AZ23" i="109"/>
  <c r="AY23" i="109"/>
  <c r="AX23" i="109"/>
  <c r="AW23" i="109"/>
  <c r="AV23" i="109"/>
  <c r="AW16" i="109"/>
  <c r="AX16" i="109"/>
  <c r="AY16" i="109"/>
  <c r="AZ16" i="109"/>
  <c r="BA16" i="109"/>
  <c r="BB16" i="109"/>
  <c r="BC16" i="109"/>
  <c r="BD16" i="109"/>
  <c r="AV16" i="109"/>
  <c r="Y202" i="152"/>
  <c r="AN230" i="110" l="1"/>
  <c r="AN246" i="110"/>
  <c r="BK18" i="13"/>
  <c r="BN18" i="171"/>
  <c r="AC230" i="110" s="1"/>
  <c r="BK18" i="171"/>
  <c r="BN18" i="13"/>
  <c r="AC246" i="110" s="1"/>
  <c r="M246" i="110" l="1"/>
  <c r="AB246" i="110"/>
  <c r="Q246" i="110"/>
  <c r="AA246" i="110"/>
  <c r="P246" i="110"/>
  <c r="L246" i="110"/>
  <c r="AB230" i="110"/>
  <c r="Q230" i="110"/>
  <c r="M230" i="110"/>
  <c r="AA230" i="110"/>
  <c r="P230" i="110"/>
  <c r="L230" i="110"/>
  <c r="D162" i="3" l="1"/>
  <c r="B75" i="3"/>
  <c r="B42" i="108" l="1"/>
  <c r="AD272" i="110" l="1" a="1"/>
  <c r="AD272" i="110" s="1"/>
  <c r="AE272" i="110" a="1"/>
  <c r="AE272" i="110" s="1"/>
  <c r="AD273" i="110" a="1"/>
  <c r="AD273" i="110" s="1"/>
  <c r="AE273" i="110" a="1"/>
  <c r="AE273" i="110" s="1"/>
  <c r="AD274" i="110" a="1"/>
  <c r="AD274" i="110" s="1"/>
  <c r="AE274" i="110" a="1"/>
  <c r="AE274" i="110" s="1"/>
  <c r="AD275" i="110" a="1"/>
  <c r="AD275" i="110" s="1"/>
  <c r="AE275" i="110" a="1"/>
  <c r="AE275" i="110" s="1"/>
  <c r="AD276" i="110" a="1"/>
  <c r="AD276" i="110" s="1"/>
  <c r="AE276" i="110" a="1"/>
  <c r="AE276" i="110" s="1"/>
  <c r="AD224" i="110" a="1"/>
  <c r="AD224" i="110" s="1"/>
  <c r="AE224" i="110" a="1"/>
  <c r="AE224" i="110" s="1"/>
  <c r="AD225" i="110" a="1"/>
  <c r="AD225" i="110" s="1"/>
  <c r="AE225" i="110" a="1"/>
  <c r="AE225" i="110" s="1"/>
  <c r="AD226" i="110" a="1"/>
  <c r="AD226" i="110" s="1"/>
  <c r="AE226" i="110" a="1"/>
  <c r="AE226" i="110" s="1"/>
  <c r="AD227" i="110" a="1"/>
  <c r="AD227" i="110" s="1"/>
  <c r="AE227" i="110" a="1"/>
  <c r="AE227" i="110" s="1"/>
  <c r="AD228" i="110" a="1"/>
  <c r="AD228" i="110" s="1"/>
  <c r="AE228" i="110" a="1"/>
  <c r="AE228" i="110" s="1"/>
  <c r="AD208" i="110" a="1"/>
  <c r="AD208" i="110" s="1"/>
  <c r="AE208" i="110" a="1"/>
  <c r="AE208" i="110" s="1"/>
  <c r="AD209" i="110" a="1"/>
  <c r="AD209" i="110" s="1"/>
  <c r="AE209" i="110" a="1"/>
  <c r="AE209" i="110" s="1"/>
  <c r="AD210" i="110" a="1"/>
  <c r="AD210" i="110" s="1"/>
  <c r="AE210" i="110" a="1"/>
  <c r="AE210" i="110" s="1"/>
  <c r="AD211" i="110" a="1"/>
  <c r="AD211" i="110" s="1"/>
  <c r="AE211" i="110" a="1"/>
  <c r="AE211" i="110" s="1"/>
  <c r="AD212" i="110" a="1"/>
  <c r="AD212" i="110" s="1"/>
  <c r="AE212" i="110" a="1"/>
  <c r="AE212" i="110" s="1"/>
  <c r="AD192" i="110" a="1"/>
  <c r="AD192" i="110" s="1"/>
  <c r="AE192" i="110" a="1"/>
  <c r="AE192" i="110" s="1"/>
  <c r="AD193" i="110" a="1"/>
  <c r="AD193" i="110" s="1"/>
  <c r="AE193" i="110" a="1"/>
  <c r="AE193" i="110" s="1"/>
  <c r="AD194" i="110" a="1"/>
  <c r="AD194" i="110" s="1"/>
  <c r="AE194" i="110" a="1"/>
  <c r="AE194" i="110" s="1"/>
  <c r="AD195" i="110" a="1"/>
  <c r="AD195" i="110" s="1"/>
  <c r="AE195" i="110" a="1"/>
  <c r="AE195" i="110" s="1"/>
  <c r="AD196" i="110" a="1"/>
  <c r="AD196" i="110" s="1"/>
  <c r="AE196" i="110" a="1"/>
  <c r="AE196" i="110" s="1"/>
  <c r="T24" i="158" l="1"/>
  <c r="AG7" i="110" s="1"/>
  <c r="BH200" i="175" l="1"/>
  <c r="BH200" i="170"/>
  <c r="BH200" i="169"/>
  <c r="BF200" i="168"/>
  <c r="W50" i="81"/>
  <c r="W49" i="81"/>
  <c r="W48" i="81"/>
  <c r="AB47" i="81"/>
  <c r="W47" i="81"/>
  <c r="AD52" i="81"/>
  <c r="AB52" i="81"/>
  <c r="W52" i="81"/>
  <c r="W51" i="81"/>
  <c r="W46" i="81"/>
  <c r="J137" i="202" l="1"/>
  <c r="K137" i="202" s="1"/>
  <c r="J136" i="202"/>
  <c r="AZ20" i="175" l="1"/>
  <c r="BE20" i="175"/>
  <c r="BF20" i="175"/>
  <c r="AZ22" i="175"/>
  <c r="BE22" i="175"/>
  <c r="BF22" i="175"/>
  <c r="AZ24" i="175"/>
  <c r="BE24" i="175"/>
  <c r="BF24" i="175"/>
  <c r="BJ24" i="175" s="1"/>
  <c r="AZ26" i="175"/>
  <c r="BE26" i="175"/>
  <c r="BF26" i="175"/>
  <c r="BJ26" i="175" s="1"/>
  <c r="AZ28" i="175"/>
  <c r="BE28" i="175"/>
  <c r="BF28" i="175"/>
  <c r="BJ28" i="175" s="1"/>
  <c r="AZ30" i="175"/>
  <c r="BE30" i="175"/>
  <c r="BF30" i="175"/>
  <c r="BJ30" i="175" s="1"/>
  <c r="AZ32" i="175"/>
  <c r="BE32" i="175"/>
  <c r="BF32" i="175"/>
  <c r="AZ34" i="175"/>
  <c r="BE34" i="175"/>
  <c r="BF34" i="175"/>
  <c r="BJ34" i="175" s="1"/>
  <c r="AZ36" i="175"/>
  <c r="BE36" i="175"/>
  <c r="BF36" i="175"/>
  <c r="BJ36" i="175" s="1"/>
  <c r="AC272" i="110"/>
  <c r="AC273" i="110"/>
  <c r="AC274" i="110"/>
  <c r="AC275" i="110"/>
  <c r="AC276" i="110"/>
  <c r="C272" i="110"/>
  <c r="C273" i="110"/>
  <c r="C274" i="110"/>
  <c r="C275" i="110"/>
  <c r="C276" i="110"/>
  <c r="AC224" i="110"/>
  <c r="AC225" i="110"/>
  <c r="AC226" i="110"/>
  <c r="AC227" i="110"/>
  <c r="AC228" i="110"/>
  <c r="C224" i="110"/>
  <c r="C225" i="110"/>
  <c r="C226" i="110"/>
  <c r="C227" i="110"/>
  <c r="C228" i="110"/>
  <c r="AC208" i="110"/>
  <c r="AC209" i="110"/>
  <c r="AC210" i="110"/>
  <c r="AC211" i="110"/>
  <c r="AC212" i="110"/>
  <c r="C208" i="110"/>
  <c r="C209" i="110"/>
  <c r="C210" i="110"/>
  <c r="C211" i="110"/>
  <c r="C212" i="110"/>
  <c r="AC192" i="110"/>
  <c r="AC193" i="110"/>
  <c r="AC194" i="110"/>
  <c r="AC195" i="110"/>
  <c r="AC196" i="110"/>
  <c r="C192" i="110"/>
  <c r="C193" i="110"/>
  <c r="C194" i="110"/>
  <c r="C195" i="110"/>
  <c r="C196" i="110"/>
  <c r="Q258" i="110" l="1"/>
  <c r="W258" i="110"/>
  <c r="AA258" i="110"/>
  <c r="P258" i="110"/>
  <c r="L258" i="110"/>
  <c r="X258" i="110"/>
  <c r="M258" i="110"/>
  <c r="AB258" i="110"/>
  <c r="W257" i="110"/>
  <c r="L257" i="110"/>
  <c r="AA257" i="110"/>
  <c r="P257" i="110"/>
  <c r="X257" i="110"/>
  <c r="Q257" i="110"/>
  <c r="M257" i="110"/>
  <c r="AB257" i="110"/>
  <c r="AB259" i="110"/>
  <c r="Q259" i="110"/>
  <c r="M259" i="110"/>
  <c r="W259" i="110"/>
  <c r="L259" i="110"/>
  <c r="AA259" i="110"/>
  <c r="P259" i="110"/>
  <c r="X259" i="110"/>
  <c r="AA256" i="110"/>
  <c r="P256" i="110"/>
  <c r="W256" i="110"/>
  <c r="L256" i="110"/>
  <c r="X256" i="110"/>
  <c r="M256" i="110"/>
  <c r="AB256" i="110"/>
  <c r="Q256" i="110"/>
  <c r="X260" i="110"/>
  <c r="M260" i="110"/>
  <c r="AB260" i="110"/>
  <c r="Q260" i="110"/>
  <c r="AA260" i="110"/>
  <c r="P260" i="110"/>
  <c r="L260" i="110"/>
  <c r="W260" i="110"/>
  <c r="AB244" i="110"/>
  <c r="X244" i="110"/>
  <c r="Q244" i="110"/>
  <c r="M244" i="110"/>
  <c r="AA244" i="110"/>
  <c r="W244" i="110"/>
  <c r="P244" i="110"/>
  <c r="L244" i="110"/>
  <c r="AB243" i="110"/>
  <c r="X243" i="110"/>
  <c r="Q243" i="110"/>
  <c r="M243" i="110"/>
  <c r="AA243" i="110"/>
  <c r="P243" i="110"/>
  <c r="W243" i="110"/>
  <c r="L243" i="110"/>
  <c r="AB241" i="110"/>
  <c r="X241" i="110"/>
  <c r="Q241" i="110"/>
  <c r="M241" i="110"/>
  <c r="AA241" i="110"/>
  <c r="W241" i="110"/>
  <c r="P241" i="110"/>
  <c r="L241" i="110"/>
  <c r="AB240" i="110"/>
  <c r="X240" i="110"/>
  <c r="Q240" i="110"/>
  <c r="M240" i="110"/>
  <c r="AA240" i="110"/>
  <c r="W240" i="110"/>
  <c r="P240" i="110"/>
  <c r="L240" i="110"/>
  <c r="AB242" i="110"/>
  <c r="X242" i="110"/>
  <c r="Q242" i="110"/>
  <c r="M242" i="110"/>
  <c r="AA242" i="110"/>
  <c r="W242" i="110"/>
  <c r="P242" i="110"/>
  <c r="L242" i="110"/>
  <c r="W196" i="110"/>
  <c r="M196" i="110"/>
  <c r="X196" i="110"/>
  <c r="L196" i="110"/>
  <c r="M194" i="110"/>
  <c r="X194" i="110"/>
  <c r="W194" i="110"/>
  <c r="L194" i="110"/>
  <c r="M192" i="110"/>
  <c r="X192" i="110"/>
  <c r="L192" i="110"/>
  <c r="W192" i="110"/>
  <c r="M195" i="110"/>
  <c r="X195" i="110"/>
  <c r="L195" i="110"/>
  <c r="W195" i="110"/>
  <c r="M193" i="110"/>
  <c r="X193" i="110"/>
  <c r="L193" i="110"/>
  <c r="W193" i="110"/>
  <c r="BJ22" i="175"/>
  <c r="BK22" i="175"/>
  <c r="BJ32" i="175"/>
  <c r="BJ20" i="175"/>
  <c r="BK20" i="175"/>
  <c r="P195" i="110"/>
  <c r="P194" i="110"/>
  <c r="P196" i="110"/>
  <c r="P193" i="110"/>
  <c r="P192" i="110"/>
  <c r="O22" i="167"/>
  <c r="O24" i="167"/>
  <c r="O26" i="167"/>
  <c r="O28" i="167"/>
  <c r="O30" i="167"/>
  <c r="O32" i="167"/>
  <c r="O34" i="167"/>
  <c r="O36" i="167"/>
  <c r="O38" i="167"/>
  <c r="O40" i="167"/>
  <c r="O42" i="167"/>
  <c r="O44" i="167"/>
  <c r="O46" i="167"/>
  <c r="O48" i="167"/>
  <c r="O50" i="167"/>
  <c r="O52" i="167"/>
  <c r="O54" i="167"/>
  <c r="O56" i="167"/>
  <c r="O58" i="167"/>
  <c r="O60" i="167"/>
  <c r="O62" i="167"/>
  <c r="O64" i="167"/>
  <c r="O66" i="167"/>
  <c r="O68" i="167"/>
  <c r="O70" i="167"/>
  <c r="O72" i="167"/>
  <c r="O74" i="167"/>
  <c r="O76" i="167"/>
  <c r="AG6" i="110"/>
  <c r="R24" i="158"/>
  <c r="AF7" i="110" s="1"/>
  <c r="R26" i="158"/>
  <c r="AF8" i="110" s="1"/>
  <c r="T26" i="158"/>
  <c r="AG8" i="110" s="1"/>
  <c r="T28" i="158"/>
  <c r="AG9" i="110" s="1"/>
  <c r="T30" i="158"/>
  <c r="AG10" i="110" s="1"/>
  <c r="R32" i="158"/>
  <c r="AF11" i="110" s="1"/>
  <c r="T32" i="158"/>
  <c r="AG11" i="110" s="1"/>
  <c r="R34" i="158"/>
  <c r="AF12" i="110" s="1"/>
  <c r="T34" i="158"/>
  <c r="AG12" i="110" s="1"/>
  <c r="R36" i="158"/>
  <c r="AF13" i="110" s="1"/>
  <c r="T36" i="158"/>
  <c r="AG13" i="110" s="1"/>
  <c r="R38" i="158"/>
  <c r="AF14" i="110" s="1"/>
  <c r="T38" i="158"/>
  <c r="AG14" i="110" s="1"/>
  <c r="R40" i="158"/>
  <c r="AF15" i="110" s="1"/>
  <c r="T40" i="158"/>
  <c r="AG15" i="110" s="1"/>
  <c r="R42" i="158"/>
  <c r="AF16" i="110" s="1"/>
  <c r="T42" i="158"/>
  <c r="AG16" i="110" s="1"/>
  <c r="R44" i="158"/>
  <c r="AF17" i="110" s="1"/>
  <c r="T44" i="158"/>
  <c r="AG17" i="110" s="1"/>
  <c r="R46" i="158"/>
  <c r="AF18" i="110" s="1"/>
  <c r="T46" i="158"/>
  <c r="AG18" i="110" s="1"/>
  <c r="R48" i="158"/>
  <c r="AF19" i="110" s="1"/>
  <c r="T48" i="158"/>
  <c r="AG19" i="110" s="1"/>
  <c r="R50" i="158"/>
  <c r="AF20" i="110" s="1"/>
  <c r="T50" i="158"/>
  <c r="AG20" i="110" s="1"/>
  <c r="R52" i="158"/>
  <c r="AF21" i="110" s="1"/>
  <c r="T52" i="158"/>
  <c r="AG21" i="110" s="1"/>
  <c r="R54" i="158"/>
  <c r="AF22" i="110" s="1"/>
  <c r="T54" i="158"/>
  <c r="AG22" i="110" s="1"/>
  <c r="R56" i="158"/>
  <c r="AF23" i="110" s="1"/>
  <c r="T56" i="158"/>
  <c r="AG23" i="110" s="1"/>
  <c r="R58" i="158"/>
  <c r="AF24" i="110" s="1"/>
  <c r="T58" i="158"/>
  <c r="AG24" i="110" s="1"/>
  <c r="R60" i="158"/>
  <c r="AF25" i="110" s="1"/>
  <c r="T60" i="158"/>
  <c r="AG25" i="110" s="1"/>
  <c r="R62" i="158"/>
  <c r="AF26" i="110" s="1"/>
  <c r="T62" i="158"/>
  <c r="AG26" i="110" s="1"/>
  <c r="R64" i="158"/>
  <c r="AF27" i="110" s="1"/>
  <c r="T64" i="158"/>
  <c r="AG27" i="110" s="1"/>
  <c r="R66" i="158"/>
  <c r="AF28" i="110" s="1"/>
  <c r="T66" i="158"/>
  <c r="AG28" i="110" s="1"/>
  <c r="R68" i="158"/>
  <c r="AF29" i="110" s="1"/>
  <c r="T68" i="158"/>
  <c r="AG29" i="110" s="1"/>
  <c r="R70" i="158"/>
  <c r="AF30" i="110" s="1"/>
  <c r="T70" i="158"/>
  <c r="AG30" i="110" s="1"/>
  <c r="R72" i="158"/>
  <c r="AF31" i="110" s="1"/>
  <c r="T72" i="158"/>
  <c r="AG31" i="110" s="1"/>
  <c r="R74" i="158"/>
  <c r="AF32" i="110" s="1"/>
  <c r="T74" i="158"/>
  <c r="AG32" i="110" s="1"/>
  <c r="BQ70" i="161" l="1"/>
  <c r="BJ70" i="161"/>
  <c r="AX70" i="161"/>
  <c r="AZ70" i="161"/>
  <c r="BA70" i="161"/>
  <c r="AY70" i="161"/>
  <c r="BL70" i="161"/>
  <c r="BJ72" i="161"/>
  <c r="BQ72" i="161"/>
  <c r="AX72" i="161"/>
  <c r="AZ72" i="161"/>
  <c r="N94" i="110" s="1"/>
  <c r="BA72" i="161"/>
  <c r="P94" i="110" s="1"/>
  <c r="BL72" i="161"/>
  <c r="AY72" i="161"/>
  <c r="BJ48" i="161"/>
  <c r="BQ48" i="161"/>
  <c r="AX48" i="161"/>
  <c r="AZ48" i="161"/>
  <c r="BL48" i="161"/>
  <c r="BA48" i="161"/>
  <c r="AY48" i="161"/>
  <c r="BJ68" i="161"/>
  <c r="AX68" i="161"/>
  <c r="AZ68" i="161"/>
  <c r="N92" i="110" s="1"/>
  <c r="BA68" i="161"/>
  <c r="AY68" i="161"/>
  <c r="BQ68" i="161"/>
  <c r="BL68" i="161"/>
  <c r="BJ44" i="161"/>
  <c r="AX44" i="161"/>
  <c r="AZ44" i="161"/>
  <c r="BA44" i="161"/>
  <c r="AY44" i="161"/>
  <c r="BQ44" i="161"/>
  <c r="BL44" i="161"/>
  <c r="BA66" i="161"/>
  <c r="P91" i="110" s="1"/>
  <c r="AY66" i="161"/>
  <c r="BL66" i="161"/>
  <c r="BQ66" i="161"/>
  <c r="BJ66" i="161"/>
  <c r="AZ66" i="161"/>
  <c r="AX66" i="161"/>
  <c r="BA42" i="161"/>
  <c r="AY42" i="161"/>
  <c r="BL42" i="161"/>
  <c r="BQ42" i="161"/>
  <c r="BJ42" i="161"/>
  <c r="AZ42" i="161"/>
  <c r="N79" i="110" s="1"/>
  <c r="AX42" i="161"/>
  <c r="AY64" i="161"/>
  <c r="AX64" i="161"/>
  <c r="BQ64" i="161"/>
  <c r="BL64" i="161"/>
  <c r="BJ64" i="161"/>
  <c r="BA64" i="161"/>
  <c r="AZ64" i="161"/>
  <c r="AY40" i="161"/>
  <c r="BA40" i="161"/>
  <c r="P78" i="110" s="1"/>
  <c r="BQ40" i="161"/>
  <c r="BL40" i="161"/>
  <c r="AX40" i="161"/>
  <c r="AZ40" i="161"/>
  <c r="BJ40" i="161"/>
  <c r="AY62" i="161"/>
  <c r="BQ62" i="161"/>
  <c r="BL62" i="161"/>
  <c r="AZ62" i="161"/>
  <c r="BA62" i="161"/>
  <c r="BJ62" i="161"/>
  <c r="AX62" i="161"/>
  <c r="AY38" i="161"/>
  <c r="BQ38" i="161"/>
  <c r="BL38" i="161"/>
  <c r="AZ38" i="161"/>
  <c r="BA38" i="161"/>
  <c r="BJ38" i="161"/>
  <c r="AX38" i="161"/>
  <c r="AY84" i="161"/>
  <c r="BQ84" i="161"/>
  <c r="BL84" i="161"/>
  <c r="AZ84" i="161"/>
  <c r="N100" i="110" s="1"/>
  <c r="BA84" i="161"/>
  <c r="P100" i="110" s="1"/>
  <c r="BJ84" i="161"/>
  <c r="AX84" i="161"/>
  <c r="AY60" i="161"/>
  <c r="BQ60" i="161"/>
  <c r="BL60" i="161"/>
  <c r="AZ60" i="161"/>
  <c r="BA60" i="161"/>
  <c r="BJ60" i="161"/>
  <c r="AX60" i="161"/>
  <c r="AY36" i="161"/>
  <c r="BQ36" i="161"/>
  <c r="BL36" i="161"/>
  <c r="AZ36" i="161"/>
  <c r="N76" i="110" s="1"/>
  <c r="BA36" i="161"/>
  <c r="P76" i="110" s="1"/>
  <c r="BJ36" i="161"/>
  <c r="AX36" i="161"/>
  <c r="BQ82" i="161"/>
  <c r="AY82" i="161"/>
  <c r="BL82" i="161"/>
  <c r="AZ82" i="161"/>
  <c r="BA82" i="161"/>
  <c r="BJ82" i="161"/>
  <c r="AX82" i="161"/>
  <c r="BQ58" i="161"/>
  <c r="AY58" i="161"/>
  <c r="BL58" i="161"/>
  <c r="AZ58" i="161"/>
  <c r="BA58" i="161"/>
  <c r="BJ58" i="161"/>
  <c r="AX58" i="161"/>
  <c r="BQ34" i="161"/>
  <c r="AY34" i="161"/>
  <c r="BL34" i="161"/>
  <c r="AZ34" i="161"/>
  <c r="BA34" i="161"/>
  <c r="P75" i="110" s="1"/>
  <c r="BJ34" i="161"/>
  <c r="AX34" i="161"/>
  <c r="AZ80" i="161"/>
  <c r="N98" i="110" s="1"/>
  <c r="BL80" i="161"/>
  <c r="BA80" i="161"/>
  <c r="BQ80" i="161"/>
  <c r="BJ80" i="161"/>
  <c r="AX80" i="161"/>
  <c r="AY80" i="161"/>
  <c r="AZ56" i="161"/>
  <c r="BL56" i="161"/>
  <c r="BA56" i="161"/>
  <c r="P86" i="110" s="1"/>
  <c r="BJ56" i="161"/>
  <c r="AX56" i="161"/>
  <c r="BQ56" i="161"/>
  <c r="AY56" i="161"/>
  <c r="BQ32" i="161"/>
  <c r="AZ32" i="161"/>
  <c r="BL32" i="161"/>
  <c r="BA32" i="161"/>
  <c r="BJ32" i="161"/>
  <c r="AX32" i="161"/>
  <c r="AY32" i="161"/>
  <c r="BA78" i="161"/>
  <c r="P97" i="110" s="1"/>
  <c r="BL78" i="161"/>
  <c r="AY78" i="161"/>
  <c r="BJ78" i="161"/>
  <c r="AX78" i="161"/>
  <c r="BQ78" i="161"/>
  <c r="AZ78" i="161"/>
  <c r="BA54" i="161"/>
  <c r="BL54" i="161"/>
  <c r="BJ54" i="161"/>
  <c r="AX54" i="161"/>
  <c r="BQ54" i="161"/>
  <c r="AY54" i="161"/>
  <c r="AZ54" i="161"/>
  <c r="N85" i="110" s="1"/>
  <c r="BA30" i="161"/>
  <c r="P73" i="110" s="1"/>
  <c r="BL30" i="161"/>
  <c r="AY30" i="161"/>
  <c r="BJ30" i="161"/>
  <c r="AX30" i="161"/>
  <c r="BQ30" i="161"/>
  <c r="AZ30" i="161"/>
  <c r="BQ46" i="161"/>
  <c r="BJ46" i="161"/>
  <c r="AX46" i="161"/>
  <c r="AZ46" i="161"/>
  <c r="N81" i="110" s="1"/>
  <c r="BA46" i="161"/>
  <c r="P81" i="110" s="1"/>
  <c r="AY46" i="161"/>
  <c r="BL46" i="161"/>
  <c r="BL76" i="161"/>
  <c r="BA76" i="161"/>
  <c r="BJ76" i="161"/>
  <c r="AX76" i="161"/>
  <c r="BQ76" i="161"/>
  <c r="AZ76" i="161"/>
  <c r="N96" i="110" s="1"/>
  <c r="AY76" i="161"/>
  <c r="BL52" i="161"/>
  <c r="BJ52" i="161"/>
  <c r="AX52" i="161"/>
  <c r="BA52" i="161"/>
  <c r="P84" i="110" s="1"/>
  <c r="BQ52" i="161"/>
  <c r="AZ52" i="161"/>
  <c r="N84" i="110" s="1"/>
  <c r="AY52" i="161"/>
  <c r="BJ74" i="161"/>
  <c r="AX74" i="161"/>
  <c r="BQ74" i="161"/>
  <c r="AZ74" i="161"/>
  <c r="N95" i="110" s="1"/>
  <c r="BA74" i="161"/>
  <c r="AY74" i="161"/>
  <c r="BL74" i="161"/>
  <c r="BJ50" i="161"/>
  <c r="AX50" i="161"/>
  <c r="BQ50" i="161"/>
  <c r="AZ50" i="161"/>
  <c r="N83" i="110" s="1"/>
  <c r="BA50" i="161"/>
  <c r="AY50" i="161"/>
  <c r="BL50" i="161"/>
  <c r="N90" i="110"/>
  <c r="P88" i="110"/>
  <c r="N88" i="110"/>
  <c r="N87" i="110"/>
  <c r="P87" i="110"/>
  <c r="N89" i="110"/>
  <c r="P89" i="110"/>
  <c r="N73" i="110"/>
  <c r="P85" i="110"/>
  <c r="N99" i="110"/>
  <c r="P99" i="110"/>
  <c r="P83" i="110"/>
  <c r="P98" i="110"/>
  <c r="P82" i="110"/>
  <c r="N97" i="110"/>
  <c r="P95" i="110"/>
  <c r="P79" i="110"/>
  <c r="N78" i="110"/>
  <c r="N93" i="110"/>
  <c r="P93" i="110"/>
  <c r="N77" i="110"/>
  <c r="P77" i="110"/>
  <c r="P92" i="110"/>
  <c r="N91" i="110"/>
  <c r="N75" i="110"/>
  <c r="AX72" i="167"/>
  <c r="BA72" i="167"/>
  <c r="AD178" i="110" s="1" a="1"/>
  <c r="AD178" i="110" s="1"/>
  <c r="BB72" i="167"/>
  <c r="AE178" i="110" s="1" a="1"/>
  <c r="AE178" i="110" s="1"/>
  <c r="BE72" i="167"/>
  <c r="BF72" i="167"/>
  <c r="BJ72" i="167"/>
  <c r="BM72" i="167"/>
  <c r="AX48" i="167"/>
  <c r="AN166" i="110" s="1"/>
  <c r="BA48" i="167"/>
  <c r="AD166" i="110" s="1" a="1"/>
  <c r="AD166" i="110" s="1"/>
  <c r="BB48" i="167"/>
  <c r="AE166" i="110" s="1" a="1"/>
  <c r="AE166" i="110" s="1"/>
  <c r="BE48" i="167"/>
  <c r="BF48" i="167"/>
  <c r="BJ48" i="167"/>
  <c r="C166" i="110" s="1"/>
  <c r="BM48" i="167"/>
  <c r="AX24" i="167"/>
  <c r="AN154" i="110" s="1"/>
  <c r="BA24" i="167"/>
  <c r="AD154" i="110" s="1" a="1"/>
  <c r="AD154" i="110" s="1"/>
  <c r="BB24" i="167"/>
  <c r="AE154" i="110" s="1" a="1"/>
  <c r="AE154" i="110" s="1"/>
  <c r="BE24" i="167"/>
  <c r="BF24" i="167"/>
  <c r="BJ24" i="167"/>
  <c r="C154" i="110" s="1"/>
  <c r="BM24" i="167"/>
  <c r="BD64" i="161"/>
  <c r="AO64" i="161"/>
  <c r="AR64" i="161"/>
  <c r="AR40" i="161"/>
  <c r="BD40" i="161"/>
  <c r="AO40" i="161"/>
  <c r="BM70" i="167"/>
  <c r="AX70" i="167"/>
  <c r="AN177" i="110" s="1"/>
  <c r="BA70" i="167"/>
  <c r="AD177" i="110" s="1" a="1"/>
  <c r="AD177" i="110" s="1"/>
  <c r="BB70" i="167"/>
  <c r="AE177" i="110" s="1" a="1"/>
  <c r="AE177" i="110" s="1"/>
  <c r="BE70" i="167"/>
  <c r="BF70" i="167"/>
  <c r="BJ70" i="167"/>
  <c r="C177" i="110" s="1"/>
  <c r="BM46" i="167"/>
  <c r="AX46" i="167"/>
  <c r="AN165" i="110" s="1"/>
  <c r="BA46" i="167"/>
  <c r="AD165" i="110" s="1" a="1"/>
  <c r="AD165" i="110" s="1"/>
  <c r="BB46" i="167"/>
  <c r="AE165" i="110" s="1" a="1"/>
  <c r="AE165" i="110" s="1"/>
  <c r="BE46" i="167"/>
  <c r="BF46" i="167"/>
  <c r="BJ46" i="167"/>
  <c r="C165" i="110" s="1"/>
  <c r="BM22" i="167"/>
  <c r="BA22" i="167"/>
  <c r="AD153" i="110" s="1" a="1"/>
  <c r="AD153" i="110" s="1"/>
  <c r="BB22" i="167"/>
  <c r="AE153" i="110" s="1" a="1"/>
  <c r="AE153" i="110" s="1"/>
  <c r="BE22" i="167"/>
  <c r="BF22" i="167"/>
  <c r="BJ22" i="167"/>
  <c r="C153" i="110" s="1"/>
  <c r="AX22" i="167"/>
  <c r="AN153" i="110" s="1"/>
  <c r="AR62" i="161"/>
  <c r="BD62" i="161"/>
  <c r="AO62" i="161"/>
  <c r="AR38" i="161"/>
  <c r="BD38" i="161"/>
  <c r="AO38" i="161"/>
  <c r="BJ68" i="167"/>
  <c r="C176" i="110" s="1"/>
  <c r="BM68" i="167"/>
  <c r="AX68" i="167"/>
  <c r="AN176" i="110" s="1"/>
  <c r="BA68" i="167"/>
  <c r="AD176" i="110" s="1" a="1"/>
  <c r="AD176" i="110" s="1"/>
  <c r="BB68" i="167"/>
  <c r="AE176" i="110" s="1" a="1"/>
  <c r="AE176" i="110" s="1"/>
  <c r="BE68" i="167"/>
  <c r="BF68" i="167"/>
  <c r="BJ44" i="167"/>
  <c r="C164" i="110" s="1"/>
  <c r="BM44" i="167"/>
  <c r="AX44" i="167"/>
  <c r="AN164" i="110" s="1"/>
  <c r="BA44" i="167"/>
  <c r="AD164" i="110" s="1" a="1"/>
  <c r="AD164" i="110" s="1"/>
  <c r="BB44" i="167"/>
  <c r="AE164" i="110" s="1" a="1"/>
  <c r="AE164" i="110" s="1"/>
  <c r="BE44" i="167"/>
  <c r="BF44" i="167"/>
  <c r="BD84" i="161"/>
  <c r="AO84" i="161"/>
  <c r="AR84" i="161"/>
  <c r="BD60" i="161"/>
  <c r="AO60" i="161"/>
  <c r="AR60" i="161"/>
  <c r="AO36" i="161"/>
  <c r="BD36" i="161"/>
  <c r="AR36" i="161"/>
  <c r="BJ66" i="167"/>
  <c r="C175" i="110" s="1"/>
  <c r="BM66" i="167"/>
  <c r="AX66" i="167"/>
  <c r="AN175" i="110" s="1"/>
  <c r="BA66" i="167"/>
  <c r="AD175" i="110" s="1" a="1"/>
  <c r="AD175" i="110" s="1"/>
  <c r="BB66" i="167"/>
  <c r="AE175" i="110" s="1" a="1"/>
  <c r="AE175" i="110" s="1"/>
  <c r="BE66" i="167"/>
  <c r="BF66" i="167"/>
  <c r="BM42" i="167"/>
  <c r="BJ42" i="167"/>
  <c r="C163" i="110" s="1"/>
  <c r="AX42" i="167"/>
  <c r="AN163" i="110" s="1"/>
  <c r="BA42" i="167"/>
  <c r="AD163" i="110" s="1" a="1"/>
  <c r="AD163" i="110" s="1"/>
  <c r="BB42" i="167"/>
  <c r="AE163" i="110" s="1" a="1"/>
  <c r="AE163" i="110" s="1"/>
  <c r="BE42" i="167"/>
  <c r="BF42" i="167"/>
  <c r="BD82" i="161"/>
  <c r="AR82" i="161"/>
  <c r="AO82" i="161"/>
  <c r="AR58" i="161"/>
  <c r="BD58" i="161"/>
  <c r="AO58" i="161"/>
  <c r="AO34" i="161"/>
  <c r="AR34" i="161"/>
  <c r="BD34" i="161"/>
  <c r="BF64" i="167"/>
  <c r="BM64" i="167"/>
  <c r="AX64" i="167"/>
  <c r="AN174" i="110" s="1"/>
  <c r="BA64" i="167"/>
  <c r="AD174" i="110" s="1" a="1"/>
  <c r="AD174" i="110" s="1"/>
  <c r="BB64" i="167"/>
  <c r="AE174" i="110" s="1" a="1"/>
  <c r="AE174" i="110" s="1"/>
  <c r="BE64" i="167"/>
  <c r="BJ64" i="167"/>
  <c r="C174" i="110" s="1"/>
  <c r="BF40" i="167"/>
  <c r="BJ40" i="167"/>
  <c r="C162" i="110" s="1"/>
  <c r="BM40" i="167"/>
  <c r="AX40" i="167"/>
  <c r="AN162" i="110" s="1"/>
  <c r="BA40" i="167"/>
  <c r="AD162" i="110" s="1" a="1"/>
  <c r="AD162" i="110" s="1"/>
  <c r="BB40" i="167"/>
  <c r="AE162" i="110" s="1" a="1"/>
  <c r="AE162" i="110" s="1"/>
  <c r="BE40" i="167"/>
  <c r="AO80" i="161"/>
  <c r="AR80" i="161"/>
  <c r="BD80" i="161"/>
  <c r="N86" i="110"/>
  <c r="AR56" i="161"/>
  <c r="AO56" i="161"/>
  <c r="BD56" i="161"/>
  <c r="N74" i="110"/>
  <c r="AR32" i="161"/>
  <c r="AO32" i="161"/>
  <c r="BD32" i="161"/>
  <c r="P74" i="110"/>
  <c r="BE62" i="167"/>
  <c r="BF62" i="167"/>
  <c r="BJ62" i="167"/>
  <c r="C173" i="110" s="1"/>
  <c r="BM62" i="167"/>
  <c r="AX62" i="167"/>
  <c r="AN173" i="110" s="1"/>
  <c r="BA62" i="167"/>
  <c r="AD173" i="110" s="1" a="1"/>
  <c r="AD173" i="110" s="1"/>
  <c r="BB62" i="167"/>
  <c r="AE173" i="110" s="1" a="1"/>
  <c r="AE173" i="110" s="1"/>
  <c r="BE38" i="167"/>
  <c r="BF38" i="167"/>
  <c r="BJ38" i="167"/>
  <c r="C161" i="110" s="1"/>
  <c r="BM38" i="167"/>
  <c r="AX38" i="167"/>
  <c r="AN161" i="110" s="1"/>
  <c r="BA38" i="167"/>
  <c r="AD161" i="110" s="1" a="1"/>
  <c r="AD161" i="110" s="1"/>
  <c r="BB38" i="167"/>
  <c r="AE161" i="110" s="1" a="1"/>
  <c r="AE161" i="110" s="1"/>
  <c r="BD78" i="161"/>
  <c r="AO78" i="161"/>
  <c r="AR78" i="161"/>
  <c r="BD54" i="161"/>
  <c r="AR54" i="161"/>
  <c r="AO54" i="161"/>
  <c r="AO30" i="161"/>
  <c r="AR30" i="161"/>
  <c r="BD30" i="161"/>
  <c r="BE60" i="167"/>
  <c r="BF60" i="167"/>
  <c r="BJ60" i="167"/>
  <c r="C172" i="110" s="1"/>
  <c r="BM60" i="167"/>
  <c r="AX60" i="167"/>
  <c r="AN172" i="110" s="1"/>
  <c r="BA60" i="167"/>
  <c r="AD172" i="110" s="1" a="1"/>
  <c r="AD172" i="110" s="1"/>
  <c r="BB60" i="167"/>
  <c r="AE172" i="110" s="1" a="1"/>
  <c r="AE172" i="110" s="1"/>
  <c r="BE36" i="167"/>
  <c r="BF36" i="167"/>
  <c r="BJ36" i="167"/>
  <c r="C160" i="110" s="1"/>
  <c r="BM36" i="167"/>
  <c r="AX36" i="167"/>
  <c r="AN160" i="110" s="1"/>
  <c r="BA36" i="167"/>
  <c r="AD160" i="110" s="1" a="1"/>
  <c r="AD160" i="110" s="1"/>
  <c r="BB36" i="167"/>
  <c r="AE160" i="110" s="1" a="1"/>
  <c r="AE160" i="110" s="1"/>
  <c r="BD76" i="161"/>
  <c r="AO76" i="161"/>
  <c r="P96" i="110"/>
  <c r="AR76" i="161"/>
  <c r="BD52" i="161"/>
  <c r="AO52" i="161"/>
  <c r="AR52" i="161"/>
  <c r="BE58" i="167"/>
  <c r="BF58" i="167"/>
  <c r="BJ58" i="167"/>
  <c r="C171" i="110" s="1"/>
  <c r="BM58" i="167"/>
  <c r="AX58" i="167"/>
  <c r="AN171" i="110" s="1"/>
  <c r="BA58" i="167"/>
  <c r="AD171" i="110" s="1" a="1"/>
  <c r="AD171" i="110" s="1"/>
  <c r="BB58" i="167"/>
  <c r="AE171" i="110" s="1" a="1"/>
  <c r="AE171" i="110" s="1"/>
  <c r="BE34" i="167"/>
  <c r="BF34" i="167"/>
  <c r="BJ34" i="167"/>
  <c r="C159" i="110" s="1"/>
  <c r="BM34" i="167"/>
  <c r="AX34" i="167"/>
  <c r="AN159" i="110" s="1"/>
  <c r="BA34" i="167"/>
  <c r="AD159" i="110" s="1" a="1"/>
  <c r="AD159" i="110" s="1"/>
  <c r="BB34" i="167"/>
  <c r="AE159" i="110" s="1" a="1"/>
  <c r="AE159" i="110" s="1"/>
  <c r="BD74" i="161"/>
  <c r="AO74" i="161"/>
  <c r="AR74" i="161"/>
  <c r="BD50" i="161"/>
  <c r="AO50" i="161"/>
  <c r="AR50" i="161"/>
  <c r="BB56" i="167"/>
  <c r="AE170" i="110" s="1" a="1"/>
  <c r="AE170" i="110" s="1"/>
  <c r="BE56" i="167"/>
  <c r="BF56" i="167"/>
  <c r="BJ56" i="167"/>
  <c r="C170" i="110" s="1"/>
  <c r="BM56" i="167"/>
  <c r="AX56" i="167"/>
  <c r="AN170" i="110" s="1"/>
  <c r="BA56" i="167"/>
  <c r="AD170" i="110" s="1" a="1"/>
  <c r="AD170" i="110" s="1"/>
  <c r="BB32" i="167"/>
  <c r="AE158" i="110" s="1" a="1"/>
  <c r="AE158" i="110" s="1"/>
  <c r="BE32" i="167"/>
  <c r="BF32" i="167"/>
  <c r="BJ32" i="167"/>
  <c r="C158" i="110" s="1"/>
  <c r="BM32" i="167"/>
  <c r="AX32" i="167"/>
  <c r="AN158" i="110" s="1"/>
  <c r="BA32" i="167"/>
  <c r="AD158" i="110" s="1" a="1"/>
  <c r="AD158" i="110" s="1"/>
  <c r="AO72" i="161"/>
  <c r="BD72" i="161"/>
  <c r="AR72" i="161"/>
  <c r="AO48" i="161"/>
  <c r="AR48" i="161"/>
  <c r="N82" i="110"/>
  <c r="BD48" i="161"/>
  <c r="BA54" i="167"/>
  <c r="AD169" i="110" s="1" a="1"/>
  <c r="AD169" i="110" s="1"/>
  <c r="BB54" i="167"/>
  <c r="AE169" i="110" s="1" a="1"/>
  <c r="AE169" i="110" s="1"/>
  <c r="BE54" i="167"/>
  <c r="BF54" i="167"/>
  <c r="BJ54" i="167"/>
  <c r="C169" i="110" s="1"/>
  <c r="BM54" i="167"/>
  <c r="AX54" i="167"/>
  <c r="AN169" i="110" s="1"/>
  <c r="BA30" i="167"/>
  <c r="AD157" i="110" s="1" a="1"/>
  <c r="AD157" i="110" s="1"/>
  <c r="BB30" i="167"/>
  <c r="AE157" i="110" s="1" a="1"/>
  <c r="AE157" i="110" s="1"/>
  <c r="BE30" i="167"/>
  <c r="BF30" i="167"/>
  <c r="BJ30" i="167"/>
  <c r="C157" i="110" s="1"/>
  <c r="BM30" i="167"/>
  <c r="AX30" i="167"/>
  <c r="AN157" i="110" s="1"/>
  <c r="AR70" i="161"/>
  <c r="BD70" i="161"/>
  <c r="AO70" i="161"/>
  <c r="BD46" i="161"/>
  <c r="AR46" i="161"/>
  <c r="AO46" i="161"/>
  <c r="BA76" i="167"/>
  <c r="AD180" i="110" s="1" a="1"/>
  <c r="AD180" i="110" s="1"/>
  <c r="BB76" i="167"/>
  <c r="AE180" i="110" s="1" a="1"/>
  <c r="AE180" i="110" s="1"/>
  <c r="BE76" i="167"/>
  <c r="BF76" i="167"/>
  <c r="BJ76" i="167"/>
  <c r="C180" i="110" s="1"/>
  <c r="BM76" i="167"/>
  <c r="AX76" i="167"/>
  <c r="AN180" i="110" s="1"/>
  <c r="BB52" i="167"/>
  <c r="AE168" i="110" s="1" a="1"/>
  <c r="AE168" i="110" s="1"/>
  <c r="BA52" i="167"/>
  <c r="AD168" i="110" s="1" a="1"/>
  <c r="AD168" i="110" s="1"/>
  <c r="BE52" i="167"/>
  <c r="BF52" i="167"/>
  <c r="BJ52" i="167"/>
  <c r="C168" i="110" s="1"/>
  <c r="BM52" i="167"/>
  <c r="AX52" i="167"/>
  <c r="AN168" i="110" s="1"/>
  <c r="BA28" i="167"/>
  <c r="AD156" i="110" s="1" a="1"/>
  <c r="AD156" i="110" s="1"/>
  <c r="BB28" i="167"/>
  <c r="AE156" i="110" s="1" a="1"/>
  <c r="AE156" i="110" s="1"/>
  <c r="BE28" i="167"/>
  <c r="BF28" i="167"/>
  <c r="BJ28" i="167"/>
  <c r="C156" i="110" s="1"/>
  <c r="BM28" i="167"/>
  <c r="AX28" i="167"/>
  <c r="AN156" i="110" s="1"/>
  <c r="AR68" i="161"/>
  <c r="BD68" i="161"/>
  <c r="AO68" i="161"/>
  <c r="N80" i="110"/>
  <c r="AO44" i="161"/>
  <c r="AR44" i="161"/>
  <c r="BD44" i="161"/>
  <c r="P80" i="110"/>
  <c r="AX74" i="167"/>
  <c r="AN179" i="110" s="1"/>
  <c r="BA74" i="167"/>
  <c r="AD179" i="110" s="1" a="1"/>
  <c r="AD179" i="110" s="1"/>
  <c r="BB74" i="167"/>
  <c r="AE179" i="110" s="1" a="1"/>
  <c r="AE179" i="110" s="1"/>
  <c r="BE74" i="167"/>
  <c r="BF74" i="167"/>
  <c r="BJ74" i="167"/>
  <c r="C179" i="110" s="1"/>
  <c r="BM74" i="167"/>
  <c r="AX50" i="167"/>
  <c r="AN167" i="110" s="1"/>
  <c r="BA50" i="167"/>
  <c r="AD167" i="110" s="1" a="1"/>
  <c r="AD167" i="110" s="1"/>
  <c r="BB50" i="167"/>
  <c r="AE167" i="110" s="1" a="1"/>
  <c r="AE167" i="110" s="1"/>
  <c r="BE50" i="167"/>
  <c r="BF50" i="167"/>
  <c r="BJ50" i="167"/>
  <c r="C167" i="110" s="1"/>
  <c r="BM50" i="167"/>
  <c r="AX26" i="167"/>
  <c r="AN155" i="110" s="1"/>
  <c r="BA26" i="167"/>
  <c r="AD155" i="110" s="1" a="1"/>
  <c r="AD155" i="110" s="1"/>
  <c r="BB26" i="167"/>
  <c r="AE155" i="110" s="1" a="1"/>
  <c r="AE155" i="110" s="1"/>
  <c r="BE26" i="167"/>
  <c r="BF26" i="167"/>
  <c r="BJ26" i="167"/>
  <c r="C155" i="110" s="1"/>
  <c r="BM26" i="167"/>
  <c r="AO66" i="161"/>
  <c r="BD66" i="161"/>
  <c r="AR66" i="161"/>
  <c r="AO42" i="161"/>
  <c r="BD42" i="161"/>
  <c r="AR42" i="161"/>
  <c r="AF178" i="110"/>
  <c r="AO72" i="167"/>
  <c r="AR72" i="167"/>
  <c r="AF166" i="110"/>
  <c r="AO48" i="167"/>
  <c r="AR48" i="167"/>
  <c r="AF154" i="110"/>
  <c r="AO24" i="167"/>
  <c r="AR24" i="167"/>
  <c r="AF177" i="110"/>
  <c r="AO70" i="167"/>
  <c r="AR70" i="167"/>
  <c r="AF165" i="110"/>
  <c r="AO46" i="167"/>
  <c r="AR46" i="167"/>
  <c r="AF153" i="110"/>
  <c r="AR22" i="167"/>
  <c r="AO22" i="167"/>
  <c r="AF176" i="110"/>
  <c r="AO68" i="167"/>
  <c r="AR68" i="167"/>
  <c r="AF164" i="110"/>
  <c r="AO44" i="167"/>
  <c r="AR44" i="167"/>
  <c r="AF175" i="110"/>
  <c r="AO66" i="167"/>
  <c r="AR66" i="167"/>
  <c r="AF163" i="110"/>
  <c r="AO42" i="167"/>
  <c r="AR42" i="167"/>
  <c r="AF174" i="110"/>
  <c r="AO64" i="167"/>
  <c r="AR64" i="167"/>
  <c r="AF162" i="110"/>
  <c r="AO40" i="167"/>
  <c r="AR40" i="167"/>
  <c r="AF173" i="110"/>
  <c r="AO62" i="167"/>
  <c r="AR62" i="167"/>
  <c r="AF161" i="110"/>
  <c r="AR38" i="167"/>
  <c r="AO38" i="167"/>
  <c r="AF172" i="110"/>
  <c r="AR60" i="167"/>
  <c r="AO60" i="167"/>
  <c r="AF160" i="110"/>
  <c r="AO36" i="167"/>
  <c r="AR36" i="167"/>
  <c r="AF171" i="110"/>
  <c r="AR58" i="167"/>
  <c r="AO58" i="167"/>
  <c r="AF159" i="110"/>
  <c r="AR34" i="167"/>
  <c r="AO34" i="167"/>
  <c r="AF170" i="110"/>
  <c r="AR56" i="167"/>
  <c r="AO56" i="167"/>
  <c r="AF158" i="110"/>
  <c r="AR32" i="167"/>
  <c r="AO32" i="167"/>
  <c r="AF169" i="110"/>
  <c r="AR54" i="167"/>
  <c r="AO54" i="167"/>
  <c r="AF157" i="110"/>
  <c r="AR30" i="167"/>
  <c r="AO30" i="167"/>
  <c r="AF180" i="110"/>
  <c r="AR76" i="167"/>
  <c r="AO76" i="167"/>
  <c r="AF168" i="110"/>
  <c r="AR52" i="167"/>
  <c r="AO52" i="167"/>
  <c r="AF156" i="110"/>
  <c r="AR28" i="167"/>
  <c r="AO28" i="167"/>
  <c r="AF179" i="110"/>
  <c r="AR74" i="167"/>
  <c r="AO74" i="167"/>
  <c r="AF167" i="110"/>
  <c r="AR50" i="167"/>
  <c r="AO50" i="167"/>
  <c r="AF155" i="110"/>
  <c r="AR26" i="167"/>
  <c r="AO26" i="167"/>
  <c r="C178" i="110"/>
  <c r="AN178" i="110"/>
  <c r="P90" i="110"/>
  <c r="AR64" i="158"/>
  <c r="AT27" i="110" s="1" a="1"/>
  <c r="AT27" i="110" s="1"/>
  <c r="AR40" i="158"/>
  <c r="AT15" i="110" s="1" a="1"/>
  <c r="AT15" i="110" s="1"/>
  <c r="AR26" i="158"/>
  <c r="AT8" i="110" s="1" a="1"/>
  <c r="AT8" i="110" s="1"/>
  <c r="AR52" i="158"/>
  <c r="AT21" i="110" s="1" a="1"/>
  <c r="AT21" i="110" s="1"/>
  <c r="AR72" i="158"/>
  <c r="AT31" i="110" s="1" a="1"/>
  <c r="AT31" i="110" s="1"/>
  <c r="AR54" i="158"/>
  <c r="AT22" i="110" s="1" a="1"/>
  <c r="AT22" i="110" s="1"/>
  <c r="AR66" i="158"/>
  <c r="AT28" i="110" s="1" a="1"/>
  <c r="AT28" i="110" s="1"/>
  <c r="AR60" i="158"/>
  <c r="AT25" i="110" s="1" a="1"/>
  <c r="AT25" i="110" s="1"/>
  <c r="AR48" i="158"/>
  <c r="AT19" i="110" s="1" a="1"/>
  <c r="AT19" i="110" s="1"/>
  <c r="AR36" i="158"/>
  <c r="AT13" i="110" s="1" a="1"/>
  <c r="AT13" i="110" s="1"/>
  <c r="AR42" i="158"/>
  <c r="AT16" i="110" s="1" a="1"/>
  <c r="AT16" i="110" s="1"/>
  <c r="AR46" i="158"/>
  <c r="AT18" i="110" s="1" a="1"/>
  <c r="AT18" i="110" s="1"/>
  <c r="AJ36" i="170"/>
  <c r="AR36" i="170" s="1"/>
  <c r="AJ34" i="170"/>
  <c r="AR34" i="170" s="1"/>
  <c r="AR70" i="158"/>
  <c r="AT30" i="110" s="1" a="1"/>
  <c r="AT30" i="110" s="1"/>
  <c r="AR68" i="158"/>
  <c r="AT29" i="110" s="1" a="1"/>
  <c r="AT29" i="110" s="1"/>
  <c r="AJ32" i="170"/>
  <c r="AR32" i="170" s="1"/>
  <c r="AR34" i="158"/>
  <c r="AT12" i="110" s="1" a="1"/>
  <c r="AT12" i="110" s="1"/>
  <c r="AJ30" i="170"/>
  <c r="AR30" i="170" s="1"/>
  <c r="AR58" i="158"/>
  <c r="AT24" i="110" s="1" a="1"/>
  <c r="AT24" i="110" s="1"/>
  <c r="AR56" i="158"/>
  <c r="AT23" i="110" s="1" a="1"/>
  <c r="AT23" i="110" s="1"/>
  <c r="AJ28" i="170"/>
  <c r="AR28" i="170" s="1"/>
  <c r="AJ26" i="170"/>
  <c r="AR26" i="170" s="1"/>
  <c r="AJ24" i="170"/>
  <c r="AR62" i="158"/>
  <c r="AT26" i="110" s="1" a="1"/>
  <c r="AT26" i="110" s="1"/>
  <c r="AR74" i="158"/>
  <c r="AT32" i="110" s="1" a="1"/>
  <c r="AT32" i="110" s="1"/>
  <c r="AR50" i="158"/>
  <c r="AT20" i="110" s="1" a="1"/>
  <c r="AT20" i="110" s="1"/>
  <c r="AR32" i="158"/>
  <c r="AT11" i="110" s="1" a="1"/>
  <c r="AT11" i="110" s="1"/>
  <c r="AR44" i="158"/>
  <c r="AT17" i="110" s="1" a="1"/>
  <c r="AT17" i="110" s="1"/>
  <c r="BF24" i="158"/>
  <c r="AR24" i="158"/>
  <c r="AT7" i="110" s="1" a="1"/>
  <c r="AT7" i="110" s="1"/>
  <c r="AR38" i="158"/>
  <c r="AT14" i="110" s="1" a="1"/>
  <c r="AT14" i="110" s="1"/>
  <c r="BF68" i="158"/>
  <c r="BF44" i="158"/>
  <c r="BF56" i="158"/>
  <c r="BF32" i="158"/>
  <c r="BF60" i="158"/>
  <c r="BF48" i="158"/>
  <c r="BF36" i="158"/>
  <c r="BF72" i="158"/>
  <c r="BF58" i="158"/>
  <c r="BF34" i="158"/>
  <c r="BF70" i="158"/>
  <c r="BF46" i="158"/>
  <c r="BF26" i="158"/>
  <c r="BF40" i="158"/>
  <c r="BF64" i="158"/>
  <c r="BF52" i="158"/>
  <c r="BF42" i="158"/>
  <c r="BF66" i="158"/>
  <c r="BF54" i="158"/>
  <c r="BF62" i="158"/>
  <c r="BF38" i="158"/>
  <c r="BF74" i="158"/>
  <c r="BF50" i="158"/>
  <c r="BG18" i="158"/>
  <c r="BH82" i="161" l="1"/>
  <c r="BH48" i="161"/>
  <c r="BH38" i="161"/>
  <c r="BH84" i="161"/>
  <c r="BH56" i="161"/>
  <c r="BH44" i="161"/>
  <c r="BH72" i="161"/>
  <c r="BH74" i="161"/>
  <c r="BH76" i="161"/>
  <c r="BH70" i="161"/>
  <c r="BH36" i="161"/>
  <c r="BH42" i="161"/>
  <c r="BH80" i="161"/>
  <c r="BH34" i="161"/>
  <c r="BH54" i="161"/>
  <c r="BH62" i="161"/>
  <c r="BH30" i="161"/>
  <c r="BH32" i="161"/>
  <c r="BH40" i="161"/>
  <c r="BH78" i="161"/>
  <c r="BH66" i="161"/>
  <c r="BH68" i="161"/>
  <c r="BH60" i="161"/>
  <c r="BH64" i="161"/>
  <c r="BH58" i="161"/>
  <c r="BH46" i="161"/>
  <c r="BH50" i="161"/>
  <c r="BH52" i="161"/>
  <c r="BG26" i="167"/>
  <c r="BG52" i="167"/>
  <c r="BG32" i="167"/>
  <c r="BI36" i="167"/>
  <c r="BI40" i="167"/>
  <c r="BI44" i="167"/>
  <c r="BI70" i="167"/>
  <c r="BI26" i="167"/>
  <c r="BI52" i="167"/>
  <c r="BI32" i="167"/>
  <c r="BG36" i="167"/>
  <c r="BG40" i="167"/>
  <c r="BG44" i="167"/>
  <c r="BG70" i="167"/>
  <c r="BG50" i="167"/>
  <c r="BG76" i="167"/>
  <c r="BG56" i="167"/>
  <c r="BG60" i="167"/>
  <c r="BI64" i="167"/>
  <c r="BI68" i="167"/>
  <c r="BI24" i="167"/>
  <c r="BI50" i="167"/>
  <c r="BI76" i="167"/>
  <c r="BI56" i="167"/>
  <c r="BI60" i="167"/>
  <c r="BG64" i="167"/>
  <c r="BG68" i="167"/>
  <c r="BG24" i="167"/>
  <c r="BG74" i="167"/>
  <c r="BG30" i="167"/>
  <c r="BG34" i="167"/>
  <c r="BG38" i="167"/>
  <c r="BI42" i="167"/>
  <c r="BG22" i="167"/>
  <c r="BI48" i="167"/>
  <c r="BI34" i="167"/>
  <c r="BG48" i="167"/>
  <c r="BI30" i="167"/>
  <c r="BG42" i="167"/>
  <c r="BG28" i="167"/>
  <c r="BG54" i="167"/>
  <c r="BG58" i="167"/>
  <c r="BI62" i="167"/>
  <c r="BI66" i="167"/>
  <c r="BI46" i="167"/>
  <c r="BI72" i="167"/>
  <c r="BI38" i="167"/>
  <c r="BI28" i="167"/>
  <c r="BI54" i="167"/>
  <c r="BI58" i="167"/>
  <c r="BG62" i="167"/>
  <c r="BG66" i="167"/>
  <c r="BG46" i="167"/>
  <c r="BG72" i="167"/>
  <c r="BI74" i="167"/>
  <c r="BI22" i="167"/>
  <c r="R94" i="110"/>
  <c r="R98" i="110"/>
  <c r="R80" i="110"/>
  <c r="R92" i="110"/>
  <c r="R91" i="110"/>
  <c r="R81" i="110"/>
  <c r="R83" i="110"/>
  <c r="R75" i="110"/>
  <c r="R93" i="110"/>
  <c r="R95" i="110"/>
  <c r="R87" i="110"/>
  <c r="R84" i="110"/>
  <c r="R99" i="110"/>
  <c r="R96" i="110"/>
  <c r="R76" i="110"/>
  <c r="R79" i="110"/>
  <c r="R88" i="110"/>
  <c r="R73" i="110"/>
  <c r="R100" i="110"/>
  <c r="R82" i="110"/>
  <c r="R85" i="110"/>
  <c r="R77" i="110"/>
  <c r="R90" i="110"/>
  <c r="R97" i="110"/>
  <c r="R89" i="110"/>
  <c r="R86" i="110"/>
  <c r="R74" i="110"/>
  <c r="R78" i="110"/>
  <c r="J216" i="202"/>
  <c r="K216" i="202" s="1"/>
  <c r="J667" i="202"/>
  <c r="K667" i="202" s="1"/>
  <c r="J527" i="202"/>
  <c r="K527" i="202" s="1"/>
  <c r="J525" i="202"/>
  <c r="K525" i="202" s="1"/>
  <c r="J534" i="202"/>
  <c r="K534" i="202" s="1"/>
  <c r="J530" i="202"/>
  <c r="K530" i="202" s="1"/>
  <c r="J522" i="202"/>
  <c r="K522" i="202" s="1"/>
  <c r="J510" i="202"/>
  <c r="K510" i="202" s="1"/>
  <c r="J507" i="202"/>
  <c r="K507" i="202" s="1"/>
  <c r="J503" i="202"/>
  <c r="K503" i="202" s="1"/>
  <c r="J501" i="202"/>
  <c r="K501" i="202" s="1"/>
  <c r="J498" i="202"/>
  <c r="K498" i="202" s="1"/>
  <c r="J524" i="202" l="1"/>
  <c r="J523" i="202"/>
  <c r="J513" i="202"/>
  <c r="J512" i="202"/>
  <c r="J500" i="202"/>
  <c r="J499" i="202"/>
  <c r="J537" i="202" l="1"/>
  <c r="J502" i="202"/>
  <c r="J526" i="202"/>
  <c r="J514" i="202"/>
  <c r="J521" i="202"/>
  <c r="J533" i="202"/>
  <c r="J532" i="202"/>
  <c r="J531" i="202"/>
  <c r="J520" i="202"/>
  <c r="J519" i="202"/>
  <c r="J518" i="202"/>
  <c r="J517" i="202"/>
  <c r="J516" i="202"/>
  <c r="J515" i="202"/>
  <c r="J511" i="202"/>
  <c r="J509" i="202"/>
  <c r="J508" i="202"/>
  <c r="J535" i="202"/>
  <c r="J529" i="202"/>
  <c r="J506" i="202"/>
  <c r="J505" i="202"/>
  <c r="J528" i="202"/>
  <c r="J504" i="202"/>
  <c r="J5" i="202" l="1"/>
  <c r="K5" i="202" s="1"/>
  <c r="B43" i="108" l="1"/>
  <c r="I73" i="108"/>
  <c r="H73" i="108"/>
  <c r="I72" i="108"/>
  <c r="F75" i="108"/>
  <c r="H72" i="108"/>
  <c r="I71" i="108"/>
  <c r="F74" i="108"/>
  <c r="H71" i="108"/>
  <c r="I70" i="108"/>
  <c r="F73" i="108"/>
  <c r="H70" i="108"/>
  <c r="I69" i="108"/>
  <c r="F72" i="108"/>
  <c r="H69" i="108"/>
  <c r="I68" i="108"/>
  <c r="F71" i="108"/>
  <c r="H68" i="108"/>
  <c r="I67" i="108"/>
  <c r="F70" i="108"/>
  <c r="H67" i="108"/>
  <c r="I66" i="108"/>
  <c r="F69" i="108"/>
  <c r="H66" i="108"/>
  <c r="I65" i="108"/>
  <c r="F68" i="108"/>
  <c r="H65" i="108"/>
  <c r="I64" i="108"/>
  <c r="F67" i="108"/>
  <c r="H64" i="108"/>
  <c r="I63" i="108"/>
  <c r="F66" i="108"/>
  <c r="H63" i="108"/>
  <c r="I62" i="108"/>
  <c r="F65" i="108"/>
  <c r="H62" i="108"/>
  <c r="I61" i="108"/>
  <c r="F64" i="108"/>
  <c r="H61" i="108"/>
  <c r="I60" i="108"/>
  <c r="F63" i="108"/>
  <c r="H60" i="108"/>
  <c r="I59" i="108"/>
  <c r="F62" i="108"/>
  <c r="H59" i="108"/>
  <c r="I58" i="108"/>
  <c r="F61" i="108"/>
  <c r="H58" i="108"/>
  <c r="I57" i="108"/>
  <c r="F60" i="108"/>
  <c r="H57" i="108"/>
  <c r="I56" i="108"/>
  <c r="F59" i="108"/>
  <c r="H56" i="108"/>
  <c r="I55" i="108"/>
  <c r="F58" i="108"/>
  <c r="H55" i="108"/>
  <c r="I54" i="108"/>
  <c r="F57" i="108"/>
  <c r="H54" i="108"/>
  <c r="I53" i="108"/>
  <c r="F56" i="108"/>
  <c r="H53" i="108"/>
  <c r="I52" i="108"/>
  <c r="F55" i="108"/>
  <c r="H52" i="108"/>
  <c r="I51" i="108"/>
  <c r="F54" i="108"/>
  <c r="H51" i="108"/>
  <c r="I50" i="108"/>
  <c r="F53" i="108"/>
  <c r="H50" i="108"/>
  <c r="F52" i="108"/>
  <c r="O49" i="108" s="1"/>
  <c r="E52" i="108"/>
  <c r="N49" i="108" s="1"/>
  <c r="O50" i="108" l="1"/>
  <c r="O51" i="108" s="1"/>
  <c r="O52" i="108" s="1"/>
  <c r="O53" i="108" s="1"/>
  <c r="O54" i="108" s="1"/>
  <c r="O55" i="108" s="1"/>
  <c r="O56" i="108" s="1"/>
  <c r="O57" i="108" s="1"/>
  <c r="O58" i="108" s="1"/>
  <c r="O59" i="108" s="1"/>
  <c r="O60" i="108" s="1"/>
  <c r="O61" i="108" s="1"/>
  <c r="O62" i="108" s="1"/>
  <c r="O63" i="108" s="1"/>
  <c r="O64" i="108" s="1"/>
  <c r="O65" i="108" s="1"/>
  <c r="O66" i="108" s="1"/>
  <c r="O67" i="108" s="1"/>
  <c r="O68" i="108" s="1"/>
  <c r="O69" i="108" s="1"/>
  <c r="O70" i="108" s="1"/>
  <c r="O71" i="108" s="1"/>
  <c r="O72" i="108" s="1"/>
  <c r="O73" i="108" s="1"/>
  <c r="L49" i="108"/>
  <c r="F12" i="108" s="1"/>
  <c r="M49" i="108"/>
  <c r="G12" i="108" s="1"/>
  <c r="D77" i="108"/>
  <c r="C77" i="108"/>
  <c r="E53" i="108"/>
  <c r="N50" i="108" s="1"/>
  <c r="E54" i="108"/>
  <c r="E55" i="108"/>
  <c r="E56" i="108"/>
  <c r="E57" i="108"/>
  <c r="E58" i="108"/>
  <c r="E59" i="108"/>
  <c r="E60" i="108"/>
  <c r="E61" i="108"/>
  <c r="E62" i="108"/>
  <c r="E63" i="108"/>
  <c r="E64" i="108"/>
  <c r="E65" i="108"/>
  <c r="E66" i="108"/>
  <c r="E67" i="108"/>
  <c r="E68" i="108"/>
  <c r="E69" i="108"/>
  <c r="E70" i="108"/>
  <c r="E71" i="108"/>
  <c r="E72" i="108"/>
  <c r="E73" i="108"/>
  <c r="E74" i="108"/>
  <c r="E75" i="108"/>
  <c r="F77" i="108"/>
  <c r="J494" i="202"/>
  <c r="K494" i="202" s="1"/>
  <c r="J495" i="202"/>
  <c r="K495" i="202" s="1"/>
  <c r="J424" i="202"/>
  <c r="K424" i="202" s="1"/>
  <c r="J425" i="202"/>
  <c r="K425" i="202" s="1"/>
  <c r="J693" i="202"/>
  <c r="K693" i="202" s="1"/>
  <c r="J543" i="202"/>
  <c r="J542" i="202"/>
  <c r="J541" i="202"/>
  <c r="J540" i="202"/>
  <c r="J539" i="202"/>
  <c r="J538" i="202"/>
  <c r="J536" i="202"/>
  <c r="N51" i="108" l="1"/>
  <c r="N52" i="108" s="1"/>
  <c r="N53" i="108" s="1"/>
  <c r="N54" i="108" s="1"/>
  <c r="N55" i="108" s="1"/>
  <c r="N56" i="108" s="1"/>
  <c r="N57" i="108" s="1"/>
  <c r="N58" i="108" s="1"/>
  <c r="N59" i="108" s="1"/>
  <c r="N60" i="108" s="1"/>
  <c r="N61" i="108" s="1"/>
  <c r="N62" i="108" s="1"/>
  <c r="N63" i="108" s="1"/>
  <c r="N64" i="108" s="1"/>
  <c r="N65" i="108" s="1"/>
  <c r="N66" i="108" s="1"/>
  <c r="N67" i="108" s="1"/>
  <c r="N68" i="108" s="1"/>
  <c r="N69" i="108" s="1"/>
  <c r="N70" i="108" s="1"/>
  <c r="N71" i="108" s="1"/>
  <c r="N72" i="108" s="1"/>
  <c r="N73" i="108" s="1"/>
  <c r="M50" i="108"/>
  <c r="G13" i="108" s="1"/>
  <c r="L50" i="108"/>
  <c r="F13" i="108" s="1"/>
  <c r="E77" i="108"/>
  <c r="Y126" i="173"/>
  <c r="Y125" i="173"/>
  <c r="Y124" i="173"/>
  <c r="Y123" i="173"/>
  <c r="X126" i="173"/>
  <c r="X125" i="173"/>
  <c r="X124" i="173"/>
  <c r="M51" i="108" l="1"/>
  <c r="G14" i="108" s="1"/>
  <c r="L51" i="108"/>
  <c r="F14" i="108" s="1"/>
  <c r="H136" i="110"/>
  <c r="I136" i="110"/>
  <c r="H137" i="110"/>
  <c r="I137" i="110"/>
  <c r="H138" i="110"/>
  <c r="I138" i="110"/>
  <c r="H139" i="110"/>
  <c r="I139" i="110"/>
  <c r="H140" i="110"/>
  <c r="I140" i="110"/>
  <c r="H141" i="110"/>
  <c r="I141" i="110"/>
  <c r="H142" i="110"/>
  <c r="I142" i="110"/>
  <c r="H143" i="110"/>
  <c r="I143" i="110"/>
  <c r="H144" i="110"/>
  <c r="I144" i="110"/>
  <c r="H145" i="110"/>
  <c r="I145" i="110"/>
  <c r="J145" i="110"/>
  <c r="H146" i="110"/>
  <c r="I146" i="110"/>
  <c r="J146" i="110"/>
  <c r="H147" i="110"/>
  <c r="I147" i="110"/>
  <c r="J147" i="110"/>
  <c r="H148" i="110"/>
  <c r="I148" i="110"/>
  <c r="J148" i="110"/>
  <c r="H149" i="110"/>
  <c r="I149" i="110"/>
  <c r="J149" i="110"/>
  <c r="I135" i="110"/>
  <c r="H135" i="110"/>
  <c r="H120" i="110"/>
  <c r="I120" i="110"/>
  <c r="H121" i="110"/>
  <c r="I121" i="110"/>
  <c r="H122" i="110"/>
  <c r="I122" i="110"/>
  <c r="H123" i="110"/>
  <c r="I123" i="110"/>
  <c r="H124" i="110"/>
  <c r="I124" i="110"/>
  <c r="H125" i="110"/>
  <c r="I125" i="110"/>
  <c r="H126" i="110"/>
  <c r="I126" i="110"/>
  <c r="H127" i="110"/>
  <c r="I127" i="110"/>
  <c r="H128" i="110"/>
  <c r="I128" i="110"/>
  <c r="H129" i="110"/>
  <c r="I129" i="110"/>
  <c r="J129" i="110"/>
  <c r="H130" i="110"/>
  <c r="I130" i="110"/>
  <c r="J130" i="110"/>
  <c r="H131" i="110"/>
  <c r="I131" i="110"/>
  <c r="J131" i="110"/>
  <c r="H132" i="110"/>
  <c r="I132" i="110"/>
  <c r="J132" i="110"/>
  <c r="H133" i="110"/>
  <c r="I133" i="110"/>
  <c r="J133" i="110"/>
  <c r="I119" i="110"/>
  <c r="H119" i="110"/>
  <c r="H104" i="110"/>
  <c r="I104" i="110"/>
  <c r="H105" i="110"/>
  <c r="I105" i="110"/>
  <c r="H106" i="110"/>
  <c r="I106" i="110"/>
  <c r="H107" i="110"/>
  <c r="I107" i="110"/>
  <c r="H108" i="110"/>
  <c r="I108" i="110"/>
  <c r="H109" i="110"/>
  <c r="I109" i="110"/>
  <c r="H110" i="110"/>
  <c r="I110" i="110"/>
  <c r="H111" i="110"/>
  <c r="I111" i="110"/>
  <c r="H112" i="110"/>
  <c r="I112" i="110"/>
  <c r="H113" i="110"/>
  <c r="I113" i="110"/>
  <c r="J113" i="110"/>
  <c r="H114" i="110"/>
  <c r="I114" i="110"/>
  <c r="J114" i="110"/>
  <c r="H115" i="110"/>
  <c r="I115" i="110"/>
  <c r="J115" i="110"/>
  <c r="H116" i="110"/>
  <c r="I116" i="110"/>
  <c r="J116" i="110"/>
  <c r="H117" i="110"/>
  <c r="I117" i="110"/>
  <c r="J117" i="110"/>
  <c r="I103" i="110"/>
  <c r="H103" i="110"/>
  <c r="I67" i="110"/>
  <c r="H67" i="110"/>
  <c r="H52" i="110"/>
  <c r="I52" i="110"/>
  <c r="H53" i="110"/>
  <c r="I53" i="110"/>
  <c r="H54" i="110"/>
  <c r="I54" i="110"/>
  <c r="H55" i="110"/>
  <c r="I55" i="110"/>
  <c r="H56" i="110"/>
  <c r="I56" i="110"/>
  <c r="H57" i="110"/>
  <c r="I57" i="110"/>
  <c r="H58" i="110"/>
  <c r="I58" i="110"/>
  <c r="H59" i="110"/>
  <c r="I59" i="110"/>
  <c r="H60" i="110"/>
  <c r="I60" i="110"/>
  <c r="H61" i="110"/>
  <c r="I61" i="110"/>
  <c r="J61" i="110"/>
  <c r="H62" i="110"/>
  <c r="I62" i="110"/>
  <c r="J62" i="110"/>
  <c r="H63" i="110"/>
  <c r="I63" i="110"/>
  <c r="J63" i="110"/>
  <c r="H64" i="110"/>
  <c r="I64" i="110"/>
  <c r="J64" i="110"/>
  <c r="H65" i="110"/>
  <c r="I65" i="110"/>
  <c r="J65" i="110"/>
  <c r="I51" i="110"/>
  <c r="H51" i="110"/>
  <c r="H36" i="110"/>
  <c r="I36" i="110"/>
  <c r="H37" i="110"/>
  <c r="I37" i="110"/>
  <c r="H38" i="110"/>
  <c r="I38" i="110"/>
  <c r="H39" i="110"/>
  <c r="I39" i="110"/>
  <c r="H40" i="110"/>
  <c r="I40" i="110"/>
  <c r="H41" i="110"/>
  <c r="I41" i="110"/>
  <c r="H42" i="110"/>
  <c r="I42" i="110"/>
  <c r="H43" i="110"/>
  <c r="I43" i="110"/>
  <c r="H44" i="110"/>
  <c r="I44" i="110"/>
  <c r="H45" i="110"/>
  <c r="I45" i="110"/>
  <c r="J45" i="110"/>
  <c r="H46" i="110"/>
  <c r="I46" i="110"/>
  <c r="J46" i="110"/>
  <c r="H47" i="110"/>
  <c r="I47" i="110"/>
  <c r="J47" i="110"/>
  <c r="H48" i="110"/>
  <c r="I48" i="110"/>
  <c r="J48" i="110"/>
  <c r="H49" i="110"/>
  <c r="I49" i="110"/>
  <c r="J49" i="110"/>
  <c r="I35" i="110"/>
  <c r="H35" i="110"/>
  <c r="H5" i="110"/>
  <c r="I5" i="110"/>
  <c r="H6" i="110"/>
  <c r="I6" i="110"/>
  <c r="H7" i="110"/>
  <c r="I7" i="110"/>
  <c r="H8" i="110"/>
  <c r="I8" i="110"/>
  <c r="H9" i="110"/>
  <c r="I9" i="110"/>
  <c r="H10" i="110"/>
  <c r="I10" i="110"/>
  <c r="H11" i="110"/>
  <c r="I11" i="110"/>
  <c r="H12" i="110"/>
  <c r="I12" i="110"/>
  <c r="H13" i="110"/>
  <c r="I13" i="110"/>
  <c r="H14" i="110"/>
  <c r="I14" i="110"/>
  <c r="H15" i="110"/>
  <c r="I15" i="110"/>
  <c r="H16" i="110"/>
  <c r="I16" i="110"/>
  <c r="H17" i="110"/>
  <c r="I17" i="110"/>
  <c r="H18" i="110"/>
  <c r="I18" i="110"/>
  <c r="H19" i="110"/>
  <c r="I19" i="110"/>
  <c r="H20" i="110"/>
  <c r="I20" i="110"/>
  <c r="H21" i="110"/>
  <c r="I21" i="110"/>
  <c r="H22" i="110"/>
  <c r="I22" i="110"/>
  <c r="H23" i="110"/>
  <c r="I23" i="110"/>
  <c r="H24" i="110"/>
  <c r="I24" i="110"/>
  <c r="H25" i="110"/>
  <c r="I25" i="110"/>
  <c r="H26" i="110"/>
  <c r="I26" i="110"/>
  <c r="H27" i="110"/>
  <c r="I27" i="110"/>
  <c r="H28" i="110"/>
  <c r="I28" i="110"/>
  <c r="H29" i="110"/>
  <c r="I29" i="110"/>
  <c r="H30" i="110"/>
  <c r="I30" i="110"/>
  <c r="H31" i="110"/>
  <c r="I31" i="110"/>
  <c r="H32" i="110"/>
  <c r="I32" i="110"/>
  <c r="H33" i="110"/>
  <c r="I33" i="110"/>
  <c r="I4" i="110"/>
  <c r="H4" i="110"/>
  <c r="M52" i="108" l="1"/>
  <c r="G15" i="108" s="1"/>
  <c r="L52" i="108"/>
  <c r="F15" i="108" s="1"/>
  <c r="BA20" i="168"/>
  <c r="AD183" i="110" s="1" a="1"/>
  <c r="AD183" i="110" s="1"/>
  <c r="BA22" i="168"/>
  <c r="AD184" i="110" s="1" a="1"/>
  <c r="AD184" i="110" s="1"/>
  <c r="BA24" i="168"/>
  <c r="AD185" i="110" s="1" a="1"/>
  <c r="AD185" i="110" s="1"/>
  <c r="BA26" i="168"/>
  <c r="AD186" i="110" s="1" a="1"/>
  <c r="AD186" i="110" s="1"/>
  <c r="BB26" i="168"/>
  <c r="BA28" i="168"/>
  <c r="AD187" i="110" s="1" a="1"/>
  <c r="AD187" i="110" s="1"/>
  <c r="BB28" i="168"/>
  <c r="BA30" i="168"/>
  <c r="AD188" i="110" s="1" a="1"/>
  <c r="AD188" i="110" s="1"/>
  <c r="BB30" i="168"/>
  <c r="BA32" i="168"/>
  <c r="AD189" i="110" s="1" a="1"/>
  <c r="AD189" i="110" s="1"/>
  <c r="BB32" i="168"/>
  <c r="BA34" i="168"/>
  <c r="AD190" i="110" s="1" a="1"/>
  <c r="AD190" i="110" s="1"/>
  <c r="BB34" i="168"/>
  <c r="BA36" i="168"/>
  <c r="AD191" i="110" s="1" a="1"/>
  <c r="AD191" i="110" s="1"/>
  <c r="BB36" i="168"/>
  <c r="BB24" i="168" l="1"/>
  <c r="BB22" i="168"/>
  <c r="M53" i="108"/>
  <c r="G16" i="108" s="1"/>
  <c r="L53" i="108"/>
  <c r="F16" i="108" s="1"/>
  <c r="BB20" i="168"/>
  <c r="AD182" i="110" a="1"/>
  <c r="AD182" i="110" s="1"/>
  <c r="AZ20" i="170"/>
  <c r="BE20" i="170"/>
  <c r="BF20" i="170"/>
  <c r="AZ22" i="170"/>
  <c r="BE22" i="170"/>
  <c r="BF22" i="170"/>
  <c r="AZ24" i="170"/>
  <c r="BE24" i="170"/>
  <c r="BF24" i="170"/>
  <c r="AZ26" i="170"/>
  <c r="BE26" i="170"/>
  <c r="BF26" i="170"/>
  <c r="AZ28" i="170"/>
  <c r="BE28" i="170"/>
  <c r="BF28" i="170"/>
  <c r="AZ30" i="170"/>
  <c r="BE30" i="170"/>
  <c r="BF30" i="170"/>
  <c r="AZ32" i="170"/>
  <c r="BE32" i="170"/>
  <c r="BF32" i="170"/>
  <c r="AZ34" i="170"/>
  <c r="BE34" i="170"/>
  <c r="BF34" i="170"/>
  <c r="AZ36" i="170"/>
  <c r="BE36" i="170"/>
  <c r="BF36" i="170"/>
  <c r="BC22" i="170"/>
  <c r="M54" i="108" l="1"/>
  <c r="G17" i="108" s="1"/>
  <c r="L54" i="108"/>
  <c r="F17" i="108" s="1"/>
  <c r="BJ30" i="170"/>
  <c r="BK30" i="170"/>
  <c r="BJ36" i="170"/>
  <c r="BK36" i="170"/>
  <c r="BJ34" i="170"/>
  <c r="BK34" i="170"/>
  <c r="BJ28" i="170"/>
  <c r="BK28" i="170"/>
  <c r="BJ32" i="170"/>
  <c r="BK32" i="170"/>
  <c r="BJ24" i="170"/>
  <c r="BJ20" i="170"/>
  <c r="BJ26" i="170"/>
  <c r="BK26" i="170"/>
  <c r="BJ22" i="170"/>
  <c r="AL22" i="170"/>
  <c r="BD22" i="170"/>
  <c r="BN22" i="170" s="1"/>
  <c r="M55" i="108" l="1"/>
  <c r="G18" i="108" s="1"/>
  <c r="L55" i="108"/>
  <c r="F18" i="108" s="1"/>
  <c r="AO22" i="170"/>
  <c r="BA22" i="170" s="1"/>
  <c r="M56" i="108" l="1"/>
  <c r="G19" i="108" s="1"/>
  <c r="L56" i="108"/>
  <c r="F19" i="108" s="1"/>
  <c r="BG22" i="170"/>
  <c r="BI22" i="170"/>
  <c r="BB22" i="170"/>
  <c r="AE216" i="110" s="1" a="1"/>
  <c r="AE216" i="110" s="1"/>
  <c r="M57" i="108" l="1"/>
  <c r="G20" i="108" s="1"/>
  <c r="L57" i="108"/>
  <c r="F20" i="108" s="1"/>
  <c r="A263" i="110"/>
  <c r="AI263" i="110"/>
  <c r="A264" i="110"/>
  <c r="AI264" i="110"/>
  <c r="A265" i="110"/>
  <c r="AI265" i="110"/>
  <c r="A266" i="110"/>
  <c r="AI266" i="110"/>
  <c r="A267" i="110"/>
  <c r="AI267" i="110"/>
  <c r="A268" i="110"/>
  <c r="AI268" i="110"/>
  <c r="A269" i="110"/>
  <c r="AI269" i="110"/>
  <c r="A270" i="110"/>
  <c r="AI270" i="110"/>
  <c r="A271" i="110"/>
  <c r="AI271" i="110"/>
  <c r="A272" i="110"/>
  <c r="B272" i="110"/>
  <c r="E272" i="110"/>
  <c r="AI272" i="110"/>
  <c r="AN272" i="110"/>
  <c r="AO272" i="110"/>
  <c r="AP272" i="110"/>
  <c r="AQ272" i="110"/>
  <c r="A273" i="110"/>
  <c r="B273" i="110"/>
  <c r="E273" i="110"/>
  <c r="AI273" i="110"/>
  <c r="AN273" i="110"/>
  <c r="AO273" i="110"/>
  <c r="AP273" i="110"/>
  <c r="AQ273" i="110"/>
  <c r="A274" i="110"/>
  <c r="B274" i="110"/>
  <c r="E274" i="110"/>
  <c r="AI274" i="110"/>
  <c r="AN274" i="110"/>
  <c r="AO274" i="110"/>
  <c r="AP274" i="110"/>
  <c r="AQ274" i="110"/>
  <c r="A275" i="110"/>
  <c r="B275" i="110"/>
  <c r="E275" i="110"/>
  <c r="AI275" i="110"/>
  <c r="AN275" i="110"/>
  <c r="AO275" i="110"/>
  <c r="AP275" i="110"/>
  <c r="AQ275" i="110"/>
  <c r="A276" i="110"/>
  <c r="B276" i="110"/>
  <c r="E276" i="110"/>
  <c r="AI276" i="110"/>
  <c r="AN276" i="110"/>
  <c r="AO276" i="110"/>
  <c r="AP276" i="110"/>
  <c r="AQ276" i="110"/>
  <c r="AI262" i="110"/>
  <c r="A262" i="110"/>
  <c r="A261" i="110"/>
  <c r="M58" i="108" l="1"/>
  <c r="G21" i="108" s="1"/>
  <c r="L58" i="108"/>
  <c r="F21" i="108" s="1"/>
  <c r="AA273" i="110"/>
  <c r="P273" i="110"/>
  <c r="P274" i="110"/>
  <c r="AA274" i="110"/>
  <c r="AA276" i="110"/>
  <c r="P276" i="110"/>
  <c r="AA272" i="110"/>
  <c r="P272" i="110"/>
  <c r="AA275" i="110"/>
  <c r="P275" i="110"/>
  <c r="L274" i="110"/>
  <c r="S274" i="110"/>
  <c r="T274" i="110"/>
  <c r="U274" i="110"/>
  <c r="H274" i="110"/>
  <c r="I274" i="110"/>
  <c r="J274" i="110"/>
  <c r="R272" i="110"/>
  <c r="J272" i="110"/>
  <c r="S272" i="110"/>
  <c r="T272" i="110"/>
  <c r="U272" i="110"/>
  <c r="H272" i="110"/>
  <c r="I272" i="110"/>
  <c r="J276" i="110"/>
  <c r="S276" i="110"/>
  <c r="T276" i="110"/>
  <c r="U276" i="110"/>
  <c r="H276" i="110"/>
  <c r="I276" i="110"/>
  <c r="U273" i="110"/>
  <c r="H273" i="110"/>
  <c r="I273" i="110"/>
  <c r="J273" i="110"/>
  <c r="S273" i="110"/>
  <c r="T273" i="110"/>
  <c r="R275" i="110"/>
  <c r="S275" i="110"/>
  <c r="T275" i="110"/>
  <c r="U275" i="110"/>
  <c r="H275" i="110"/>
  <c r="I275" i="110"/>
  <c r="J275" i="110"/>
  <c r="K275" i="110"/>
  <c r="Z275" i="110"/>
  <c r="Q274" i="110"/>
  <c r="Z272" i="110"/>
  <c r="W276" i="110"/>
  <c r="Q272" i="110"/>
  <c r="Z274" i="110"/>
  <c r="K272" i="110"/>
  <c r="X274" i="110"/>
  <c r="W274" i="110"/>
  <c r="M276" i="110"/>
  <c r="X273" i="110"/>
  <c r="L276" i="110"/>
  <c r="W273" i="110"/>
  <c r="M275" i="110"/>
  <c r="X272" i="110"/>
  <c r="Q275" i="110"/>
  <c r="O274" i="110"/>
  <c r="L275" i="110"/>
  <c r="W272" i="110"/>
  <c r="O275" i="110"/>
  <c r="K274" i="110"/>
  <c r="M274" i="110"/>
  <c r="O272" i="110"/>
  <c r="M273" i="110"/>
  <c r="X276" i="110"/>
  <c r="L273" i="110"/>
  <c r="M272" i="110"/>
  <c r="X275" i="110"/>
  <c r="L272" i="110"/>
  <c r="W275" i="110"/>
  <c r="R276" i="110"/>
  <c r="AB275" i="110"/>
  <c r="V274" i="110"/>
  <c r="R273" i="110"/>
  <c r="AB272" i="110"/>
  <c r="Q276" i="110"/>
  <c r="Q273" i="110"/>
  <c r="O276" i="110"/>
  <c r="O273" i="110"/>
  <c r="AB276" i="110"/>
  <c r="V275" i="110"/>
  <c r="R274" i="110"/>
  <c r="AB273" i="110"/>
  <c r="V272" i="110"/>
  <c r="K276" i="110"/>
  <c r="Z273" i="110"/>
  <c r="K273" i="110"/>
  <c r="Z276" i="110"/>
  <c r="V276" i="110"/>
  <c r="AB274" i="110"/>
  <c r="V273" i="110"/>
  <c r="M59" i="108" l="1"/>
  <c r="G22" i="108" s="1"/>
  <c r="L59" i="108"/>
  <c r="F22" i="108" s="1"/>
  <c r="M60" i="108" l="1"/>
  <c r="G23" i="108" s="1"/>
  <c r="L60" i="108"/>
  <c r="F23" i="108" s="1"/>
  <c r="M61" i="108" l="1"/>
  <c r="G24" i="108" s="1"/>
  <c r="L61" i="108"/>
  <c r="F24" i="108" s="1"/>
  <c r="M62" i="108" l="1"/>
  <c r="G25" i="108" s="1"/>
  <c r="L62" i="108"/>
  <c r="F25" i="108" s="1"/>
  <c r="M63" i="108" l="1"/>
  <c r="G26" i="108" s="1"/>
  <c r="L63" i="108"/>
  <c r="F26" i="108" s="1"/>
  <c r="M64" i="108" l="1"/>
  <c r="G27" i="108" s="1"/>
  <c r="L64" i="108"/>
  <c r="F27" i="108" s="1"/>
  <c r="BL20" i="161" s="1"/>
  <c r="BK48" i="158"/>
  <c r="BK50" i="158"/>
  <c r="BK52" i="158"/>
  <c r="BK54" i="158"/>
  <c r="BK56" i="158"/>
  <c r="BK58" i="158"/>
  <c r="BK60" i="158"/>
  <c r="BK62" i="158"/>
  <c r="BK64" i="158"/>
  <c r="BK66" i="158"/>
  <c r="BK68" i="158"/>
  <c r="BK70" i="158"/>
  <c r="BK72" i="158"/>
  <c r="BK74" i="158"/>
  <c r="BG76" i="158"/>
  <c r="BK76" i="158"/>
  <c r="BL18" i="161" l="1"/>
  <c r="M65" i="108"/>
  <c r="G28" i="108" s="1"/>
  <c r="L65" i="108"/>
  <c r="F28" i="108" s="1"/>
  <c r="BG52" i="158"/>
  <c r="BI52" i="158" s="1"/>
  <c r="BG72" i="158"/>
  <c r="BI72" i="158" s="1"/>
  <c r="BG60" i="158"/>
  <c r="BI60" i="158" s="1"/>
  <c r="BG48" i="158"/>
  <c r="BI48" i="158" s="1"/>
  <c r="BG74" i="158"/>
  <c r="BI74" i="158" s="1"/>
  <c r="BG70" i="158"/>
  <c r="BI70" i="158" s="1"/>
  <c r="BG58" i="158"/>
  <c r="BI58" i="158" s="1"/>
  <c r="BG68" i="158"/>
  <c r="BI68" i="158" s="1"/>
  <c r="BG56" i="158"/>
  <c r="BI56" i="158" s="1"/>
  <c r="BG64" i="158"/>
  <c r="BI64" i="158" s="1"/>
  <c r="BG62" i="158"/>
  <c r="BI62" i="158" s="1"/>
  <c r="BG66" i="158"/>
  <c r="BI66" i="158" s="1"/>
  <c r="BG54" i="158"/>
  <c r="BI54" i="158" s="1"/>
  <c r="BG50" i="158"/>
  <c r="BI50" i="158" s="1"/>
  <c r="M66" i="108" l="1"/>
  <c r="G29" i="108" s="1"/>
  <c r="L66" i="108"/>
  <c r="F29" i="108" s="1"/>
  <c r="BJ20" i="160"/>
  <c r="BJ22" i="160"/>
  <c r="BJ24" i="160"/>
  <c r="BJ26" i="160"/>
  <c r="BJ28" i="160"/>
  <c r="BJ30" i="160"/>
  <c r="BJ32" i="160"/>
  <c r="BJ34" i="160"/>
  <c r="BJ20" i="162"/>
  <c r="BJ22" i="162"/>
  <c r="BJ24" i="162"/>
  <c r="BJ26" i="162"/>
  <c r="BJ28" i="162"/>
  <c r="BJ30" i="162"/>
  <c r="BJ32" i="162"/>
  <c r="BJ34" i="162"/>
  <c r="BJ36" i="162"/>
  <c r="BJ20" i="163"/>
  <c r="BJ22" i="163"/>
  <c r="BJ24" i="163"/>
  <c r="BJ26" i="163"/>
  <c r="BJ28" i="163"/>
  <c r="BJ30" i="163"/>
  <c r="BJ32" i="163"/>
  <c r="BJ34" i="163"/>
  <c r="BJ36" i="163"/>
  <c r="M67" i="108" l="1"/>
  <c r="G30" i="108" s="1"/>
  <c r="L67" i="108"/>
  <c r="F30" i="108" s="1"/>
  <c r="Q25" i="3"/>
  <c r="Q24" i="3"/>
  <c r="Q20" i="3"/>
  <c r="Q19" i="3"/>
  <c r="Q15" i="3"/>
  <c r="Q16" i="3"/>
  <c r="Q14" i="3"/>
  <c r="Q13" i="3"/>
  <c r="Q12" i="3"/>
  <c r="Q11" i="3"/>
  <c r="Q10" i="3"/>
  <c r="M68" i="108" l="1"/>
  <c r="G31" i="108" s="1"/>
  <c r="L68" i="108"/>
  <c r="F31" i="108" s="1"/>
  <c r="Q28" i="3"/>
  <c r="P76" i="161"/>
  <c r="AI76" i="161"/>
  <c r="P78" i="161"/>
  <c r="AI78" i="161"/>
  <c r="P80" i="161"/>
  <c r="AI80" i="161"/>
  <c r="P82" i="161"/>
  <c r="AI82" i="161"/>
  <c r="P84" i="161"/>
  <c r="AI84" i="161"/>
  <c r="P86" i="161"/>
  <c r="AI86" i="161"/>
  <c r="P64" i="161"/>
  <c r="AI64" i="161"/>
  <c r="P66" i="161"/>
  <c r="AI66" i="161"/>
  <c r="P68" i="161"/>
  <c r="AI68" i="161"/>
  <c r="P70" i="161"/>
  <c r="AI70" i="161"/>
  <c r="P72" i="161"/>
  <c r="AI72" i="161"/>
  <c r="P74" i="161"/>
  <c r="AI74" i="161"/>
  <c r="P58" i="161"/>
  <c r="AI58" i="161"/>
  <c r="P60" i="161"/>
  <c r="AI60" i="161"/>
  <c r="P62" i="161"/>
  <c r="AI62" i="161"/>
  <c r="BT80" i="161" l="1"/>
  <c r="BG80" i="161"/>
  <c r="BI80" i="161" s="1"/>
  <c r="BT76" i="161"/>
  <c r="BG76" i="161"/>
  <c r="BI76" i="161" s="1"/>
  <c r="BT82" i="161"/>
  <c r="BG82" i="161"/>
  <c r="BI82" i="161" s="1"/>
  <c r="BG62" i="161"/>
  <c r="BI62" i="161" s="1"/>
  <c r="BT62" i="161"/>
  <c r="BT78" i="161"/>
  <c r="AT97" i="110" s="1" a="1"/>
  <c r="AT97" i="110" s="1"/>
  <c r="BG78" i="161"/>
  <c r="BI78" i="161" s="1"/>
  <c r="BT58" i="161"/>
  <c r="AT87" i="110" s="1" a="1"/>
  <c r="AT87" i="110" s="1"/>
  <c r="BG58" i="161"/>
  <c r="BI58" i="161" s="1"/>
  <c r="BT68" i="161"/>
  <c r="BG68" i="161"/>
  <c r="BI68" i="161" s="1"/>
  <c r="BT86" i="161"/>
  <c r="BG86" i="161"/>
  <c r="BI86" i="161" s="1"/>
  <c r="BT70" i="161"/>
  <c r="BG70" i="161"/>
  <c r="BI70" i="161" s="1"/>
  <c r="BG66" i="161"/>
  <c r="BI66" i="161" s="1"/>
  <c r="BT66" i="161"/>
  <c r="AT91" i="110" s="1" a="1"/>
  <c r="AT91" i="110" s="1"/>
  <c r="BT60" i="161"/>
  <c r="AT88" i="110" s="1" a="1"/>
  <c r="AT88" i="110" s="1"/>
  <c r="BG60" i="161"/>
  <c r="BI60" i="161" s="1"/>
  <c r="BT64" i="161"/>
  <c r="AT90" i="110" s="1" a="1"/>
  <c r="AT90" i="110" s="1"/>
  <c r="BG64" i="161"/>
  <c r="BI64" i="161" s="1"/>
  <c r="BT74" i="161"/>
  <c r="BG74" i="161"/>
  <c r="BI74" i="161" s="1"/>
  <c r="BT72" i="161"/>
  <c r="AT94" i="110" s="1" a="1"/>
  <c r="AT94" i="110" s="1"/>
  <c r="BG72" i="161"/>
  <c r="BI72" i="161" s="1"/>
  <c r="BT84" i="161"/>
  <c r="AT100" i="110" s="1" a="1"/>
  <c r="AT100" i="110" s="1"/>
  <c r="BG84" i="161"/>
  <c r="BI84" i="161" s="1"/>
  <c r="M69" i="108"/>
  <c r="G32" i="108" s="1"/>
  <c r="L69" i="108"/>
  <c r="F32" i="108" s="1"/>
  <c r="AT92" i="110" a="1"/>
  <c r="AT92" i="110" s="1"/>
  <c r="AT101" i="110" a="1"/>
  <c r="AT101" i="110" s="1"/>
  <c r="AT98" i="110" a="1"/>
  <c r="AT98" i="110" s="1"/>
  <c r="AT95" i="110" a="1"/>
  <c r="AT95" i="110" s="1"/>
  <c r="AT89" i="110" a="1"/>
  <c r="AT89" i="110" s="1"/>
  <c r="AT93" i="110" a="1"/>
  <c r="AT93" i="110" s="1"/>
  <c r="AT99" i="110" a="1"/>
  <c r="AT99" i="110" s="1"/>
  <c r="AT96" i="110" a="1"/>
  <c r="AT96" i="110" s="1"/>
  <c r="Q89" i="110"/>
  <c r="Q92" i="110"/>
  <c r="Q98" i="110"/>
  <c r="Q101" i="110"/>
  <c r="Q100" i="110"/>
  <c r="Q88" i="110"/>
  <c r="Q94" i="110"/>
  <c r="Q91" i="110"/>
  <c r="Q97" i="110"/>
  <c r="Q95" i="110"/>
  <c r="Q87" i="110"/>
  <c r="Q93" i="110"/>
  <c r="Q90" i="110"/>
  <c r="Q99" i="110"/>
  <c r="Q96" i="110"/>
  <c r="J93" i="110"/>
  <c r="E99" i="110"/>
  <c r="E94" i="110"/>
  <c r="E92" i="110"/>
  <c r="E97" i="110"/>
  <c r="J99" i="110"/>
  <c r="J97" i="110"/>
  <c r="E88" i="110"/>
  <c r="J88" i="110"/>
  <c r="J92" i="110"/>
  <c r="E101" i="110"/>
  <c r="J91" i="110"/>
  <c r="E93" i="110"/>
  <c r="J96" i="110"/>
  <c r="J100" i="110"/>
  <c r="E98" i="110"/>
  <c r="J98" i="110"/>
  <c r="E100" i="110"/>
  <c r="E96" i="110"/>
  <c r="E95" i="110"/>
  <c r="E91" i="110"/>
  <c r="J90" i="110"/>
  <c r="J94" i="110"/>
  <c r="J95" i="110"/>
  <c r="E90" i="110"/>
  <c r="J87" i="110"/>
  <c r="J89" i="110"/>
  <c r="E89" i="110"/>
  <c r="E87" i="110"/>
  <c r="M70" i="108" l="1"/>
  <c r="G33" i="108" s="1"/>
  <c r="L70" i="108"/>
  <c r="F33" i="108" s="1"/>
  <c r="AP98" i="110"/>
  <c r="C100" i="110"/>
  <c r="AP90" i="110"/>
  <c r="AP88" i="110"/>
  <c r="AP101" i="110"/>
  <c r="AP99" i="110"/>
  <c r="AP91" i="110"/>
  <c r="AP100" i="110"/>
  <c r="C97" i="110"/>
  <c r="AP97" i="110"/>
  <c r="AP94" i="110"/>
  <c r="AP96" i="110"/>
  <c r="AP89" i="110"/>
  <c r="AP95" i="110"/>
  <c r="AP93" i="110"/>
  <c r="C87" i="110"/>
  <c r="C90" i="110"/>
  <c r="AP87" i="110"/>
  <c r="C91" i="110"/>
  <c r="C96" i="110"/>
  <c r="C88" i="110"/>
  <c r="C89" i="110"/>
  <c r="C94" i="110"/>
  <c r="AP92" i="110"/>
  <c r="J101" i="110"/>
  <c r="C95" i="110"/>
  <c r="R36" i="160"/>
  <c r="M71" i="108" l="1"/>
  <c r="G34" i="108" s="1"/>
  <c r="L71" i="108"/>
  <c r="F34" i="108" s="1"/>
  <c r="AS94" i="110"/>
  <c r="AR94" i="110"/>
  <c r="B94" i="110"/>
  <c r="AS87" i="110"/>
  <c r="AR87" i="110"/>
  <c r="B87" i="110"/>
  <c r="B95" i="110"/>
  <c r="AR95" i="110"/>
  <c r="AS95" i="110"/>
  <c r="B88" i="110"/>
  <c r="AR88" i="110"/>
  <c r="AS88" i="110"/>
  <c r="AR89" i="110"/>
  <c r="B89" i="110"/>
  <c r="AS89" i="110"/>
  <c r="AR97" i="110"/>
  <c r="AS97" i="110"/>
  <c r="B97" i="110"/>
  <c r="AS96" i="110"/>
  <c r="B96" i="110"/>
  <c r="AR96" i="110"/>
  <c r="AS100" i="110"/>
  <c r="B100" i="110"/>
  <c r="AR100" i="110"/>
  <c r="C92" i="110"/>
  <c r="C99" i="110"/>
  <c r="AS90" i="110"/>
  <c r="AR90" i="110"/>
  <c r="B90" i="110"/>
  <c r="B91" i="110"/>
  <c r="AR91" i="110"/>
  <c r="AS91" i="110"/>
  <c r="C98" i="110"/>
  <c r="C93" i="110"/>
  <c r="I37" i="81"/>
  <c r="M72" i="108" l="1"/>
  <c r="G35" i="108" s="1"/>
  <c r="L72" i="108"/>
  <c r="F35" i="108" s="1"/>
  <c r="AM88" i="110" a="1"/>
  <c r="AM88" i="110" s="1"/>
  <c r="AL88" i="110" a="1"/>
  <c r="AL88" i="110" s="1"/>
  <c r="AL89" i="110" a="1"/>
  <c r="AL89" i="110" s="1"/>
  <c r="AM89" i="110" a="1"/>
  <c r="AM89" i="110" s="1"/>
  <c r="AM100" i="110" a="1"/>
  <c r="AM100" i="110" s="1"/>
  <c r="AL100" i="110" a="1"/>
  <c r="AL100" i="110" s="1"/>
  <c r="AM95" i="110" a="1"/>
  <c r="AM95" i="110" s="1"/>
  <c r="AL95" i="110" a="1"/>
  <c r="AL95" i="110" s="1"/>
  <c r="AL90" i="110" a="1"/>
  <c r="AL90" i="110" s="1"/>
  <c r="AM90" i="110" a="1"/>
  <c r="AM90" i="110" s="1"/>
  <c r="AL91" i="110" a="1"/>
  <c r="AL91" i="110" s="1"/>
  <c r="AM91" i="110" a="1"/>
  <c r="AM91" i="110" s="1"/>
  <c r="AL96" i="110" a="1"/>
  <c r="AL96" i="110" s="1"/>
  <c r="AM96" i="110" a="1"/>
  <c r="AM96" i="110" s="1"/>
  <c r="AL97" i="110" a="1"/>
  <c r="AL97" i="110" s="1"/>
  <c r="AM97" i="110" a="1"/>
  <c r="AM97" i="110" s="1"/>
  <c r="AL87" i="110" a="1"/>
  <c r="AL87" i="110" s="1"/>
  <c r="AM87" i="110" a="1"/>
  <c r="AM87" i="110" s="1"/>
  <c r="AM94" i="110" a="1"/>
  <c r="AM94" i="110" s="1"/>
  <c r="AL94" i="110" a="1"/>
  <c r="AL94" i="110" s="1"/>
  <c r="AS98" i="110"/>
  <c r="AR98" i="110"/>
  <c r="B98" i="110"/>
  <c r="B99" i="110"/>
  <c r="AR99" i="110"/>
  <c r="AS99" i="110"/>
  <c r="AR92" i="110"/>
  <c r="AS92" i="110"/>
  <c r="B92" i="110"/>
  <c r="AR93" i="110"/>
  <c r="B93" i="110"/>
  <c r="AS93" i="110"/>
  <c r="K497" i="202"/>
  <c r="M73" i="108" l="1"/>
  <c r="G36" i="108" s="1"/>
  <c r="L73" i="108"/>
  <c r="F36" i="108" s="1"/>
  <c r="AL98" i="110" a="1"/>
  <c r="AL98" i="110" s="1"/>
  <c r="AM98" i="110" a="1"/>
  <c r="AM98" i="110" s="1"/>
  <c r="AL93" i="110" a="1"/>
  <c r="AL93" i="110" s="1"/>
  <c r="AM93" i="110" a="1"/>
  <c r="AM93" i="110" s="1"/>
  <c r="AL92" i="110" a="1"/>
  <c r="AL92" i="110" s="1"/>
  <c r="AM92" i="110" a="1"/>
  <c r="AM92" i="110" s="1"/>
  <c r="AL99" i="110" a="1"/>
  <c r="AL99" i="110" s="1"/>
  <c r="AM99" i="110" a="1"/>
  <c r="AM99" i="110" s="1"/>
  <c r="C101" i="110"/>
  <c r="BO36" i="176"/>
  <c r="BE18" i="175"/>
  <c r="BF18" i="175"/>
  <c r="AR101" i="110" l="1"/>
  <c r="AS101" i="110"/>
  <c r="B101" i="110"/>
  <c r="BJ18" i="175"/>
  <c r="BK18" i="175"/>
  <c r="AX36" i="176"/>
  <c r="AP287" i="110" s="1"/>
  <c r="AM101" i="110" l="1" a="1"/>
  <c r="AM101" i="110" s="1"/>
  <c r="AL101" i="110" a="1"/>
  <c r="AL101" i="110" s="1"/>
  <c r="H27" i="3"/>
  <c r="AN287" i="110"/>
  <c r="BD19" i="109" l="1"/>
  <c r="BD20" i="109"/>
  <c r="BC19" i="109"/>
  <c r="BB19" i="109"/>
  <c r="BA19" i="109"/>
  <c r="AY19" i="109"/>
  <c r="AZ19" i="109"/>
  <c r="AX19" i="109"/>
  <c r="AW19" i="109"/>
  <c r="AV19" i="109"/>
  <c r="BC18" i="168" l="1"/>
  <c r="BF18" i="170" l="1"/>
  <c r="BE18" i="170"/>
  <c r="BJ18" i="170" l="1"/>
  <c r="T20" i="158"/>
  <c r="AR20" i="158" l="1"/>
  <c r="AT5" i="110" s="1" a="1"/>
  <c r="AT5" i="110" s="1"/>
  <c r="AG5" i="110"/>
  <c r="D9" i="109" l="1"/>
  <c r="BJ36" i="160" l="1"/>
  <c r="D7" i="109" l="1"/>
  <c r="D8" i="109"/>
  <c r="Q200" i="8" l="1"/>
  <c r="D5" i="109"/>
  <c r="D4" i="109"/>
  <c r="AV202" i="8"/>
  <c r="B202" i="8"/>
  <c r="B201" i="8"/>
  <c r="B200" i="8"/>
  <c r="AV201" i="8" l="1"/>
  <c r="AV200" i="8"/>
  <c r="AA202" i="8"/>
  <c r="T62" i="8" l="1"/>
  <c r="M694" i="202" l="1"/>
  <c r="M668" i="202"/>
  <c r="M612" i="202"/>
  <c r="M543" i="202"/>
  <c r="M533" i="202"/>
  <c r="M520" i="202"/>
  <c r="M542" i="202"/>
  <c r="M532" i="202"/>
  <c r="M519" i="202"/>
  <c r="M619" i="202"/>
  <c r="M692" i="202"/>
  <c r="M656" i="202"/>
  <c r="M611" i="202"/>
  <c r="M691" i="202"/>
  <c r="M652" i="202"/>
  <c r="M607" i="202"/>
  <c r="M676" i="202"/>
  <c r="M638" i="202"/>
  <c r="M593" i="202"/>
  <c r="M541" i="202"/>
  <c r="M531" i="202"/>
  <c r="M518" i="202"/>
  <c r="M493" i="202"/>
  <c r="M485" i="202"/>
  <c r="M468" i="202"/>
  <c r="M368" i="202"/>
  <c r="M303" i="202"/>
  <c r="M366" i="202"/>
  <c r="M293" i="202"/>
  <c r="M283" i="202"/>
  <c r="M423" i="202"/>
  <c r="M359" i="202"/>
  <c r="M271" i="202"/>
  <c r="M422" i="202"/>
  <c r="M385" i="202"/>
  <c r="M267" i="202"/>
  <c r="M357" i="202"/>
  <c r="M256" i="202"/>
  <c r="M402" i="202"/>
  <c r="M378" i="202"/>
  <c r="M239" i="202"/>
  <c r="M618" i="202"/>
  <c r="M689" i="202"/>
  <c r="M655" i="202"/>
  <c r="M610" i="202"/>
  <c r="M688" i="202"/>
  <c r="M651" i="202"/>
  <c r="M606" i="202"/>
  <c r="M675" i="202"/>
  <c r="M637" i="202"/>
  <c r="M592" i="202"/>
  <c r="M540" i="202"/>
  <c r="M535" i="202"/>
  <c r="M517" i="202"/>
  <c r="M492" i="202"/>
  <c r="M484" i="202"/>
  <c r="M467" i="202"/>
  <c r="M375" i="202"/>
  <c r="M315" i="202"/>
  <c r="M372" i="202"/>
  <c r="M312" i="202"/>
  <c r="M365" i="202"/>
  <c r="M292" i="202"/>
  <c r="M364" i="202"/>
  <c r="M287" i="202"/>
  <c r="M282" i="202"/>
  <c r="M419" i="202"/>
  <c r="M387" i="202"/>
  <c r="M270" i="202"/>
  <c r="M418" i="202"/>
  <c r="M384" i="202"/>
  <c r="M266" i="202"/>
  <c r="M420" i="202"/>
  <c r="M361" i="202"/>
  <c r="M274" i="202"/>
  <c r="M678" i="202"/>
  <c r="M698" i="202"/>
  <c r="M672" i="202"/>
  <c r="M633" i="202"/>
  <c r="M666" i="202"/>
  <c r="M626" i="202"/>
  <c r="M670" i="202"/>
  <c r="M628" i="202"/>
  <c r="M661" i="202"/>
  <c r="M624" i="202"/>
  <c r="M621" i="202"/>
  <c r="M685" i="202"/>
  <c r="M654" i="202"/>
  <c r="M609" i="202"/>
  <c r="M684" i="202"/>
  <c r="M650" i="202"/>
  <c r="M605" i="202"/>
  <c r="M674" i="202"/>
  <c r="M636" i="202"/>
  <c r="M591" i="202"/>
  <c r="M471" i="202"/>
  <c r="M539" i="202"/>
  <c r="M529" i="202"/>
  <c r="M516" i="202"/>
  <c r="M491" i="202"/>
  <c r="M483" i="202"/>
  <c r="M466" i="202"/>
  <c r="M526" i="202"/>
  <c r="M514" i="202"/>
  <c r="M405" i="202"/>
  <c r="M434" i="202"/>
  <c r="M369" i="202"/>
  <c r="M307" i="202"/>
  <c r="M433" i="202"/>
  <c r="M392" i="202"/>
  <c r="M305" i="202"/>
  <c r="M437" i="202"/>
  <c r="M374" i="202"/>
  <c r="M314" i="202"/>
  <c r="M436" i="202"/>
  <c r="M371" i="202"/>
  <c r="M311" i="202"/>
  <c r="M435" i="202"/>
  <c r="M370" i="202"/>
  <c r="M309" i="202"/>
  <c r="M296" i="202"/>
  <c r="M389" i="202"/>
  <c r="M291" i="202"/>
  <c r="M349" i="202"/>
  <c r="M289" i="202"/>
  <c r="M363" i="202"/>
  <c r="M286" i="202"/>
  <c r="M281" i="202"/>
  <c r="M416" i="202"/>
  <c r="M360" i="202"/>
  <c r="M273" i="202"/>
  <c r="M662" i="202"/>
  <c r="M627" i="202"/>
  <c r="J587" i="202"/>
  <c r="K587" i="202" s="1"/>
  <c r="M584" i="202"/>
  <c r="M156" i="202"/>
  <c r="M155" i="202"/>
  <c r="M227" i="202"/>
  <c r="M511" i="202"/>
  <c r="M509" i="202"/>
  <c r="M142" i="202"/>
  <c r="M230" i="202"/>
  <c r="M221" i="202"/>
  <c r="M228" i="202"/>
  <c r="M217" i="202"/>
  <c r="M226" i="202"/>
  <c r="M224" i="202"/>
  <c r="M214" i="202"/>
  <c r="M508" i="202"/>
  <c r="M506" i="202"/>
  <c r="M220" i="202"/>
  <c r="M219" i="202"/>
  <c r="M202" i="202"/>
  <c r="M215" i="202"/>
  <c r="M195" i="202"/>
  <c r="M212" i="202"/>
  <c r="M165" i="202"/>
  <c r="M588" i="202"/>
  <c r="M505" i="202"/>
  <c r="M454" i="202"/>
  <c r="M453" i="202"/>
  <c r="M452" i="202"/>
  <c r="M502" i="202"/>
  <c r="M586" i="202"/>
  <c r="M581" i="202"/>
  <c r="M580" i="202"/>
  <c r="M579" i="202"/>
  <c r="M574" i="202"/>
  <c r="M573" i="202"/>
  <c r="M572" i="202"/>
  <c r="M571" i="202"/>
  <c r="M569" i="202"/>
  <c r="M568" i="202"/>
  <c r="M567" i="202"/>
  <c r="M555" i="202"/>
  <c r="M554" i="202"/>
  <c r="M553" i="202"/>
  <c r="M207" i="202"/>
  <c r="M200" i="202"/>
  <c r="M192" i="202"/>
  <c r="M191" i="202"/>
  <c r="AO20" i="168" l="1"/>
  <c r="AO22" i="168"/>
  <c r="AO24" i="168"/>
  <c r="AO26" i="168"/>
  <c r="AO28" i="168"/>
  <c r="AO30" i="168"/>
  <c r="AO32" i="168"/>
  <c r="AO34" i="168"/>
  <c r="AO36" i="168"/>
  <c r="I11" i="3" l="1"/>
  <c r="J677" i="202" l="1"/>
  <c r="K677" i="202" s="1"/>
  <c r="J678" i="202"/>
  <c r="K678" i="202" s="1"/>
  <c r="J404" i="202" l="1"/>
  <c r="K404" i="202" s="1"/>
  <c r="J406" i="202"/>
  <c r="K406" i="202" s="1"/>
  <c r="J403" i="202"/>
  <c r="K403" i="202" s="1"/>
  <c r="J405" i="202"/>
  <c r="K405" i="202" s="1"/>
  <c r="AX15" i="109" l="1"/>
  <c r="AW15" i="109"/>
  <c r="AV15" i="109"/>
  <c r="AZ14" i="109"/>
  <c r="AJ16" i="153" s="1"/>
  <c r="AY14" i="109"/>
  <c r="AX14" i="109"/>
  <c r="AW14" i="109"/>
  <c r="AV14" i="109"/>
  <c r="BD13" i="109"/>
  <c r="BC13" i="109"/>
  <c r="BB13" i="109"/>
  <c r="BA13" i="109"/>
  <c r="AZ13" i="109"/>
  <c r="AY13" i="109"/>
  <c r="AX13" i="109"/>
  <c r="AW13" i="109"/>
  <c r="AV13" i="109"/>
  <c r="BD12" i="109"/>
  <c r="BC12" i="109"/>
  <c r="BB12" i="109"/>
  <c r="BA12" i="109"/>
  <c r="AZ12" i="109"/>
  <c r="AY12" i="109"/>
  <c r="AX12" i="109"/>
  <c r="AW12" i="109"/>
  <c r="AV12" i="109"/>
  <c r="AZ15" i="109"/>
  <c r="AY15" i="109"/>
  <c r="AZ29" i="109" l="1"/>
  <c r="AY29" i="109"/>
  <c r="AX29" i="109"/>
  <c r="AW29" i="109"/>
  <c r="AV29" i="109"/>
  <c r="AZ28" i="109"/>
  <c r="AY28" i="109"/>
  <c r="AX28" i="109"/>
  <c r="AW28" i="109"/>
  <c r="AV28" i="109"/>
  <c r="BD27" i="109"/>
  <c r="BC27" i="109"/>
  <c r="BB27" i="109"/>
  <c r="BA27" i="109"/>
  <c r="AZ27" i="109"/>
  <c r="AY27" i="109"/>
  <c r="AX27" i="109"/>
  <c r="AW27" i="109"/>
  <c r="AV27" i="109"/>
  <c r="BD26" i="109"/>
  <c r="BC26" i="109"/>
  <c r="BB26" i="109"/>
  <c r="BA26" i="109"/>
  <c r="AZ26" i="109"/>
  <c r="AY26" i="109"/>
  <c r="AX26" i="109"/>
  <c r="AW26" i="109"/>
  <c r="AV26" i="109"/>
  <c r="BC29" i="109" l="1"/>
  <c r="BC28" i="109"/>
  <c r="BA28" i="109"/>
  <c r="BA29" i="109"/>
  <c r="BD28" i="109"/>
  <c r="BD29" i="109"/>
  <c r="BB28" i="109"/>
  <c r="BB29" i="109"/>
  <c r="M19" i="151" l="1"/>
  <c r="V19" i="151"/>
  <c r="AE19" i="151"/>
  <c r="AZ22" i="109" l="1"/>
  <c r="AY22" i="109"/>
  <c r="AX22" i="109"/>
  <c r="AW22" i="109"/>
  <c r="AV22" i="109"/>
  <c r="AZ21" i="109"/>
  <c r="AY21" i="109"/>
  <c r="AX21" i="109"/>
  <c r="AW21" i="109"/>
  <c r="AV21" i="109"/>
  <c r="BC20" i="109"/>
  <c r="BB20" i="109"/>
  <c r="BA20" i="109"/>
  <c r="AZ20" i="109"/>
  <c r="AY20" i="109"/>
  <c r="AX20" i="109"/>
  <c r="AW20" i="109"/>
  <c r="AV20" i="109"/>
  <c r="BD21" i="109" l="1"/>
  <c r="BC22" i="109"/>
  <c r="BC21" i="109"/>
  <c r="BA22" i="109"/>
  <c r="BA21" i="109"/>
  <c r="BD22" i="109"/>
  <c r="BB21" i="109"/>
  <c r="BB22" i="109"/>
  <c r="AZ30" i="176" l="1"/>
  <c r="BG30" i="176"/>
  <c r="J26" i="3" s="1"/>
  <c r="BE30" i="176"/>
  <c r="BI30" i="176" l="1"/>
  <c r="EW2" i="110" l="1"/>
  <c r="EX2" i="110"/>
  <c r="EY2" i="110"/>
  <c r="FA2" i="110"/>
  <c r="EZ2" i="110"/>
  <c r="R20" i="154"/>
  <c r="W19" i="154"/>
  <c r="R19" i="154"/>
  <c r="R18" i="154"/>
  <c r="J488" i="202" l="1"/>
  <c r="K488" i="202" s="1"/>
  <c r="J487" i="202"/>
  <c r="K487" i="202" s="1"/>
  <c r="J489" i="202"/>
  <c r="K489" i="202" s="1"/>
  <c r="K536" i="202"/>
  <c r="K537" i="202"/>
  <c r="J490" i="202"/>
  <c r="K490" i="202" s="1"/>
  <c r="J491" i="202"/>
  <c r="K491" i="202" s="1"/>
  <c r="J492" i="202"/>
  <c r="K492" i="202" s="1"/>
  <c r="J493" i="202"/>
  <c r="K493" i="202" s="1"/>
  <c r="K538" i="202"/>
  <c r="K539" i="202"/>
  <c r="K540" i="202"/>
  <c r="K541" i="202"/>
  <c r="K542" i="202"/>
  <c r="K543" i="202"/>
  <c r="J486" i="202"/>
  <c r="K486" i="202" s="1"/>
  <c r="J698" i="202"/>
  <c r="K698" i="202" s="1"/>
  <c r="J696" i="202"/>
  <c r="K696" i="202" s="1"/>
  <c r="J686" i="202"/>
  <c r="K686" i="202" s="1"/>
  <c r="J683" i="202"/>
  <c r="K683" i="202" s="1"/>
  <c r="J687" i="202"/>
  <c r="K687" i="202" s="1"/>
  <c r="J690" i="202"/>
  <c r="K690" i="202" s="1"/>
  <c r="J680" i="202"/>
  <c r="K680" i="202" s="1"/>
  <c r="J684" i="202"/>
  <c r="K684" i="202" s="1"/>
  <c r="J688" i="202"/>
  <c r="K688" i="202" s="1"/>
  <c r="J691" i="202"/>
  <c r="K691" i="202" s="1"/>
  <c r="J681" i="202"/>
  <c r="K681" i="202" s="1"/>
  <c r="J685" i="202"/>
  <c r="K685" i="202" s="1"/>
  <c r="J689" i="202"/>
  <c r="K689" i="202" s="1"/>
  <c r="J692" i="202"/>
  <c r="K692" i="202" s="1"/>
  <c r="J694" i="202"/>
  <c r="K694" i="202" s="1"/>
  <c r="J682" i="202"/>
  <c r="K682" i="202" s="1"/>
  <c r="J679" i="202"/>
  <c r="K679" i="202" s="1"/>
  <c r="J674" i="202"/>
  <c r="K674" i="202" s="1"/>
  <c r="J675" i="202"/>
  <c r="K675" i="202" s="1"/>
  <c r="J676" i="202"/>
  <c r="K676" i="202" s="1"/>
  <c r="J673" i="202"/>
  <c r="K673" i="202" s="1"/>
  <c r="J437" i="202"/>
  <c r="K437" i="202" s="1"/>
  <c r="J431" i="202"/>
  <c r="K431" i="202" s="1"/>
  <c r="J436" i="202"/>
  <c r="K436" i="202" s="1"/>
  <c r="J430" i="202"/>
  <c r="K430" i="202" s="1"/>
  <c r="J435" i="202"/>
  <c r="K435" i="202" s="1"/>
  <c r="J429" i="202"/>
  <c r="K429" i="202" s="1"/>
  <c r="J434" i="202"/>
  <c r="K434" i="202" s="1"/>
  <c r="J428" i="202"/>
  <c r="K428" i="202" s="1"/>
  <c r="J433" i="202"/>
  <c r="K433" i="202" s="1"/>
  <c r="J427" i="202"/>
  <c r="K427" i="202" s="1"/>
  <c r="J432" i="202"/>
  <c r="K432" i="202" s="1"/>
  <c r="J426" i="202"/>
  <c r="K426" i="202" s="1"/>
  <c r="J402" i="202"/>
  <c r="K402" i="202" s="1"/>
  <c r="J400" i="202"/>
  <c r="K400" i="202" s="1"/>
  <c r="J398" i="202"/>
  <c r="K398" i="202" s="1"/>
  <c r="J396" i="202"/>
  <c r="K396" i="202" s="1"/>
  <c r="J401" i="202"/>
  <c r="K401" i="202" s="1"/>
  <c r="J399" i="202"/>
  <c r="K399" i="202" s="1"/>
  <c r="J397" i="202"/>
  <c r="K397" i="202" s="1"/>
  <c r="J395" i="202"/>
  <c r="K395" i="202" s="1"/>
  <c r="J407" i="202"/>
  <c r="K407" i="202" s="1"/>
  <c r="J412" i="202"/>
  <c r="K412" i="202" s="1"/>
  <c r="J408" i="202"/>
  <c r="K408" i="202" s="1"/>
  <c r="J413" i="202"/>
  <c r="K413" i="202" s="1"/>
  <c r="J417" i="202"/>
  <c r="K417" i="202" s="1"/>
  <c r="J421" i="202"/>
  <c r="K421" i="202" s="1"/>
  <c r="J409" i="202"/>
  <c r="K409" i="202" s="1"/>
  <c r="J414" i="202"/>
  <c r="K414" i="202" s="1"/>
  <c r="J418" i="202"/>
  <c r="K418" i="202" s="1"/>
  <c r="J422" i="202"/>
  <c r="K422" i="202" s="1"/>
  <c r="J410" i="202"/>
  <c r="K410" i="202" s="1"/>
  <c r="J415" i="202"/>
  <c r="K415" i="202" s="1"/>
  <c r="J419" i="202"/>
  <c r="K419" i="202" s="1"/>
  <c r="J423" i="202"/>
  <c r="K423" i="202" s="1"/>
  <c r="J411" i="202"/>
  <c r="K411" i="202" s="1"/>
  <c r="J416" i="202"/>
  <c r="K416" i="202" s="1"/>
  <c r="J420" i="202"/>
  <c r="K420" i="202" s="1"/>
  <c r="B96" i="3"/>
  <c r="B95" i="3"/>
  <c r="C96" i="3"/>
  <c r="C97" i="3"/>
  <c r="C95" i="3"/>
  <c r="B97" i="3"/>
  <c r="C98" i="3"/>
  <c r="B98" i="3"/>
  <c r="C94" i="3"/>
  <c r="B94" i="3"/>
  <c r="D95" i="3" l="1"/>
  <c r="D96" i="3"/>
  <c r="D97" i="3"/>
  <c r="D94" i="3"/>
  <c r="D98" i="3"/>
  <c r="J4" i="202"/>
  <c r="H17" i="154" l="1"/>
  <c r="H18" i="154"/>
  <c r="R17" i="154"/>
  <c r="M20" i="168" l="1"/>
  <c r="M22" i="168"/>
  <c r="M24" i="168"/>
  <c r="M26" i="168"/>
  <c r="M28" i="168"/>
  <c r="M30" i="168"/>
  <c r="M32" i="168"/>
  <c r="M34" i="168"/>
  <c r="M36" i="168"/>
  <c r="M18" i="168"/>
  <c r="M18" i="159"/>
  <c r="P20" i="161"/>
  <c r="P22" i="161"/>
  <c r="P24" i="161"/>
  <c r="P26" i="161"/>
  <c r="P28" i="161"/>
  <c r="P30" i="161"/>
  <c r="P32" i="161"/>
  <c r="P34" i="161"/>
  <c r="P36" i="161"/>
  <c r="P38" i="161"/>
  <c r="P40" i="161"/>
  <c r="P42" i="161"/>
  <c r="P44" i="161"/>
  <c r="P46" i="161"/>
  <c r="P48" i="161"/>
  <c r="P50" i="161"/>
  <c r="P52" i="161"/>
  <c r="P54" i="161"/>
  <c r="P56" i="161"/>
  <c r="P18" i="161"/>
  <c r="Q69" i="110" l="1"/>
  <c r="Q76" i="110"/>
  <c r="Q80" i="110"/>
  <c r="Q81" i="110"/>
  <c r="Q79" i="110"/>
  <c r="Q83" i="110"/>
  <c r="Q82" i="110"/>
  <c r="Q78" i="110"/>
  <c r="Q74" i="110"/>
  <c r="Q71" i="110"/>
  <c r="Q85" i="110"/>
  <c r="Q84" i="110"/>
  <c r="Q86" i="110"/>
  <c r="R18" i="161"/>
  <c r="J73" i="110"/>
  <c r="E78" i="110"/>
  <c r="E69" i="110"/>
  <c r="J84" i="110"/>
  <c r="J82" i="110"/>
  <c r="E86" i="110"/>
  <c r="E76" i="110"/>
  <c r="E82" i="110"/>
  <c r="J86" i="110"/>
  <c r="J78" i="110"/>
  <c r="E85" i="110"/>
  <c r="J85" i="110"/>
  <c r="E81" i="110"/>
  <c r="J81" i="110"/>
  <c r="E77" i="110"/>
  <c r="E84" i="110"/>
  <c r="E72" i="110"/>
  <c r="E74" i="110"/>
  <c r="J74" i="110"/>
  <c r="E80" i="110"/>
  <c r="J80" i="110"/>
  <c r="E79" i="110"/>
  <c r="E75" i="110"/>
  <c r="J75" i="110"/>
  <c r="J83" i="110"/>
  <c r="E83" i="110"/>
  <c r="J79" i="110"/>
  <c r="E71" i="110"/>
  <c r="E68" i="110"/>
  <c r="AP70" i="110"/>
  <c r="E70" i="110"/>
  <c r="E73" i="110"/>
  <c r="AM183" i="110"/>
  <c r="AM184" i="110"/>
  <c r="AM185" i="110"/>
  <c r="AM186" i="110"/>
  <c r="AM187" i="110"/>
  <c r="AM188" i="110"/>
  <c r="AM189" i="110"/>
  <c r="AM190" i="110"/>
  <c r="AM191" i="110"/>
  <c r="AM192" i="110"/>
  <c r="AM193" i="110"/>
  <c r="AM194" i="110"/>
  <c r="AM195" i="110"/>
  <c r="AM196" i="110"/>
  <c r="AM182" i="110"/>
  <c r="AK183" i="110"/>
  <c r="AK184" i="110"/>
  <c r="AK185" i="110"/>
  <c r="AK186" i="110"/>
  <c r="AK187" i="110"/>
  <c r="AK188" i="110"/>
  <c r="AK189" i="110"/>
  <c r="AK190" i="110"/>
  <c r="AK191" i="110"/>
  <c r="AK192" i="110"/>
  <c r="AK193" i="110"/>
  <c r="AK194" i="110"/>
  <c r="AK195" i="110"/>
  <c r="AK196" i="110"/>
  <c r="AK182" i="110"/>
  <c r="G183" i="110"/>
  <c r="G184" i="110"/>
  <c r="G185" i="110"/>
  <c r="G186" i="110"/>
  <c r="G187" i="110"/>
  <c r="G188" i="110"/>
  <c r="G189" i="110"/>
  <c r="G190" i="110"/>
  <c r="G191" i="110"/>
  <c r="G192" i="110"/>
  <c r="G193" i="110"/>
  <c r="G194" i="110"/>
  <c r="G195" i="110"/>
  <c r="G196" i="110"/>
  <c r="G182" i="110"/>
  <c r="AR20" i="161" l="1"/>
  <c r="AP79" i="110"/>
  <c r="AP84" i="110"/>
  <c r="AP72" i="110"/>
  <c r="AP73" i="110"/>
  <c r="AP86" i="110"/>
  <c r="AP69" i="110"/>
  <c r="AP75" i="110"/>
  <c r="AP76" i="110"/>
  <c r="AP77" i="110"/>
  <c r="AP78" i="110"/>
  <c r="AP81" i="110"/>
  <c r="AP80" i="110"/>
  <c r="AP85" i="110"/>
  <c r="AP83" i="110"/>
  <c r="AP68" i="110"/>
  <c r="AP71" i="110"/>
  <c r="AP82" i="110"/>
  <c r="AP74" i="110"/>
  <c r="Q72" i="110"/>
  <c r="Q77" i="110"/>
  <c r="BK18" i="159"/>
  <c r="BK20" i="160"/>
  <c r="BK22" i="160"/>
  <c r="BK24" i="160"/>
  <c r="BK26" i="160"/>
  <c r="BK28" i="160"/>
  <c r="BK30" i="160"/>
  <c r="BK32" i="160"/>
  <c r="BK34" i="160"/>
  <c r="BK36" i="160"/>
  <c r="BK18" i="182"/>
  <c r="BK20" i="162"/>
  <c r="BK22" i="162"/>
  <c r="BK24" i="162"/>
  <c r="BK26" i="162"/>
  <c r="BK28" i="162"/>
  <c r="BK30" i="162"/>
  <c r="BK32" i="162"/>
  <c r="BK34" i="162"/>
  <c r="BK36" i="162"/>
  <c r="BK18" i="162"/>
  <c r="BK20" i="163"/>
  <c r="BK22" i="163"/>
  <c r="BK24" i="163"/>
  <c r="BK26" i="163"/>
  <c r="BK28" i="163"/>
  <c r="BK30" i="163"/>
  <c r="BK32" i="163"/>
  <c r="BK34" i="163"/>
  <c r="BK36" i="163"/>
  <c r="BK18" i="163"/>
  <c r="BK18" i="160"/>
  <c r="BK20" i="158"/>
  <c r="BK22" i="158"/>
  <c r="BK24" i="158"/>
  <c r="BK26" i="158"/>
  <c r="BK28" i="158"/>
  <c r="BK30" i="158"/>
  <c r="BK32" i="158"/>
  <c r="BK34" i="158"/>
  <c r="BK36" i="158"/>
  <c r="BK38" i="158"/>
  <c r="BK40" i="158"/>
  <c r="BK42" i="158"/>
  <c r="BK44" i="158"/>
  <c r="BK46" i="158"/>
  <c r="BK18" i="158"/>
  <c r="BM28" i="168"/>
  <c r="BM30" i="168"/>
  <c r="BM32" i="168"/>
  <c r="BM34" i="168"/>
  <c r="BM36" i="168"/>
  <c r="R68" i="110" l="1"/>
  <c r="BH20" i="161"/>
  <c r="C75" i="110"/>
  <c r="C79" i="110"/>
  <c r="C80" i="110"/>
  <c r="C84" i="110"/>
  <c r="C86" i="110"/>
  <c r="C81" i="110"/>
  <c r="C74" i="110"/>
  <c r="C85" i="110"/>
  <c r="C82" i="110"/>
  <c r="C78" i="110"/>
  <c r="C83" i="110"/>
  <c r="C73" i="110"/>
  <c r="J125" i="202"/>
  <c r="K125" i="202" s="1"/>
  <c r="J124" i="202"/>
  <c r="K124" i="202" s="1"/>
  <c r="J123" i="202"/>
  <c r="K123" i="202" s="1"/>
  <c r="J122" i="202"/>
  <c r="K122" i="202" s="1"/>
  <c r="J121" i="202"/>
  <c r="K121" i="202" s="1"/>
  <c r="J120" i="202"/>
  <c r="K120" i="202" s="1"/>
  <c r="J119" i="202"/>
  <c r="K119" i="202" s="1"/>
  <c r="J118" i="202"/>
  <c r="K118" i="202" s="1"/>
  <c r="J117" i="202"/>
  <c r="K117" i="202" s="1"/>
  <c r="J116" i="202"/>
  <c r="K116" i="202" s="1"/>
  <c r="J115" i="202"/>
  <c r="K115" i="202" s="1"/>
  <c r="J114" i="202"/>
  <c r="K114" i="202" s="1"/>
  <c r="J113" i="202"/>
  <c r="K113" i="202" s="1"/>
  <c r="J112" i="202"/>
  <c r="K112" i="202" s="1"/>
  <c r="J111" i="202"/>
  <c r="K111" i="202" s="1"/>
  <c r="J110" i="202"/>
  <c r="K110" i="202" s="1"/>
  <c r="J109" i="202"/>
  <c r="K109" i="202" s="1"/>
  <c r="J108" i="202"/>
  <c r="K108" i="202" s="1"/>
  <c r="J107" i="202"/>
  <c r="K107" i="202" s="1"/>
  <c r="J106" i="202"/>
  <c r="K106" i="202" s="1"/>
  <c r="J105" i="202"/>
  <c r="K105" i="202" s="1"/>
  <c r="J104" i="202"/>
  <c r="K104" i="202" s="1"/>
  <c r="J375" i="202"/>
  <c r="K375" i="202" s="1"/>
  <c r="J374" i="202"/>
  <c r="K374" i="202" s="1"/>
  <c r="J373" i="202"/>
  <c r="K373" i="202" s="1"/>
  <c r="J372" i="202"/>
  <c r="K372" i="202" s="1"/>
  <c r="J371" i="202"/>
  <c r="K371" i="202" s="1"/>
  <c r="J394" i="202"/>
  <c r="K394" i="202" s="1"/>
  <c r="J370" i="202"/>
  <c r="K370" i="202" s="1"/>
  <c r="J369" i="202"/>
  <c r="K369" i="202" s="1"/>
  <c r="J368" i="202"/>
  <c r="K368" i="202" s="1"/>
  <c r="J367" i="202"/>
  <c r="K367" i="202" s="1"/>
  <c r="J366" i="202"/>
  <c r="K366" i="202" s="1"/>
  <c r="J365" i="202"/>
  <c r="K365" i="202" s="1"/>
  <c r="J389" i="202"/>
  <c r="K389" i="202" s="1"/>
  <c r="J364" i="202"/>
  <c r="K364" i="202" s="1"/>
  <c r="J363" i="202"/>
  <c r="K363" i="202" s="1"/>
  <c r="J362" i="202"/>
  <c r="K362" i="202" s="1"/>
  <c r="J361" i="202"/>
  <c r="K361" i="202" s="1"/>
  <c r="J360" i="202"/>
  <c r="K360" i="202" s="1"/>
  <c r="J359" i="202"/>
  <c r="K359" i="202" s="1"/>
  <c r="J387" i="202"/>
  <c r="K387" i="202" s="1"/>
  <c r="J358" i="202"/>
  <c r="K358" i="202" s="1"/>
  <c r="J357" i="202"/>
  <c r="K357" i="202" s="1"/>
  <c r="J356" i="202"/>
  <c r="K356" i="202" s="1"/>
  <c r="J378" i="202"/>
  <c r="K378" i="202" s="1"/>
  <c r="K533" i="202"/>
  <c r="K532" i="202"/>
  <c r="K531" i="202"/>
  <c r="K535" i="202"/>
  <c r="J354" i="202"/>
  <c r="K354" i="202" s="1"/>
  <c r="J392" i="202"/>
  <c r="K392" i="202" s="1"/>
  <c r="J355" i="202"/>
  <c r="K355" i="202" s="1"/>
  <c r="J391" i="202"/>
  <c r="K391" i="202" s="1"/>
  <c r="J350" i="202"/>
  <c r="K350" i="202" s="1"/>
  <c r="J349" i="202"/>
  <c r="K349" i="202" s="1"/>
  <c r="J390" i="202"/>
  <c r="K390" i="202" s="1"/>
  <c r="J388" i="202"/>
  <c r="K388" i="202" s="1"/>
  <c r="J346" i="202"/>
  <c r="K346" i="202" s="1"/>
  <c r="J386" i="202"/>
  <c r="K386" i="202" s="1"/>
  <c r="J385" i="202"/>
  <c r="K385" i="202" s="1"/>
  <c r="J384" i="202"/>
  <c r="K384" i="202" s="1"/>
  <c r="J383" i="202"/>
  <c r="K383" i="202" s="1"/>
  <c r="J342" i="202"/>
  <c r="K342" i="202" s="1"/>
  <c r="J382" i="202"/>
  <c r="K382" i="202" s="1"/>
  <c r="J381" i="202"/>
  <c r="K381" i="202" s="1"/>
  <c r="J336" i="202"/>
  <c r="K336" i="202" s="1"/>
  <c r="J380" i="202"/>
  <c r="K380" i="202" s="1"/>
  <c r="J334" i="202"/>
  <c r="K334" i="202" s="1"/>
  <c r="J379" i="202"/>
  <c r="K379" i="202" s="1"/>
  <c r="J377" i="202"/>
  <c r="K377" i="202" s="1"/>
  <c r="J376" i="202"/>
  <c r="K376" i="202" s="1"/>
  <c r="J393" i="202"/>
  <c r="K393" i="202" s="1"/>
  <c r="J672" i="202"/>
  <c r="K672" i="202" s="1"/>
  <c r="J666" i="202"/>
  <c r="K666" i="202" s="1"/>
  <c r="J671" i="202"/>
  <c r="K671" i="202" s="1"/>
  <c r="J670" i="202"/>
  <c r="K670" i="202" s="1"/>
  <c r="J669" i="202"/>
  <c r="K669" i="202" s="1"/>
  <c r="J658" i="202"/>
  <c r="K658" i="202" s="1"/>
  <c r="J668" i="202"/>
  <c r="K668" i="202" s="1"/>
  <c r="J656" i="202"/>
  <c r="K656" i="202" s="1"/>
  <c r="J643" i="202"/>
  <c r="K643" i="202" s="1"/>
  <c r="K529" i="202"/>
  <c r="J485" i="202"/>
  <c r="K485" i="202" s="1"/>
  <c r="J135" i="202"/>
  <c r="K135" i="202" s="1"/>
  <c r="J134" i="202"/>
  <c r="K134" i="202" s="1"/>
  <c r="J133" i="202"/>
  <c r="K133" i="202" s="1"/>
  <c r="J132" i="202"/>
  <c r="K132" i="202" s="1"/>
  <c r="J131" i="202"/>
  <c r="K131" i="202" s="1"/>
  <c r="J130" i="202"/>
  <c r="K130" i="202" s="1"/>
  <c r="J129" i="202"/>
  <c r="K129" i="202" s="1"/>
  <c r="J128" i="202"/>
  <c r="K128" i="202" s="1"/>
  <c r="J127" i="202"/>
  <c r="K127" i="202" s="1"/>
  <c r="J126" i="202"/>
  <c r="K126" i="202" s="1"/>
  <c r="J352" i="202"/>
  <c r="K352" i="202" s="1"/>
  <c r="J351" i="202"/>
  <c r="K351" i="202" s="1"/>
  <c r="J348" i="202"/>
  <c r="J347" i="202"/>
  <c r="J345" i="202"/>
  <c r="K345" i="202" s="1"/>
  <c r="J344" i="202"/>
  <c r="K344" i="202" s="1"/>
  <c r="J343" i="202"/>
  <c r="K343" i="202" s="1"/>
  <c r="J341" i="202"/>
  <c r="K341" i="202" s="1"/>
  <c r="J340" i="202"/>
  <c r="K340" i="202" s="1"/>
  <c r="J339" i="202"/>
  <c r="K339" i="202" s="1"/>
  <c r="J338" i="202"/>
  <c r="K338" i="202" s="1"/>
  <c r="J337" i="202"/>
  <c r="K337" i="202" s="1"/>
  <c r="J335" i="202"/>
  <c r="K335" i="202" s="1"/>
  <c r="J333" i="202"/>
  <c r="K333" i="202" s="1"/>
  <c r="J332" i="202"/>
  <c r="K332" i="202" s="1"/>
  <c r="J331" i="202"/>
  <c r="K331" i="202" s="1"/>
  <c r="J330" i="202"/>
  <c r="K330" i="202" s="1"/>
  <c r="J329" i="202"/>
  <c r="K329" i="202" s="1"/>
  <c r="J328" i="202"/>
  <c r="K328" i="202" s="1"/>
  <c r="J327" i="202"/>
  <c r="K327" i="202" s="1"/>
  <c r="J326" i="202"/>
  <c r="K326" i="202" s="1"/>
  <c r="J325" i="202"/>
  <c r="K325" i="202" s="1"/>
  <c r="J324" i="202"/>
  <c r="K324" i="202" s="1"/>
  <c r="J323" i="202"/>
  <c r="K323" i="202" s="1"/>
  <c r="J322" i="202"/>
  <c r="K322" i="202" s="1"/>
  <c r="J321" i="202"/>
  <c r="K321" i="202" s="1"/>
  <c r="J320" i="202"/>
  <c r="K320" i="202" s="1"/>
  <c r="J319" i="202"/>
  <c r="K319" i="202" s="1"/>
  <c r="J318" i="202"/>
  <c r="K318" i="202" s="1"/>
  <c r="J317" i="202"/>
  <c r="K317" i="202" s="1"/>
  <c r="J316" i="202"/>
  <c r="K316" i="202" s="1"/>
  <c r="J353" i="202"/>
  <c r="K353" i="202" s="1"/>
  <c r="J665" i="202"/>
  <c r="K665" i="202" s="1"/>
  <c r="J662" i="202"/>
  <c r="K662" i="202" s="1"/>
  <c r="J664" i="202"/>
  <c r="K664" i="202" s="1"/>
  <c r="J663" i="202"/>
  <c r="K663" i="202" s="1"/>
  <c r="J661" i="202"/>
  <c r="K661" i="202" s="1"/>
  <c r="J660" i="202"/>
  <c r="K660" i="202" s="1"/>
  <c r="J659" i="202"/>
  <c r="K659" i="202" s="1"/>
  <c r="J657" i="202"/>
  <c r="K657" i="202" s="1"/>
  <c r="J655" i="202"/>
  <c r="K655" i="202" s="1"/>
  <c r="J654" i="202"/>
  <c r="K654" i="202" s="1"/>
  <c r="J653" i="202"/>
  <c r="K653" i="202" s="1"/>
  <c r="J652" i="202"/>
  <c r="K652" i="202" s="1"/>
  <c r="J651" i="202"/>
  <c r="K651" i="202" s="1"/>
  <c r="J650" i="202"/>
  <c r="K650" i="202" s="1"/>
  <c r="J649" i="202"/>
  <c r="K649" i="202" s="1"/>
  <c r="J648" i="202"/>
  <c r="K648" i="202" s="1"/>
  <c r="J647" i="202"/>
  <c r="K647" i="202" s="1"/>
  <c r="J646" i="202"/>
  <c r="K646" i="202" s="1"/>
  <c r="J645" i="202"/>
  <c r="K645" i="202" s="1"/>
  <c r="J644" i="202"/>
  <c r="K644" i="202" s="1"/>
  <c r="J642" i="202"/>
  <c r="K642" i="202" s="1"/>
  <c r="J641" i="202"/>
  <c r="K641" i="202" s="1"/>
  <c r="J640" i="202"/>
  <c r="K640" i="202" s="1"/>
  <c r="J639" i="202"/>
  <c r="K639" i="202" s="1"/>
  <c r="J638" i="202"/>
  <c r="K638" i="202" s="1"/>
  <c r="J637" i="202"/>
  <c r="K637" i="202" s="1"/>
  <c r="J636" i="202"/>
  <c r="K636" i="202" s="1"/>
  <c r="J635" i="202"/>
  <c r="K635" i="202" s="1"/>
  <c r="J634" i="202"/>
  <c r="K634" i="202" s="1"/>
  <c r="J103" i="202"/>
  <c r="K103" i="202" s="1"/>
  <c r="J102" i="202"/>
  <c r="K102" i="202" s="1"/>
  <c r="J101" i="202"/>
  <c r="K101" i="202" s="1"/>
  <c r="J100" i="202"/>
  <c r="K100" i="202" s="1"/>
  <c r="J99" i="202"/>
  <c r="K99" i="202" s="1"/>
  <c r="J98" i="202"/>
  <c r="K98" i="202" s="1"/>
  <c r="J97" i="202"/>
  <c r="K97" i="202" s="1"/>
  <c r="J96" i="202"/>
  <c r="K96" i="202" s="1"/>
  <c r="J95" i="202"/>
  <c r="K95" i="202" s="1"/>
  <c r="J94" i="202"/>
  <c r="K94" i="202" s="1"/>
  <c r="J93" i="202"/>
  <c r="K93" i="202" s="1"/>
  <c r="J92" i="202"/>
  <c r="K92" i="202" s="1"/>
  <c r="J91" i="202"/>
  <c r="K91" i="202" s="1"/>
  <c r="J90" i="202"/>
  <c r="K90" i="202" s="1"/>
  <c r="J89" i="202"/>
  <c r="K89" i="202" s="1"/>
  <c r="J88" i="202"/>
  <c r="K88" i="202" s="1"/>
  <c r="J87" i="202"/>
  <c r="K87" i="202" s="1"/>
  <c r="J86" i="202"/>
  <c r="K86" i="202" s="1"/>
  <c r="J484" i="202"/>
  <c r="K484" i="202" s="1"/>
  <c r="J483" i="202"/>
  <c r="K483" i="202" s="1"/>
  <c r="J482" i="202"/>
  <c r="K482" i="202" s="1"/>
  <c r="J481" i="202"/>
  <c r="K481" i="202" s="1"/>
  <c r="K526" i="202"/>
  <c r="J480" i="202"/>
  <c r="K480" i="202" s="1"/>
  <c r="J479" i="202"/>
  <c r="K479" i="202" s="1"/>
  <c r="J478" i="202"/>
  <c r="K478" i="202" s="1"/>
  <c r="J477" i="202"/>
  <c r="K477" i="202" s="1"/>
  <c r="K524" i="202"/>
  <c r="K523" i="202"/>
  <c r="J476" i="202"/>
  <c r="K476" i="202" s="1"/>
  <c r="J475" i="202"/>
  <c r="K475" i="202" s="1"/>
  <c r="J474" i="202"/>
  <c r="K474" i="202" s="1"/>
  <c r="J473" i="202"/>
  <c r="K473" i="202" s="1"/>
  <c r="J472" i="202"/>
  <c r="K472" i="202" s="1"/>
  <c r="J231" i="202"/>
  <c r="K231" i="202" s="1"/>
  <c r="J456" i="202"/>
  <c r="K456" i="202" s="1"/>
  <c r="J457" i="202"/>
  <c r="K457" i="202" s="1"/>
  <c r="J458" i="202"/>
  <c r="K458" i="202" s="1"/>
  <c r="J459" i="202"/>
  <c r="K459" i="202" s="1"/>
  <c r="K512" i="202"/>
  <c r="K513" i="202"/>
  <c r="J460" i="202"/>
  <c r="K460" i="202" s="1"/>
  <c r="J461" i="202"/>
  <c r="K461" i="202" s="1"/>
  <c r="J462" i="202"/>
  <c r="K462" i="202" s="1"/>
  <c r="J463" i="202"/>
  <c r="K463" i="202" s="1"/>
  <c r="K514" i="202"/>
  <c r="J464" i="202"/>
  <c r="K464" i="202" s="1"/>
  <c r="J465" i="202"/>
  <c r="K465" i="202" s="1"/>
  <c r="J466" i="202"/>
  <c r="K466" i="202" s="1"/>
  <c r="J467" i="202"/>
  <c r="K467" i="202" s="1"/>
  <c r="J468" i="202"/>
  <c r="K468" i="202" s="1"/>
  <c r="K515" i="202"/>
  <c r="K516" i="202"/>
  <c r="K517" i="202"/>
  <c r="K518" i="202"/>
  <c r="K519" i="202"/>
  <c r="K520" i="202"/>
  <c r="J469" i="202"/>
  <c r="K469" i="202" s="1"/>
  <c r="J470" i="202"/>
  <c r="K470" i="202" s="1"/>
  <c r="J471" i="202"/>
  <c r="K471" i="202" s="1"/>
  <c r="K521" i="202"/>
  <c r="J455" i="202"/>
  <c r="K455" i="202" s="1"/>
  <c r="J590" i="202"/>
  <c r="K590" i="202" s="1"/>
  <c r="J591" i="202"/>
  <c r="K591" i="202" s="1"/>
  <c r="J592" i="202"/>
  <c r="K592" i="202" s="1"/>
  <c r="J593" i="202"/>
  <c r="K593" i="202" s="1"/>
  <c r="J594" i="202"/>
  <c r="K594" i="202" s="1"/>
  <c r="J595" i="202"/>
  <c r="K595" i="202" s="1"/>
  <c r="J596" i="202"/>
  <c r="K596" i="202" s="1"/>
  <c r="J597" i="202"/>
  <c r="K597" i="202" s="1"/>
  <c r="J598" i="202"/>
  <c r="K598" i="202" s="1"/>
  <c r="J599" i="202"/>
  <c r="K599" i="202" s="1"/>
  <c r="J600" i="202"/>
  <c r="K600" i="202" s="1"/>
  <c r="J601" i="202"/>
  <c r="K601" i="202" s="1"/>
  <c r="J602" i="202"/>
  <c r="K602" i="202" s="1"/>
  <c r="J603" i="202"/>
  <c r="K603" i="202" s="1"/>
  <c r="J604" i="202"/>
  <c r="K604" i="202" s="1"/>
  <c r="J605" i="202"/>
  <c r="K605" i="202" s="1"/>
  <c r="J606" i="202"/>
  <c r="K606" i="202" s="1"/>
  <c r="J607" i="202"/>
  <c r="K607" i="202" s="1"/>
  <c r="J608" i="202"/>
  <c r="K608" i="202" s="1"/>
  <c r="J609" i="202"/>
  <c r="K609" i="202" s="1"/>
  <c r="J610" i="202"/>
  <c r="K610" i="202" s="1"/>
  <c r="J611" i="202"/>
  <c r="K611" i="202" s="1"/>
  <c r="J612" i="202"/>
  <c r="K612" i="202" s="1"/>
  <c r="J613" i="202"/>
  <c r="K613" i="202" s="1"/>
  <c r="J614" i="202"/>
  <c r="K614" i="202" s="1"/>
  <c r="J615" i="202"/>
  <c r="K615" i="202" s="1"/>
  <c r="J616" i="202"/>
  <c r="K616" i="202" s="1"/>
  <c r="J617" i="202"/>
  <c r="K617" i="202" s="1"/>
  <c r="J618" i="202"/>
  <c r="K618" i="202" s="1"/>
  <c r="J619" i="202"/>
  <c r="K619" i="202" s="1"/>
  <c r="J620" i="202"/>
  <c r="K620" i="202" s="1"/>
  <c r="J621" i="202"/>
  <c r="K621" i="202" s="1"/>
  <c r="J622" i="202"/>
  <c r="K622" i="202" s="1"/>
  <c r="J623" i="202"/>
  <c r="K623" i="202" s="1"/>
  <c r="J624" i="202"/>
  <c r="K624" i="202" s="1"/>
  <c r="J625" i="202"/>
  <c r="K625" i="202" s="1"/>
  <c r="J626" i="202"/>
  <c r="K626" i="202" s="1"/>
  <c r="J627" i="202"/>
  <c r="K627" i="202" s="1"/>
  <c r="J628" i="202"/>
  <c r="K628" i="202" s="1"/>
  <c r="J629" i="202"/>
  <c r="K629" i="202" s="1"/>
  <c r="J632" i="202"/>
  <c r="K632" i="202" s="1"/>
  <c r="J633" i="202"/>
  <c r="K633" i="202" s="1"/>
  <c r="J589" i="202"/>
  <c r="K589" i="202" s="1"/>
  <c r="J233" i="202"/>
  <c r="K233" i="202" s="1"/>
  <c r="J234" i="202"/>
  <c r="K234" i="202" s="1"/>
  <c r="J235" i="202"/>
  <c r="J236" i="202"/>
  <c r="J237" i="202"/>
  <c r="J238" i="202"/>
  <c r="J239" i="202"/>
  <c r="J240" i="202"/>
  <c r="K240" i="202" s="1"/>
  <c r="J241" i="202"/>
  <c r="J242" i="202"/>
  <c r="J243" i="202"/>
  <c r="J244" i="202"/>
  <c r="J245" i="202"/>
  <c r="J246" i="202"/>
  <c r="J247" i="202"/>
  <c r="J248" i="202"/>
  <c r="J249" i="202"/>
  <c r="J250" i="202"/>
  <c r="J251" i="202"/>
  <c r="J252" i="202"/>
  <c r="J253" i="202"/>
  <c r="J254" i="202"/>
  <c r="J255" i="202"/>
  <c r="J256" i="202"/>
  <c r="J257" i="202"/>
  <c r="K257" i="202" s="1"/>
  <c r="J258" i="202"/>
  <c r="J259" i="202"/>
  <c r="J260" i="202"/>
  <c r="J261" i="202"/>
  <c r="K261" i="202" s="1"/>
  <c r="J262" i="202"/>
  <c r="K262" i="202" s="1"/>
  <c r="J263" i="202"/>
  <c r="K263" i="202" s="1"/>
  <c r="J264" i="202"/>
  <c r="K264" i="202" s="1"/>
  <c r="J265" i="202"/>
  <c r="K265" i="202" s="1"/>
  <c r="J266" i="202"/>
  <c r="K266" i="202" s="1"/>
  <c r="J267" i="202"/>
  <c r="K267" i="202" s="1"/>
  <c r="J268" i="202"/>
  <c r="K268" i="202" s="1"/>
  <c r="J269" i="202"/>
  <c r="K269" i="202" s="1"/>
  <c r="J270" i="202"/>
  <c r="K270" i="202" s="1"/>
  <c r="J271" i="202"/>
  <c r="K271" i="202" s="1"/>
  <c r="J272" i="202"/>
  <c r="K272" i="202" s="1"/>
  <c r="J273" i="202"/>
  <c r="K273" i="202" s="1"/>
  <c r="J274" i="202"/>
  <c r="K274" i="202" s="1"/>
  <c r="J275" i="202"/>
  <c r="K275" i="202" s="1"/>
  <c r="J276" i="202"/>
  <c r="K276" i="202" s="1"/>
  <c r="J277" i="202"/>
  <c r="K277" i="202" s="1"/>
  <c r="J278" i="202"/>
  <c r="K278" i="202" s="1"/>
  <c r="J279" i="202"/>
  <c r="K279" i="202" s="1"/>
  <c r="J280" i="202"/>
  <c r="K280" i="202" s="1"/>
  <c r="J281" i="202"/>
  <c r="K281" i="202" s="1"/>
  <c r="J282" i="202"/>
  <c r="K282" i="202" s="1"/>
  <c r="J283" i="202"/>
  <c r="K283" i="202" s="1"/>
  <c r="J284" i="202"/>
  <c r="K284" i="202" s="1"/>
  <c r="J285" i="202"/>
  <c r="K285" i="202" s="1"/>
  <c r="J286" i="202"/>
  <c r="K286" i="202" s="1"/>
  <c r="J287" i="202"/>
  <c r="K287" i="202" s="1"/>
  <c r="J288" i="202"/>
  <c r="K288" i="202" s="1"/>
  <c r="J289" i="202"/>
  <c r="K289" i="202" s="1"/>
  <c r="J290" i="202"/>
  <c r="K290" i="202" s="1"/>
  <c r="J291" i="202"/>
  <c r="K291" i="202" s="1"/>
  <c r="J292" i="202"/>
  <c r="K292" i="202" s="1"/>
  <c r="J293" i="202"/>
  <c r="K293" i="202" s="1"/>
  <c r="J294" i="202"/>
  <c r="K294" i="202" s="1"/>
  <c r="J295" i="202"/>
  <c r="K295" i="202" s="1"/>
  <c r="J296" i="202"/>
  <c r="K296" i="202" s="1"/>
  <c r="J297" i="202"/>
  <c r="K297" i="202" s="1"/>
  <c r="J298" i="202"/>
  <c r="K298" i="202" s="1"/>
  <c r="J299" i="202"/>
  <c r="K299" i="202" s="1"/>
  <c r="J300" i="202"/>
  <c r="K300" i="202" s="1"/>
  <c r="J301" i="202"/>
  <c r="K301" i="202" s="1"/>
  <c r="J302" i="202"/>
  <c r="K302" i="202" s="1"/>
  <c r="J303" i="202"/>
  <c r="K303" i="202" s="1"/>
  <c r="J304" i="202"/>
  <c r="K304" i="202" s="1"/>
  <c r="J305" i="202"/>
  <c r="K305" i="202" s="1"/>
  <c r="J306" i="202"/>
  <c r="K306" i="202" s="1"/>
  <c r="J307" i="202"/>
  <c r="K307" i="202" s="1"/>
  <c r="J308" i="202"/>
  <c r="K308" i="202" s="1"/>
  <c r="J309" i="202"/>
  <c r="K309" i="202" s="1"/>
  <c r="J310" i="202"/>
  <c r="K310" i="202" s="1"/>
  <c r="J311" i="202"/>
  <c r="K311" i="202" s="1"/>
  <c r="J312" i="202"/>
  <c r="K312" i="202" s="1"/>
  <c r="J313" i="202"/>
  <c r="K313" i="202" s="1"/>
  <c r="J314" i="202"/>
  <c r="K314" i="202" s="1"/>
  <c r="J315" i="202"/>
  <c r="K315" i="202" s="1"/>
  <c r="J232" i="202"/>
  <c r="K232" i="202" s="1"/>
  <c r="J156" i="202"/>
  <c r="K156" i="202" s="1"/>
  <c r="J155" i="202"/>
  <c r="K155" i="202" s="1"/>
  <c r="J154" i="202"/>
  <c r="K154" i="202" s="1"/>
  <c r="J227" i="202"/>
  <c r="K227" i="202" s="1"/>
  <c r="K509" i="202"/>
  <c r="K511" i="202"/>
  <c r="J142" i="202"/>
  <c r="K142" i="202" s="1"/>
  <c r="J230" i="202"/>
  <c r="K230" i="202" s="1"/>
  <c r="J221" i="202"/>
  <c r="K221" i="202" s="1"/>
  <c r="J229" i="202"/>
  <c r="K229" i="202" s="1"/>
  <c r="J228" i="202"/>
  <c r="K228" i="202" s="1"/>
  <c r="J217" i="202"/>
  <c r="K217" i="202" s="1"/>
  <c r="J226" i="202"/>
  <c r="K226" i="202" s="1"/>
  <c r="J225" i="202"/>
  <c r="K225" i="202" s="1"/>
  <c r="J224" i="202"/>
  <c r="K224" i="202" s="1"/>
  <c r="J214" i="202"/>
  <c r="K214" i="202" s="1"/>
  <c r="J223" i="202"/>
  <c r="K223" i="202" s="1"/>
  <c r="J588" i="202"/>
  <c r="K588" i="202" s="1"/>
  <c r="J222" i="202"/>
  <c r="K222" i="202" s="1"/>
  <c r="J210" i="202"/>
  <c r="K210" i="202" s="1"/>
  <c r="J220" i="202"/>
  <c r="K220" i="202" s="1"/>
  <c r="J219" i="202"/>
  <c r="K219" i="202" s="1"/>
  <c r="J218" i="202"/>
  <c r="K218" i="202" s="1"/>
  <c r="J202" i="202"/>
  <c r="K202" i="202" s="1"/>
  <c r="J215" i="202"/>
  <c r="K215" i="202" s="1"/>
  <c r="J195" i="202"/>
  <c r="K195" i="202" s="1"/>
  <c r="J213" i="202"/>
  <c r="K213" i="202" s="1"/>
  <c r="J212" i="202"/>
  <c r="K212" i="202" s="1"/>
  <c r="J211" i="202"/>
  <c r="K211" i="202" s="1"/>
  <c r="J165" i="202"/>
  <c r="K165" i="202" s="1"/>
  <c r="K506" i="202"/>
  <c r="K508" i="202"/>
  <c r="K505" i="202"/>
  <c r="K504" i="202"/>
  <c r="J454" i="202"/>
  <c r="K454" i="202" s="1"/>
  <c r="J453" i="202"/>
  <c r="K453" i="202" s="1"/>
  <c r="J452" i="202"/>
  <c r="K452" i="202" s="1"/>
  <c r="J451" i="202"/>
  <c r="K451" i="202" s="1"/>
  <c r="J450" i="202"/>
  <c r="K450" i="202" s="1"/>
  <c r="K502" i="202"/>
  <c r="J449" i="202"/>
  <c r="K449" i="202" s="1"/>
  <c r="J448" i="202"/>
  <c r="K448" i="202" s="1"/>
  <c r="J447" i="202"/>
  <c r="K447" i="202" s="1"/>
  <c r="J446" i="202"/>
  <c r="K446" i="202" s="1"/>
  <c r="K500" i="202"/>
  <c r="K499" i="202"/>
  <c r="J445" i="202"/>
  <c r="K445" i="202" s="1"/>
  <c r="J444" i="202"/>
  <c r="K444" i="202" s="1"/>
  <c r="J443" i="202"/>
  <c r="K443" i="202" s="1"/>
  <c r="J441" i="202"/>
  <c r="K441" i="202" s="1"/>
  <c r="J442" i="202"/>
  <c r="J582" i="202"/>
  <c r="K582" i="202" s="1"/>
  <c r="J581" i="202"/>
  <c r="K581" i="202" s="1"/>
  <c r="J580" i="202"/>
  <c r="K580" i="202" s="1"/>
  <c r="J579" i="202"/>
  <c r="K579" i="202" s="1"/>
  <c r="J578" i="202"/>
  <c r="K578" i="202" s="1"/>
  <c r="J577" i="202"/>
  <c r="K577" i="202" s="1"/>
  <c r="J576" i="202"/>
  <c r="K576" i="202" s="1"/>
  <c r="J575" i="202"/>
  <c r="K575" i="202" s="1"/>
  <c r="J574" i="202"/>
  <c r="K574" i="202" s="1"/>
  <c r="J573" i="202"/>
  <c r="K573" i="202" s="1"/>
  <c r="J572" i="202"/>
  <c r="K572" i="202" s="1"/>
  <c r="J571" i="202"/>
  <c r="K571" i="202" s="1"/>
  <c r="J570" i="202"/>
  <c r="K570" i="202" s="1"/>
  <c r="J569" i="202"/>
  <c r="K569" i="202" s="1"/>
  <c r="J568" i="202"/>
  <c r="K568" i="202" s="1"/>
  <c r="J567" i="202"/>
  <c r="K567" i="202" s="1"/>
  <c r="J566" i="202"/>
  <c r="K566" i="202" s="1"/>
  <c r="J565" i="202"/>
  <c r="K565" i="202" s="1"/>
  <c r="J564" i="202"/>
  <c r="K564" i="202" s="1"/>
  <c r="J563" i="202"/>
  <c r="K563" i="202" s="1"/>
  <c r="J562" i="202"/>
  <c r="K562" i="202" s="1"/>
  <c r="J561" i="202"/>
  <c r="K561" i="202" s="1"/>
  <c r="J560" i="202"/>
  <c r="K560" i="202" s="1"/>
  <c r="J559" i="202"/>
  <c r="K559" i="202" s="1"/>
  <c r="J558" i="202"/>
  <c r="K558" i="202" s="1"/>
  <c r="J557" i="202"/>
  <c r="K557" i="202" s="1"/>
  <c r="J556" i="202"/>
  <c r="K556" i="202" s="1"/>
  <c r="J555" i="202"/>
  <c r="K555" i="202" s="1"/>
  <c r="J554" i="202"/>
  <c r="K554" i="202" s="1"/>
  <c r="J553" i="202"/>
  <c r="K553" i="202" s="1"/>
  <c r="J551" i="202"/>
  <c r="K551" i="202" s="1"/>
  <c r="J552" i="202"/>
  <c r="K552" i="202" s="1"/>
  <c r="J586" i="202"/>
  <c r="K586" i="202" s="1"/>
  <c r="J585" i="202"/>
  <c r="K585" i="202" s="1"/>
  <c r="J584" i="202"/>
  <c r="K584" i="202" s="1"/>
  <c r="J583" i="202"/>
  <c r="K583" i="202" s="1"/>
  <c r="J209" i="202"/>
  <c r="K209" i="202" s="1"/>
  <c r="J208" i="202"/>
  <c r="K208" i="202" s="1"/>
  <c r="J207" i="202"/>
  <c r="K207" i="202" s="1"/>
  <c r="J206" i="202"/>
  <c r="K206" i="202" s="1"/>
  <c r="J205" i="202"/>
  <c r="K205" i="202" s="1"/>
  <c r="J204" i="202"/>
  <c r="K204" i="202" s="1"/>
  <c r="J203" i="202"/>
  <c r="K203" i="202" s="1"/>
  <c r="J201" i="202"/>
  <c r="K201" i="202" s="1"/>
  <c r="J200" i="202"/>
  <c r="K200" i="202" s="1"/>
  <c r="J199" i="202"/>
  <c r="K199" i="202" s="1"/>
  <c r="J198" i="202"/>
  <c r="K198" i="202" s="1"/>
  <c r="J197" i="202"/>
  <c r="K197" i="202" s="1"/>
  <c r="J196" i="202"/>
  <c r="K196" i="202" s="1"/>
  <c r="J194" i="202"/>
  <c r="K194" i="202" s="1"/>
  <c r="J193" i="202"/>
  <c r="K193" i="202" s="1"/>
  <c r="J192" i="202"/>
  <c r="K192" i="202" s="1"/>
  <c r="J191" i="202"/>
  <c r="K191" i="202" s="1"/>
  <c r="J190" i="202"/>
  <c r="K190" i="202" s="1"/>
  <c r="J189" i="202"/>
  <c r="K189" i="202" s="1"/>
  <c r="J188" i="202"/>
  <c r="K188" i="202" s="1"/>
  <c r="J187" i="202"/>
  <c r="K187" i="202" s="1"/>
  <c r="J186" i="202"/>
  <c r="K186" i="202" s="1"/>
  <c r="J185" i="202"/>
  <c r="K185" i="202" s="1"/>
  <c r="J184" i="202"/>
  <c r="K184" i="202" s="1"/>
  <c r="J183" i="202"/>
  <c r="K183" i="202" s="1"/>
  <c r="J182" i="202"/>
  <c r="K182" i="202" s="1"/>
  <c r="J181" i="202"/>
  <c r="K181" i="202" s="1"/>
  <c r="J180" i="202"/>
  <c r="K180" i="202" s="1"/>
  <c r="J179" i="202"/>
  <c r="K179" i="202" s="1"/>
  <c r="J178" i="202"/>
  <c r="K178" i="202" s="1"/>
  <c r="J177" i="202"/>
  <c r="K177" i="202" s="1"/>
  <c r="J176" i="202"/>
  <c r="K176" i="202" s="1"/>
  <c r="J175" i="202"/>
  <c r="K175" i="202" s="1"/>
  <c r="J174" i="202"/>
  <c r="K174" i="202" s="1"/>
  <c r="J173" i="202"/>
  <c r="K173" i="202" s="1"/>
  <c r="J172" i="202"/>
  <c r="K172" i="202" s="1"/>
  <c r="J171" i="202"/>
  <c r="J170" i="202"/>
  <c r="J169" i="202"/>
  <c r="J168" i="202"/>
  <c r="J167" i="202"/>
  <c r="J166" i="202"/>
  <c r="J164" i="202"/>
  <c r="J163" i="202"/>
  <c r="J162" i="202"/>
  <c r="J161" i="202"/>
  <c r="K161" i="202" s="1"/>
  <c r="J160" i="202"/>
  <c r="K160" i="202" s="1"/>
  <c r="J159" i="202"/>
  <c r="K159" i="202" s="1"/>
  <c r="J157" i="202"/>
  <c r="K157" i="202" s="1"/>
  <c r="J158" i="202"/>
  <c r="K158" i="202" s="1"/>
  <c r="B73" i="110" l="1"/>
  <c r="AS73" i="110"/>
  <c r="AR73" i="110"/>
  <c r="AR81" i="110"/>
  <c r="AS81" i="110"/>
  <c r="B81" i="110"/>
  <c r="AR83" i="110"/>
  <c r="B83" i="110"/>
  <c r="AS83" i="110"/>
  <c r="AS86" i="110"/>
  <c r="AR86" i="110"/>
  <c r="B86" i="110"/>
  <c r="AR78" i="110"/>
  <c r="AS78" i="110"/>
  <c r="B78" i="110"/>
  <c r="AS84" i="110"/>
  <c r="B84" i="110"/>
  <c r="AR84" i="110"/>
  <c r="AS82" i="110"/>
  <c r="AR82" i="110"/>
  <c r="B82" i="110"/>
  <c r="AS80" i="110"/>
  <c r="B80" i="110"/>
  <c r="AR80" i="110"/>
  <c r="AR85" i="110"/>
  <c r="AS85" i="110"/>
  <c r="B85" i="110"/>
  <c r="B79" i="110"/>
  <c r="AR79" i="110"/>
  <c r="AS79" i="110"/>
  <c r="AR74" i="110"/>
  <c r="AS74" i="110"/>
  <c r="B74" i="110"/>
  <c r="B75" i="110"/>
  <c r="AR75" i="110"/>
  <c r="AS75" i="110"/>
  <c r="K163" i="202"/>
  <c r="K168" i="202"/>
  <c r="K164" i="202"/>
  <c r="K169" i="202"/>
  <c r="K166" i="202"/>
  <c r="K170" i="202"/>
  <c r="K162" i="202"/>
  <c r="K167" i="202"/>
  <c r="K171" i="202"/>
  <c r="K347" i="202"/>
  <c r="K348" i="202"/>
  <c r="K528" i="202"/>
  <c r="K442" i="202"/>
  <c r="BG22" i="158"/>
  <c r="BG28" i="158"/>
  <c r="BG30" i="158"/>
  <c r="K4" i="202"/>
  <c r="J138" i="202"/>
  <c r="K138" i="202" s="1"/>
  <c r="J139" i="202"/>
  <c r="K139" i="202" s="1"/>
  <c r="K136" i="202"/>
  <c r="J3" i="202"/>
  <c r="K248" i="202"/>
  <c r="K249" i="202"/>
  <c r="K252" i="202"/>
  <c r="K253" i="202"/>
  <c r="K256" i="202"/>
  <c r="K258" i="202"/>
  <c r="K246" i="202"/>
  <c r="K247" i="202"/>
  <c r="K250" i="202"/>
  <c r="K251" i="202"/>
  <c r="K254" i="202"/>
  <c r="K255" i="202"/>
  <c r="K259" i="202"/>
  <c r="K260" i="202"/>
  <c r="K243" i="202"/>
  <c r="K244" i="202"/>
  <c r="K245" i="202"/>
  <c r="J48" i="202"/>
  <c r="K48" i="202" s="1"/>
  <c r="J85" i="202"/>
  <c r="K85" i="202" s="1"/>
  <c r="J84" i="202"/>
  <c r="K84" i="202" s="1"/>
  <c r="J83" i="202"/>
  <c r="K83" i="202" s="1"/>
  <c r="J82" i="202"/>
  <c r="K82" i="202" s="1"/>
  <c r="J81" i="202"/>
  <c r="K81" i="202" s="1"/>
  <c r="J80" i="202"/>
  <c r="K80" i="202" s="1"/>
  <c r="J79" i="202"/>
  <c r="K79" i="202" s="1"/>
  <c r="J49" i="202"/>
  <c r="K49" i="202" s="1"/>
  <c r="J50" i="202"/>
  <c r="K50" i="202" s="1"/>
  <c r="J51" i="202"/>
  <c r="K51" i="202" s="1"/>
  <c r="J52" i="202"/>
  <c r="K52" i="202" s="1"/>
  <c r="J53" i="202"/>
  <c r="K53" i="202" s="1"/>
  <c r="J54" i="202"/>
  <c r="K54" i="202" s="1"/>
  <c r="J78" i="202"/>
  <c r="K78" i="202" s="1"/>
  <c r="J77" i="202"/>
  <c r="K77" i="202" s="1"/>
  <c r="J76" i="202"/>
  <c r="K76" i="202" s="1"/>
  <c r="J75" i="202"/>
  <c r="K75" i="202" s="1"/>
  <c r="J74" i="202"/>
  <c r="K74" i="202" s="1"/>
  <c r="J73" i="202"/>
  <c r="K73" i="202" s="1"/>
  <c r="J72" i="202"/>
  <c r="K72" i="202" s="1"/>
  <c r="J71" i="202"/>
  <c r="K71" i="202" s="1"/>
  <c r="J70" i="202"/>
  <c r="K70" i="202" s="1"/>
  <c r="J56" i="202"/>
  <c r="K56" i="202" s="1"/>
  <c r="J57" i="202"/>
  <c r="K57" i="202" s="1"/>
  <c r="J58" i="202"/>
  <c r="K58" i="202" s="1"/>
  <c r="J59" i="202"/>
  <c r="K59" i="202" s="1"/>
  <c r="J60" i="202"/>
  <c r="K60" i="202" s="1"/>
  <c r="J61" i="202"/>
  <c r="K61" i="202" s="1"/>
  <c r="J62" i="202"/>
  <c r="K62" i="202" s="1"/>
  <c r="J63" i="202"/>
  <c r="K63" i="202" s="1"/>
  <c r="J64" i="202"/>
  <c r="K64" i="202" s="1"/>
  <c r="J65" i="202"/>
  <c r="K65" i="202" s="1"/>
  <c r="J66" i="202"/>
  <c r="K66" i="202" s="1"/>
  <c r="J67" i="202"/>
  <c r="K67" i="202" s="1"/>
  <c r="J68" i="202"/>
  <c r="K68" i="202" s="1"/>
  <c r="J69" i="202"/>
  <c r="K69" i="202" s="1"/>
  <c r="J55" i="202"/>
  <c r="K55" i="202" s="1"/>
  <c r="K239" i="202"/>
  <c r="K241" i="202"/>
  <c r="K242" i="202"/>
  <c r="K153" i="202"/>
  <c r="K549" i="202"/>
  <c r="K550" i="202"/>
  <c r="K238" i="202"/>
  <c r="K235" i="202"/>
  <c r="K140" i="202"/>
  <c r="K141" i="202"/>
  <c r="K544" i="202"/>
  <c r="K438" i="202"/>
  <c r="K439" i="202"/>
  <c r="K496" i="202"/>
  <c r="K236" i="202"/>
  <c r="K143" i="202"/>
  <c r="K144" i="202"/>
  <c r="K145" i="202"/>
  <c r="K146" i="202"/>
  <c r="K147" i="202"/>
  <c r="K545" i="202"/>
  <c r="K546" i="202"/>
  <c r="K547" i="202"/>
  <c r="K548" i="202"/>
  <c r="K440" i="202"/>
  <c r="K237" i="202"/>
  <c r="K148" i="202"/>
  <c r="K149" i="202"/>
  <c r="K150" i="202"/>
  <c r="K151" i="202"/>
  <c r="K152" i="202"/>
  <c r="J7" i="202"/>
  <c r="K7" i="202" s="1"/>
  <c r="J8" i="202"/>
  <c r="K8" i="202" s="1"/>
  <c r="J9" i="202"/>
  <c r="K9" i="202" s="1"/>
  <c r="J10" i="202"/>
  <c r="K10" i="202" s="1"/>
  <c r="J11" i="202"/>
  <c r="K11" i="202" s="1"/>
  <c r="J12" i="202"/>
  <c r="K12" i="202" s="1"/>
  <c r="J13" i="202"/>
  <c r="K13" i="202" s="1"/>
  <c r="J39" i="202"/>
  <c r="K39" i="202" s="1"/>
  <c r="J40" i="202"/>
  <c r="K40" i="202" s="1"/>
  <c r="J41" i="202"/>
  <c r="K41" i="202" s="1"/>
  <c r="J42" i="202"/>
  <c r="K42" i="202" s="1"/>
  <c r="J43" i="202"/>
  <c r="K43" i="202" s="1"/>
  <c r="J44" i="202"/>
  <c r="K44" i="202" s="1"/>
  <c r="J45" i="202"/>
  <c r="K45" i="202" s="1"/>
  <c r="J46" i="202"/>
  <c r="K46" i="202" s="1"/>
  <c r="J47" i="202"/>
  <c r="K47" i="202" s="1"/>
  <c r="J31" i="202"/>
  <c r="K31" i="202" s="1"/>
  <c r="J20" i="202"/>
  <c r="K20" i="202" s="1"/>
  <c r="J32" i="202"/>
  <c r="K32" i="202" s="1"/>
  <c r="J33" i="202"/>
  <c r="K33" i="202" s="1"/>
  <c r="J34" i="202"/>
  <c r="K34" i="202" s="1"/>
  <c r="J25" i="202"/>
  <c r="K25" i="202" s="1"/>
  <c r="J35" i="202"/>
  <c r="K35" i="202" s="1"/>
  <c r="J36" i="202"/>
  <c r="K36" i="202" s="1"/>
  <c r="J37" i="202"/>
  <c r="K37" i="202" s="1"/>
  <c r="J38" i="202"/>
  <c r="K38" i="202" s="1"/>
  <c r="J14" i="202"/>
  <c r="K14" i="202" s="1"/>
  <c r="J15" i="202"/>
  <c r="K15" i="202" s="1"/>
  <c r="J16" i="202"/>
  <c r="K16" i="202" s="1"/>
  <c r="J17" i="202"/>
  <c r="K17" i="202" s="1"/>
  <c r="J18" i="202"/>
  <c r="K18" i="202" s="1"/>
  <c r="J19" i="202"/>
  <c r="K19" i="202" s="1"/>
  <c r="J21" i="202"/>
  <c r="K21" i="202" s="1"/>
  <c r="J22" i="202"/>
  <c r="K22" i="202" s="1"/>
  <c r="J23" i="202"/>
  <c r="K23" i="202" s="1"/>
  <c r="J24" i="202"/>
  <c r="K24" i="202" s="1"/>
  <c r="J26" i="202"/>
  <c r="K26" i="202" s="1"/>
  <c r="J27" i="202"/>
  <c r="K27" i="202" s="1"/>
  <c r="J28" i="202"/>
  <c r="K28" i="202" s="1"/>
  <c r="J29" i="202"/>
  <c r="K29" i="202" s="1"/>
  <c r="J30" i="202"/>
  <c r="K30" i="202" s="1"/>
  <c r="AL83" i="110" l="1" a="1"/>
  <c r="AL83" i="110" s="1"/>
  <c r="AM83" i="110" a="1"/>
  <c r="AM83" i="110" s="1"/>
  <c r="AL86" i="110" a="1"/>
  <c r="AL86" i="110" s="1"/>
  <c r="AM86" i="110" a="1"/>
  <c r="AM86" i="110" s="1"/>
  <c r="AM82" i="110" a="1"/>
  <c r="AM82" i="110" s="1"/>
  <c r="AL82" i="110" a="1"/>
  <c r="AL82" i="110" s="1"/>
  <c r="AL81" i="110" a="1"/>
  <c r="AL81" i="110" s="1"/>
  <c r="AM81" i="110" a="1"/>
  <c r="AM81" i="110" s="1"/>
  <c r="AL84" i="110" a="1"/>
  <c r="AL84" i="110" s="1"/>
  <c r="AM84" i="110" a="1"/>
  <c r="AM84" i="110" s="1"/>
  <c r="AL79" i="110" a="1"/>
  <c r="AL79" i="110" s="1"/>
  <c r="AM79" i="110" a="1"/>
  <c r="AM79" i="110" s="1"/>
  <c r="AL85" i="110" a="1"/>
  <c r="AL85" i="110" s="1"/>
  <c r="AM85" i="110" a="1"/>
  <c r="AM85" i="110" s="1"/>
  <c r="AL78" i="110" a="1"/>
  <c r="AL78" i="110" s="1"/>
  <c r="AM78" i="110" a="1"/>
  <c r="AM78" i="110" s="1"/>
  <c r="AL80" i="110" a="1"/>
  <c r="AL80" i="110" s="1"/>
  <c r="AM80" i="110" a="1"/>
  <c r="AM80" i="110" s="1"/>
  <c r="AM75" i="110" a="1"/>
  <c r="AM75" i="110" s="1"/>
  <c r="AL75" i="110" a="1"/>
  <c r="AL75" i="110" s="1"/>
  <c r="AM74" i="110" a="1"/>
  <c r="AM74" i="110" s="1"/>
  <c r="AL74" i="110" a="1"/>
  <c r="AL74" i="110" s="1"/>
  <c r="AM73" i="110" a="1"/>
  <c r="AM73" i="110" s="1"/>
  <c r="AL73" i="110" a="1"/>
  <c r="AL73" i="110" s="1"/>
  <c r="BG38" i="158"/>
  <c r="BI38" i="158" s="1"/>
  <c r="BG36" i="158"/>
  <c r="BI36" i="158" s="1"/>
  <c r="BG34" i="158"/>
  <c r="BI34" i="158" s="1"/>
  <c r="BG32" i="158"/>
  <c r="BI32" i="158" s="1"/>
  <c r="BG26" i="158"/>
  <c r="BI26" i="158" s="1"/>
  <c r="BG24" i="158"/>
  <c r="BI24" i="158" s="1"/>
  <c r="BG46" i="158"/>
  <c r="BI46" i="158" s="1"/>
  <c r="BG44" i="158"/>
  <c r="BI44" i="158" s="1"/>
  <c r="BG20" i="158"/>
  <c r="BI20" i="158" s="1"/>
  <c r="BG42" i="158"/>
  <c r="BI42" i="158" s="1"/>
  <c r="BG40" i="158"/>
  <c r="BI40" i="158" s="1"/>
  <c r="K3" i="202"/>
  <c r="BC38" i="158"/>
  <c r="BF20" i="158"/>
  <c r="R28" i="158" l="1"/>
  <c r="AF9" i="110" s="1"/>
  <c r="R30" i="158"/>
  <c r="AF10" i="110" s="1"/>
  <c r="BL38" i="158"/>
  <c r="BH38" i="158"/>
  <c r="BO38" i="158" s="1"/>
  <c r="BJ38" i="158"/>
  <c r="BA38" i="158"/>
  <c r="AZ38" i="158"/>
  <c r="AX38" i="158"/>
  <c r="J14" i="110" s="1"/>
  <c r="BD38" i="158"/>
  <c r="AO38" i="158"/>
  <c r="BN38" i="158"/>
  <c r="AY38" i="158"/>
  <c r="BB38" i="158"/>
  <c r="BE38" i="158"/>
  <c r="BJ20" i="158"/>
  <c r="BB20" i="158"/>
  <c r="BE20" i="158"/>
  <c r="BC20" i="158"/>
  <c r="BB24" i="158"/>
  <c r="BE24" i="158" s="1"/>
  <c r="BC24" i="158"/>
  <c r="BB56" i="158"/>
  <c r="BC56" i="158"/>
  <c r="BE56" i="158"/>
  <c r="BE72" i="158"/>
  <c r="BB72" i="158"/>
  <c r="BC72" i="158"/>
  <c r="BB64" i="158"/>
  <c r="BC64" i="158"/>
  <c r="BE64" i="158"/>
  <c r="BB46" i="158"/>
  <c r="BC46" i="158"/>
  <c r="BB54" i="158"/>
  <c r="BC54" i="158"/>
  <c r="BE54" i="158"/>
  <c r="BE48" i="158"/>
  <c r="BB48" i="158"/>
  <c r="BC48" i="158"/>
  <c r="BE62" i="158"/>
  <c r="BB62" i="158"/>
  <c r="BC62" i="158"/>
  <c r="BB52" i="158"/>
  <c r="BC52" i="158"/>
  <c r="BE52" i="158"/>
  <c r="BB76" i="158"/>
  <c r="BC76" i="158"/>
  <c r="AZ76" i="158" s="1"/>
  <c r="BE60" i="158"/>
  <c r="BB60" i="158"/>
  <c r="BC60" i="158"/>
  <c r="BE70" i="158"/>
  <c r="BB70" i="158"/>
  <c r="BC70" i="158"/>
  <c r="BE68" i="158"/>
  <c r="BB68" i="158"/>
  <c r="BC68" i="158"/>
  <c r="BE74" i="158"/>
  <c r="BC74" i="158"/>
  <c r="BB74" i="158"/>
  <c r="BC50" i="158"/>
  <c r="BB50" i="158"/>
  <c r="BE58" i="158"/>
  <c r="BB58" i="158"/>
  <c r="BC58" i="158"/>
  <c r="BC66" i="158"/>
  <c r="BB66" i="158"/>
  <c r="BE66" i="158"/>
  <c r="BA54" i="158"/>
  <c r="AZ54" i="158"/>
  <c r="BJ54" i="158"/>
  <c r="AO54" i="158"/>
  <c r="BL54" i="158"/>
  <c r="AX54" i="158"/>
  <c r="J22" i="110" s="1"/>
  <c r="BN54" i="158"/>
  <c r="AY54" i="158"/>
  <c r="BD54" i="158"/>
  <c r="BA62" i="158"/>
  <c r="BL62" i="158"/>
  <c r="AX62" i="158"/>
  <c r="J26" i="110" s="1"/>
  <c r="BN62" i="158"/>
  <c r="AY62" i="158"/>
  <c r="BD62" i="158"/>
  <c r="BJ62" i="158"/>
  <c r="AZ62" i="158"/>
  <c r="AO62" i="158"/>
  <c r="BD76" i="158"/>
  <c r="BN76" i="158"/>
  <c r="AY76" i="158"/>
  <c r="BD60" i="158"/>
  <c r="BN60" i="158"/>
  <c r="BJ60" i="158"/>
  <c r="AY60" i="158"/>
  <c r="AO60" i="158"/>
  <c r="BL60" i="158"/>
  <c r="AX60" i="158"/>
  <c r="J25" i="110" s="1"/>
  <c r="AZ60" i="158"/>
  <c r="BA60" i="158"/>
  <c r="BA70" i="158"/>
  <c r="AZ70" i="158"/>
  <c r="BJ70" i="158"/>
  <c r="AO70" i="158"/>
  <c r="BL70" i="158"/>
  <c r="AX70" i="158"/>
  <c r="J30" i="110" s="1"/>
  <c r="BN70" i="158"/>
  <c r="AY70" i="158"/>
  <c r="BD70" i="158"/>
  <c r="BL68" i="158"/>
  <c r="AX68" i="158"/>
  <c r="J29" i="110" s="1"/>
  <c r="AZ68" i="158"/>
  <c r="BA68" i="158"/>
  <c r="BD68" i="158"/>
  <c r="BN68" i="158"/>
  <c r="BJ68" i="158"/>
  <c r="AY68" i="158"/>
  <c r="AO68" i="158"/>
  <c r="BA74" i="158"/>
  <c r="AZ74" i="158"/>
  <c r="BJ74" i="158"/>
  <c r="AO74" i="158"/>
  <c r="BL74" i="158"/>
  <c r="AX74" i="158"/>
  <c r="J32" i="110" s="1"/>
  <c r="BN74" i="158"/>
  <c r="AY74" i="158"/>
  <c r="BD74" i="158"/>
  <c r="BA52" i="158"/>
  <c r="BL52" i="158"/>
  <c r="AX52" i="158"/>
  <c r="J21" i="110" s="1"/>
  <c r="AZ52" i="158"/>
  <c r="BD52" i="158"/>
  <c r="BN52" i="158"/>
  <c r="BJ52" i="158"/>
  <c r="AY52" i="158"/>
  <c r="AO52" i="158"/>
  <c r="BN50" i="158"/>
  <c r="AY50" i="158"/>
  <c r="BD50" i="158"/>
  <c r="BA58" i="158"/>
  <c r="BJ58" i="158"/>
  <c r="AO58" i="158"/>
  <c r="BL58" i="158"/>
  <c r="AX58" i="158"/>
  <c r="J24" i="110" s="1"/>
  <c r="AZ58" i="158"/>
  <c r="BN58" i="158"/>
  <c r="AY58" i="158"/>
  <c r="BD58" i="158"/>
  <c r="BD56" i="158"/>
  <c r="BN56" i="158"/>
  <c r="BJ56" i="158"/>
  <c r="AY56" i="158"/>
  <c r="AO56" i="158"/>
  <c r="BL56" i="158"/>
  <c r="AZ56" i="158"/>
  <c r="BA56" i="158"/>
  <c r="AX56" i="158"/>
  <c r="J23" i="110" s="1"/>
  <c r="BA66" i="158"/>
  <c r="BN66" i="158"/>
  <c r="AY66" i="158"/>
  <c r="AZ66" i="158"/>
  <c r="BD66" i="158"/>
  <c r="BJ66" i="158"/>
  <c r="AO66" i="158"/>
  <c r="BL66" i="158"/>
  <c r="AX66" i="158"/>
  <c r="J28" i="110" s="1"/>
  <c r="BA72" i="158"/>
  <c r="BD72" i="158"/>
  <c r="AZ72" i="158"/>
  <c r="BN72" i="158"/>
  <c r="BJ72" i="158"/>
  <c r="AY72" i="158"/>
  <c r="AO72" i="158"/>
  <c r="BL72" i="158"/>
  <c r="AX72" i="158"/>
  <c r="J31" i="110" s="1"/>
  <c r="BD64" i="158"/>
  <c r="BN64" i="158"/>
  <c r="BJ64" i="158"/>
  <c r="AZ64" i="158"/>
  <c r="AY64" i="158"/>
  <c r="AO64" i="158"/>
  <c r="BL64" i="158"/>
  <c r="AX64" i="158"/>
  <c r="J27" i="110" s="1"/>
  <c r="BA64" i="158"/>
  <c r="BD48" i="158"/>
  <c r="BA48" i="158"/>
  <c r="BN48" i="158"/>
  <c r="BJ48" i="158"/>
  <c r="AY48" i="158"/>
  <c r="AO48" i="158"/>
  <c r="BL48" i="158"/>
  <c r="AX48" i="158"/>
  <c r="J19" i="110" s="1"/>
  <c r="AZ48" i="158"/>
  <c r="BA20" i="158"/>
  <c r="BN24" i="158"/>
  <c r="AO24" i="158" s="1"/>
  <c r="BN20" i="158"/>
  <c r="AZ24" i="158"/>
  <c r="BA24" i="158"/>
  <c r="BD24" i="158"/>
  <c r="AY24" i="158"/>
  <c r="AZ20" i="168"/>
  <c r="BC20" i="168"/>
  <c r="BD20" i="168"/>
  <c r="AZ22" i="168"/>
  <c r="BC22" i="168"/>
  <c r="BD22" i="168"/>
  <c r="BE22" i="168"/>
  <c r="BM22" i="168" s="1"/>
  <c r="AZ24" i="168"/>
  <c r="BC24" i="168"/>
  <c r="BD24" i="168"/>
  <c r="BE24" i="168"/>
  <c r="AZ26" i="168"/>
  <c r="BC26" i="168"/>
  <c r="BD26" i="168"/>
  <c r="AX28" i="168"/>
  <c r="AE187" i="110" s="1" a="1"/>
  <c r="AE187" i="110" s="1"/>
  <c r="AZ28" i="168"/>
  <c r="BC28" i="168"/>
  <c r="BD28" i="168"/>
  <c r="BE28" i="168"/>
  <c r="BJ28" i="168"/>
  <c r="C187" i="110" s="1"/>
  <c r="AX30" i="168"/>
  <c r="AE188" i="110" s="1" a="1"/>
  <c r="AE188" i="110" s="1"/>
  <c r="AZ30" i="168"/>
  <c r="BC30" i="168"/>
  <c r="BD30" i="168"/>
  <c r="BE30" i="168"/>
  <c r="BJ30" i="168"/>
  <c r="C188" i="110" s="1"/>
  <c r="AX32" i="168"/>
  <c r="AE189" i="110" s="1" a="1"/>
  <c r="AE189" i="110" s="1"/>
  <c r="AZ32" i="168"/>
  <c r="BC32" i="168"/>
  <c r="BD32" i="168"/>
  <c r="BE32" i="168"/>
  <c r="BJ32" i="168"/>
  <c r="C189" i="110" s="1"/>
  <c r="AX34" i="168"/>
  <c r="AE190" i="110" s="1" a="1"/>
  <c r="AE190" i="110" s="1"/>
  <c r="AZ34" i="168"/>
  <c r="BC34" i="168"/>
  <c r="BD34" i="168"/>
  <c r="BE34" i="168"/>
  <c r="BJ34" i="168"/>
  <c r="C190" i="110" s="1"/>
  <c r="AX36" i="168"/>
  <c r="AE191" i="110" s="1" a="1"/>
  <c r="AE191" i="110" s="1"/>
  <c r="AZ36" i="168"/>
  <c r="BC36" i="168"/>
  <c r="BD36" i="168"/>
  <c r="BE36" i="168"/>
  <c r="BJ36" i="168"/>
  <c r="C191" i="110" s="1"/>
  <c r="AL20" i="168"/>
  <c r="AL22" i="168"/>
  <c r="AL24" i="168"/>
  <c r="AL26" i="168"/>
  <c r="AL28" i="168"/>
  <c r="AL30" i="168"/>
  <c r="AL32" i="168"/>
  <c r="AL34" i="168"/>
  <c r="AL36" i="168"/>
  <c r="BD18" i="168"/>
  <c r="AZ18" i="168"/>
  <c r="BM24" i="168" l="1"/>
  <c r="AX24" i="168"/>
  <c r="AE185" i="110" s="1" a="1"/>
  <c r="AE185" i="110" s="1"/>
  <c r="AX22" i="168"/>
  <c r="AE184" i="110" s="1" a="1"/>
  <c r="AE184" i="110" s="1"/>
  <c r="BF22" i="158"/>
  <c r="AF6" i="110"/>
  <c r="AX24" i="158"/>
  <c r="J7" i="110" s="1"/>
  <c r="BH18" i="168"/>
  <c r="BH36" i="168"/>
  <c r="BG36" i="168" s="1"/>
  <c r="BK36" i="168" s="1"/>
  <c r="BI36" i="168"/>
  <c r="BH32" i="168"/>
  <c r="BG32" i="168" s="1"/>
  <c r="BK32" i="168" s="1"/>
  <c r="BI32" i="168"/>
  <c r="BH28" i="168"/>
  <c r="BG28" i="168" s="1"/>
  <c r="BK28" i="168" s="1"/>
  <c r="BI28" i="168"/>
  <c r="BH22" i="168"/>
  <c r="BG22" i="168" s="1"/>
  <c r="BH26" i="168"/>
  <c r="BI26" i="168"/>
  <c r="BH34" i="168"/>
  <c r="BG34" i="168" s="1"/>
  <c r="BK34" i="168" s="1"/>
  <c r="BI34" i="168"/>
  <c r="BH20" i="168"/>
  <c r="BG20" i="168" s="1"/>
  <c r="BH30" i="168"/>
  <c r="BG30" i="168" s="1"/>
  <c r="BK30" i="168" s="1"/>
  <c r="BI30" i="168"/>
  <c r="BH24" i="168"/>
  <c r="BG24" i="168" s="1"/>
  <c r="AZ22" i="158"/>
  <c r="AO22" i="158"/>
  <c r="BN22" i="158"/>
  <c r="BJ22" i="158"/>
  <c r="BC22" i="158"/>
  <c r="BB22" i="158"/>
  <c r="BE22" i="158"/>
  <c r="AR22" i="158"/>
  <c r="AT6" i="110" s="1" a="1"/>
  <c r="AT6" i="110" s="1"/>
  <c r="BJ76" i="158"/>
  <c r="BF76" i="158"/>
  <c r="BA76" i="158"/>
  <c r="BF30" i="158"/>
  <c r="AR30" i="158"/>
  <c r="AT10" i="110" s="1" a="1"/>
  <c r="AT10" i="110" s="1"/>
  <c r="BF28" i="158"/>
  <c r="AR28" i="158"/>
  <c r="AT9" i="110" s="1" a="1"/>
  <c r="AT9" i="110" s="1"/>
  <c r="AO76" i="158"/>
  <c r="AX76" i="158" s="1"/>
  <c r="J33" i="110" s="1"/>
  <c r="BE76" i="158"/>
  <c r="BE20" i="168"/>
  <c r="BM20" i="168" s="1"/>
  <c r="BN18" i="158"/>
  <c r="BA28" i="158"/>
  <c r="BC18" i="158"/>
  <c r="BB18" i="158"/>
  <c r="AY28" i="158"/>
  <c r="AX28" i="158"/>
  <c r="J9" i="110" s="1"/>
  <c r="BL28" i="158"/>
  <c r="AZ28" i="158"/>
  <c r="BE28" i="158"/>
  <c r="BN28" i="158"/>
  <c r="BC28" i="158"/>
  <c r="AO28" i="158"/>
  <c r="BB28" i="158"/>
  <c r="BJ28" i="158"/>
  <c r="BD28" i="158"/>
  <c r="BL24" i="158"/>
  <c r="BJ24" i="158"/>
  <c r="BA50" i="158"/>
  <c r="BE50" i="158"/>
  <c r="BJ50" i="158"/>
  <c r="AZ50" i="158"/>
  <c r="AO50" i="158" s="1"/>
  <c r="BE46" i="158"/>
  <c r="BH66" i="158"/>
  <c r="BO66" i="158" s="1"/>
  <c r="BH58" i="158"/>
  <c r="BO58" i="158" s="1"/>
  <c r="BH68" i="158"/>
  <c r="BO68" i="158" s="1"/>
  <c r="BH52" i="158"/>
  <c r="BO52" i="158" s="1"/>
  <c r="BH64" i="158"/>
  <c r="BO64" i="158" s="1"/>
  <c r="BH70" i="158"/>
  <c r="BO70" i="158" s="1"/>
  <c r="BH72" i="158"/>
  <c r="BO72" i="158" s="1"/>
  <c r="BH62" i="158"/>
  <c r="BO62" i="158" s="1"/>
  <c r="BH48" i="158"/>
  <c r="BO48" i="158" s="1"/>
  <c r="BH56" i="158"/>
  <c r="BO56" i="158" s="1"/>
  <c r="BH74" i="158"/>
  <c r="BO74" i="158" s="1"/>
  <c r="BH60" i="158"/>
  <c r="BO60" i="158" s="1"/>
  <c r="BH54" i="158"/>
  <c r="BO54" i="158" s="1"/>
  <c r="H11" i="3"/>
  <c r="AX20" i="168" l="1"/>
  <c r="AE183" i="110" s="1" a="1"/>
  <c r="AE183" i="110" s="1"/>
  <c r="AX50" i="158"/>
  <c r="J20" i="110" s="1"/>
  <c r="BI22" i="158"/>
  <c r="BI28" i="158"/>
  <c r="BI30" i="158"/>
  <c r="BL76" i="158"/>
  <c r="AR76" i="158"/>
  <c r="AT33" i="110" s="1" a="1"/>
  <c r="AT33" i="110" s="1"/>
  <c r="AZ18" i="158"/>
  <c r="AO18" i="158" s="1"/>
  <c r="BJ18" i="158"/>
  <c r="BF18" i="158"/>
  <c r="BE18" i="158"/>
  <c r="BH28" i="158"/>
  <c r="BO28" i="158" s="1"/>
  <c r="BL50" i="158"/>
  <c r="BE26" i="168"/>
  <c r="BM26" i="168" s="1"/>
  <c r="BG26" i="168"/>
  <c r="BK26" i="168" s="1"/>
  <c r="Y102" i="173"/>
  <c r="X103" i="173"/>
  <c r="Y103" i="173"/>
  <c r="X104" i="173"/>
  <c r="Y104" i="173"/>
  <c r="X105" i="173"/>
  <c r="Y105" i="173"/>
  <c r="X106" i="173"/>
  <c r="Y107" i="173"/>
  <c r="X108" i="173"/>
  <c r="Y108" i="173"/>
  <c r="X109" i="173"/>
  <c r="Y109" i="173"/>
  <c r="X110" i="173"/>
  <c r="BI76" i="158" l="1"/>
  <c r="BH76" i="158"/>
  <c r="BO76" i="158" s="1"/>
  <c r="BH50" i="158"/>
  <c r="BO50" i="158" s="1"/>
  <c r="P19" i="3"/>
  <c r="AX26" i="168"/>
  <c r="AE186" i="110" s="1" a="1"/>
  <c r="AE186" i="110" s="1"/>
  <c r="CD2" i="110"/>
  <c r="B81" i="3" l="1"/>
  <c r="C83" i="3"/>
  <c r="C88" i="3"/>
  <c r="B93" i="3"/>
  <c r="C82" i="3"/>
  <c r="C91" i="3"/>
  <c r="C84" i="3"/>
  <c r="C85" i="3"/>
  <c r="B82" i="3"/>
  <c r="B88" i="3"/>
  <c r="B90" i="3"/>
  <c r="B85" i="3"/>
  <c r="B87" i="3"/>
  <c r="B89" i="3"/>
  <c r="D93" i="3" l="1"/>
  <c r="D90" i="3"/>
  <c r="D85" i="3"/>
  <c r="D87" i="3"/>
  <c r="D88" i="3"/>
  <c r="D89" i="3"/>
  <c r="D82" i="3"/>
  <c r="C92" i="3"/>
  <c r="B91" i="3"/>
  <c r="B86" i="3"/>
  <c r="C90" i="3"/>
  <c r="C86" i="3"/>
  <c r="C93" i="3"/>
  <c r="C89" i="3"/>
  <c r="B92" i="3"/>
  <c r="B84" i="3"/>
  <c r="B83" i="3"/>
  <c r="C87" i="3"/>
  <c r="D91" i="3" l="1"/>
  <c r="D92" i="3"/>
  <c r="D86" i="3"/>
  <c r="D83" i="3"/>
  <c r="D84" i="3"/>
  <c r="C81" i="3" l="1"/>
  <c r="D81" i="3"/>
  <c r="AJ29" i="151"/>
  <c r="AA29" i="151"/>
  <c r="R29" i="151"/>
  <c r="I29" i="151"/>
  <c r="A9" i="151"/>
  <c r="G9" i="3"/>
  <c r="E81" i="3" l="1"/>
  <c r="ES2" i="110" l="1"/>
  <c r="ER2" i="110"/>
  <c r="AJ19" i="153" l="1"/>
  <c r="B161" i="3"/>
  <c r="C161" i="3"/>
  <c r="D161" i="3" l="1"/>
  <c r="U40" i="154"/>
  <c r="W43" i="81"/>
  <c r="R32" i="154"/>
  <c r="AI38" i="161" l="1"/>
  <c r="AI40" i="161"/>
  <c r="AI42" i="161"/>
  <c r="AI44" i="161"/>
  <c r="AI46" i="161"/>
  <c r="AI48" i="161"/>
  <c r="AI50" i="161"/>
  <c r="AI52" i="161"/>
  <c r="AI54" i="161"/>
  <c r="AI56" i="161"/>
  <c r="BT50" i="161" l="1"/>
  <c r="AT83" i="110" s="1" a="1"/>
  <c r="AT83" i="110" s="1"/>
  <c r="BG50" i="161"/>
  <c r="BI50" i="161" s="1"/>
  <c r="BT56" i="161"/>
  <c r="BG56" i="161"/>
  <c r="BI56" i="161" s="1"/>
  <c r="BT52" i="161"/>
  <c r="BG52" i="161"/>
  <c r="BI52" i="161" s="1"/>
  <c r="BT44" i="161"/>
  <c r="AT80" i="110" s="1" a="1"/>
  <c r="AT80" i="110" s="1"/>
  <c r="BG44" i="161"/>
  <c r="BI44" i="161" s="1"/>
  <c r="BG42" i="161"/>
  <c r="BI42" i="161" s="1"/>
  <c r="BT42" i="161"/>
  <c r="AT79" i="110" s="1" a="1"/>
  <c r="AT79" i="110" s="1"/>
  <c r="BT54" i="161"/>
  <c r="AT85" i="110" s="1" a="1"/>
  <c r="AT85" i="110" s="1"/>
  <c r="BG54" i="161"/>
  <c r="BI54" i="161" s="1"/>
  <c r="BT48" i="161"/>
  <c r="AT82" i="110" s="1" a="1"/>
  <c r="AT82" i="110" s="1"/>
  <c r="BG48" i="161"/>
  <c r="BI48" i="161" s="1"/>
  <c r="BT46" i="161"/>
  <c r="BG46" i="161"/>
  <c r="BI46" i="161" s="1"/>
  <c r="BT40" i="161"/>
  <c r="BG40" i="161"/>
  <c r="BI40" i="161" s="1"/>
  <c r="BG38" i="161"/>
  <c r="BI38" i="161" s="1"/>
  <c r="BT38" i="161"/>
  <c r="AT77" i="110" s="1" a="1"/>
  <c r="AT77" i="110" s="1"/>
  <c r="AT81" i="110" a="1"/>
  <c r="AT81" i="110" s="1"/>
  <c r="AT86" i="110" a="1"/>
  <c r="AT86" i="110" s="1"/>
  <c r="AT84" i="110" a="1"/>
  <c r="AT84" i="110" s="1"/>
  <c r="AT78" i="110" a="1"/>
  <c r="AT78" i="110" s="1"/>
  <c r="EH2" i="110"/>
  <c r="EJ2" i="110"/>
  <c r="EI2" i="110"/>
  <c r="DD2" i="110"/>
  <c r="DC2" i="110"/>
  <c r="DB2" i="110"/>
  <c r="DA2" i="110"/>
  <c r="CZ2" i="110"/>
  <c r="CX2" i="110"/>
  <c r="CW2" i="110"/>
  <c r="CV2" i="110"/>
  <c r="CU2" i="110"/>
  <c r="CP2" i="110"/>
  <c r="CO2" i="110"/>
  <c r="CN2" i="110"/>
  <c r="CM2" i="110"/>
  <c r="CL2" i="110"/>
  <c r="CK2" i="110"/>
  <c r="CJ2" i="110"/>
  <c r="CI2" i="110"/>
  <c r="CH2" i="110"/>
  <c r="CG2" i="110"/>
  <c r="J77" i="110" l="1"/>
  <c r="AL18" i="171"/>
  <c r="BD18" i="158"/>
  <c r="AY18" i="158"/>
  <c r="BC18" i="175" l="1"/>
  <c r="AL18" i="175"/>
  <c r="BD18" i="175"/>
  <c r="BA18" i="158"/>
  <c r="AO18" i="175" l="1"/>
  <c r="BB18" i="171" l="1"/>
  <c r="X230" i="110" s="1"/>
  <c r="BA18" i="171"/>
  <c r="W230" i="110" s="1"/>
  <c r="BI18" i="171"/>
  <c r="BM18" i="171" s="1"/>
  <c r="C77" i="110"/>
  <c r="BB18" i="175"/>
  <c r="BA18" i="175"/>
  <c r="BG18" i="175"/>
  <c r="Q1" i="152"/>
  <c r="AX18" i="158"/>
  <c r="AR77" i="110" l="1"/>
  <c r="AS77" i="110"/>
  <c r="B77" i="110"/>
  <c r="AQ262" i="110"/>
  <c r="E262" i="110"/>
  <c r="J4" i="110"/>
  <c r="AR18" i="158"/>
  <c r="AT4" i="110" s="1" a="1"/>
  <c r="AT4" i="110" s="1"/>
  <c r="AI18" i="161"/>
  <c r="AI20" i="161"/>
  <c r="AI22" i="161"/>
  <c r="AI24" i="161"/>
  <c r="AI26" i="161"/>
  <c r="AI28" i="161"/>
  <c r="AI30" i="161"/>
  <c r="AI32" i="161"/>
  <c r="AI34" i="161"/>
  <c r="AI36" i="161"/>
  <c r="BT36" i="161" l="1"/>
  <c r="BG36" i="161"/>
  <c r="BI36" i="161" s="1"/>
  <c r="BT28" i="161"/>
  <c r="BG28" i="161"/>
  <c r="BI28" i="161" s="1"/>
  <c r="BT34" i="161"/>
  <c r="BG34" i="161"/>
  <c r="BI34" i="161" s="1"/>
  <c r="BT32" i="161"/>
  <c r="AT74" i="110" s="1" a="1"/>
  <c r="AT74" i="110" s="1"/>
  <c r="BG32" i="161"/>
  <c r="BI32" i="161" s="1"/>
  <c r="BT30" i="161"/>
  <c r="AT73" i="110" s="1" a="1"/>
  <c r="AT73" i="110" s="1"/>
  <c r="BG30" i="161"/>
  <c r="BI30" i="161" s="1"/>
  <c r="BT18" i="161"/>
  <c r="BG18" i="161"/>
  <c r="BG20" i="161"/>
  <c r="BI20" i="161" s="1"/>
  <c r="BT20" i="161"/>
  <c r="AT68" i="110" s="1" a="1"/>
  <c r="AT68" i="110" s="1"/>
  <c r="BG26" i="161"/>
  <c r="BI26" i="161" s="1"/>
  <c r="BT26" i="161"/>
  <c r="AT71" i="110" s="1" a="1"/>
  <c r="AT71" i="110" s="1"/>
  <c r="AR22" i="161"/>
  <c r="BH22" i="161" s="1"/>
  <c r="BT22" i="161"/>
  <c r="BG22" i="161"/>
  <c r="AR24" i="161"/>
  <c r="BH24" i="161" s="1"/>
  <c r="BG24" i="161"/>
  <c r="BT24" i="161"/>
  <c r="AR18" i="161"/>
  <c r="AL77" i="110" a="1"/>
  <c r="AL77" i="110" s="1"/>
  <c r="AM77" i="110" a="1"/>
  <c r="AM77" i="110" s="1"/>
  <c r="AT75" i="110" a="1"/>
  <c r="AT75" i="110" s="1"/>
  <c r="AT76" i="110" a="1"/>
  <c r="AT76" i="110" s="1"/>
  <c r="AT72" i="110" a="1"/>
  <c r="AT72" i="110" s="1"/>
  <c r="BI18" i="158"/>
  <c r="BH24" i="158"/>
  <c r="BO24" i="158" s="1"/>
  <c r="BI22" i="161" l="1"/>
  <c r="R69" i="110"/>
  <c r="AT69" i="110" a="1"/>
  <c r="AT69" i="110" s="1"/>
  <c r="AT70" i="110" a="1"/>
  <c r="AT70" i="110" s="1"/>
  <c r="BI24" i="161"/>
  <c r="BH18" i="161"/>
  <c r="BI18" i="161"/>
  <c r="AT67" i="110" a="1"/>
  <c r="AT67" i="110" s="1"/>
  <c r="Q73" i="110"/>
  <c r="Q68" i="110"/>
  <c r="Q70" i="110"/>
  <c r="Q75" i="110"/>
  <c r="J72" i="110"/>
  <c r="CC2" i="110"/>
  <c r="J71" i="110" l="1"/>
  <c r="J76" i="110"/>
  <c r="J69" i="110"/>
  <c r="J13" i="3"/>
  <c r="I13" i="3"/>
  <c r="CB2" i="110"/>
  <c r="CA2" i="110"/>
  <c r="BZ2" i="110"/>
  <c r="BY2" i="110"/>
  <c r="BX2" i="110"/>
  <c r="BW2" i="110"/>
  <c r="BV2" i="110"/>
  <c r="BU2" i="110"/>
  <c r="BT2" i="110"/>
  <c r="BS2" i="110"/>
  <c r="BO2" i="110"/>
  <c r="BN2" i="110"/>
  <c r="BM2" i="110"/>
  <c r="EQ2" i="110"/>
  <c r="EP2" i="110"/>
  <c r="EN2" i="110"/>
  <c r="EM2" i="110"/>
  <c r="EL2" i="110"/>
  <c r="EO2" i="110"/>
  <c r="EK2" i="110"/>
  <c r="I46" i="81"/>
  <c r="W26" i="81"/>
  <c r="I26" i="81"/>
  <c r="AD48" i="156"/>
  <c r="J68" i="110" l="1"/>
  <c r="J70" i="110"/>
  <c r="J67" i="110"/>
  <c r="AP1" i="152" l="1"/>
  <c r="AL1" i="152"/>
  <c r="J1" i="152"/>
  <c r="F1" i="152"/>
  <c r="AP4" i="110"/>
  <c r="R20" i="163"/>
  <c r="AR20" i="163" s="1"/>
  <c r="AT120" i="110" s="1" a="1"/>
  <c r="AT120" i="110" s="1"/>
  <c r="R22" i="163"/>
  <c r="AR22" i="163" s="1"/>
  <c r="AT121" i="110" s="1" a="1"/>
  <c r="AT121" i="110" s="1"/>
  <c r="R24" i="163"/>
  <c r="R26" i="163"/>
  <c r="AR26" i="163" s="1"/>
  <c r="AT123" i="110" s="1" a="1"/>
  <c r="AT123" i="110" s="1"/>
  <c r="R28" i="163"/>
  <c r="AR28" i="163" s="1"/>
  <c r="AT124" i="110" s="1" a="1"/>
  <c r="AT124" i="110" s="1"/>
  <c r="R30" i="163"/>
  <c r="AR30" i="163" s="1"/>
  <c r="AT125" i="110" s="1" a="1"/>
  <c r="AT125" i="110" s="1"/>
  <c r="R32" i="163"/>
  <c r="AR32" i="163" s="1"/>
  <c r="AT126" i="110" s="1" a="1"/>
  <c r="AT126" i="110" s="1"/>
  <c r="R34" i="163"/>
  <c r="AR34" i="163" s="1"/>
  <c r="AT127" i="110" s="1" a="1"/>
  <c r="AT127" i="110" s="1"/>
  <c r="R36" i="163"/>
  <c r="AR36" i="163" s="1"/>
  <c r="AT128" i="110" s="1" a="1"/>
  <c r="AT128" i="110" s="1"/>
  <c r="AP183" i="110"/>
  <c r="AP184" i="110"/>
  <c r="AP185" i="110"/>
  <c r="AP186" i="110"/>
  <c r="AP187" i="110"/>
  <c r="AP188" i="110"/>
  <c r="AP189" i="110"/>
  <c r="AP190" i="110"/>
  <c r="AP191" i="110"/>
  <c r="AP36" i="110"/>
  <c r="N36" i="110"/>
  <c r="P36" i="110"/>
  <c r="AP37" i="110"/>
  <c r="P37" i="110"/>
  <c r="J38" i="110"/>
  <c r="AP38" i="110"/>
  <c r="N38" i="110"/>
  <c r="P38" i="110"/>
  <c r="E38" i="110"/>
  <c r="J39" i="110"/>
  <c r="AP39" i="110"/>
  <c r="N39" i="110"/>
  <c r="P39" i="110"/>
  <c r="E39" i="110"/>
  <c r="J40" i="110"/>
  <c r="AP40" i="110"/>
  <c r="N40" i="110"/>
  <c r="P40" i="110"/>
  <c r="E40" i="110"/>
  <c r="J41" i="110"/>
  <c r="AP41" i="110"/>
  <c r="N41" i="110"/>
  <c r="P41" i="110"/>
  <c r="E41" i="110"/>
  <c r="J42" i="110"/>
  <c r="AP42" i="110"/>
  <c r="N42" i="110"/>
  <c r="P42" i="110"/>
  <c r="E42" i="110"/>
  <c r="J43" i="110"/>
  <c r="AP43" i="110"/>
  <c r="N43" i="110"/>
  <c r="P43" i="110"/>
  <c r="E43" i="110"/>
  <c r="AP44" i="110"/>
  <c r="N44" i="110"/>
  <c r="P44" i="110"/>
  <c r="E44" i="110"/>
  <c r="O20" i="167"/>
  <c r="A136" i="110"/>
  <c r="G136" i="110"/>
  <c r="Q136" i="110"/>
  <c r="AI136" i="110"/>
  <c r="A137" i="110"/>
  <c r="G137" i="110"/>
  <c r="Q137" i="110"/>
  <c r="AI137" i="110"/>
  <c r="A138" i="110"/>
  <c r="G138" i="110"/>
  <c r="Q138" i="110"/>
  <c r="AI138" i="110"/>
  <c r="A139" i="110"/>
  <c r="G139" i="110"/>
  <c r="Q139" i="110"/>
  <c r="AI139" i="110"/>
  <c r="A140" i="110"/>
  <c r="G140" i="110"/>
  <c r="Q140" i="110"/>
  <c r="AI140" i="110"/>
  <c r="A141" i="110"/>
  <c r="G141" i="110"/>
  <c r="Q141" i="110"/>
  <c r="AI141" i="110"/>
  <c r="A142" i="110"/>
  <c r="G142" i="110"/>
  <c r="Q142" i="110"/>
  <c r="AI142" i="110"/>
  <c r="A143" i="110"/>
  <c r="G143" i="110"/>
  <c r="Q143" i="110"/>
  <c r="AI143" i="110"/>
  <c r="A144" i="110"/>
  <c r="G144" i="110"/>
  <c r="Q144" i="110"/>
  <c r="AI144" i="110"/>
  <c r="A145" i="110"/>
  <c r="G145" i="110"/>
  <c r="O145" i="110"/>
  <c r="Q145" i="110"/>
  <c r="AD145" i="110"/>
  <c r="AE145" i="110"/>
  <c r="AI145" i="110"/>
  <c r="A146" i="110"/>
  <c r="G146" i="110"/>
  <c r="O146" i="110"/>
  <c r="Q146" i="110"/>
  <c r="AD146" i="110"/>
  <c r="AE146" i="110"/>
  <c r="AI146" i="110"/>
  <c r="A147" i="110"/>
  <c r="G147" i="110"/>
  <c r="O147" i="110"/>
  <c r="Q147" i="110"/>
  <c r="AD147" i="110"/>
  <c r="AE147" i="110"/>
  <c r="AI147" i="110"/>
  <c r="A148" i="110"/>
  <c r="G148" i="110"/>
  <c r="O148" i="110"/>
  <c r="Q148" i="110"/>
  <c r="AD148" i="110"/>
  <c r="AE148" i="110"/>
  <c r="AI148" i="110"/>
  <c r="A149" i="110"/>
  <c r="G149" i="110"/>
  <c r="O149" i="110"/>
  <c r="Q149" i="110"/>
  <c r="AD149" i="110"/>
  <c r="AE149" i="110"/>
  <c r="AI149" i="110"/>
  <c r="AI135" i="110"/>
  <c r="Q135" i="110"/>
  <c r="G135" i="110"/>
  <c r="A135" i="110"/>
  <c r="A134" i="110"/>
  <c r="AV202" i="182"/>
  <c r="B201" i="182"/>
  <c r="B200" i="182"/>
  <c r="P148" i="110"/>
  <c r="P146" i="110"/>
  <c r="O36" i="182"/>
  <c r="O34" i="182"/>
  <c r="O32" i="182"/>
  <c r="O30" i="182"/>
  <c r="O28" i="182"/>
  <c r="O26" i="182"/>
  <c r="O24" i="182"/>
  <c r="O22" i="182"/>
  <c r="O20" i="182"/>
  <c r="O18" i="182"/>
  <c r="AL9" i="182"/>
  <c r="AH9" i="182"/>
  <c r="AD9" i="182"/>
  <c r="Z9" i="182"/>
  <c r="V9" i="182"/>
  <c r="R9" i="182"/>
  <c r="N9" i="182"/>
  <c r="N147" i="110"/>
  <c r="N145" i="110"/>
  <c r="N149" i="110"/>
  <c r="E146" i="110"/>
  <c r="R145" i="110"/>
  <c r="C145" i="110" s="1"/>
  <c r="AS145" i="110" s="1"/>
  <c r="P145" i="110"/>
  <c r="AP146" i="110"/>
  <c r="R147" i="110"/>
  <c r="C147" i="110" s="1"/>
  <c r="AS147" i="110" s="1"/>
  <c r="P147" i="110"/>
  <c r="AP148" i="110"/>
  <c r="R149" i="110"/>
  <c r="C149" i="110" s="1"/>
  <c r="AS149" i="110" s="1"/>
  <c r="P149" i="110"/>
  <c r="E148" i="110"/>
  <c r="E145" i="110"/>
  <c r="N146" i="110"/>
  <c r="E147" i="110"/>
  <c r="N148" i="110"/>
  <c r="E149" i="110"/>
  <c r="AP145" i="110"/>
  <c r="R146" i="110"/>
  <c r="C146" i="110" s="1"/>
  <c r="AS146" i="110" s="1"/>
  <c r="AP147" i="110"/>
  <c r="R148" i="110"/>
  <c r="C148" i="110" s="1"/>
  <c r="AS148" i="110" s="1"/>
  <c r="AP149" i="110"/>
  <c r="AV202" i="148"/>
  <c r="B201" i="148"/>
  <c r="B200" i="148"/>
  <c r="AL9" i="176"/>
  <c r="AH9" i="176"/>
  <c r="AD9" i="176"/>
  <c r="Z9" i="176"/>
  <c r="V9" i="176"/>
  <c r="R9" i="176"/>
  <c r="N9" i="176"/>
  <c r="AL9" i="13"/>
  <c r="AH9" i="13"/>
  <c r="AD9" i="13"/>
  <c r="Z9" i="13"/>
  <c r="V9" i="13"/>
  <c r="R9" i="13"/>
  <c r="N9" i="13"/>
  <c r="AL9" i="163"/>
  <c r="AH9" i="163"/>
  <c r="AD9" i="163"/>
  <c r="Z9" i="163"/>
  <c r="V9" i="163"/>
  <c r="R9" i="163"/>
  <c r="N9" i="163"/>
  <c r="AL9" i="171"/>
  <c r="AH9" i="171"/>
  <c r="AD9" i="171"/>
  <c r="Z9" i="171"/>
  <c r="V9" i="171"/>
  <c r="R9" i="171"/>
  <c r="N9" i="171"/>
  <c r="AL9" i="175"/>
  <c r="AH9" i="175"/>
  <c r="AD9" i="175"/>
  <c r="Z9" i="175"/>
  <c r="V9" i="175"/>
  <c r="R9" i="175"/>
  <c r="N9" i="175"/>
  <c r="AL9" i="162"/>
  <c r="AH9" i="162"/>
  <c r="AD9" i="162"/>
  <c r="Z9" i="162"/>
  <c r="V9" i="162"/>
  <c r="R9" i="162"/>
  <c r="N9" i="162"/>
  <c r="AL9" i="170"/>
  <c r="AH9" i="170"/>
  <c r="AD9" i="170"/>
  <c r="Z9" i="170"/>
  <c r="V9" i="170"/>
  <c r="R9" i="170"/>
  <c r="N9" i="170"/>
  <c r="AL9" i="161"/>
  <c r="AH9" i="161"/>
  <c r="AD9" i="161"/>
  <c r="Z9" i="161"/>
  <c r="V9" i="161"/>
  <c r="R9" i="161"/>
  <c r="N9" i="161"/>
  <c r="AL9" i="169"/>
  <c r="AH9" i="169"/>
  <c r="AD9" i="169"/>
  <c r="Z9" i="169"/>
  <c r="V9" i="169"/>
  <c r="R9" i="169"/>
  <c r="N9" i="169"/>
  <c r="AL9" i="160"/>
  <c r="AH9" i="160"/>
  <c r="AD9" i="160"/>
  <c r="Z9" i="160"/>
  <c r="V9" i="160"/>
  <c r="R9" i="160"/>
  <c r="N9" i="160"/>
  <c r="AL9" i="168"/>
  <c r="AH9" i="168"/>
  <c r="AD9" i="168"/>
  <c r="Z9" i="168"/>
  <c r="V9" i="168"/>
  <c r="R9" i="168"/>
  <c r="N9" i="168"/>
  <c r="AL9" i="159"/>
  <c r="AH9" i="159"/>
  <c r="AD9" i="159"/>
  <c r="Z9" i="159"/>
  <c r="V9" i="159"/>
  <c r="R9" i="159"/>
  <c r="N9" i="159"/>
  <c r="AL9" i="167"/>
  <c r="AH9" i="167"/>
  <c r="AD9" i="167"/>
  <c r="Z9" i="167"/>
  <c r="V9" i="167"/>
  <c r="R9" i="167"/>
  <c r="N9" i="167"/>
  <c r="J9" i="167"/>
  <c r="EG2" i="110"/>
  <c r="EF2" i="110"/>
  <c r="DV2" i="110"/>
  <c r="DR2" i="110"/>
  <c r="DQ2" i="110"/>
  <c r="DP2" i="110"/>
  <c r="DO2" i="110"/>
  <c r="DN2" i="110"/>
  <c r="DM2" i="110"/>
  <c r="DL2" i="110"/>
  <c r="DK2" i="110"/>
  <c r="B192" i="110"/>
  <c r="B193" i="110"/>
  <c r="B194" i="110"/>
  <c r="B195" i="110"/>
  <c r="B196" i="110"/>
  <c r="B208" i="110"/>
  <c r="B209" i="110"/>
  <c r="B210" i="110"/>
  <c r="B211" i="110"/>
  <c r="B212" i="110"/>
  <c r="B224" i="110"/>
  <c r="B225" i="110"/>
  <c r="B226" i="110"/>
  <c r="B227" i="110"/>
  <c r="B228" i="110"/>
  <c r="B240" i="110"/>
  <c r="B241" i="110"/>
  <c r="B242" i="110"/>
  <c r="B243" i="110"/>
  <c r="B244" i="110"/>
  <c r="B256" i="110"/>
  <c r="B257" i="110"/>
  <c r="B258" i="110"/>
  <c r="B259" i="110"/>
  <c r="B260" i="110"/>
  <c r="A279" i="110"/>
  <c r="AI279" i="110"/>
  <c r="A280" i="110"/>
  <c r="AI280" i="110"/>
  <c r="A281" i="110"/>
  <c r="AI281" i="110"/>
  <c r="A284" i="110"/>
  <c r="AI284" i="110"/>
  <c r="AI278" i="110"/>
  <c r="A278" i="110"/>
  <c r="A247" i="110"/>
  <c r="AI247" i="110"/>
  <c r="A248" i="110"/>
  <c r="AI248" i="110"/>
  <c r="A249" i="110"/>
  <c r="AI249" i="110"/>
  <c r="A250" i="110"/>
  <c r="AI250" i="110"/>
  <c r="A251" i="110"/>
  <c r="AI251" i="110"/>
  <c r="A252" i="110"/>
  <c r="AI252" i="110"/>
  <c r="A253" i="110"/>
  <c r="AI253" i="110"/>
  <c r="A254" i="110"/>
  <c r="AI254" i="110"/>
  <c r="A255" i="110"/>
  <c r="AI255" i="110"/>
  <c r="A256" i="110"/>
  <c r="AI256" i="110"/>
  <c r="A257" i="110"/>
  <c r="AI257" i="110"/>
  <c r="A258" i="110"/>
  <c r="AI258" i="110"/>
  <c r="A259" i="110"/>
  <c r="AI259" i="110"/>
  <c r="A260" i="110"/>
  <c r="AI260" i="110"/>
  <c r="AI246" i="110"/>
  <c r="A246" i="110"/>
  <c r="A231" i="110"/>
  <c r="AI231" i="110"/>
  <c r="A232" i="110"/>
  <c r="AI232" i="110"/>
  <c r="A233" i="110"/>
  <c r="AI233" i="110"/>
  <c r="A234" i="110"/>
  <c r="AI234" i="110"/>
  <c r="A235" i="110"/>
  <c r="AI235" i="110"/>
  <c r="A236" i="110"/>
  <c r="AI236" i="110"/>
  <c r="A237" i="110"/>
  <c r="AI237" i="110"/>
  <c r="A238" i="110"/>
  <c r="AI238" i="110"/>
  <c r="A239" i="110"/>
  <c r="AI239" i="110"/>
  <c r="A240" i="110"/>
  <c r="AI240" i="110"/>
  <c r="A241" i="110"/>
  <c r="AI241" i="110"/>
  <c r="A242" i="110"/>
  <c r="AI242" i="110"/>
  <c r="A243" i="110"/>
  <c r="AI243" i="110"/>
  <c r="A244" i="110"/>
  <c r="AI244" i="110"/>
  <c r="AI230" i="110"/>
  <c r="A230" i="110"/>
  <c r="A215" i="110"/>
  <c r="AI215" i="110"/>
  <c r="A216" i="110"/>
  <c r="AI216" i="110"/>
  <c r="A217" i="110"/>
  <c r="AI217" i="110"/>
  <c r="A218" i="110"/>
  <c r="AI218" i="110"/>
  <c r="A219" i="110"/>
  <c r="AI219" i="110"/>
  <c r="A220" i="110"/>
  <c r="AI220" i="110"/>
  <c r="A221" i="110"/>
  <c r="AI221" i="110"/>
  <c r="A222" i="110"/>
  <c r="AI222" i="110"/>
  <c r="A223" i="110"/>
  <c r="AI223" i="110"/>
  <c r="A224" i="110"/>
  <c r="E224" i="110"/>
  <c r="AI224" i="110"/>
  <c r="AN224" i="110"/>
  <c r="AO224" i="110"/>
  <c r="AP224" i="110"/>
  <c r="AQ224" i="110"/>
  <c r="A225" i="110"/>
  <c r="E225" i="110"/>
  <c r="AI225" i="110"/>
  <c r="AN225" i="110"/>
  <c r="AO225" i="110"/>
  <c r="AP225" i="110"/>
  <c r="AQ225" i="110"/>
  <c r="A226" i="110"/>
  <c r="E226" i="110"/>
  <c r="AI226" i="110"/>
  <c r="AN226" i="110"/>
  <c r="AO226" i="110"/>
  <c r="AP226" i="110"/>
  <c r="AQ226" i="110"/>
  <c r="A227" i="110"/>
  <c r="E227" i="110"/>
  <c r="AI227" i="110"/>
  <c r="AN227" i="110"/>
  <c r="AO227" i="110"/>
  <c r="AP227" i="110"/>
  <c r="AQ227" i="110"/>
  <c r="A228" i="110"/>
  <c r="E228" i="110"/>
  <c r="AI228" i="110"/>
  <c r="AN228" i="110"/>
  <c r="AO228" i="110"/>
  <c r="AP228" i="110"/>
  <c r="AQ228" i="110"/>
  <c r="AI214" i="110"/>
  <c r="A214" i="110"/>
  <c r="A199" i="110"/>
  <c r="AI199" i="110"/>
  <c r="A200" i="110"/>
  <c r="AI200" i="110"/>
  <c r="A201" i="110"/>
  <c r="AI201" i="110"/>
  <c r="A202" i="110"/>
  <c r="AI202" i="110"/>
  <c r="A203" i="110"/>
  <c r="AI203" i="110"/>
  <c r="A204" i="110"/>
  <c r="AI204" i="110"/>
  <c r="A205" i="110"/>
  <c r="AI205" i="110"/>
  <c r="A206" i="110"/>
  <c r="AI206" i="110"/>
  <c r="A207" i="110"/>
  <c r="AI207" i="110"/>
  <c r="A208" i="110"/>
  <c r="E208" i="110"/>
  <c r="AI208" i="110"/>
  <c r="AN208" i="110"/>
  <c r="AO208" i="110"/>
  <c r="AP208" i="110"/>
  <c r="AQ208" i="110"/>
  <c r="A209" i="110"/>
  <c r="E209" i="110"/>
  <c r="AI209" i="110"/>
  <c r="AN209" i="110"/>
  <c r="AO209" i="110"/>
  <c r="AP209" i="110"/>
  <c r="AQ209" i="110"/>
  <c r="A210" i="110"/>
  <c r="E210" i="110"/>
  <c r="AI210" i="110"/>
  <c r="AN210" i="110"/>
  <c r="AO210" i="110"/>
  <c r="AP210" i="110"/>
  <c r="AQ210" i="110"/>
  <c r="A211" i="110"/>
  <c r="E211" i="110"/>
  <c r="AI211" i="110"/>
  <c r="AN211" i="110"/>
  <c r="AO211" i="110"/>
  <c r="AP211" i="110"/>
  <c r="AQ211" i="110"/>
  <c r="A212" i="110"/>
  <c r="E212" i="110"/>
  <c r="AI212" i="110"/>
  <c r="AN212" i="110"/>
  <c r="AO212" i="110"/>
  <c r="AP212" i="110"/>
  <c r="AQ212" i="110"/>
  <c r="AI198" i="110"/>
  <c r="A198" i="110"/>
  <c r="A183" i="110"/>
  <c r="AI183" i="110"/>
  <c r="A184" i="110"/>
  <c r="AI184" i="110"/>
  <c r="A185" i="110"/>
  <c r="AI185" i="110"/>
  <c r="A186" i="110"/>
  <c r="AI186" i="110"/>
  <c r="A187" i="110"/>
  <c r="AI187" i="110"/>
  <c r="A188" i="110"/>
  <c r="AI188" i="110"/>
  <c r="A189" i="110"/>
  <c r="AI189" i="110"/>
  <c r="A190" i="110"/>
  <c r="AI190" i="110"/>
  <c r="A191" i="110"/>
  <c r="AI191" i="110"/>
  <c r="A192" i="110"/>
  <c r="E192" i="110"/>
  <c r="AI192" i="110"/>
  <c r="AN192" i="110"/>
  <c r="AO192" i="110"/>
  <c r="AP192" i="110"/>
  <c r="AQ192" i="110"/>
  <c r="A193" i="110"/>
  <c r="E193" i="110"/>
  <c r="AI193" i="110"/>
  <c r="AN193" i="110"/>
  <c r="AO193" i="110"/>
  <c r="AP193" i="110"/>
  <c r="AQ193" i="110"/>
  <c r="A194" i="110"/>
  <c r="E194" i="110"/>
  <c r="AI194" i="110"/>
  <c r="AN194" i="110"/>
  <c r="AO194" i="110"/>
  <c r="AP194" i="110"/>
  <c r="AQ194" i="110"/>
  <c r="A195" i="110"/>
  <c r="E195" i="110"/>
  <c r="AI195" i="110"/>
  <c r="AN195" i="110"/>
  <c r="AO195" i="110"/>
  <c r="AP195" i="110"/>
  <c r="AQ195" i="110"/>
  <c r="A196" i="110"/>
  <c r="E196" i="110"/>
  <c r="AI196" i="110"/>
  <c r="AN196" i="110"/>
  <c r="AO196" i="110"/>
  <c r="AP196" i="110"/>
  <c r="AQ196" i="110"/>
  <c r="AI182" i="110"/>
  <c r="A182" i="110"/>
  <c r="A152" i="110"/>
  <c r="AG152" i="110"/>
  <c r="AI152" i="110"/>
  <c r="A153" i="110"/>
  <c r="AG153" i="110"/>
  <c r="AI153" i="110"/>
  <c r="A154" i="110"/>
  <c r="AG154" i="110"/>
  <c r="AI154" i="110"/>
  <c r="A155" i="110"/>
  <c r="AG155" i="110"/>
  <c r="AI155" i="110"/>
  <c r="A156" i="110"/>
  <c r="AG156" i="110"/>
  <c r="AI156" i="110"/>
  <c r="A157" i="110"/>
  <c r="AG157" i="110"/>
  <c r="AI157" i="110"/>
  <c r="A158" i="110"/>
  <c r="AG158" i="110"/>
  <c r="AI158" i="110"/>
  <c r="A159" i="110"/>
  <c r="AG159" i="110"/>
  <c r="AI159" i="110"/>
  <c r="A160" i="110"/>
  <c r="AG160" i="110"/>
  <c r="AI160" i="110"/>
  <c r="A161" i="110"/>
  <c r="AG161" i="110"/>
  <c r="AI161" i="110"/>
  <c r="A162" i="110"/>
  <c r="AG162" i="110"/>
  <c r="AI162" i="110"/>
  <c r="A163" i="110"/>
  <c r="AG163" i="110"/>
  <c r="AI163" i="110"/>
  <c r="A164" i="110"/>
  <c r="AG164" i="110"/>
  <c r="AI164" i="110"/>
  <c r="A165" i="110"/>
  <c r="AG165" i="110"/>
  <c r="AI165" i="110"/>
  <c r="A166" i="110"/>
  <c r="AG166" i="110"/>
  <c r="AI166" i="110"/>
  <c r="A167" i="110"/>
  <c r="AG167" i="110"/>
  <c r="AI167" i="110"/>
  <c r="A168" i="110"/>
  <c r="AG168" i="110"/>
  <c r="AI168" i="110"/>
  <c r="A169" i="110"/>
  <c r="AG169" i="110"/>
  <c r="AI169" i="110"/>
  <c r="A170" i="110"/>
  <c r="AG170" i="110"/>
  <c r="AI170" i="110"/>
  <c r="A171" i="110"/>
  <c r="AG171" i="110"/>
  <c r="AI171" i="110"/>
  <c r="A172" i="110"/>
  <c r="AG172" i="110"/>
  <c r="AI172" i="110"/>
  <c r="A173" i="110"/>
  <c r="AG173" i="110"/>
  <c r="AI173" i="110"/>
  <c r="A174" i="110"/>
  <c r="AG174" i="110"/>
  <c r="AI174" i="110"/>
  <c r="A175" i="110"/>
  <c r="AG175" i="110"/>
  <c r="AI175" i="110"/>
  <c r="A176" i="110"/>
  <c r="AG176" i="110"/>
  <c r="AI176" i="110"/>
  <c r="A177" i="110"/>
  <c r="AG177" i="110"/>
  <c r="AI177" i="110"/>
  <c r="A178" i="110"/>
  <c r="AG178" i="110"/>
  <c r="AI178" i="110"/>
  <c r="A179" i="110"/>
  <c r="AG179" i="110"/>
  <c r="AI179" i="110"/>
  <c r="A180" i="110"/>
  <c r="AG180" i="110"/>
  <c r="AI180" i="110"/>
  <c r="AG151" i="110"/>
  <c r="AI151" i="110"/>
  <c r="A151" i="110"/>
  <c r="A120" i="110"/>
  <c r="G120" i="110"/>
  <c r="Q120" i="110"/>
  <c r="AI120" i="110"/>
  <c r="AM120" i="110"/>
  <c r="A121" i="110"/>
  <c r="G121" i="110"/>
  <c r="Q121" i="110"/>
  <c r="AI121" i="110"/>
  <c r="AM121" i="110"/>
  <c r="A122" i="110"/>
  <c r="G122" i="110"/>
  <c r="Q122" i="110"/>
  <c r="AI122" i="110"/>
  <c r="AM122" i="110"/>
  <c r="A123" i="110"/>
  <c r="G123" i="110"/>
  <c r="Q123" i="110"/>
  <c r="AI123" i="110"/>
  <c r="AM123" i="110"/>
  <c r="A124" i="110"/>
  <c r="G124" i="110"/>
  <c r="Q124" i="110"/>
  <c r="AI124" i="110"/>
  <c r="AM124" i="110"/>
  <c r="A125" i="110"/>
  <c r="G125" i="110"/>
  <c r="Q125" i="110"/>
  <c r="AI125" i="110"/>
  <c r="AM125" i="110"/>
  <c r="A126" i="110"/>
  <c r="G126" i="110"/>
  <c r="Q126" i="110"/>
  <c r="AI126" i="110"/>
  <c r="AM126" i="110"/>
  <c r="A127" i="110"/>
  <c r="G127" i="110"/>
  <c r="Q127" i="110"/>
  <c r="AI127" i="110"/>
  <c r="AM127" i="110"/>
  <c r="A128" i="110"/>
  <c r="G128" i="110"/>
  <c r="Q128" i="110"/>
  <c r="AI128" i="110"/>
  <c r="AM128" i="110"/>
  <c r="A129" i="110"/>
  <c r="G129" i="110"/>
  <c r="O129" i="110"/>
  <c r="Q129" i="110"/>
  <c r="AD129" i="110"/>
  <c r="AE129" i="110"/>
  <c r="AI129" i="110"/>
  <c r="AM129" i="110"/>
  <c r="A130" i="110"/>
  <c r="G130" i="110"/>
  <c r="O130" i="110"/>
  <c r="Q130" i="110"/>
  <c r="AD130" i="110"/>
  <c r="AE130" i="110"/>
  <c r="AI130" i="110"/>
  <c r="AM130" i="110"/>
  <c r="A131" i="110"/>
  <c r="G131" i="110"/>
  <c r="O131" i="110"/>
  <c r="Q131" i="110"/>
  <c r="AD131" i="110"/>
  <c r="AE131" i="110"/>
  <c r="AI131" i="110"/>
  <c r="AM131" i="110"/>
  <c r="A132" i="110"/>
  <c r="G132" i="110"/>
  <c r="O132" i="110"/>
  <c r="Q132" i="110"/>
  <c r="AD132" i="110"/>
  <c r="AE132" i="110"/>
  <c r="AI132" i="110"/>
  <c r="AM132" i="110"/>
  <c r="A133" i="110"/>
  <c r="G133" i="110"/>
  <c r="O133" i="110"/>
  <c r="Q133" i="110"/>
  <c r="AD133" i="110"/>
  <c r="AE133" i="110"/>
  <c r="AI133" i="110"/>
  <c r="AM133" i="110"/>
  <c r="AM119" i="110"/>
  <c r="AI119" i="110"/>
  <c r="Q119" i="110"/>
  <c r="G119" i="110"/>
  <c r="A119" i="110"/>
  <c r="A104" i="110"/>
  <c r="G104" i="110"/>
  <c r="Q104" i="110"/>
  <c r="AI104" i="110"/>
  <c r="AM104" i="110"/>
  <c r="A105" i="110"/>
  <c r="G105" i="110"/>
  <c r="Q105" i="110"/>
  <c r="AI105" i="110"/>
  <c r="AM105" i="110"/>
  <c r="A106" i="110"/>
  <c r="G106" i="110"/>
  <c r="Q106" i="110"/>
  <c r="AI106" i="110"/>
  <c r="AM106" i="110"/>
  <c r="A107" i="110"/>
  <c r="G107" i="110"/>
  <c r="Q107" i="110"/>
  <c r="AI107" i="110"/>
  <c r="AM107" i="110"/>
  <c r="A108" i="110"/>
  <c r="G108" i="110"/>
  <c r="Q108" i="110"/>
  <c r="AI108" i="110"/>
  <c r="AM108" i="110"/>
  <c r="A109" i="110"/>
  <c r="G109" i="110"/>
  <c r="Q109" i="110"/>
  <c r="AI109" i="110"/>
  <c r="AM109" i="110"/>
  <c r="A110" i="110"/>
  <c r="G110" i="110"/>
  <c r="Q110" i="110"/>
  <c r="AI110" i="110"/>
  <c r="AM110" i="110"/>
  <c r="A111" i="110"/>
  <c r="G111" i="110"/>
  <c r="Q111" i="110"/>
  <c r="AI111" i="110"/>
  <c r="AM111" i="110"/>
  <c r="A112" i="110"/>
  <c r="G112" i="110"/>
  <c r="Q112" i="110"/>
  <c r="AI112" i="110"/>
  <c r="AM112" i="110"/>
  <c r="A113" i="110"/>
  <c r="G113" i="110"/>
  <c r="O113" i="110"/>
  <c r="Q113" i="110"/>
  <c r="AD113" i="110"/>
  <c r="AE113" i="110"/>
  <c r="AI113" i="110"/>
  <c r="AM113" i="110"/>
  <c r="A114" i="110"/>
  <c r="G114" i="110"/>
  <c r="O114" i="110"/>
  <c r="Q114" i="110"/>
  <c r="AD114" i="110"/>
  <c r="AE114" i="110"/>
  <c r="AI114" i="110"/>
  <c r="AM114" i="110"/>
  <c r="A115" i="110"/>
  <c r="G115" i="110"/>
  <c r="O115" i="110"/>
  <c r="Q115" i="110"/>
  <c r="AD115" i="110"/>
  <c r="AE115" i="110"/>
  <c r="AI115" i="110"/>
  <c r="AM115" i="110"/>
  <c r="A116" i="110"/>
  <c r="G116" i="110"/>
  <c r="O116" i="110"/>
  <c r="Q116" i="110"/>
  <c r="AD116" i="110"/>
  <c r="AE116" i="110"/>
  <c r="AI116" i="110"/>
  <c r="AM116" i="110"/>
  <c r="A117" i="110"/>
  <c r="G117" i="110"/>
  <c r="O117" i="110"/>
  <c r="Q117" i="110"/>
  <c r="AD117" i="110"/>
  <c r="AE117" i="110"/>
  <c r="AI117" i="110"/>
  <c r="AM117" i="110"/>
  <c r="AM103" i="110"/>
  <c r="AI103" i="110"/>
  <c r="Q103" i="110"/>
  <c r="G103" i="110"/>
  <c r="A103" i="110"/>
  <c r="AI67" i="110"/>
  <c r="AE67" i="110"/>
  <c r="AD67" i="110"/>
  <c r="Q67" i="110"/>
  <c r="O67" i="110"/>
  <c r="A67" i="110"/>
  <c r="A52" i="110"/>
  <c r="G52" i="110"/>
  <c r="Q52" i="110"/>
  <c r="AI52" i="110"/>
  <c r="AM52" i="110"/>
  <c r="A53" i="110"/>
  <c r="G53" i="110"/>
  <c r="Q53" i="110"/>
  <c r="AI53" i="110"/>
  <c r="AM53" i="110"/>
  <c r="A54" i="110"/>
  <c r="G54" i="110"/>
  <c r="Q54" i="110"/>
  <c r="AI54" i="110"/>
  <c r="AM54" i="110"/>
  <c r="A55" i="110"/>
  <c r="G55" i="110"/>
  <c r="Q55" i="110"/>
  <c r="AI55" i="110"/>
  <c r="AM55" i="110"/>
  <c r="A56" i="110"/>
  <c r="G56" i="110"/>
  <c r="Q56" i="110"/>
  <c r="AI56" i="110"/>
  <c r="AM56" i="110"/>
  <c r="A57" i="110"/>
  <c r="G57" i="110"/>
  <c r="Q57" i="110"/>
  <c r="AI57" i="110"/>
  <c r="AM57" i="110"/>
  <c r="A58" i="110"/>
  <c r="G58" i="110"/>
  <c r="Q58" i="110"/>
  <c r="AI58" i="110"/>
  <c r="AM58" i="110"/>
  <c r="A59" i="110"/>
  <c r="G59" i="110"/>
  <c r="Q59" i="110"/>
  <c r="AI59" i="110"/>
  <c r="AM59" i="110"/>
  <c r="A60" i="110"/>
  <c r="G60" i="110"/>
  <c r="Q60" i="110"/>
  <c r="AI60" i="110"/>
  <c r="AM60" i="110"/>
  <c r="A61" i="110"/>
  <c r="G61" i="110"/>
  <c r="O61" i="110"/>
  <c r="Q61" i="110"/>
  <c r="AD61" i="110"/>
  <c r="AE61" i="110"/>
  <c r="AI61" i="110"/>
  <c r="AM61" i="110"/>
  <c r="A62" i="110"/>
  <c r="G62" i="110"/>
  <c r="O62" i="110"/>
  <c r="Q62" i="110"/>
  <c r="AD62" i="110"/>
  <c r="AE62" i="110"/>
  <c r="AI62" i="110"/>
  <c r="AM62" i="110"/>
  <c r="A63" i="110"/>
  <c r="G63" i="110"/>
  <c r="O63" i="110"/>
  <c r="Q63" i="110"/>
  <c r="AD63" i="110"/>
  <c r="AE63" i="110"/>
  <c r="AI63" i="110"/>
  <c r="AM63" i="110"/>
  <c r="A64" i="110"/>
  <c r="G64" i="110"/>
  <c r="O64" i="110"/>
  <c r="Q64" i="110"/>
  <c r="AD64" i="110"/>
  <c r="AE64" i="110"/>
  <c r="AI64" i="110"/>
  <c r="AM64" i="110"/>
  <c r="A65" i="110"/>
  <c r="G65" i="110"/>
  <c r="O65" i="110"/>
  <c r="Q65" i="110"/>
  <c r="AD65" i="110"/>
  <c r="AE65" i="110"/>
  <c r="AI65" i="110"/>
  <c r="AM65" i="110"/>
  <c r="AM51" i="110"/>
  <c r="G51" i="110"/>
  <c r="AI51" i="110"/>
  <c r="Q51" i="110"/>
  <c r="A51" i="110"/>
  <c r="G36" i="110"/>
  <c r="G37" i="110"/>
  <c r="G38" i="110"/>
  <c r="G39" i="110"/>
  <c r="G40" i="110"/>
  <c r="G41" i="110"/>
  <c r="G42" i="110"/>
  <c r="G43" i="110"/>
  <c r="G44" i="110"/>
  <c r="G45" i="110"/>
  <c r="G46" i="110"/>
  <c r="G47" i="110"/>
  <c r="G48" i="110"/>
  <c r="G49" i="110"/>
  <c r="G35" i="110"/>
  <c r="AE36" i="110"/>
  <c r="AE37" i="110"/>
  <c r="AE38" i="110"/>
  <c r="AD39" i="110"/>
  <c r="AE39" i="110"/>
  <c r="AD40" i="110"/>
  <c r="AD41" i="110"/>
  <c r="AE41" i="110"/>
  <c r="AD42" i="110"/>
  <c r="AE42" i="110"/>
  <c r="AD43" i="110"/>
  <c r="AE43" i="110"/>
  <c r="AD44" i="110"/>
  <c r="AE44" i="110"/>
  <c r="AD45" i="110"/>
  <c r="AE45" i="110"/>
  <c r="AD46" i="110"/>
  <c r="AE46" i="110"/>
  <c r="AD47" i="110"/>
  <c r="AE47" i="110"/>
  <c r="AD48" i="110"/>
  <c r="AE48" i="110"/>
  <c r="AD49" i="110"/>
  <c r="AE49" i="110"/>
  <c r="AM36" i="110"/>
  <c r="AM37" i="110"/>
  <c r="AM38" i="110"/>
  <c r="AM39" i="110"/>
  <c r="AM40" i="110"/>
  <c r="AM41" i="110"/>
  <c r="AM42" i="110"/>
  <c r="AM43" i="110"/>
  <c r="AM44" i="110"/>
  <c r="AM45" i="110"/>
  <c r="AM46" i="110"/>
  <c r="AM47" i="110"/>
  <c r="AM48" i="110"/>
  <c r="AM49" i="110"/>
  <c r="AM35" i="110"/>
  <c r="A36" i="110"/>
  <c r="O36" i="110"/>
  <c r="AI36" i="110"/>
  <c r="A37" i="110"/>
  <c r="O37" i="110"/>
  <c r="AI37" i="110"/>
  <c r="A38" i="110"/>
  <c r="O38" i="110"/>
  <c r="Q38" i="110"/>
  <c r="AI38" i="110"/>
  <c r="A39" i="110"/>
  <c r="O39" i="110"/>
  <c r="Q39" i="110"/>
  <c r="AI39" i="110"/>
  <c r="A40" i="110"/>
  <c r="O40" i="110"/>
  <c r="Q40" i="110"/>
  <c r="AI40" i="110"/>
  <c r="A41" i="110"/>
  <c r="O41" i="110"/>
  <c r="Q41" i="110"/>
  <c r="AI41" i="110"/>
  <c r="A42" i="110"/>
  <c r="Q42" i="110"/>
  <c r="AI42" i="110"/>
  <c r="A43" i="110"/>
  <c r="O43" i="110"/>
  <c r="Q43" i="110"/>
  <c r="AI43" i="110"/>
  <c r="A44" i="110"/>
  <c r="O44" i="110"/>
  <c r="Q44" i="110"/>
  <c r="AI44" i="110"/>
  <c r="A45" i="110"/>
  <c r="O45" i="110"/>
  <c r="Q45" i="110"/>
  <c r="AI45" i="110"/>
  <c r="A46" i="110"/>
  <c r="O46" i="110"/>
  <c r="Q46" i="110"/>
  <c r="AI46" i="110"/>
  <c r="A47" i="110"/>
  <c r="O47" i="110"/>
  <c r="Q47" i="110"/>
  <c r="AI47" i="110"/>
  <c r="A48" i="110"/>
  <c r="O48" i="110"/>
  <c r="Q48" i="110"/>
  <c r="AI48" i="110"/>
  <c r="A49" i="110"/>
  <c r="O49" i="110"/>
  <c r="Q49" i="110"/>
  <c r="AI49" i="110"/>
  <c r="AI35" i="110"/>
  <c r="A35" i="110"/>
  <c r="AP19" i="110"/>
  <c r="AP20" i="110"/>
  <c r="AP21" i="110"/>
  <c r="AP22" i="110"/>
  <c r="AP23" i="110"/>
  <c r="AP24" i="110"/>
  <c r="AP25" i="110"/>
  <c r="AP26" i="110"/>
  <c r="AP27" i="110"/>
  <c r="AP28" i="110"/>
  <c r="AP29" i="110"/>
  <c r="AP30" i="110"/>
  <c r="AP31" i="110"/>
  <c r="AP32" i="110"/>
  <c r="AP33" i="110"/>
  <c r="AP45" i="110"/>
  <c r="AP46" i="110"/>
  <c r="AP47" i="110"/>
  <c r="AP48" i="110"/>
  <c r="AP49" i="110"/>
  <c r="AP35" i="110"/>
  <c r="AI5" i="110"/>
  <c r="AI6" i="110"/>
  <c r="AI7" i="110"/>
  <c r="AI8" i="110"/>
  <c r="AI9" i="110"/>
  <c r="AI10" i="110"/>
  <c r="AI11" i="110"/>
  <c r="AI12" i="110"/>
  <c r="AI13" i="110"/>
  <c r="AI14" i="110"/>
  <c r="AI15" i="110"/>
  <c r="AI16" i="110"/>
  <c r="AI17" i="110"/>
  <c r="AI18" i="110"/>
  <c r="AI19" i="110"/>
  <c r="AI20" i="110"/>
  <c r="AI21" i="110"/>
  <c r="AI22" i="110"/>
  <c r="AI23" i="110"/>
  <c r="AI24" i="110"/>
  <c r="AI25" i="110"/>
  <c r="AI26" i="110"/>
  <c r="AI27" i="110"/>
  <c r="AI28" i="110"/>
  <c r="AI29" i="110"/>
  <c r="AI30" i="110"/>
  <c r="AI31" i="110"/>
  <c r="AI32" i="110"/>
  <c r="AI33" i="110"/>
  <c r="AI4" i="110"/>
  <c r="AE19" i="110"/>
  <c r="AE20" i="110"/>
  <c r="AE21" i="110"/>
  <c r="AE22" i="110"/>
  <c r="AE23" i="110"/>
  <c r="AE24" i="110"/>
  <c r="AE25" i="110"/>
  <c r="AE26" i="110"/>
  <c r="AE27" i="110"/>
  <c r="AE28" i="110"/>
  <c r="AE29" i="110"/>
  <c r="AE30" i="110"/>
  <c r="AE31" i="110"/>
  <c r="AE32" i="110"/>
  <c r="AE33" i="110"/>
  <c r="AD19" i="110"/>
  <c r="AD20" i="110"/>
  <c r="AD21" i="110"/>
  <c r="AD22" i="110"/>
  <c r="AD23" i="110"/>
  <c r="AD24" i="110"/>
  <c r="AD25" i="110"/>
  <c r="AD26" i="110"/>
  <c r="AD27" i="110"/>
  <c r="AD28" i="110"/>
  <c r="AD29" i="110"/>
  <c r="AD30" i="110"/>
  <c r="AD31" i="110"/>
  <c r="AD32" i="110"/>
  <c r="AD33" i="110"/>
  <c r="R19" i="110"/>
  <c r="C19" i="110" s="1"/>
  <c r="AS19" i="110" s="1"/>
  <c r="R20" i="110"/>
  <c r="C20" i="110" s="1"/>
  <c r="AS20" i="110" s="1"/>
  <c r="R21" i="110"/>
  <c r="C21" i="110" s="1"/>
  <c r="AS21" i="110" s="1"/>
  <c r="R22" i="110"/>
  <c r="C22" i="110" s="1"/>
  <c r="AS22" i="110" s="1"/>
  <c r="R23" i="110"/>
  <c r="C23" i="110" s="1"/>
  <c r="AS23" i="110" s="1"/>
  <c r="R24" i="110"/>
  <c r="C24" i="110" s="1"/>
  <c r="AS24" i="110" s="1"/>
  <c r="R25" i="110"/>
  <c r="C25" i="110" s="1"/>
  <c r="AS25" i="110" s="1"/>
  <c r="R26" i="110"/>
  <c r="C26" i="110" s="1"/>
  <c r="AS26" i="110" s="1"/>
  <c r="R27" i="110"/>
  <c r="C27" i="110" s="1"/>
  <c r="AS27" i="110" s="1"/>
  <c r="R28" i="110"/>
  <c r="C28" i="110" s="1"/>
  <c r="AS28" i="110" s="1"/>
  <c r="R29" i="110"/>
  <c r="C29" i="110" s="1"/>
  <c r="AS29" i="110" s="1"/>
  <c r="R30" i="110"/>
  <c r="C30" i="110" s="1"/>
  <c r="AS30" i="110" s="1"/>
  <c r="R31" i="110"/>
  <c r="C31" i="110" s="1"/>
  <c r="AS31" i="110" s="1"/>
  <c r="R32" i="110"/>
  <c r="C32" i="110" s="1"/>
  <c r="AS32" i="110" s="1"/>
  <c r="R33" i="110"/>
  <c r="C33" i="110" s="1"/>
  <c r="AS33" i="110" s="1"/>
  <c r="P19" i="110"/>
  <c r="Q19" i="110"/>
  <c r="P20" i="110"/>
  <c r="Q20" i="110"/>
  <c r="P21" i="110"/>
  <c r="Q21" i="110"/>
  <c r="P22" i="110"/>
  <c r="Q22" i="110"/>
  <c r="P23" i="110"/>
  <c r="Q23" i="110"/>
  <c r="P24" i="110"/>
  <c r="Q24" i="110"/>
  <c r="P25" i="110"/>
  <c r="Q25" i="110"/>
  <c r="P26" i="110"/>
  <c r="Q26" i="110"/>
  <c r="P27" i="110"/>
  <c r="Q27" i="110"/>
  <c r="P28" i="110"/>
  <c r="Q28" i="110"/>
  <c r="P29" i="110"/>
  <c r="Q29" i="110"/>
  <c r="P30" i="110"/>
  <c r="Q30" i="110"/>
  <c r="P31" i="110"/>
  <c r="Q31" i="110"/>
  <c r="P32" i="110"/>
  <c r="Q32" i="110"/>
  <c r="P33" i="110"/>
  <c r="Q33" i="110"/>
  <c r="O19" i="110"/>
  <c r="O20" i="110"/>
  <c r="O21" i="110"/>
  <c r="O22" i="110"/>
  <c r="O23" i="110"/>
  <c r="O24" i="110"/>
  <c r="O25" i="110"/>
  <c r="O26" i="110"/>
  <c r="O27" i="110"/>
  <c r="O28" i="110"/>
  <c r="O29" i="110"/>
  <c r="O30" i="110"/>
  <c r="O31" i="110"/>
  <c r="O32" i="110"/>
  <c r="O33" i="110"/>
  <c r="N19" i="110"/>
  <c r="N20" i="110"/>
  <c r="N21" i="110"/>
  <c r="N22" i="110"/>
  <c r="N23" i="110"/>
  <c r="N24" i="110"/>
  <c r="N25" i="110"/>
  <c r="N26" i="110"/>
  <c r="N27" i="110"/>
  <c r="N28" i="110"/>
  <c r="N29" i="110"/>
  <c r="N30" i="110"/>
  <c r="N31" i="110"/>
  <c r="N32" i="110"/>
  <c r="N33" i="110"/>
  <c r="G5" i="110"/>
  <c r="G6" i="110"/>
  <c r="G7" i="110"/>
  <c r="G8" i="110"/>
  <c r="G9" i="110"/>
  <c r="G10" i="110"/>
  <c r="G11" i="110"/>
  <c r="G12" i="110"/>
  <c r="G13" i="110"/>
  <c r="G14" i="110"/>
  <c r="G15" i="110"/>
  <c r="G16" i="110"/>
  <c r="G17" i="110"/>
  <c r="G18" i="110"/>
  <c r="G19" i="110"/>
  <c r="G20" i="110"/>
  <c r="G21" i="110"/>
  <c r="G22" i="110"/>
  <c r="G23" i="110"/>
  <c r="G24" i="110"/>
  <c r="G25" i="110"/>
  <c r="G26" i="110"/>
  <c r="G27" i="110"/>
  <c r="G28" i="110"/>
  <c r="G29" i="110"/>
  <c r="G30" i="110"/>
  <c r="G31" i="110"/>
  <c r="G32" i="110"/>
  <c r="G33" i="110"/>
  <c r="G4" i="110"/>
  <c r="E19" i="110"/>
  <c r="E20" i="110"/>
  <c r="E21" i="110"/>
  <c r="E22" i="110"/>
  <c r="E23" i="110"/>
  <c r="E24" i="110"/>
  <c r="E25" i="110"/>
  <c r="E26" i="110"/>
  <c r="E27" i="110"/>
  <c r="E28" i="110"/>
  <c r="E29" i="110"/>
  <c r="E30" i="110"/>
  <c r="E31" i="110"/>
  <c r="E32" i="110"/>
  <c r="E33" i="110"/>
  <c r="A30" i="110"/>
  <c r="A31" i="110"/>
  <c r="A32" i="110"/>
  <c r="A33" i="110"/>
  <c r="A29" i="110"/>
  <c r="A28" i="110"/>
  <c r="A27" i="110"/>
  <c r="A26" i="110"/>
  <c r="A25" i="110"/>
  <c r="A24" i="110"/>
  <c r="A23" i="110"/>
  <c r="A22" i="110"/>
  <c r="A21" i="110"/>
  <c r="A20" i="110"/>
  <c r="A19" i="110"/>
  <c r="A18" i="110"/>
  <c r="A17" i="110"/>
  <c r="A16" i="110"/>
  <c r="A15" i="110"/>
  <c r="A14" i="110"/>
  <c r="A13" i="110"/>
  <c r="A12" i="110"/>
  <c r="A11" i="110"/>
  <c r="A10" i="110"/>
  <c r="A9" i="110"/>
  <c r="A8" i="110"/>
  <c r="A7" i="110"/>
  <c r="A6" i="110"/>
  <c r="A5" i="110"/>
  <c r="A4" i="110"/>
  <c r="Q22" i="14"/>
  <c r="AD22" i="14"/>
  <c r="AD23" i="14"/>
  <c r="AD26" i="14"/>
  <c r="AD25" i="14"/>
  <c r="AD24" i="14"/>
  <c r="L20" i="14"/>
  <c r="A9" i="14"/>
  <c r="AC30" i="154"/>
  <c r="AC29" i="154"/>
  <c r="AC28" i="154"/>
  <c r="AC23" i="154"/>
  <c r="AC22" i="154"/>
  <c r="AC21" i="154"/>
  <c r="R33" i="154"/>
  <c r="R31" i="154"/>
  <c r="R30" i="154"/>
  <c r="H33" i="154"/>
  <c r="H32" i="154"/>
  <c r="H31" i="154"/>
  <c r="H30" i="154"/>
  <c r="AL1" i="8"/>
  <c r="AP1" i="8"/>
  <c r="AG26" i="81"/>
  <c r="AB42" i="81"/>
  <c r="W42" i="81"/>
  <c r="W35" i="81"/>
  <c r="AB32" i="81"/>
  <c r="P52" i="81"/>
  <c r="N52" i="81"/>
  <c r="I52" i="81"/>
  <c r="I51" i="81"/>
  <c r="I50" i="81"/>
  <c r="I49" i="81"/>
  <c r="I48" i="81"/>
  <c r="N47" i="81"/>
  <c r="I47" i="81"/>
  <c r="I41" i="81"/>
  <c r="I40" i="81"/>
  <c r="I39" i="81"/>
  <c r="I38" i="81"/>
  <c r="I36" i="81"/>
  <c r="I23" i="81"/>
  <c r="I22" i="81"/>
  <c r="I35" i="81"/>
  <c r="I31" i="81"/>
  <c r="P32" i="81"/>
  <c r="N32" i="81"/>
  <c r="I32" i="81"/>
  <c r="I29" i="81"/>
  <c r="I30" i="81"/>
  <c r="I28" i="81"/>
  <c r="N27" i="81"/>
  <c r="I27" i="81"/>
  <c r="I18" i="81"/>
  <c r="I17" i="81"/>
  <c r="I16" i="81"/>
  <c r="T17" i="81"/>
  <c r="AN18" i="81"/>
  <c r="Z21" i="155"/>
  <c r="L21" i="155"/>
  <c r="Z21" i="156"/>
  <c r="L21" i="156"/>
  <c r="AJ48" i="156"/>
  <c r="AD43" i="156"/>
  <c r="AH43" i="156" s="1"/>
  <c r="Y32" i="156"/>
  <c r="R32" i="156"/>
  <c r="Y31" i="156"/>
  <c r="R31" i="156"/>
  <c r="Y30" i="156"/>
  <c r="R30" i="156"/>
  <c r="AF27" i="156"/>
  <c r="AF26" i="156"/>
  <c r="AF25" i="156"/>
  <c r="R25" i="156"/>
  <c r="Y32" i="155"/>
  <c r="Y31" i="155"/>
  <c r="Y30" i="155"/>
  <c r="R32" i="155"/>
  <c r="R31" i="155"/>
  <c r="R30" i="155"/>
  <c r="AF27" i="155"/>
  <c r="AF26" i="155"/>
  <c r="AF25" i="155"/>
  <c r="R25" i="155"/>
  <c r="E45" i="110"/>
  <c r="E46" i="110"/>
  <c r="E47" i="110"/>
  <c r="E48" i="110"/>
  <c r="E49" i="110"/>
  <c r="A150" i="110"/>
  <c r="A181" i="110"/>
  <c r="A197" i="110"/>
  <c r="A213" i="110"/>
  <c r="A229" i="110"/>
  <c r="A245" i="110"/>
  <c r="A277" i="110"/>
  <c r="A102" i="110"/>
  <c r="A118" i="110"/>
  <c r="A9" i="154"/>
  <c r="A9" i="153"/>
  <c r="AV202" i="180"/>
  <c r="B201" i="180"/>
  <c r="B200" i="180"/>
  <c r="AV202" i="81"/>
  <c r="B201" i="81"/>
  <c r="B200" i="81"/>
  <c r="AV202" i="156"/>
  <c r="B201" i="156"/>
  <c r="B200" i="156"/>
  <c r="AV202" i="155"/>
  <c r="B201" i="155"/>
  <c r="B200" i="155"/>
  <c r="AE18" i="156"/>
  <c r="Q43" i="155"/>
  <c r="Z42" i="155"/>
  <c r="AE18" i="155"/>
  <c r="AK21" i="154"/>
  <c r="AL21" i="154"/>
  <c r="AV202" i="154"/>
  <c r="B201" i="154"/>
  <c r="B200" i="154"/>
  <c r="Y15" i="154"/>
  <c r="Q15" i="154"/>
  <c r="H15" i="154"/>
  <c r="H26" i="154"/>
  <c r="W23" i="154"/>
  <c r="R24" i="154"/>
  <c r="R23" i="154"/>
  <c r="R22" i="154"/>
  <c r="O24" i="154"/>
  <c r="M24" i="154"/>
  <c r="H24" i="154"/>
  <c r="H23" i="154"/>
  <c r="H22" i="154"/>
  <c r="W17" i="154"/>
  <c r="O19" i="154"/>
  <c r="M19" i="154"/>
  <c r="H19" i="154"/>
  <c r="P40" i="154"/>
  <c r="H40" i="154"/>
  <c r="AF15" i="148"/>
  <c r="AD32" i="81"/>
  <c r="W32" i="81"/>
  <c r="Q23" i="14"/>
  <c r="W31" i="81"/>
  <c r="R26" i="156"/>
  <c r="R26" i="155"/>
  <c r="R27" i="156"/>
  <c r="R27" i="155"/>
  <c r="O28" i="154"/>
  <c r="M28" i="154"/>
  <c r="H28" i="154"/>
  <c r="H27" i="154"/>
  <c r="AP182" i="110"/>
  <c r="BF36" i="169"/>
  <c r="BE36" i="169"/>
  <c r="AZ36" i="169"/>
  <c r="BF34" i="169"/>
  <c r="BE34" i="169"/>
  <c r="AZ34" i="169"/>
  <c r="BF32" i="169"/>
  <c r="BE32" i="169"/>
  <c r="AZ32" i="169"/>
  <c r="BF30" i="169"/>
  <c r="BE30" i="169"/>
  <c r="AZ30" i="169"/>
  <c r="BF28" i="169"/>
  <c r="BE28" i="169"/>
  <c r="AZ28" i="169"/>
  <c r="BF26" i="169"/>
  <c r="BE26" i="169"/>
  <c r="AZ26" i="169"/>
  <c r="BF24" i="169"/>
  <c r="BE24" i="169"/>
  <c r="AZ24" i="169"/>
  <c r="BF22" i="169"/>
  <c r="BE22" i="169"/>
  <c r="AZ22" i="169"/>
  <c r="BF20" i="169"/>
  <c r="BE20" i="169"/>
  <c r="AZ20" i="169"/>
  <c r="BF18" i="169"/>
  <c r="BE18" i="169"/>
  <c r="AZ18" i="169"/>
  <c r="AQ216" i="110"/>
  <c r="AZ18" i="170"/>
  <c r="AZ18" i="175"/>
  <c r="AE262" i="110" s="1" a="1"/>
  <c r="AE262" i="110" s="1"/>
  <c r="BF18" i="176"/>
  <c r="AZ20" i="176"/>
  <c r="BE20" i="176"/>
  <c r="BF20" i="176"/>
  <c r="AZ22" i="176"/>
  <c r="BE22" i="176"/>
  <c r="BF22" i="176"/>
  <c r="BJ22" i="176" s="1"/>
  <c r="AZ24" i="176"/>
  <c r="BE24" i="176"/>
  <c r="BF24" i="176"/>
  <c r="BE18" i="176"/>
  <c r="AZ18" i="176"/>
  <c r="AV202" i="176"/>
  <c r="B201" i="176"/>
  <c r="B200" i="176"/>
  <c r="AV202" i="175"/>
  <c r="B201" i="175"/>
  <c r="B200" i="175"/>
  <c r="Z9" i="158"/>
  <c r="AV202" i="13"/>
  <c r="B201" i="13"/>
  <c r="B200" i="13"/>
  <c r="AV202" i="171"/>
  <c r="B201" i="171"/>
  <c r="B200" i="171"/>
  <c r="AV202" i="170"/>
  <c r="B201" i="170"/>
  <c r="B200" i="170"/>
  <c r="AV202" i="169"/>
  <c r="B201" i="169"/>
  <c r="B200" i="169"/>
  <c r="AV202" i="168"/>
  <c r="B201" i="168"/>
  <c r="B200" i="168"/>
  <c r="AV202" i="167"/>
  <c r="B201" i="167"/>
  <c r="B200" i="167"/>
  <c r="A9" i="148"/>
  <c r="A9" i="147"/>
  <c r="A9" i="166"/>
  <c r="A4" i="152"/>
  <c r="AP67" i="110"/>
  <c r="AV202" i="161"/>
  <c r="B201" i="161"/>
  <c r="B200" i="161"/>
  <c r="T6" i="106"/>
  <c r="T4" i="106"/>
  <c r="T3" i="106"/>
  <c r="H127" i="106"/>
  <c r="H126" i="106"/>
  <c r="H125" i="106"/>
  <c r="H124" i="106"/>
  <c r="H5" i="106"/>
  <c r="H4" i="106"/>
  <c r="H3" i="106"/>
  <c r="A66" i="110"/>
  <c r="A50" i="110"/>
  <c r="A34" i="110"/>
  <c r="A3" i="110"/>
  <c r="U9" i="81"/>
  <c r="A9" i="155"/>
  <c r="A9" i="156"/>
  <c r="BG20" i="163"/>
  <c r="BG22" i="163"/>
  <c r="BG24" i="163"/>
  <c r="BG26" i="163"/>
  <c r="BG28" i="163"/>
  <c r="BG30" i="163"/>
  <c r="BG32" i="163"/>
  <c r="BG34" i="163"/>
  <c r="BG36" i="163"/>
  <c r="BG18" i="163"/>
  <c r="R18" i="163"/>
  <c r="AV202" i="163"/>
  <c r="B201" i="163"/>
  <c r="B200" i="163"/>
  <c r="R20" i="162"/>
  <c r="AR20" i="162" s="1"/>
  <c r="AT104" i="110" s="1" a="1"/>
  <c r="AT104" i="110" s="1"/>
  <c r="R22" i="162"/>
  <c r="AR22" i="162" s="1"/>
  <c r="AT105" i="110" s="1" a="1"/>
  <c r="AT105" i="110" s="1"/>
  <c r="R24" i="162"/>
  <c r="AR24" i="162" s="1"/>
  <c r="AT106" i="110" s="1" a="1"/>
  <c r="AT106" i="110" s="1"/>
  <c r="R26" i="162"/>
  <c r="AR26" i="162" s="1"/>
  <c r="AT107" i="110" s="1" a="1"/>
  <c r="AT107" i="110" s="1"/>
  <c r="R28" i="162"/>
  <c r="AR28" i="162" s="1"/>
  <c r="AT108" i="110" s="1" a="1"/>
  <c r="AT108" i="110" s="1"/>
  <c r="R30" i="162"/>
  <c r="AR30" i="162" s="1"/>
  <c r="AT109" i="110" s="1" a="1"/>
  <c r="AT109" i="110" s="1"/>
  <c r="R32" i="162"/>
  <c r="AR32" i="162" s="1"/>
  <c r="AT110" i="110" s="1" a="1"/>
  <c r="AT110" i="110" s="1"/>
  <c r="R34" i="162"/>
  <c r="AR34" i="162" s="1"/>
  <c r="AT111" i="110" s="1" a="1"/>
  <c r="AT111" i="110" s="1"/>
  <c r="R36" i="162"/>
  <c r="AR36" i="162" s="1"/>
  <c r="AT112" i="110" s="1" a="1"/>
  <c r="AT112" i="110" s="1"/>
  <c r="R117" i="110"/>
  <c r="C117" i="110" s="1"/>
  <c r="AS117" i="110" s="1"/>
  <c r="BG20" i="162"/>
  <c r="BG22" i="162"/>
  <c r="BG24" i="162"/>
  <c r="BG26" i="162"/>
  <c r="BG28" i="162"/>
  <c r="BG30" i="162"/>
  <c r="BG32" i="162"/>
  <c r="BG34" i="162"/>
  <c r="BG36" i="162"/>
  <c r="BG18" i="162"/>
  <c r="R18" i="162"/>
  <c r="AV202" i="162"/>
  <c r="B201" i="162"/>
  <c r="B200" i="162"/>
  <c r="R20" i="160"/>
  <c r="R22" i="160"/>
  <c r="R24" i="160"/>
  <c r="R26" i="160"/>
  <c r="R28" i="160"/>
  <c r="AR28" i="160" s="1"/>
  <c r="AT56" i="110" s="1" a="1"/>
  <c r="AT56" i="110" s="1"/>
  <c r="R30" i="160"/>
  <c r="AR30" i="160" s="1"/>
  <c r="AT57" i="110" s="1" a="1"/>
  <c r="AT57" i="110" s="1"/>
  <c r="R32" i="160"/>
  <c r="AR32" i="160" s="1"/>
  <c r="AT58" i="110" s="1" a="1"/>
  <c r="AT58" i="110" s="1"/>
  <c r="R34" i="160"/>
  <c r="AR34" i="160" s="1"/>
  <c r="AT59" i="110" s="1" a="1"/>
  <c r="AT59" i="110" s="1"/>
  <c r="BG20" i="160"/>
  <c r="BG22" i="160"/>
  <c r="BG24" i="160"/>
  <c r="BG26" i="160"/>
  <c r="BG28" i="160"/>
  <c r="BG30" i="160"/>
  <c r="BG32" i="160"/>
  <c r="BG34" i="160"/>
  <c r="BG36" i="160"/>
  <c r="BG18" i="160"/>
  <c r="R18" i="160"/>
  <c r="AV202" i="160"/>
  <c r="B201" i="160"/>
  <c r="B200" i="160"/>
  <c r="AP64" i="110"/>
  <c r="AP115" i="110"/>
  <c r="AP130" i="110"/>
  <c r="AP63" i="110"/>
  <c r="AP114" i="110"/>
  <c r="AP129" i="110"/>
  <c r="AP62" i="110"/>
  <c r="AP117" i="110"/>
  <c r="AP113" i="110"/>
  <c r="AP133" i="110"/>
  <c r="AP132" i="110"/>
  <c r="AP65" i="110"/>
  <c r="AP61" i="110"/>
  <c r="AP116" i="110"/>
  <c r="AP131" i="110"/>
  <c r="N63" i="110"/>
  <c r="E63" i="110"/>
  <c r="P116" i="110"/>
  <c r="E116" i="110"/>
  <c r="E130" i="110"/>
  <c r="E62" i="110"/>
  <c r="R115" i="110"/>
  <c r="C115" i="110" s="1"/>
  <c r="AS115" i="110" s="1"/>
  <c r="E115" i="110"/>
  <c r="N129" i="110"/>
  <c r="E129" i="110"/>
  <c r="N65" i="110"/>
  <c r="E65" i="110"/>
  <c r="N61" i="110"/>
  <c r="E61" i="110"/>
  <c r="P114" i="110"/>
  <c r="E114" i="110"/>
  <c r="N133" i="110"/>
  <c r="E133" i="110"/>
  <c r="P132" i="110"/>
  <c r="E132" i="110"/>
  <c r="N64" i="110"/>
  <c r="E64" i="110"/>
  <c r="N117" i="110"/>
  <c r="E117" i="110"/>
  <c r="N113" i="110"/>
  <c r="E113" i="110"/>
  <c r="N131" i="110"/>
  <c r="E131" i="110"/>
  <c r="R65" i="110"/>
  <c r="C65" i="110" s="1"/>
  <c r="AS65" i="110" s="1"/>
  <c r="P62" i="110"/>
  <c r="R116" i="110"/>
  <c r="C116" i="110" s="1"/>
  <c r="AS116" i="110" s="1"/>
  <c r="N114" i="110"/>
  <c r="R64" i="110"/>
  <c r="C64" i="110" s="1"/>
  <c r="AS64" i="110" s="1"/>
  <c r="R114" i="110"/>
  <c r="C114" i="110" s="1"/>
  <c r="AS114" i="110" s="1"/>
  <c r="P64" i="110"/>
  <c r="N116" i="110"/>
  <c r="P115" i="110"/>
  <c r="N132" i="110"/>
  <c r="N130" i="110"/>
  <c r="R61" i="110"/>
  <c r="C61" i="110" s="1"/>
  <c r="AS61" i="110" s="1"/>
  <c r="R113" i="110"/>
  <c r="C113" i="110" s="1"/>
  <c r="AS113" i="110" s="1"/>
  <c r="N115" i="110"/>
  <c r="P133" i="110"/>
  <c r="P131" i="110"/>
  <c r="P129" i="110"/>
  <c r="P65" i="110"/>
  <c r="P61" i="110"/>
  <c r="P117" i="110"/>
  <c r="P113" i="110"/>
  <c r="P130" i="110"/>
  <c r="R131" i="110"/>
  <c r="C131" i="110" s="1"/>
  <c r="AS131" i="110" s="1"/>
  <c r="R130" i="110"/>
  <c r="C130" i="110" s="1"/>
  <c r="AS130" i="110" s="1"/>
  <c r="R129" i="110"/>
  <c r="C129" i="110" s="1"/>
  <c r="AS129" i="110" s="1"/>
  <c r="R133" i="110"/>
  <c r="C133" i="110" s="1"/>
  <c r="AS133" i="110" s="1"/>
  <c r="R132" i="110"/>
  <c r="C132" i="110" s="1"/>
  <c r="AS132" i="110" s="1"/>
  <c r="R63" i="110"/>
  <c r="C63" i="110" s="1"/>
  <c r="AS63" i="110" s="1"/>
  <c r="R62" i="110"/>
  <c r="C62" i="110" s="1"/>
  <c r="AS62" i="110" s="1"/>
  <c r="P63" i="110"/>
  <c r="N62" i="110"/>
  <c r="AH9" i="158"/>
  <c r="AD9" i="158"/>
  <c r="V9" i="158"/>
  <c r="R9" i="158"/>
  <c r="P45" i="110"/>
  <c r="P46" i="110"/>
  <c r="P47" i="110"/>
  <c r="P48" i="110"/>
  <c r="P49" i="110"/>
  <c r="O35" i="110"/>
  <c r="N45" i="110"/>
  <c r="N46" i="110"/>
  <c r="N47" i="110"/>
  <c r="N48" i="110"/>
  <c r="N49" i="110"/>
  <c r="BO18" i="159"/>
  <c r="AV202" i="159"/>
  <c r="B201" i="159"/>
  <c r="B200" i="159"/>
  <c r="R49" i="110"/>
  <c r="R48" i="110"/>
  <c r="R47" i="110"/>
  <c r="R46" i="110"/>
  <c r="R45" i="110"/>
  <c r="AE4" i="110"/>
  <c r="R9" i="110"/>
  <c r="R14" i="110"/>
  <c r="H25" i="153"/>
  <c r="G25" i="3"/>
  <c r="AV202" i="172"/>
  <c r="B201" i="172"/>
  <c r="B200" i="172"/>
  <c r="AC16" i="153"/>
  <c r="V16" i="153"/>
  <c r="O16" i="153"/>
  <c r="H16" i="153"/>
  <c r="AC31" i="154"/>
  <c r="AC27" i="154"/>
  <c r="AC26" i="154"/>
  <c r="AC25" i="154"/>
  <c r="AC20" i="154"/>
  <c r="AC19" i="154"/>
  <c r="AL9" i="158"/>
  <c r="AC18" i="154"/>
  <c r="N9" i="158"/>
  <c r="H34" i="154"/>
  <c r="H25" i="154"/>
  <c r="H21" i="154"/>
  <c r="H16" i="154"/>
  <c r="H14" i="154"/>
  <c r="B147" i="3"/>
  <c r="AV202" i="153"/>
  <c r="B201" i="153"/>
  <c r="B200" i="153"/>
  <c r="AV202" i="158"/>
  <c r="B201" i="158"/>
  <c r="B200" i="158"/>
  <c r="AV202" i="151"/>
  <c r="B201" i="151"/>
  <c r="B200" i="151"/>
  <c r="AV202" i="147"/>
  <c r="B201" i="147"/>
  <c r="B200" i="147"/>
  <c r="AV202" i="166"/>
  <c r="B201" i="166"/>
  <c r="B200" i="166"/>
  <c r="AV202" i="144"/>
  <c r="B201" i="144"/>
  <c r="B200" i="144"/>
  <c r="AV202" i="152"/>
  <c r="B201" i="152"/>
  <c r="B200" i="152"/>
  <c r="J9" i="158"/>
  <c r="A9" i="144"/>
  <c r="J1" i="8"/>
  <c r="F1" i="8"/>
  <c r="O200" i="182"/>
  <c r="BA57" i="14"/>
  <c r="BF2" i="110"/>
  <c r="AV202" i="14"/>
  <c r="BG2" i="110"/>
  <c r="G20" i="3"/>
  <c r="G21" i="3"/>
  <c r="G22" i="3"/>
  <c r="G23" i="3"/>
  <c r="G24" i="3"/>
  <c r="A2" i="110"/>
  <c r="G8" i="3"/>
  <c r="B165" i="3"/>
  <c r="B114" i="3"/>
  <c r="B101" i="3"/>
  <c r="G17" i="3"/>
  <c r="G18" i="3"/>
  <c r="G19" i="3"/>
  <c r="G10" i="3"/>
  <c r="G11" i="3"/>
  <c r="G12" i="3"/>
  <c r="G13" i="3"/>
  <c r="G14" i="3"/>
  <c r="G15" i="3"/>
  <c r="G16" i="3"/>
  <c r="B201" i="14"/>
  <c r="B200" i="14"/>
  <c r="Q200" i="14"/>
  <c r="BN18" i="182" l="1"/>
  <c r="BL18" i="182"/>
  <c r="BJ18" i="182"/>
  <c r="BD18" i="182"/>
  <c r="BA18" i="182"/>
  <c r="AZ18" i="182"/>
  <c r="AY18" i="182"/>
  <c r="AO18" i="182"/>
  <c r="AX18" i="182"/>
  <c r="AR18" i="182"/>
  <c r="BH18" i="182" s="1"/>
  <c r="AX18" i="162"/>
  <c r="BN18" i="162"/>
  <c r="BL18" i="162"/>
  <c r="BD18" i="162"/>
  <c r="BA18" i="162"/>
  <c r="AZ18" i="162"/>
  <c r="AY18" i="162"/>
  <c r="AR18" i="162"/>
  <c r="BH18" i="162" s="1"/>
  <c r="AX18" i="163"/>
  <c r="AR18" i="163"/>
  <c r="BH18" i="163" s="1"/>
  <c r="AO18" i="163"/>
  <c r="BN18" i="163"/>
  <c r="BA18" i="163"/>
  <c r="BL18" i="163"/>
  <c r="BD18" i="163"/>
  <c r="AZ18" i="163"/>
  <c r="AY18" i="163"/>
  <c r="BD18" i="160"/>
  <c r="BA18" i="160"/>
  <c r="AZ18" i="160"/>
  <c r="AX18" i="160"/>
  <c r="AY18" i="160"/>
  <c r="BN18" i="160"/>
  <c r="AR18" i="160"/>
  <c r="BH18" i="160" s="1"/>
  <c r="AO18" i="160"/>
  <c r="BL18" i="160"/>
  <c r="BJ18" i="160"/>
  <c r="BL24" i="182"/>
  <c r="BN24" i="182"/>
  <c r="AR24" i="182"/>
  <c r="AX24" i="182"/>
  <c r="AY24" i="182"/>
  <c r="AZ24" i="182"/>
  <c r="BA24" i="182"/>
  <c r="BJ24" i="182"/>
  <c r="BD24" i="182"/>
  <c r="E138" i="110" s="1"/>
  <c r="AO24" i="182"/>
  <c r="BA28" i="182"/>
  <c r="BD28" i="182"/>
  <c r="E140" i="110" s="1"/>
  <c r="AO28" i="182"/>
  <c r="AR28" i="182"/>
  <c r="AT140" i="110" s="1" a="1"/>
  <c r="AT140" i="110" s="1"/>
  <c r="AY28" i="182"/>
  <c r="AX28" i="182"/>
  <c r="BJ28" i="182"/>
  <c r="BL28" i="182"/>
  <c r="AZ28" i="182"/>
  <c r="BN28" i="182"/>
  <c r="AZ30" i="182"/>
  <c r="N141" i="110" s="1"/>
  <c r="BJ30" i="182"/>
  <c r="BD30" i="182"/>
  <c r="E141" i="110" s="1"/>
  <c r="AO30" i="182"/>
  <c r="BA30" i="182"/>
  <c r="BL30" i="182"/>
  <c r="BN30" i="182"/>
  <c r="AR30" i="182"/>
  <c r="BI30" i="182" s="1"/>
  <c r="AX30" i="182"/>
  <c r="AY30" i="182"/>
  <c r="AY32" i="182"/>
  <c r="BD32" i="182"/>
  <c r="E142" i="110" s="1"/>
  <c r="AO32" i="182"/>
  <c r="AZ32" i="182"/>
  <c r="N142" i="110" s="1"/>
  <c r="BA32" i="182"/>
  <c r="AX32" i="182"/>
  <c r="BJ32" i="182"/>
  <c r="AR32" i="182"/>
  <c r="AT142" i="110" s="1" a="1"/>
  <c r="AT142" i="110" s="1"/>
  <c r="BN32" i="182"/>
  <c r="BL32" i="182"/>
  <c r="BL34" i="182"/>
  <c r="AY34" i="182"/>
  <c r="BN34" i="182"/>
  <c r="BD34" i="182"/>
  <c r="E143" i="110" s="1"/>
  <c r="AO34" i="182"/>
  <c r="AZ34" i="182"/>
  <c r="BA34" i="182"/>
  <c r="AR34" i="182"/>
  <c r="AT143" i="110" s="1" a="1"/>
  <c r="AT143" i="110" s="1"/>
  <c r="BJ34" i="182"/>
  <c r="AX34" i="182"/>
  <c r="AY36" i="182"/>
  <c r="BJ36" i="182"/>
  <c r="BD36" i="182"/>
  <c r="E144" i="110" s="1"/>
  <c r="AO36" i="182"/>
  <c r="AR36" i="182"/>
  <c r="BL36" i="182"/>
  <c r="BN36" i="182"/>
  <c r="AZ36" i="182"/>
  <c r="BA36" i="182"/>
  <c r="AX36" i="182"/>
  <c r="BD26" i="182"/>
  <c r="E139" i="110" s="1"/>
  <c r="AO26" i="182"/>
  <c r="AR26" i="182"/>
  <c r="AT139" i="110" s="1" a="1"/>
  <c r="AT139" i="110" s="1"/>
  <c r="BJ26" i="182"/>
  <c r="AY26" i="182"/>
  <c r="BL26" i="182"/>
  <c r="BN26" i="182"/>
  <c r="AX26" i="182"/>
  <c r="AZ26" i="182"/>
  <c r="BA26" i="182"/>
  <c r="E135" i="110"/>
  <c r="BJ20" i="182"/>
  <c r="AR20" i="182"/>
  <c r="AT136" i="110" s="1" a="1"/>
  <c r="AT136" i="110" s="1"/>
  <c r="AX20" i="182"/>
  <c r="BL20" i="182"/>
  <c r="AZ20" i="182"/>
  <c r="BN20" i="182"/>
  <c r="BA20" i="182"/>
  <c r="BD20" i="182"/>
  <c r="AY20" i="182"/>
  <c r="AO20" i="182"/>
  <c r="AR22" i="182"/>
  <c r="BI22" i="182" s="1"/>
  <c r="BD22" i="182"/>
  <c r="E137" i="110" s="1"/>
  <c r="AX22" i="182"/>
  <c r="AZ22" i="182"/>
  <c r="BJ22" i="182"/>
  <c r="AO22" i="182"/>
  <c r="BA22" i="182"/>
  <c r="AY22" i="182"/>
  <c r="BL22" i="182"/>
  <c r="BN22" i="182"/>
  <c r="BJ20" i="167"/>
  <c r="C152" i="110" s="1"/>
  <c r="BM20" i="167"/>
  <c r="P18" i="3" s="1"/>
  <c r="AX20" i="167"/>
  <c r="BA20" i="167"/>
  <c r="BB20" i="167"/>
  <c r="BE20" i="167"/>
  <c r="BF20" i="167"/>
  <c r="BF200" i="167" s="1"/>
  <c r="BL68" i="167"/>
  <c r="AC176" i="110" s="1"/>
  <c r="BL36" i="167"/>
  <c r="AC160" i="110" s="1"/>
  <c r="BL50" i="167"/>
  <c r="AC167" i="110" s="1"/>
  <c r="BL52" i="167"/>
  <c r="AC168" i="110" s="1"/>
  <c r="BL42" i="167"/>
  <c r="AC163" i="110" s="1"/>
  <c r="BL34" i="167"/>
  <c r="AC159" i="110" s="1"/>
  <c r="BL60" i="167"/>
  <c r="AC172" i="110" s="1"/>
  <c r="BL32" i="167"/>
  <c r="AC158" i="110" s="1"/>
  <c r="BL40" i="167"/>
  <c r="AC162" i="110" s="1"/>
  <c r="BL24" i="167"/>
  <c r="AC154" i="110" s="1"/>
  <c r="BL58" i="167"/>
  <c r="AC171" i="110" s="1"/>
  <c r="BL70" i="167"/>
  <c r="AC177" i="110" s="1"/>
  <c r="BL48" i="167"/>
  <c r="AC166" i="110" s="1"/>
  <c r="BL76" i="167"/>
  <c r="AC180" i="110" s="1"/>
  <c r="BL54" i="167"/>
  <c r="AC169" i="110" s="1"/>
  <c r="BL38" i="167"/>
  <c r="AC161" i="110" s="1"/>
  <c r="BL22" i="167"/>
  <c r="AC153" i="110" s="1"/>
  <c r="BL66" i="167"/>
  <c r="AC175" i="110" s="1"/>
  <c r="BL28" i="167"/>
  <c r="AC156" i="110" s="1"/>
  <c r="BL72" i="167"/>
  <c r="AC178" i="110" s="1"/>
  <c r="BL44" i="167"/>
  <c r="AC164" i="110" s="1"/>
  <c r="BL64" i="167"/>
  <c r="AC174" i="110" s="1"/>
  <c r="BL26" i="167"/>
  <c r="AC155" i="110" s="1"/>
  <c r="BL46" i="167"/>
  <c r="AC165" i="110" s="1"/>
  <c r="BL74" i="167"/>
  <c r="AC179" i="110" s="1"/>
  <c r="BL62" i="167"/>
  <c r="AC173" i="110" s="1"/>
  <c r="BL30" i="167"/>
  <c r="AC157" i="110" s="1"/>
  <c r="BL56" i="167"/>
  <c r="AC170" i="110" s="1"/>
  <c r="AF152" i="110"/>
  <c r="AO20" i="167"/>
  <c r="AR20" i="167"/>
  <c r="BL18" i="167"/>
  <c r="AC151" i="110" s="1"/>
  <c r="AY18" i="171"/>
  <c r="AO230" i="110" s="1"/>
  <c r="R70" i="110"/>
  <c r="BD28" i="163"/>
  <c r="O42" i="110"/>
  <c r="AE35" i="110"/>
  <c r="AE40" i="110"/>
  <c r="BE200" i="159"/>
  <c r="AD38" i="110"/>
  <c r="BL36" i="168"/>
  <c r="AC191" i="110" s="1"/>
  <c r="X191" i="110" s="1"/>
  <c r="BL34" i="168"/>
  <c r="AC190" i="110" s="1"/>
  <c r="X190" i="110" s="1"/>
  <c r="BL32" i="168"/>
  <c r="AC189" i="110" s="1"/>
  <c r="X189" i="110" s="1"/>
  <c r="BL28" i="168"/>
  <c r="AC187" i="110" s="1"/>
  <c r="X187" i="110" s="1"/>
  <c r="BL30" i="168"/>
  <c r="AC188" i="110" s="1"/>
  <c r="X188" i="110" s="1"/>
  <c r="BL26" i="168"/>
  <c r="AC186" i="110" s="1"/>
  <c r="X186" i="110" s="1"/>
  <c r="BK20" i="169"/>
  <c r="BJ20" i="169"/>
  <c r="BJ28" i="169"/>
  <c r="BK28" i="169"/>
  <c r="BJ36" i="169"/>
  <c r="BK36" i="169"/>
  <c r="BJ20" i="176"/>
  <c r="BK20" i="176"/>
  <c r="BJ34" i="169"/>
  <c r="BK34" i="169"/>
  <c r="BJ22" i="169"/>
  <c r="BK22" i="169"/>
  <c r="BJ30" i="169"/>
  <c r="BK30" i="169"/>
  <c r="BJ18" i="169"/>
  <c r="BK18" i="169"/>
  <c r="BJ26" i="169"/>
  <c r="BK26" i="169"/>
  <c r="BJ18" i="176"/>
  <c r="BK18" i="176"/>
  <c r="BJ24" i="169"/>
  <c r="BK24" i="169"/>
  <c r="BJ32" i="169"/>
  <c r="BK32" i="169"/>
  <c r="BJ24" i="176"/>
  <c r="BK24" i="176"/>
  <c r="AY36" i="176"/>
  <c r="BI32" i="162"/>
  <c r="BI32" i="160"/>
  <c r="BI30" i="162"/>
  <c r="BI34" i="160"/>
  <c r="BI34" i="162"/>
  <c r="BI22" i="162"/>
  <c r="BI36" i="162"/>
  <c r="BI20" i="162"/>
  <c r="BI26" i="163"/>
  <c r="BI22" i="163"/>
  <c r="BI20" i="163"/>
  <c r="BI30" i="160"/>
  <c r="BI28" i="160"/>
  <c r="BI28" i="162"/>
  <c r="BI26" i="162"/>
  <c r="BI24" i="162"/>
  <c r="BI36" i="163"/>
  <c r="BI34" i="163"/>
  <c r="BI32" i="163"/>
  <c r="BI30" i="163"/>
  <c r="BI28" i="163"/>
  <c r="J44" i="110"/>
  <c r="AL30" i="176"/>
  <c r="BM30" i="176" s="1"/>
  <c r="BD30" i="176"/>
  <c r="P26" i="3"/>
  <c r="BC30" i="176"/>
  <c r="P225" i="110"/>
  <c r="AA225" i="110"/>
  <c r="AA224" i="110"/>
  <c r="P224" i="110"/>
  <c r="AA228" i="110"/>
  <c r="P228" i="110"/>
  <c r="AA227" i="110"/>
  <c r="P227" i="110"/>
  <c r="AA226" i="110"/>
  <c r="P226" i="110"/>
  <c r="P212" i="110"/>
  <c r="AA212" i="110"/>
  <c r="P211" i="110"/>
  <c r="AA211" i="110"/>
  <c r="AA210" i="110"/>
  <c r="P210" i="110"/>
  <c r="AA209" i="110"/>
  <c r="P209" i="110"/>
  <c r="AA208" i="110"/>
  <c r="P208" i="110"/>
  <c r="V192" i="110"/>
  <c r="AA192" i="110"/>
  <c r="V193" i="110"/>
  <c r="AA193" i="110"/>
  <c r="V194" i="110"/>
  <c r="AA194" i="110"/>
  <c r="AA195" i="110"/>
  <c r="V195" i="110"/>
  <c r="V196" i="110"/>
  <c r="AA196" i="110"/>
  <c r="O51" i="110"/>
  <c r="U224" i="110"/>
  <c r="H224" i="110"/>
  <c r="I224" i="110"/>
  <c r="J224" i="110"/>
  <c r="S224" i="110"/>
  <c r="T224" i="110"/>
  <c r="S226" i="110"/>
  <c r="T226" i="110"/>
  <c r="U226" i="110"/>
  <c r="H226" i="110"/>
  <c r="I226" i="110"/>
  <c r="J226" i="110"/>
  <c r="S260" i="110"/>
  <c r="T260" i="110"/>
  <c r="U260" i="110"/>
  <c r="H260" i="110"/>
  <c r="I260" i="110"/>
  <c r="J260" i="110"/>
  <c r="S225" i="110"/>
  <c r="T225" i="110"/>
  <c r="U225" i="110"/>
  <c r="H225" i="110"/>
  <c r="I225" i="110"/>
  <c r="J225" i="110"/>
  <c r="S192" i="110"/>
  <c r="T192" i="110"/>
  <c r="U192" i="110"/>
  <c r="H192" i="110"/>
  <c r="I192" i="110"/>
  <c r="J192" i="110"/>
  <c r="J212" i="110"/>
  <c r="S212" i="110"/>
  <c r="T212" i="110"/>
  <c r="U212" i="110"/>
  <c r="H212" i="110"/>
  <c r="I212" i="110"/>
  <c r="J257" i="110"/>
  <c r="S257" i="110"/>
  <c r="T257" i="110"/>
  <c r="U257" i="110"/>
  <c r="H257" i="110"/>
  <c r="I257" i="110"/>
  <c r="S211" i="110"/>
  <c r="T211" i="110"/>
  <c r="U211" i="110"/>
  <c r="H211" i="110"/>
  <c r="I211" i="110"/>
  <c r="J211" i="110"/>
  <c r="S256" i="110"/>
  <c r="T256" i="110"/>
  <c r="U256" i="110"/>
  <c r="H256" i="110"/>
  <c r="I256" i="110"/>
  <c r="J256" i="110"/>
  <c r="J193" i="110"/>
  <c r="S193" i="110"/>
  <c r="T193" i="110"/>
  <c r="U193" i="110"/>
  <c r="H193" i="110"/>
  <c r="I193" i="110"/>
  <c r="S210" i="110"/>
  <c r="T210" i="110"/>
  <c r="U210" i="110"/>
  <c r="H210" i="110"/>
  <c r="I210" i="110"/>
  <c r="J210" i="110"/>
  <c r="S244" i="110"/>
  <c r="T244" i="110"/>
  <c r="U244" i="110"/>
  <c r="H244" i="110"/>
  <c r="I244" i="110"/>
  <c r="J244" i="110"/>
  <c r="U209" i="110"/>
  <c r="H209" i="110"/>
  <c r="I209" i="110"/>
  <c r="J209" i="110"/>
  <c r="T209" i="110"/>
  <c r="S209" i="110"/>
  <c r="U243" i="110"/>
  <c r="H243" i="110"/>
  <c r="I243" i="110"/>
  <c r="J243" i="110"/>
  <c r="S243" i="110"/>
  <c r="T243" i="110"/>
  <c r="U194" i="110"/>
  <c r="H194" i="110"/>
  <c r="I194" i="110"/>
  <c r="J194" i="110"/>
  <c r="S194" i="110"/>
  <c r="T194" i="110"/>
  <c r="J208" i="110"/>
  <c r="S208" i="110"/>
  <c r="T208" i="110"/>
  <c r="U208" i="110"/>
  <c r="I208" i="110"/>
  <c r="H208" i="110"/>
  <c r="J242" i="110"/>
  <c r="S242" i="110"/>
  <c r="T242" i="110"/>
  <c r="U242" i="110"/>
  <c r="I242" i="110"/>
  <c r="H242" i="110"/>
  <c r="S241" i="110"/>
  <c r="T241" i="110"/>
  <c r="U241" i="110"/>
  <c r="H241" i="110"/>
  <c r="I241" i="110"/>
  <c r="J241" i="110"/>
  <c r="S259" i="110"/>
  <c r="T259" i="110"/>
  <c r="U259" i="110"/>
  <c r="H259" i="110"/>
  <c r="I259" i="110"/>
  <c r="J259" i="110"/>
  <c r="U258" i="110"/>
  <c r="H258" i="110"/>
  <c r="I258" i="110"/>
  <c r="J258" i="110"/>
  <c r="T258" i="110"/>
  <c r="S258" i="110"/>
  <c r="S195" i="110"/>
  <c r="T195" i="110"/>
  <c r="U195" i="110"/>
  <c r="H195" i="110"/>
  <c r="I195" i="110"/>
  <c r="J195" i="110"/>
  <c r="S240" i="110"/>
  <c r="T240" i="110"/>
  <c r="U240" i="110"/>
  <c r="H240" i="110"/>
  <c r="I240" i="110"/>
  <c r="J240" i="110"/>
  <c r="U228" i="110"/>
  <c r="H228" i="110"/>
  <c r="I228" i="110"/>
  <c r="J228" i="110"/>
  <c r="S228" i="110"/>
  <c r="T228" i="110"/>
  <c r="S196" i="110"/>
  <c r="T196" i="110"/>
  <c r="U196" i="110"/>
  <c r="H196" i="110"/>
  <c r="I196" i="110"/>
  <c r="J196" i="110"/>
  <c r="J227" i="110"/>
  <c r="S227" i="110"/>
  <c r="T227" i="110"/>
  <c r="U227" i="110"/>
  <c r="H227" i="110"/>
  <c r="I227" i="110"/>
  <c r="AX20" i="163"/>
  <c r="BB40" i="158"/>
  <c r="BC40" i="158"/>
  <c r="BE40" i="158"/>
  <c r="BE36" i="158"/>
  <c r="Q13" i="110" s="1"/>
  <c r="BB36" i="158"/>
  <c r="BC36" i="158"/>
  <c r="BE34" i="158"/>
  <c r="BB34" i="158"/>
  <c r="BC34" i="158"/>
  <c r="BC30" i="158"/>
  <c r="BB30" i="158"/>
  <c r="BE30" i="158"/>
  <c r="BE32" i="158"/>
  <c r="BB32" i="158"/>
  <c r="BC32" i="158"/>
  <c r="BC26" i="158"/>
  <c r="BE26" i="158"/>
  <c r="BB26" i="158"/>
  <c r="BO18" i="176"/>
  <c r="BB44" i="158"/>
  <c r="BE44" i="158"/>
  <c r="BC44" i="158"/>
  <c r="BC42" i="158"/>
  <c r="BE42" i="158"/>
  <c r="BB42" i="158"/>
  <c r="AY22" i="170"/>
  <c r="W212" i="110"/>
  <c r="X212" i="110"/>
  <c r="X211" i="110"/>
  <c r="W211" i="110"/>
  <c r="X210" i="110"/>
  <c r="W210" i="110"/>
  <c r="W209" i="110"/>
  <c r="X209" i="110"/>
  <c r="W208" i="110"/>
  <c r="X208" i="110"/>
  <c r="BC18" i="170"/>
  <c r="BD18" i="170"/>
  <c r="AL18" i="170"/>
  <c r="X228" i="110"/>
  <c r="L228" i="110"/>
  <c r="M228" i="110"/>
  <c r="W228" i="110"/>
  <c r="W227" i="110"/>
  <c r="X227" i="110"/>
  <c r="M227" i="110"/>
  <c r="L227" i="110"/>
  <c r="W226" i="110"/>
  <c r="L226" i="110"/>
  <c r="X226" i="110"/>
  <c r="M226" i="110"/>
  <c r="L225" i="110"/>
  <c r="X225" i="110"/>
  <c r="M225" i="110"/>
  <c r="W225" i="110"/>
  <c r="L224" i="110"/>
  <c r="X224" i="110"/>
  <c r="M224" i="110"/>
  <c r="W224" i="110"/>
  <c r="L212" i="110"/>
  <c r="M212" i="110"/>
  <c r="L211" i="110"/>
  <c r="M211" i="110"/>
  <c r="L210" i="110"/>
  <c r="M210" i="110"/>
  <c r="L209" i="110"/>
  <c r="M209" i="110"/>
  <c r="L208" i="110"/>
  <c r="M208" i="110"/>
  <c r="BJ34" i="158"/>
  <c r="BJ32" i="158"/>
  <c r="BJ36" i="158"/>
  <c r="BJ30" i="158"/>
  <c r="BJ40" i="158"/>
  <c r="BJ26" i="158"/>
  <c r="BJ44" i="158"/>
  <c r="BJ42" i="158"/>
  <c r="BL20" i="169"/>
  <c r="BN22" i="163"/>
  <c r="BN24" i="162"/>
  <c r="AX26" i="170"/>
  <c r="BH18" i="158"/>
  <c r="BO18" i="158" s="1"/>
  <c r="J11" i="3"/>
  <c r="AZ34" i="160"/>
  <c r="N59" i="110" s="1"/>
  <c r="BN34" i="160"/>
  <c r="AO34" i="160"/>
  <c r="AZ26" i="160"/>
  <c r="N55" i="110" s="1"/>
  <c r="BN26" i="160"/>
  <c r="AZ34" i="162"/>
  <c r="N111" i="110" s="1"/>
  <c r="BN34" i="162"/>
  <c r="AO34" i="162"/>
  <c r="AZ26" i="162"/>
  <c r="N107" i="110" s="1"/>
  <c r="BN26" i="162"/>
  <c r="AO26" i="162"/>
  <c r="BN42" i="158"/>
  <c r="AO42" i="158"/>
  <c r="BN32" i="158"/>
  <c r="AO32" i="158"/>
  <c r="AZ34" i="163"/>
  <c r="N127" i="110" s="1"/>
  <c r="BN34" i="163"/>
  <c r="AO34" i="163"/>
  <c r="AZ26" i="163"/>
  <c r="N123" i="110" s="1"/>
  <c r="BN26" i="163"/>
  <c r="AO26" i="163"/>
  <c r="AZ32" i="160"/>
  <c r="N58" i="110" s="1"/>
  <c r="AO32" i="160"/>
  <c r="BN32" i="160"/>
  <c r="AZ24" i="160"/>
  <c r="N54" i="110" s="1"/>
  <c r="BN24" i="160"/>
  <c r="AZ32" i="162"/>
  <c r="N110" i="110" s="1"/>
  <c r="BN32" i="162"/>
  <c r="AO32" i="162"/>
  <c r="BN40" i="158"/>
  <c r="AO40" i="158"/>
  <c r="BN30" i="158"/>
  <c r="AO30" i="158"/>
  <c r="AZ32" i="163"/>
  <c r="N126" i="110" s="1"/>
  <c r="BN32" i="163"/>
  <c r="AO32" i="163"/>
  <c r="AZ24" i="163"/>
  <c r="N122" i="110" s="1"/>
  <c r="BN24" i="163"/>
  <c r="AZ30" i="160"/>
  <c r="N57" i="110" s="1"/>
  <c r="AO30" i="160"/>
  <c r="BN30" i="160"/>
  <c r="AZ22" i="160"/>
  <c r="N53" i="110" s="1"/>
  <c r="BN22" i="160"/>
  <c r="AO22" i="160" s="1"/>
  <c r="AZ30" i="162"/>
  <c r="N109" i="110" s="1"/>
  <c r="BN30" i="162"/>
  <c r="AO30" i="162"/>
  <c r="AZ22" i="162"/>
  <c r="N105" i="110" s="1"/>
  <c r="BN22" i="162"/>
  <c r="AO22" i="162"/>
  <c r="BN46" i="158"/>
  <c r="AO36" i="158"/>
  <c r="BN36" i="158"/>
  <c r="BN26" i="158"/>
  <c r="AO26" i="158"/>
  <c r="AZ30" i="163"/>
  <c r="N125" i="110" s="1"/>
  <c r="BN30" i="163"/>
  <c r="AO30" i="163"/>
  <c r="AZ36" i="160"/>
  <c r="BN36" i="160"/>
  <c r="AZ28" i="160"/>
  <c r="N56" i="110" s="1"/>
  <c r="AO28" i="160"/>
  <c r="BN28" i="160"/>
  <c r="N103" i="110"/>
  <c r="AZ36" i="162"/>
  <c r="N112" i="110" s="1"/>
  <c r="BN36" i="162"/>
  <c r="AO36" i="162"/>
  <c r="AZ28" i="162"/>
  <c r="N108" i="110" s="1"/>
  <c r="BN28" i="162"/>
  <c r="AO28" i="162"/>
  <c r="AZ20" i="162"/>
  <c r="N104" i="110" s="1"/>
  <c r="BN20" i="162"/>
  <c r="AO20" i="162"/>
  <c r="N119" i="110"/>
  <c r="AO44" i="158"/>
  <c r="BN44" i="158"/>
  <c r="BN34" i="158"/>
  <c r="AO34" i="158"/>
  <c r="AZ36" i="163"/>
  <c r="N128" i="110" s="1"/>
  <c r="AO36" i="163"/>
  <c r="BN36" i="163"/>
  <c r="AZ28" i="163"/>
  <c r="N124" i="110" s="1"/>
  <c r="AO28" i="163"/>
  <c r="BN28" i="163"/>
  <c r="AZ20" i="163"/>
  <c r="N120" i="110" s="1"/>
  <c r="AO20" i="163"/>
  <c r="BN20" i="163"/>
  <c r="AZ22" i="163"/>
  <c r="AO22" i="163" s="1"/>
  <c r="AZ24" i="162"/>
  <c r="N106" i="110" s="1"/>
  <c r="AZ20" i="160"/>
  <c r="BN20" i="160"/>
  <c r="AJ30" i="175"/>
  <c r="AR30" i="175" s="1"/>
  <c r="AJ22" i="13"/>
  <c r="AJ30" i="13"/>
  <c r="AZ42" i="158"/>
  <c r="AZ32" i="158"/>
  <c r="AJ24" i="13"/>
  <c r="AJ26" i="171"/>
  <c r="AJ34" i="171"/>
  <c r="BL34" i="170"/>
  <c r="BC26" i="169"/>
  <c r="BO34" i="169"/>
  <c r="AZ40" i="158"/>
  <c r="AZ30" i="158"/>
  <c r="AJ22" i="176"/>
  <c r="AJ34" i="175"/>
  <c r="AR34" i="175" s="1"/>
  <c r="AJ20" i="171"/>
  <c r="AJ28" i="171"/>
  <c r="BC28" i="170"/>
  <c r="AO36" i="169"/>
  <c r="AZ36" i="158"/>
  <c r="AZ26" i="158"/>
  <c r="AJ36" i="175"/>
  <c r="AR36" i="175" s="1"/>
  <c r="AJ36" i="13"/>
  <c r="AJ22" i="171"/>
  <c r="BL30" i="170"/>
  <c r="AO22" i="169"/>
  <c r="AZ44" i="158"/>
  <c r="AZ34" i="158"/>
  <c r="BD15" i="109"/>
  <c r="BD14" i="109"/>
  <c r="BA14" i="109"/>
  <c r="BA15" i="109"/>
  <c r="BC15" i="109"/>
  <c r="BC14" i="109"/>
  <c r="BB15" i="109"/>
  <c r="BB14" i="109"/>
  <c r="AV201" i="152"/>
  <c r="AV201" i="166"/>
  <c r="AV201" i="14"/>
  <c r="AJ24" i="175"/>
  <c r="AR24" i="175" s="1"/>
  <c r="AV201" i="151"/>
  <c r="AX20" i="175"/>
  <c r="AV200" i="159"/>
  <c r="AV200" i="14"/>
  <c r="AY46" i="158"/>
  <c r="BD46" i="158"/>
  <c r="AY36" i="158"/>
  <c r="AP13" i="110" s="1"/>
  <c r="BL36" i="158"/>
  <c r="BD36" i="158"/>
  <c r="AX36" i="158"/>
  <c r="J13" i="110" s="1"/>
  <c r="BA36" i="158"/>
  <c r="BL26" i="158"/>
  <c r="BL44" i="158"/>
  <c r="BD44" i="158"/>
  <c r="Q17" i="110" s="1"/>
  <c r="BA44" i="158"/>
  <c r="AY44" i="158"/>
  <c r="AX44" i="158"/>
  <c r="J17" i="110" s="1"/>
  <c r="BL34" i="158"/>
  <c r="BD34" i="158"/>
  <c r="Q12" i="110" s="1"/>
  <c r="BA34" i="158"/>
  <c r="AY34" i="158"/>
  <c r="AX34" i="158"/>
  <c r="J12" i="110" s="1"/>
  <c r="AJ32" i="13"/>
  <c r="AJ36" i="171"/>
  <c r="BG36" i="170"/>
  <c r="AX24" i="169"/>
  <c r="BL42" i="158"/>
  <c r="AY42" i="158"/>
  <c r="BA42" i="158"/>
  <c r="BD42" i="158"/>
  <c r="E16" i="110" s="1"/>
  <c r="AX42" i="158"/>
  <c r="J16" i="110" s="1"/>
  <c r="BL32" i="158"/>
  <c r="BA32" i="158"/>
  <c r="BD32" i="158"/>
  <c r="AX32" i="158"/>
  <c r="J11" i="110" s="1"/>
  <c r="AY32" i="158"/>
  <c r="AV201" i="153"/>
  <c r="AJ26" i="175"/>
  <c r="AR26" i="175" s="1"/>
  <c r="AJ30" i="171"/>
  <c r="BL30" i="169"/>
  <c r="AJ20" i="13"/>
  <c r="AJ28" i="175"/>
  <c r="AR28" i="175" s="1"/>
  <c r="AJ32" i="175"/>
  <c r="AR32" i="175" s="1"/>
  <c r="AJ34" i="13"/>
  <c r="BA40" i="158"/>
  <c r="BL40" i="158"/>
  <c r="AY40" i="158"/>
  <c r="BD40" i="158"/>
  <c r="E15" i="110" s="1"/>
  <c r="AX40" i="158"/>
  <c r="J15" i="110" s="1"/>
  <c r="BL30" i="158"/>
  <c r="B131" i="110"/>
  <c r="AR131" i="110"/>
  <c r="AB195" i="110"/>
  <c r="Q195" i="110"/>
  <c r="Z195" i="110"/>
  <c r="O195" i="110"/>
  <c r="Z193" i="110"/>
  <c r="O193" i="110"/>
  <c r="AB193" i="110"/>
  <c r="Q193" i="110"/>
  <c r="V210" i="110"/>
  <c r="Z210" i="110"/>
  <c r="O210" i="110"/>
  <c r="Q210" i="110"/>
  <c r="AB210" i="110"/>
  <c r="AB225" i="110"/>
  <c r="Q225" i="110"/>
  <c r="O225" i="110"/>
  <c r="Z225" i="110"/>
  <c r="Z244" i="110"/>
  <c r="O244" i="110"/>
  <c r="V240" i="110"/>
  <c r="Z240" i="110"/>
  <c r="O240" i="110"/>
  <c r="O259" i="110"/>
  <c r="Z259" i="110"/>
  <c r="B145" i="110"/>
  <c r="AR145" i="110"/>
  <c r="AB209" i="110"/>
  <c r="Q209" i="110"/>
  <c r="Z209" i="110"/>
  <c r="O209" i="110"/>
  <c r="R228" i="110"/>
  <c r="Z228" i="110"/>
  <c r="O228" i="110"/>
  <c r="AB228" i="110"/>
  <c r="Q228" i="110"/>
  <c r="Z224" i="110"/>
  <c r="O224" i="110"/>
  <c r="Q224" i="110"/>
  <c r="AB224" i="110"/>
  <c r="Z243" i="110"/>
  <c r="O243" i="110"/>
  <c r="Z258" i="110"/>
  <c r="O258" i="110"/>
  <c r="B146" i="110"/>
  <c r="AR146" i="110"/>
  <c r="B147" i="110"/>
  <c r="AR147" i="110"/>
  <c r="B113" i="110"/>
  <c r="AR113" i="110"/>
  <c r="AB196" i="110"/>
  <c r="Q196" i="110"/>
  <c r="Z196" i="110"/>
  <c r="O196" i="110"/>
  <c r="Z194" i="110"/>
  <c r="O194" i="110"/>
  <c r="AB194" i="110"/>
  <c r="Q194" i="110"/>
  <c r="AB192" i="110"/>
  <c r="Q192" i="110"/>
  <c r="O192" i="110"/>
  <c r="Z192" i="110"/>
  <c r="AB212" i="110"/>
  <c r="Q212" i="110"/>
  <c r="O212" i="110"/>
  <c r="Z212" i="110"/>
  <c r="AB208" i="110"/>
  <c r="Q208" i="110"/>
  <c r="Z208" i="110"/>
  <c r="O208" i="110"/>
  <c r="Z227" i="110"/>
  <c r="O227" i="110"/>
  <c r="AB227" i="110"/>
  <c r="Q227" i="110"/>
  <c r="Z242" i="110"/>
  <c r="O242" i="110"/>
  <c r="Z257" i="110"/>
  <c r="O257" i="110"/>
  <c r="B149" i="110"/>
  <c r="AR149" i="110"/>
  <c r="B129" i="110"/>
  <c r="AR129" i="110"/>
  <c r="B115" i="110"/>
  <c r="AR115" i="110"/>
  <c r="B132" i="110"/>
  <c r="AR132" i="110"/>
  <c r="B114" i="110"/>
  <c r="AR114" i="110"/>
  <c r="B117" i="110"/>
  <c r="AR117" i="110"/>
  <c r="B133" i="110"/>
  <c r="AR133" i="110"/>
  <c r="B130" i="110"/>
  <c r="AR130" i="110"/>
  <c r="B116" i="110"/>
  <c r="AR116" i="110"/>
  <c r="Z211" i="110"/>
  <c r="O211" i="110"/>
  <c r="Q211" i="110"/>
  <c r="AB211" i="110"/>
  <c r="AB226" i="110"/>
  <c r="Q226" i="110"/>
  <c r="O226" i="110"/>
  <c r="Z226" i="110"/>
  <c r="Z241" i="110"/>
  <c r="O241" i="110"/>
  <c r="O260" i="110"/>
  <c r="Z260" i="110"/>
  <c r="Z256" i="110"/>
  <c r="O256" i="110"/>
  <c r="B148" i="110"/>
  <c r="AR148" i="110"/>
  <c r="B65" i="110"/>
  <c r="AR65" i="110"/>
  <c r="B63" i="110"/>
  <c r="AR63" i="110"/>
  <c r="B62" i="110"/>
  <c r="AR62" i="110"/>
  <c r="B61" i="110"/>
  <c r="AR61" i="110"/>
  <c r="B64" i="110"/>
  <c r="AR64" i="110"/>
  <c r="B32" i="110"/>
  <c r="AR32" i="110"/>
  <c r="B28" i="110"/>
  <c r="AR28" i="110"/>
  <c r="B24" i="110"/>
  <c r="AR24" i="110"/>
  <c r="B20" i="110"/>
  <c r="AR20" i="110"/>
  <c r="B31" i="110"/>
  <c r="AR31" i="110"/>
  <c r="B27" i="110"/>
  <c r="AR27" i="110"/>
  <c r="B23" i="110"/>
  <c r="AR23" i="110"/>
  <c r="B19" i="110"/>
  <c r="AR19" i="110"/>
  <c r="B30" i="110"/>
  <c r="AR30" i="110"/>
  <c r="B26" i="110"/>
  <c r="AR26" i="110"/>
  <c r="B22" i="110"/>
  <c r="AR22" i="110"/>
  <c r="B33" i="110"/>
  <c r="AR33" i="110"/>
  <c r="B29" i="110"/>
  <c r="AR29" i="110"/>
  <c r="B25" i="110"/>
  <c r="AR25" i="110"/>
  <c r="B21" i="110"/>
  <c r="AR21" i="110"/>
  <c r="DW2" i="110"/>
  <c r="DY2" i="110"/>
  <c r="EA2" i="110"/>
  <c r="C47" i="110"/>
  <c r="AS47" i="110" s="1"/>
  <c r="C48" i="110"/>
  <c r="AS48" i="110" s="1"/>
  <c r="C45" i="110"/>
  <c r="AS45" i="110" s="1"/>
  <c r="C49" i="110"/>
  <c r="AS49" i="110" s="1"/>
  <c r="C46" i="110"/>
  <c r="AS46" i="110" s="1"/>
  <c r="BD36" i="160"/>
  <c r="E60" i="110" s="1"/>
  <c r="BL28" i="160"/>
  <c r="BL34" i="160"/>
  <c r="BD32" i="160"/>
  <c r="E58" i="110" s="1"/>
  <c r="BL32" i="160"/>
  <c r="BD24" i="160"/>
  <c r="E54" i="110" s="1"/>
  <c r="BL30" i="160"/>
  <c r="AY26" i="163"/>
  <c r="BL26" i="163"/>
  <c r="BD32" i="163"/>
  <c r="E126" i="110" s="1"/>
  <c r="BL32" i="163"/>
  <c r="AX34" i="163"/>
  <c r="BL34" i="163"/>
  <c r="AY30" i="163"/>
  <c r="BL30" i="163"/>
  <c r="BD36" i="163"/>
  <c r="BL36" i="163"/>
  <c r="AX28" i="163"/>
  <c r="BL28" i="163"/>
  <c r="BL20" i="163"/>
  <c r="BL30" i="162"/>
  <c r="BL22" i="162"/>
  <c r="O103" i="110"/>
  <c r="AY36" i="162"/>
  <c r="BL36" i="162"/>
  <c r="BA28" i="162"/>
  <c r="BL28" i="162"/>
  <c r="BL20" i="162"/>
  <c r="BD34" i="162"/>
  <c r="E111" i="110" s="1"/>
  <c r="BL34" i="162"/>
  <c r="BL26" i="162"/>
  <c r="BA32" i="162"/>
  <c r="BL32" i="162"/>
  <c r="AL32" i="167"/>
  <c r="BI18" i="175"/>
  <c r="BM18" i="175" s="1"/>
  <c r="DX2" i="110"/>
  <c r="BA26" i="158"/>
  <c r="AY26" i="158"/>
  <c r="BD26" i="158"/>
  <c r="AX26" i="158"/>
  <c r="J8" i="110" s="1"/>
  <c r="BD22" i="158"/>
  <c r="AY22" i="158"/>
  <c r="AY20" i="158"/>
  <c r="BD20" i="158"/>
  <c r="BA30" i="158"/>
  <c r="AY30" i="158"/>
  <c r="AX30" i="158"/>
  <c r="J10" i="110" s="1"/>
  <c r="BD30" i="158"/>
  <c r="E10" i="110" s="1"/>
  <c r="AE14" i="110"/>
  <c r="AD9" i="110"/>
  <c r="AE9" i="110"/>
  <c r="AE7" i="110"/>
  <c r="R7" i="110"/>
  <c r="E37" i="110"/>
  <c r="E36" i="110"/>
  <c r="E35" i="110"/>
  <c r="N37" i="110"/>
  <c r="AY24" i="168"/>
  <c r="AQ185" i="110" s="1"/>
  <c r="AY28" i="168"/>
  <c r="AQ187" i="110" s="1"/>
  <c r="AY32" i="168"/>
  <c r="AQ189" i="110" s="1"/>
  <c r="AY36" i="168"/>
  <c r="AQ191" i="110" s="1"/>
  <c r="AY20" i="168"/>
  <c r="AQ183" i="110" s="1"/>
  <c r="AY22" i="168"/>
  <c r="AQ184" i="110" s="1"/>
  <c r="AY34" i="168"/>
  <c r="AQ190" i="110" s="1"/>
  <c r="AY30" i="168"/>
  <c r="AQ188" i="110" s="1"/>
  <c r="AY26" i="168"/>
  <c r="AQ186" i="110" s="1"/>
  <c r="E184" i="110"/>
  <c r="AN184" i="110"/>
  <c r="E188" i="110"/>
  <c r="AL48" i="167"/>
  <c r="AL24" i="167"/>
  <c r="E191" i="110"/>
  <c r="BA32" i="163"/>
  <c r="BD24" i="163"/>
  <c r="E122" i="110" s="1"/>
  <c r="AX32" i="163"/>
  <c r="BA24" i="162"/>
  <c r="O106" i="110" s="1"/>
  <c r="AY24" i="163"/>
  <c r="BA36" i="162"/>
  <c r="BA34" i="163"/>
  <c r="AY34" i="163"/>
  <c r="BD34" i="163"/>
  <c r="E127" i="110" s="1"/>
  <c r="BA24" i="163"/>
  <c r="AY32" i="163"/>
  <c r="AX26" i="163"/>
  <c r="BA26" i="163"/>
  <c r="BD26" i="163"/>
  <c r="E123" i="110" s="1"/>
  <c r="E183" i="110"/>
  <c r="E187" i="110"/>
  <c r="R41" i="110"/>
  <c r="DZ2" i="110"/>
  <c r="CY2" i="110"/>
  <c r="AD41" i="81"/>
  <c r="AB27" i="81"/>
  <c r="Y26" i="155"/>
  <c r="DG2" i="110"/>
  <c r="R40" i="110"/>
  <c r="Y26" i="156"/>
  <c r="W29" i="81"/>
  <c r="W28" i="81"/>
  <c r="Y27" i="155"/>
  <c r="DI2" i="110"/>
  <c r="Q26" i="14"/>
  <c r="DH2" i="110"/>
  <c r="W30" i="81"/>
  <c r="Q25" i="14"/>
  <c r="DF2" i="110"/>
  <c r="DE2" i="110"/>
  <c r="R26" i="154"/>
  <c r="Y25" i="156"/>
  <c r="R28" i="154"/>
  <c r="AL54" i="167"/>
  <c r="AL30" i="167"/>
  <c r="AL70" i="167"/>
  <c r="AL46" i="167"/>
  <c r="AL62" i="167"/>
  <c r="AL38" i="167"/>
  <c r="AL22" i="167"/>
  <c r="E189" i="110"/>
  <c r="E185" i="110"/>
  <c r="E182" i="110"/>
  <c r="E190" i="110"/>
  <c r="E186" i="110"/>
  <c r="E216" i="110"/>
  <c r="AD44" i="156"/>
  <c r="W36" i="81"/>
  <c r="W41" i="81"/>
  <c r="AL34" i="167"/>
  <c r="AL64" i="167"/>
  <c r="AL74" i="167"/>
  <c r="AL72" i="167"/>
  <c r="AL56" i="167"/>
  <c r="AL40" i="167"/>
  <c r="AL42" i="167"/>
  <c r="AL18" i="167"/>
  <c r="AL66" i="167"/>
  <c r="AL50" i="167"/>
  <c r="AL58" i="167"/>
  <c r="AL26" i="167"/>
  <c r="AL76" i="167"/>
  <c r="AL68" i="167"/>
  <c r="AL60" i="167"/>
  <c r="AL52" i="167"/>
  <c r="AL44" i="167"/>
  <c r="AL36" i="167"/>
  <c r="AL28" i="167"/>
  <c r="AL20" i="167"/>
  <c r="AX20" i="162"/>
  <c r="BD20" i="162"/>
  <c r="BA20" i="162"/>
  <c r="AX32" i="162"/>
  <c r="AY24" i="162"/>
  <c r="BD24" i="162"/>
  <c r="E106" i="110" s="1"/>
  <c r="BA20" i="160"/>
  <c r="O52" i="110" s="1"/>
  <c r="AX30" i="162"/>
  <c r="BD28" i="160"/>
  <c r="E56" i="110" s="1"/>
  <c r="E67" i="110"/>
  <c r="N67" i="110"/>
  <c r="P67" i="110"/>
  <c r="AY36" i="160"/>
  <c r="O119" i="110"/>
  <c r="O135" i="110"/>
  <c r="BA30" i="160"/>
  <c r="BD30" i="160"/>
  <c r="E57" i="110" s="1"/>
  <c r="BD26" i="162"/>
  <c r="E107" i="110" s="1"/>
  <c r="AY22" i="160"/>
  <c r="AY26" i="162"/>
  <c r="R38" i="110"/>
  <c r="AX26" i="162"/>
  <c r="BA26" i="162"/>
  <c r="BA32" i="160"/>
  <c r="AX28" i="160"/>
  <c r="E103" i="110"/>
  <c r="BD32" i="162"/>
  <c r="E110" i="110" s="1"/>
  <c r="BD22" i="160"/>
  <c r="E53" i="110" s="1"/>
  <c r="E119" i="110"/>
  <c r="BD36" i="162"/>
  <c r="E112" i="110" s="1"/>
  <c r="AY32" i="162"/>
  <c r="AX36" i="163"/>
  <c r="AX34" i="162"/>
  <c r="BA28" i="160"/>
  <c r="AX30" i="160"/>
  <c r="BD30" i="163"/>
  <c r="E125" i="110" s="1"/>
  <c r="AY28" i="160"/>
  <c r="BA30" i="163"/>
  <c r="R42" i="110"/>
  <c r="BA22" i="163"/>
  <c r="O121" i="110" s="1"/>
  <c r="AX28" i="162"/>
  <c r="BA24" i="160"/>
  <c r="BA36" i="163"/>
  <c r="AX32" i="160"/>
  <c r="BD28" i="162"/>
  <c r="E108" i="110" s="1"/>
  <c r="AY28" i="162"/>
  <c r="AY30" i="162"/>
  <c r="AY32" i="160"/>
  <c r="AX36" i="162"/>
  <c r="BD20" i="163"/>
  <c r="E120" i="110" s="1"/>
  <c r="AY36" i="163"/>
  <c r="AY34" i="160"/>
  <c r="BA30" i="162"/>
  <c r="AZ200" i="159"/>
  <c r="BA34" i="160"/>
  <c r="BD22" i="162"/>
  <c r="BD22" i="163"/>
  <c r="E121" i="110" s="1"/>
  <c r="BD34" i="160"/>
  <c r="E59" i="110" s="1"/>
  <c r="AY22" i="163"/>
  <c r="R39" i="110"/>
  <c r="R43" i="110"/>
  <c r="BA26" i="160"/>
  <c r="BL26" i="160" s="1"/>
  <c r="BA22" i="162"/>
  <c r="AX34" i="160"/>
  <c r="BA28" i="163"/>
  <c r="AY20" i="163"/>
  <c r="AY26" i="160"/>
  <c r="BA22" i="160"/>
  <c r="BL22" i="160" s="1"/>
  <c r="AY34" i="162"/>
  <c r="BA34" i="162"/>
  <c r="AX22" i="162"/>
  <c r="AX30" i="163"/>
  <c r="BD30" i="162"/>
  <c r="E109" i="110" s="1"/>
  <c r="BA20" i="163"/>
  <c r="O120" i="110" s="1"/>
  <c r="BD26" i="160"/>
  <c r="E55" i="110" s="1"/>
  <c r="AY30" i="160"/>
  <c r="AY28" i="163"/>
  <c r="AY22" i="162"/>
  <c r="BA36" i="160"/>
  <c r="AY20" i="160"/>
  <c r="BD20" i="160"/>
  <c r="E52" i="110" s="1"/>
  <c r="E136" i="110"/>
  <c r="Q200" i="172"/>
  <c r="O200" i="176"/>
  <c r="P35" i="110"/>
  <c r="N35" i="110"/>
  <c r="O200" i="13"/>
  <c r="O200" i="158"/>
  <c r="O200" i="161"/>
  <c r="O200" i="180"/>
  <c r="O200" i="159"/>
  <c r="O200" i="144"/>
  <c r="O200" i="170"/>
  <c r="O200" i="156"/>
  <c r="O200" i="166"/>
  <c r="O200" i="163"/>
  <c r="O200" i="169"/>
  <c r="O200" i="175"/>
  <c r="O200" i="152"/>
  <c r="O200" i="153"/>
  <c r="O200" i="162"/>
  <c r="O200" i="168"/>
  <c r="O200" i="81"/>
  <c r="O200" i="148"/>
  <c r="AB41" i="81"/>
  <c r="H35" i="154"/>
  <c r="W40" i="81"/>
  <c r="H36" i="154"/>
  <c r="AY18" i="175"/>
  <c r="AD262" i="110" s="1" a="1"/>
  <c r="AD262" i="110" s="1"/>
  <c r="AV200" i="148"/>
  <c r="AV200" i="182"/>
  <c r="AV200" i="180"/>
  <c r="AV200" i="156"/>
  <c r="AV200" i="155"/>
  <c r="AV200" i="154"/>
  <c r="AV200" i="81"/>
  <c r="AV200" i="176"/>
  <c r="AV200" i="161"/>
  <c r="AV200" i="13"/>
  <c r="AV200" i="170"/>
  <c r="AV200" i="168"/>
  <c r="AV200" i="160"/>
  <c r="AV200" i="175"/>
  <c r="AV200" i="162"/>
  <c r="AV200" i="171"/>
  <c r="AV200" i="169"/>
  <c r="AV200" i="167"/>
  <c r="AV200" i="163"/>
  <c r="AV200" i="144"/>
  <c r="AV200" i="147"/>
  <c r="AV200" i="158"/>
  <c r="AV200" i="172"/>
  <c r="AV201" i="182"/>
  <c r="AV201" i="148"/>
  <c r="AV201" i="81"/>
  <c r="AV201" i="155"/>
  <c r="AV201" i="180"/>
  <c r="AV201" i="156"/>
  <c r="AV201" i="154"/>
  <c r="AV201" i="175"/>
  <c r="AV201" i="162"/>
  <c r="AV201" i="171"/>
  <c r="AV201" i="169"/>
  <c r="AV201" i="167"/>
  <c r="AV201" i="163"/>
  <c r="AV201" i="176"/>
  <c r="AV201" i="161"/>
  <c r="AV201" i="13"/>
  <c r="AV201" i="170"/>
  <c r="AV201" i="168"/>
  <c r="AV201" i="160"/>
  <c r="AD46" i="156"/>
  <c r="AV201" i="159"/>
  <c r="O200" i="151"/>
  <c r="O200" i="147"/>
  <c r="O200" i="160"/>
  <c r="O200" i="167"/>
  <c r="O200" i="171"/>
  <c r="O200" i="154"/>
  <c r="O200" i="155"/>
  <c r="AV200" i="152"/>
  <c r="AV201" i="144"/>
  <c r="AV200" i="166"/>
  <c r="AV201" i="147"/>
  <c r="AV200" i="151"/>
  <c r="AV201" i="158"/>
  <c r="AV200" i="153"/>
  <c r="AV201" i="172"/>
  <c r="AY24" i="160"/>
  <c r="BD24" i="176"/>
  <c r="AY20" i="162"/>
  <c r="BD20" i="176"/>
  <c r="AJ28" i="13"/>
  <c r="AJ24" i="171"/>
  <c r="BG32" i="169"/>
  <c r="AN189" i="110"/>
  <c r="AJ26" i="13"/>
  <c r="AJ32" i="171"/>
  <c r="AX32" i="170"/>
  <c r="AO28" i="169"/>
  <c r="AN190" i="110"/>
  <c r="B190" i="110"/>
  <c r="Q24" i="14"/>
  <c r="R27" i="154"/>
  <c r="W27" i="81"/>
  <c r="Y25" i="155"/>
  <c r="W27" i="154"/>
  <c r="AN191" i="110"/>
  <c r="B191" i="110"/>
  <c r="Y27" i="156"/>
  <c r="I42" i="81"/>
  <c r="N7" i="110"/>
  <c r="E7" i="110"/>
  <c r="P7" i="110"/>
  <c r="O7" i="110"/>
  <c r="AD7" i="110"/>
  <c r="Q7" i="110"/>
  <c r="AP7" i="110"/>
  <c r="AP14" i="110"/>
  <c r="C14" i="110"/>
  <c r="AS14" i="110" s="1"/>
  <c r="P14" i="110"/>
  <c r="O14" i="110"/>
  <c r="AD14" i="110"/>
  <c r="Q14" i="110"/>
  <c r="E14" i="110"/>
  <c r="Q9" i="110"/>
  <c r="AP9" i="110"/>
  <c r="C9" i="110"/>
  <c r="AS9" i="110" s="1"/>
  <c r="N9" i="110"/>
  <c r="E9" i="110"/>
  <c r="P9" i="110"/>
  <c r="O9" i="110"/>
  <c r="N14" i="110"/>
  <c r="BA200" i="159"/>
  <c r="E51" i="110"/>
  <c r="P4" i="110"/>
  <c r="AD4" i="110"/>
  <c r="E4" i="110"/>
  <c r="H37" i="154"/>
  <c r="V225" i="110"/>
  <c r="R212" i="110"/>
  <c r="M37" i="154"/>
  <c r="V208" i="110"/>
  <c r="K259" i="110"/>
  <c r="V242" i="110"/>
  <c r="K242" i="110"/>
  <c r="AD47" i="156"/>
  <c r="O37" i="154"/>
  <c r="K211" i="110"/>
  <c r="R259" i="110"/>
  <c r="V228" i="110"/>
  <c r="R211" i="110"/>
  <c r="R241" i="110"/>
  <c r="R194" i="110"/>
  <c r="K228" i="110"/>
  <c r="R224" i="110"/>
  <c r="K258" i="110"/>
  <c r="V211" i="110"/>
  <c r="K224" i="110"/>
  <c r="Q4" i="110"/>
  <c r="K212" i="110"/>
  <c r="V259" i="110"/>
  <c r="R195" i="110"/>
  <c r="K208" i="110"/>
  <c r="R208" i="110"/>
  <c r="V212" i="110"/>
  <c r="K225" i="110"/>
  <c r="R225" i="110"/>
  <c r="R242" i="110"/>
  <c r="K210" i="110"/>
  <c r="R227" i="110"/>
  <c r="R210" i="110"/>
  <c r="R244" i="110"/>
  <c r="R257" i="110"/>
  <c r="R193" i="110"/>
  <c r="K227" i="110"/>
  <c r="V227" i="110"/>
  <c r="V244" i="110"/>
  <c r="K244" i="110"/>
  <c r="R240" i="110"/>
  <c r="K240" i="110"/>
  <c r="K257" i="110"/>
  <c r="V257" i="110"/>
  <c r="R196" i="110"/>
  <c r="R192" i="110"/>
  <c r="V209" i="110"/>
  <c r="R209" i="110"/>
  <c r="K209" i="110"/>
  <c r="R226" i="110"/>
  <c r="K226" i="110"/>
  <c r="V226" i="110"/>
  <c r="R243" i="110"/>
  <c r="K243" i="110"/>
  <c r="V243" i="110"/>
  <c r="V260" i="110"/>
  <c r="K260" i="110"/>
  <c r="R260" i="110"/>
  <c r="V256" i="110"/>
  <c r="R256" i="110"/>
  <c r="K256" i="110"/>
  <c r="V224" i="110"/>
  <c r="V241" i="110"/>
  <c r="V258" i="110"/>
  <c r="K241" i="110"/>
  <c r="R258" i="110"/>
  <c r="AT103" i="110" l="1" a="1"/>
  <c r="AT103" i="110" s="1"/>
  <c r="BI18" i="162"/>
  <c r="BN18" i="170"/>
  <c r="BL20" i="167"/>
  <c r="AC152" i="110" s="1"/>
  <c r="BL24" i="160"/>
  <c r="BL24" i="163"/>
  <c r="AO26" i="160"/>
  <c r="AO24" i="163"/>
  <c r="AO24" i="160"/>
  <c r="AX26" i="160"/>
  <c r="AR26" i="160" s="1"/>
  <c r="R55" i="110" s="1"/>
  <c r="AX24" i="160"/>
  <c r="AR24" i="160" s="1"/>
  <c r="AX22" i="160"/>
  <c r="AR22" i="160" s="1"/>
  <c r="AX24" i="163"/>
  <c r="AR24" i="163" s="1"/>
  <c r="AT44" i="110" a="1"/>
  <c r="AT44" i="110" s="1"/>
  <c r="BH36" i="159"/>
  <c r="BO36" i="159" s="1"/>
  <c r="BI36" i="159"/>
  <c r="AT141" i="110" a="1"/>
  <c r="AT141" i="110" s="1"/>
  <c r="BH30" i="182"/>
  <c r="BO30" i="182" s="1"/>
  <c r="BI18" i="182"/>
  <c r="AT137" i="110" a="1"/>
  <c r="AT137" i="110" s="1"/>
  <c r="BH22" i="182"/>
  <c r="BO22" i="182" s="1"/>
  <c r="BH32" i="182"/>
  <c r="BO32" i="182" s="1"/>
  <c r="BI32" i="182"/>
  <c r="BH20" i="182"/>
  <c r="BO20" i="182" s="1"/>
  <c r="BI20" i="182"/>
  <c r="AT135" i="110" a="1"/>
  <c r="AT135" i="110" s="1"/>
  <c r="BH34" i="182"/>
  <c r="BO34" i="182" s="1"/>
  <c r="BI34" i="182"/>
  <c r="BH28" i="182"/>
  <c r="BO28" i="182" s="1"/>
  <c r="BI28" i="182"/>
  <c r="BH24" i="182"/>
  <c r="BO24" i="182" s="1"/>
  <c r="BI24" i="182"/>
  <c r="BH26" i="182"/>
  <c r="BO26" i="182" s="1"/>
  <c r="BI26" i="182"/>
  <c r="BH36" i="182"/>
  <c r="BO36" i="182" s="1"/>
  <c r="BI36" i="182"/>
  <c r="AT138" i="110" a="1"/>
  <c r="AT138" i="110" s="1"/>
  <c r="N140" i="110"/>
  <c r="N139" i="110"/>
  <c r="N137" i="110"/>
  <c r="N138" i="110"/>
  <c r="O136" i="110"/>
  <c r="N144" i="110"/>
  <c r="N143" i="110"/>
  <c r="AN152" i="110"/>
  <c r="H18" i="3"/>
  <c r="AY68" i="167"/>
  <c r="AO176" i="110" s="1"/>
  <c r="BK68" i="167"/>
  <c r="BK26" i="167"/>
  <c r="AY26" i="167"/>
  <c r="AO155" i="110" s="1"/>
  <c r="AY62" i="167"/>
  <c r="AO173" i="110" s="1"/>
  <c r="BK62" i="167"/>
  <c r="BK32" i="167"/>
  <c r="AY32" i="167"/>
  <c r="AO158" i="110" s="1"/>
  <c r="AY58" i="167"/>
  <c r="AO171" i="110" s="1"/>
  <c r="BK58" i="167"/>
  <c r="AY46" i="167"/>
  <c r="AO165" i="110" s="1"/>
  <c r="BK46" i="167"/>
  <c r="BK34" i="167"/>
  <c r="AY34" i="167"/>
  <c r="AO159" i="110" s="1"/>
  <c r="BK50" i="167"/>
  <c r="AY50" i="167"/>
  <c r="AO167" i="110" s="1"/>
  <c r="AY70" i="167"/>
  <c r="AO177" i="110" s="1"/>
  <c r="BK70" i="167"/>
  <c r="AY66" i="167"/>
  <c r="AO175" i="110" s="1"/>
  <c r="BK66" i="167"/>
  <c r="AY30" i="167"/>
  <c r="AO157" i="110" s="1"/>
  <c r="BK30" i="167"/>
  <c r="BK22" i="167"/>
  <c r="AY22" i="167"/>
  <c r="AO153" i="110" s="1"/>
  <c r="AY38" i="167"/>
  <c r="AO161" i="110" s="1"/>
  <c r="BK38" i="167"/>
  <c r="AY54" i="167"/>
  <c r="AO169" i="110" s="1"/>
  <c r="BK54" i="167"/>
  <c r="AY64" i="167"/>
  <c r="AO174" i="110" s="1"/>
  <c r="BK64" i="167"/>
  <c r="AY76" i="167"/>
  <c r="AO180" i="110" s="1"/>
  <c r="BK76" i="167"/>
  <c r="AY28" i="167"/>
  <c r="AO156" i="110" s="1"/>
  <c r="BK28" i="167"/>
  <c r="AY42" i="167"/>
  <c r="AO163" i="110" s="1"/>
  <c r="BK42" i="167"/>
  <c r="AY48" i="167"/>
  <c r="AO166" i="110" s="1"/>
  <c r="BK48" i="167"/>
  <c r="AY36" i="167"/>
  <c r="AO160" i="110" s="1"/>
  <c r="BK36" i="167"/>
  <c r="AY40" i="167"/>
  <c r="AO162" i="110" s="1"/>
  <c r="BK40" i="167"/>
  <c r="BK44" i="167"/>
  <c r="AY44" i="167"/>
  <c r="AO164" i="110" s="1"/>
  <c r="BK56" i="167"/>
  <c r="AY56" i="167"/>
  <c r="AO170" i="110" s="1"/>
  <c r="BK52" i="167"/>
  <c r="AY52" i="167"/>
  <c r="AO168" i="110" s="1"/>
  <c r="AY72" i="167"/>
  <c r="AO178" i="110" s="1"/>
  <c r="BK72" i="167"/>
  <c r="AY24" i="167"/>
  <c r="AO154" i="110" s="1"/>
  <c r="BK24" i="167"/>
  <c r="AY60" i="167"/>
  <c r="AO172" i="110" s="1"/>
  <c r="BK60" i="167"/>
  <c r="BK74" i="167"/>
  <c r="AY74" i="167"/>
  <c r="AO179" i="110" s="1"/>
  <c r="BI20" i="167"/>
  <c r="AY20" i="167"/>
  <c r="AO152" i="110" s="1"/>
  <c r="BG20" i="167"/>
  <c r="BK20" i="167" s="1"/>
  <c r="AO32" i="171"/>
  <c r="AR32" i="171"/>
  <c r="BK32" i="171" s="1"/>
  <c r="AR26" i="171"/>
  <c r="BK26" i="171" s="1"/>
  <c r="AO26" i="171"/>
  <c r="AO24" i="13"/>
  <c r="AR24" i="13"/>
  <c r="BK24" i="13" s="1"/>
  <c r="AO26" i="13"/>
  <c r="AR26" i="13"/>
  <c r="BK26" i="13" s="1"/>
  <c r="AO36" i="171"/>
  <c r="AR36" i="171"/>
  <c r="BK36" i="171" s="1"/>
  <c r="AR28" i="171"/>
  <c r="BK28" i="171" s="1"/>
  <c r="AO28" i="171"/>
  <c r="AO32" i="13"/>
  <c r="AR32" i="13"/>
  <c r="BK32" i="13" s="1"/>
  <c r="AO20" i="171"/>
  <c r="AR20" i="171"/>
  <c r="AO24" i="171"/>
  <c r="AR24" i="171"/>
  <c r="BK24" i="171" s="1"/>
  <c r="AO30" i="13"/>
  <c r="AR30" i="13"/>
  <c r="BK30" i="13" s="1"/>
  <c r="AO28" i="13"/>
  <c r="AR28" i="13"/>
  <c r="BK28" i="13" s="1"/>
  <c r="AO34" i="13"/>
  <c r="AR34" i="13"/>
  <c r="BK34" i="13" s="1"/>
  <c r="AR22" i="13"/>
  <c r="BK22" i="13" s="1"/>
  <c r="AO22" i="13"/>
  <c r="AO22" i="171"/>
  <c r="AR22" i="171"/>
  <c r="BK22" i="171" s="1"/>
  <c r="AO36" i="13"/>
  <c r="AR36" i="13"/>
  <c r="BK36" i="13" s="1"/>
  <c r="AO20" i="13"/>
  <c r="AR20" i="13"/>
  <c r="AR30" i="171"/>
  <c r="BK30" i="171" s="1"/>
  <c r="AO30" i="171"/>
  <c r="AR34" i="171"/>
  <c r="BK34" i="171" s="1"/>
  <c r="AO34" i="171"/>
  <c r="M186" i="110"/>
  <c r="W186" i="110"/>
  <c r="M188" i="110"/>
  <c r="W188" i="110"/>
  <c r="M187" i="110"/>
  <c r="W187" i="110"/>
  <c r="M189" i="110"/>
  <c r="W189" i="110"/>
  <c r="M190" i="110"/>
  <c r="W190" i="110"/>
  <c r="M191" i="110"/>
  <c r="W191" i="110"/>
  <c r="P186" i="110"/>
  <c r="L186" i="110"/>
  <c r="P188" i="110"/>
  <c r="L188" i="110"/>
  <c r="P187" i="110"/>
  <c r="L187" i="110"/>
  <c r="P189" i="110"/>
  <c r="L189" i="110"/>
  <c r="P190" i="110"/>
  <c r="L190" i="110"/>
  <c r="P191" i="110"/>
  <c r="L191" i="110"/>
  <c r="BA200" i="167"/>
  <c r="AD152" i="110" a="1"/>
  <c r="AD152" i="110" s="1"/>
  <c r="BB200" i="167"/>
  <c r="AE152" i="110" a="1"/>
  <c r="AE152" i="110" s="1"/>
  <c r="AB151" i="110"/>
  <c r="W151" i="110"/>
  <c r="P151" i="110"/>
  <c r="AA151" i="110"/>
  <c r="Q151" i="110"/>
  <c r="L151" i="110"/>
  <c r="BG20" i="13"/>
  <c r="BC20" i="13"/>
  <c r="AD247" i="110" s="1" a="1"/>
  <c r="AD247" i="110" s="1"/>
  <c r="BD20" i="13"/>
  <c r="AE247" i="110" s="1" a="1"/>
  <c r="AE247" i="110" s="1"/>
  <c r="AX20" i="13"/>
  <c r="BO20" i="13"/>
  <c r="BL20" i="13"/>
  <c r="C247" i="110" s="1"/>
  <c r="AX28" i="13"/>
  <c r="AN251" i="110" s="1"/>
  <c r="BG28" i="13"/>
  <c r="BO28" i="13"/>
  <c r="BC28" i="13"/>
  <c r="AD251" i="110" s="1" a="1"/>
  <c r="AD251" i="110" s="1"/>
  <c r="BL28" i="13"/>
  <c r="C251" i="110" s="1"/>
  <c r="BD28" i="13"/>
  <c r="AE251" i="110" s="1" a="1"/>
  <c r="AE251" i="110" s="1"/>
  <c r="BL30" i="171"/>
  <c r="C236" i="110" s="1"/>
  <c r="AX30" i="171"/>
  <c r="AN236" i="110" s="1"/>
  <c r="BO30" i="171"/>
  <c r="BC30" i="171"/>
  <c r="AD236" i="110" s="1" a="1"/>
  <c r="AD236" i="110" s="1"/>
  <c r="BG30" i="171"/>
  <c r="BD30" i="171"/>
  <c r="AE236" i="110" s="1" a="1"/>
  <c r="AE236" i="110" s="1"/>
  <c r="BG34" i="171"/>
  <c r="BC34" i="171"/>
  <c r="AD238" i="110" s="1" a="1"/>
  <c r="AD238" i="110" s="1"/>
  <c r="BD34" i="171"/>
  <c r="AE238" i="110" s="1" a="1"/>
  <c r="AE238" i="110" s="1"/>
  <c r="BL34" i="171"/>
  <c r="C238" i="110" s="1"/>
  <c r="BO34" i="171"/>
  <c r="AX34" i="171"/>
  <c r="AN238" i="110" s="1"/>
  <c r="J18" i="3"/>
  <c r="BE200" i="167"/>
  <c r="AX26" i="171"/>
  <c r="AN234" i="110" s="1"/>
  <c r="BO26" i="171"/>
  <c r="BL26" i="171"/>
  <c r="C234" i="110" s="1"/>
  <c r="BC26" i="171"/>
  <c r="AD234" i="110" s="1" a="1"/>
  <c r="AD234" i="110" s="1"/>
  <c r="BG26" i="171"/>
  <c r="BD26" i="171"/>
  <c r="AE234" i="110" s="1" a="1"/>
  <c r="AE234" i="110" s="1"/>
  <c r="BG24" i="13"/>
  <c r="AX24" i="13"/>
  <c r="AN249" i="110" s="1"/>
  <c r="BO24" i="13"/>
  <c r="BL24" i="13"/>
  <c r="C249" i="110" s="1"/>
  <c r="BD24" i="13"/>
  <c r="AE249" i="110" s="1" a="1"/>
  <c r="AE249" i="110" s="1"/>
  <c r="BC24" i="13"/>
  <c r="AD249" i="110" s="1" a="1"/>
  <c r="AD249" i="110" s="1"/>
  <c r="N18" i="3"/>
  <c r="BD36" i="171"/>
  <c r="AE239" i="110" s="1" a="1"/>
  <c r="AE239" i="110" s="1"/>
  <c r="BG36" i="171"/>
  <c r="BL36" i="171"/>
  <c r="C239" i="110" s="1"/>
  <c r="BO36" i="171"/>
  <c r="BC36" i="171"/>
  <c r="AD239" i="110" s="1" a="1"/>
  <c r="AD239" i="110" s="1"/>
  <c r="AX36" i="171"/>
  <c r="AN239" i="110" s="1"/>
  <c r="BL28" i="171"/>
  <c r="C235" i="110" s="1"/>
  <c r="AX28" i="171"/>
  <c r="AN235" i="110" s="1"/>
  <c r="BC28" i="171"/>
  <c r="AD235" i="110" s="1" a="1"/>
  <c r="AD235" i="110" s="1"/>
  <c r="BD28" i="171"/>
  <c r="AE235" i="110" s="1" a="1"/>
  <c r="AE235" i="110" s="1"/>
  <c r="BG28" i="171"/>
  <c r="BO28" i="171"/>
  <c r="BD32" i="171"/>
  <c r="AE237" i="110" s="1" a="1"/>
  <c r="AE237" i="110" s="1"/>
  <c r="BL32" i="171"/>
  <c r="C237" i="110" s="1"/>
  <c r="B237" i="110" s="1"/>
  <c r="BO32" i="171"/>
  <c r="AX32" i="171"/>
  <c r="AN237" i="110" s="1"/>
  <c r="BG32" i="171"/>
  <c r="BC32" i="171"/>
  <c r="AD237" i="110" s="1" a="1"/>
  <c r="AD237" i="110" s="1"/>
  <c r="AX32" i="13"/>
  <c r="AN253" i="110" s="1"/>
  <c r="BO32" i="13"/>
  <c r="BG32" i="13"/>
  <c r="BD32" i="13"/>
  <c r="AE253" i="110" s="1" a="1"/>
  <c r="AE253" i="110" s="1"/>
  <c r="BL32" i="13"/>
  <c r="C253" i="110" s="1"/>
  <c r="BC32" i="13"/>
  <c r="AD253" i="110" s="1" a="1"/>
  <c r="AD253" i="110" s="1"/>
  <c r="BD20" i="171"/>
  <c r="AE231" i="110" s="1" a="1"/>
  <c r="AE231" i="110" s="1"/>
  <c r="AX20" i="171"/>
  <c r="BG20" i="171"/>
  <c r="BO20" i="171"/>
  <c r="BC20" i="171"/>
  <c r="AD231" i="110" s="1" a="1"/>
  <c r="AD231" i="110" s="1"/>
  <c r="BL20" i="171"/>
  <c r="C231" i="110" s="1"/>
  <c r="BL26" i="13"/>
  <c r="C250" i="110" s="1"/>
  <c r="AX26" i="13"/>
  <c r="AN250" i="110" s="1"/>
  <c r="BC26" i="13"/>
  <c r="AD250" i="110" s="1" a="1"/>
  <c r="AD250" i="110" s="1"/>
  <c r="BG26" i="13"/>
  <c r="BO26" i="13"/>
  <c r="BD26" i="13"/>
  <c r="AE250" i="110" s="1" a="1"/>
  <c r="AE250" i="110" s="1"/>
  <c r="BD30" i="13"/>
  <c r="AE252" i="110" s="1" a="1"/>
  <c r="AE252" i="110" s="1"/>
  <c r="BL30" i="13"/>
  <c r="C252" i="110" s="1"/>
  <c r="AX30" i="13"/>
  <c r="AN252" i="110" s="1"/>
  <c r="BG30" i="13"/>
  <c r="BO30" i="13"/>
  <c r="BC30" i="13"/>
  <c r="AD252" i="110" s="1" a="1"/>
  <c r="AD252" i="110" s="1"/>
  <c r="BD34" i="13"/>
  <c r="AE254" i="110" s="1" a="1"/>
  <c r="AE254" i="110" s="1"/>
  <c r="AX34" i="13"/>
  <c r="AN254" i="110" s="1"/>
  <c r="BC34" i="13"/>
  <c r="AD254" i="110" s="1" a="1"/>
  <c r="AD254" i="110" s="1"/>
  <c r="BG34" i="13"/>
  <c r="BO34" i="13"/>
  <c r="BL34" i="13"/>
  <c r="C254" i="110" s="1"/>
  <c r="AX22" i="13"/>
  <c r="AN248" i="110" s="1"/>
  <c r="BG22" i="13"/>
  <c r="BC22" i="13"/>
  <c r="AD248" i="110" s="1" a="1"/>
  <c r="AD248" i="110" s="1"/>
  <c r="BO22" i="13"/>
  <c r="BL22" i="13"/>
  <c r="C248" i="110" s="1"/>
  <c r="BD22" i="13"/>
  <c r="AE248" i="110" s="1" a="1"/>
  <c r="AE248" i="110" s="1"/>
  <c r="BC22" i="171"/>
  <c r="AD232" i="110" s="1" a="1"/>
  <c r="AD232" i="110" s="1"/>
  <c r="BD22" i="171"/>
  <c r="AE232" i="110" s="1" a="1"/>
  <c r="AE232" i="110" s="1"/>
  <c r="BO22" i="171"/>
  <c r="BL22" i="171"/>
  <c r="C232" i="110" s="1"/>
  <c r="AX22" i="171"/>
  <c r="AN232" i="110" s="1"/>
  <c r="BG22" i="171"/>
  <c r="BL24" i="171"/>
  <c r="C233" i="110" s="1"/>
  <c r="B233" i="110" s="1"/>
  <c r="BO24" i="171"/>
  <c r="BC24" i="171"/>
  <c r="AD233" i="110" s="1" a="1"/>
  <c r="AD233" i="110" s="1"/>
  <c r="BD24" i="171"/>
  <c r="AE233" i="110" s="1" a="1"/>
  <c r="AE233" i="110" s="1"/>
  <c r="AX24" i="171"/>
  <c r="AN233" i="110" s="1"/>
  <c r="BG24" i="171"/>
  <c r="BC36" i="13"/>
  <c r="AD255" i="110" s="1" a="1"/>
  <c r="AD255" i="110" s="1"/>
  <c r="BD36" i="13"/>
  <c r="AE255" i="110" s="1" a="1"/>
  <c r="AE255" i="110" s="1"/>
  <c r="BO36" i="13"/>
  <c r="BL36" i="13"/>
  <c r="C255" i="110" s="1"/>
  <c r="AX36" i="13"/>
  <c r="AN255" i="110" s="1"/>
  <c r="BG36" i="13"/>
  <c r="C76" i="110"/>
  <c r="AE287" i="110" a="1"/>
  <c r="AE287" i="110" s="1"/>
  <c r="AQ287" i="110"/>
  <c r="AO287" i="110"/>
  <c r="AD287" i="110" a="1"/>
  <c r="AD287" i="110" s="1"/>
  <c r="AD216" i="110" a="1"/>
  <c r="AD216" i="110" s="1"/>
  <c r="C204" i="110"/>
  <c r="B204" i="110" s="1"/>
  <c r="AP120" i="110"/>
  <c r="AE120" i="110"/>
  <c r="AP124" i="110"/>
  <c r="AE124" i="110"/>
  <c r="P125" i="110"/>
  <c r="O125" i="110"/>
  <c r="P123" i="110"/>
  <c r="O123" i="110"/>
  <c r="P124" i="110"/>
  <c r="O124" i="110"/>
  <c r="AP125" i="110"/>
  <c r="AE125" i="110"/>
  <c r="J123" i="110"/>
  <c r="AD123" i="110"/>
  <c r="AP126" i="110"/>
  <c r="AE126" i="110"/>
  <c r="J127" i="110"/>
  <c r="AD127" i="110"/>
  <c r="P122" i="110"/>
  <c r="O122" i="110"/>
  <c r="AP119" i="110"/>
  <c r="AE119" i="110"/>
  <c r="J120" i="110"/>
  <c r="AD120" i="110"/>
  <c r="AD122" i="110"/>
  <c r="P128" i="110"/>
  <c r="O128" i="110"/>
  <c r="AP127" i="110"/>
  <c r="AE127" i="110"/>
  <c r="AP128" i="110"/>
  <c r="AE128" i="110"/>
  <c r="P127" i="110"/>
  <c r="O127" i="110"/>
  <c r="AP123" i="110"/>
  <c r="AE123" i="110"/>
  <c r="P126" i="110"/>
  <c r="O126" i="110"/>
  <c r="J125" i="110"/>
  <c r="AD125" i="110"/>
  <c r="AP122" i="110"/>
  <c r="AE122" i="110"/>
  <c r="J124" i="110"/>
  <c r="AD124" i="110"/>
  <c r="AP121" i="110"/>
  <c r="AE121" i="110"/>
  <c r="J128" i="110"/>
  <c r="AD128" i="110"/>
  <c r="J126" i="110"/>
  <c r="AD126" i="110"/>
  <c r="E128" i="110"/>
  <c r="E124" i="110"/>
  <c r="AP110" i="110"/>
  <c r="AE110" i="110"/>
  <c r="AP105" i="110"/>
  <c r="AE105" i="110"/>
  <c r="J110" i="110"/>
  <c r="AD110" i="110"/>
  <c r="AP109" i="110"/>
  <c r="AE109" i="110"/>
  <c r="AP107" i="110"/>
  <c r="AE107" i="110"/>
  <c r="AP108" i="110"/>
  <c r="AE108" i="110"/>
  <c r="J104" i="110"/>
  <c r="AD104" i="110"/>
  <c r="AP112" i="110"/>
  <c r="AE112" i="110"/>
  <c r="P108" i="110"/>
  <c r="O108" i="110"/>
  <c r="P105" i="110"/>
  <c r="O105" i="110"/>
  <c r="J111" i="110"/>
  <c r="AD111" i="110"/>
  <c r="J105" i="110"/>
  <c r="AD105" i="110"/>
  <c r="J109" i="110"/>
  <c r="AD109" i="110"/>
  <c r="P109" i="110"/>
  <c r="O109" i="110"/>
  <c r="AP104" i="110"/>
  <c r="AE104" i="110"/>
  <c r="AP103" i="110"/>
  <c r="AE103" i="110"/>
  <c r="P110" i="110"/>
  <c r="O110" i="110"/>
  <c r="J108" i="110"/>
  <c r="AD108" i="110"/>
  <c r="P112" i="110"/>
  <c r="O112" i="110"/>
  <c r="E104" i="110"/>
  <c r="E105" i="110"/>
  <c r="P111" i="110"/>
  <c r="O111" i="110"/>
  <c r="J112" i="110"/>
  <c r="AD112" i="110"/>
  <c r="P107" i="110"/>
  <c r="O107" i="110"/>
  <c r="P104" i="110"/>
  <c r="O104" i="110"/>
  <c r="AP111" i="110"/>
  <c r="AE111" i="110"/>
  <c r="J107" i="110"/>
  <c r="AD107" i="110"/>
  <c r="AP106" i="110"/>
  <c r="AE106" i="110"/>
  <c r="AP136" i="110"/>
  <c r="AE136" i="110"/>
  <c r="P142" i="110"/>
  <c r="O142" i="110"/>
  <c r="J141" i="110"/>
  <c r="AD141" i="110"/>
  <c r="AE144" i="110"/>
  <c r="J143" i="110"/>
  <c r="AD143" i="110"/>
  <c r="P141" i="110"/>
  <c r="O141" i="110"/>
  <c r="J138" i="110"/>
  <c r="AD138" i="110"/>
  <c r="AP139" i="110"/>
  <c r="AE139" i="110"/>
  <c r="AE135" i="110"/>
  <c r="AP143" i="110"/>
  <c r="AE143" i="110"/>
  <c r="J136" i="110"/>
  <c r="AD136" i="110"/>
  <c r="AP142" i="110"/>
  <c r="AE142" i="110"/>
  <c r="P139" i="110"/>
  <c r="O139" i="110"/>
  <c r="J142" i="110"/>
  <c r="AD142" i="110"/>
  <c r="J140" i="110"/>
  <c r="AD140" i="110"/>
  <c r="AP140" i="110"/>
  <c r="AE140" i="110"/>
  <c r="P138" i="110"/>
  <c r="O138" i="110"/>
  <c r="P143" i="110"/>
  <c r="O143" i="110"/>
  <c r="AP137" i="110"/>
  <c r="AE137" i="110"/>
  <c r="P137" i="110"/>
  <c r="O137" i="110"/>
  <c r="P144" i="110"/>
  <c r="O144" i="110"/>
  <c r="J137" i="110"/>
  <c r="AD137" i="110"/>
  <c r="P140" i="110"/>
  <c r="O140" i="110"/>
  <c r="AP138" i="110"/>
  <c r="AE138" i="110"/>
  <c r="AP141" i="110"/>
  <c r="AE141" i="110"/>
  <c r="J139" i="110"/>
  <c r="AD139" i="110"/>
  <c r="P53" i="110"/>
  <c r="O53" i="110"/>
  <c r="AP60" i="110"/>
  <c r="AE60" i="110"/>
  <c r="AP51" i="110"/>
  <c r="AE51" i="110"/>
  <c r="AP57" i="110"/>
  <c r="AE57" i="110"/>
  <c r="AP58" i="110"/>
  <c r="AE58" i="110"/>
  <c r="AP56" i="110"/>
  <c r="AE56" i="110"/>
  <c r="AP53" i="110"/>
  <c r="AE53" i="110"/>
  <c r="P59" i="110"/>
  <c r="O59" i="110"/>
  <c r="AP55" i="110"/>
  <c r="AE55" i="110"/>
  <c r="J59" i="110"/>
  <c r="AD59" i="110"/>
  <c r="J57" i="110"/>
  <c r="AD57" i="110"/>
  <c r="P56" i="110"/>
  <c r="O56" i="110"/>
  <c r="P57" i="110"/>
  <c r="O57" i="110"/>
  <c r="AP59" i="110"/>
  <c r="AE59" i="110"/>
  <c r="J56" i="110"/>
  <c r="AD56" i="110"/>
  <c r="AD54" i="110"/>
  <c r="AD55" i="110"/>
  <c r="P54" i="110"/>
  <c r="O54" i="110"/>
  <c r="AD53" i="110"/>
  <c r="P58" i="110"/>
  <c r="O58" i="110"/>
  <c r="J58" i="110"/>
  <c r="AD58" i="110"/>
  <c r="AP54" i="110"/>
  <c r="AE54" i="110"/>
  <c r="AP52" i="110"/>
  <c r="AE52" i="110"/>
  <c r="P55" i="110"/>
  <c r="O55" i="110"/>
  <c r="P60" i="110"/>
  <c r="O60" i="110"/>
  <c r="J37" i="110"/>
  <c r="AD37" i="110"/>
  <c r="AP12" i="110"/>
  <c r="AP10" i="110"/>
  <c r="AP16" i="110"/>
  <c r="AP17" i="110"/>
  <c r="AP15" i="110"/>
  <c r="AP11" i="110"/>
  <c r="AP8" i="110"/>
  <c r="E8" i="110"/>
  <c r="P10" i="110"/>
  <c r="P13" i="110"/>
  <c r="P8" i="110"/>
  <c r="E13" i="110"/>
  <c r="E11" i="110"/>
  <c r="O11" i="110"/>
  <c r="O17" i="110"/>
  <c r="O10" i="110"/>
  <c r="O13" i="110"/>
  <c r="E17" i="110"/>
  <c r="O8" i="110"/>
  <c r="O15" i="110"/>
  <c r="O16" i="110"/>
  <c r="E12" i="110"/>
  <c r="O12" i="110"/>
  <c r="N12" i="110"/>
  <c r="AE17" i="110"/>
  <c r="Q10" i="110"/>
  <c r="P15" i="110"/>
  <c r="N17" i="110"/>
  <c r="Q11" i="110"/>
  <c r="P17" i="110"/>
  <c r="AD17" i="110"/>
  <c r="AE13" i="110"/>
  <c r="P11" i="110"/>
  <c r="N11" i="110"/>
  <c r="AD13" i="110"/>
  <c r="N10" i="110"/>
  <c r="N16" i="110"/>
  <c r="AD10" i="110"/>
  <c r="N15" i="110"/>
  <c r="AD8" i="110"/>
  <c r="AE10" i="110"/>
  <c r="P12" i="110"/>
  <c r="N8" i="110"/>
  <c r="AD16" i="110"/>
  <c r="AE8" i="110"/>
  <c r="Q8" i="110"/>
  <c r="Q15" i="110"/>
  <c r="P16" i="110"/>
  <c r="N13" i="110"/>
  <c r="AE15" i="110"/>
  <c r="Q16" i="110"/>
  <c r="AE16" i="110"/>
  <c r="AE11" i="110"/>
  <c r="AE12" i="110"/>
  <c r="AD15" i="110"/>
  <c r="AD11" i="110"/>
  <c r="AD12" i="110"/>
  <c r="K26" i="3"/>
  <c r="AX34" i="175"/>
  <c r="AN270" i="110" s="1"/>
  <c r="BK34" i="175"/>
  <c r="AL26" i="13"/>
  <c r="BL22" i="176"/>
  <c r="AR22" i="176"/>
  <c r="BC32" i="175"/>
  <c r="BK32" i="175"/>
  <c r="AL32" i="13"/>
  <c r="AX28" i="175"/>
  <c r="AN267" i="110" s="1"/>
  <c r="BK28" i="175"/>
  <c r="BD36" i="175"/>
  <c r="BK36" i="175"/>
  <c r="BL30" i="175"/>
  <c r="BK30" i="175"/>
  <c r="BG26" i="175"/>
  <c r="BK26" i="175"/>
  <c r="AL34" i="171"/>
  <c r="BO24" i="175"/>
  <c r="BK24" i="175"/>
  <c r="BE200" i="161" a="1"/>
  <c r="BE200" i="161" s="1"/>
  <c r="AM13" i="162"/>
  <c r="R44" i="110"/>
  <c r="H19" i="153"/>
  <c r="EB2" i="110" s="1"/>
  <c r="V19" i="153"/>
  <c r="ED2" i="110" s="1"/>
  <c r="AC19" i="153"/>
  <c r="W39" i="81" s="1"/>
  <c r="O19" i="153"/>
  <c r="EC2" i="110" s="1"/>
  <c r="AO18" i="170"/>
  <c r="BA18" i="170" s="1"/>
  <c r="BA36" i="169"/>
  <c r="BB36" i="169"/>
  <c r="BB22" i="169"/>
  <c r="BA22" i="169"/>
  <c r="BB28" i="169"/>
  <c r="AQ203" i="110" s="1"/>
  <c r="BA28" i="169"/>
  <c r="BF200" i="159"/>
  <c r="BD32" i="175"/>
  <c r="AO30" i="176"/>
  <c r="I26" i="3" s="1"/>
  <c r="AL20" i="171"/>
  <c r="BC24" i="175"/>
  <c r="AX36" i="175"/>
  <c r="AN271" i="110" s="1"/>
  <c r="AO34" i="175"/>
  <c r="AL34" i="13"/>
  <c r="BC20" i="176"/>
  <c r="AL36" i="175"/>
  <c r="BD22" i="176"/>
  <c r="BG34" i="175"/>
  <c r="BC24" i="176"/>
  <c r="BG32" i="175"/>
  <c r="AL18" i="13"/>
  <c r="BG30" i="175"/>
  <c r="BL28" i="175"/>
  <c r="AL32" i="171"/>
  <c r="AO26" i="175"/>
  <c r="BL24" i="175"/>
  <c r="AL26" i="171"/>
  <c r="AL30" i="13"/>
  <c r="AL34" i="175"/>
  <c r="AO32" i="175"/>
  <c r="AL22" i="175"/>
  <c r="BO28" i="175"/>
  <c r="AL20" i="176"/>
  <c r="BO34" i="175"/>
  <c r="AX32" i="175"/>
  <c r="AN269" i="110" s="1"/>
  <c r="AL30" i="175"/>
  <c r="AL18" i="176"/>
  <c r="AL28" i="175"/>
  <c r="BD26" i="175"/>
  <c r="BG24" i="175"/>
  <c r="BO20" i="175"/>
  <c r="AL28" i="13"/>
  <c r="AL24" i="13"/>
  <c r="BC22" i="176"/>
  <c r="BO32" i="175"/>
  <c r="BD30" i="175"/>
  <c r="AX18" i="176"/>
  <c r="AO28" i="175"/>
  <c r="AX26" i="175"/>
  <c r="AN266" i="110" s="1"/>
  <c r="BL20" i="175"/>
  <c r="AL24" i="171"/>
  <c r="BO36" i="175"/>
  <c r="BO24" i="176"/>
  <c r="BL32" i="175"/>
  <c r="AL36" i="171"/>
  <c r="BC30" i="175"/>
  <c r="BG18" i="176"/>
  <c r="BG28" i="175"/>
  <c r="AL26" i="175"/>
  <c r="AO20" i="175"/>
  <c r="BL36" i="175"/>
  <c r="AL22" i="176"/>
  <c r="AL22" i="13"/>
  <c r="AL24" i="176"/>
  <c r="AL32" i="175"/>
  <c r="BD22" i="175"/>
  <c r="AO18" i="176"/>
  <c r="BO26" i="175"/>
  <c r="AL36" i="13"/>
  <c r="AL20" i="175"/>
  <c r="AL22" i="171"/>
  <c r="BG36" i="175"/>
  <c r="AX22" i="176"/>
  <c r="AN280" i="110" s="1"/>
  <c r="BL34" i="175"/>
  <c r="BG24" i="176"/>
  <c r="AL20" i="13"/>
  <c r="BC22" i="175"/>
  <c r="AX30" i="175"/>
  <c r="AN268" i="110" s="1"/>
  <c r="BC18" i="176"/>
  <c r="BC26" i="175"/>
  <c r="AL30" i="171"/>
  <c r="AO24" i="175"/>
  <c r="BG20" i="175"/>
  <c r="BG22" i="176"/>
  <c r="AL28" i="171"/>
  <c r="BC34" i="175"/>
  <c r="AX24" i="176"/>
  <c r="AN281" i="110" s="1"/>
  <c r="BO30" i="175"/>
  <c r="BL18" i="176"/>
  <c r="BD24" i="175"/>
  <c r="BD20" i="175"/>
  <c r="AO36" i="175"/>
  <c r="BO22" i="176"/>
  <c r="AO24" i="176"/>
  <c r="BI24" i="176" s="1"/>
  <c r="AO30" i="175"/>
  <c r="BD18" i="176"/>
  <c r="BD28" i="175"/>
  <c r="BL26" i="175"/>
  <c r="AX24" i="175"/>
  <c r="AN265" i="110" s="1"/>
  <c r="BC20" i="175"/>
  <c r="BC36" i="175"/>
  <c r="AO22" i="176"/>
  <c r="BD34" i="175"/>
  <c r="BL24" i="176"/>
  <c r="C281" i="110" s="1"/>
  <c r="B281" i="110" s="1"/>
  <c r="BC28" i="175"/>
  <c r="AL24" i="175"/>
  <c r="N60" i="110"/>
  <c r="I12" i="3"/>
  <c r="N51" i="110"/>
  <c r="AO20" i="169"/>
  <c r="AO24" i="170"/>
  <c r="BD32" i="170"/>
  <c r="BO32" i="170"/>
  <c r="BC24" i="169"/>
  <c r="AL28" i="170"/>
  <c r="BO28" i="170"/>
  <c r="AL20" i="170"/>
  <c r="BD36" i="170"/>
  <c r="BC20" i="170"/>
  <c r="AO26" i="170"/>
  <c r="AL36" i="170"/>
  <c r="BG34" i="170"/>
  <c r="BD30" i="170"/>
  <c r="BD28" i="170"/>
  <c r="BN28" i="170" s="1"/>
  <c r="AO36" i="170"/>
  <c r="BB36" i="170" s="1"/>
  <c r="BL32" i="170"/>
  <c r="BC34" i="169"/>
  <c r="AX28" i="170"/>
  <c r="AN219" i="110" s="1"/>
  <c r="BC26" i="170"/>
  <c r="BC36" i="170"/>
  <c r="BN36" i="170" s="1"/>
  <c r="BD24" i="170"/>
  <c r="AL32" i="170"/>
  <c r="BD34" i="170"/>
  <c r="AX30" i="170"/>
  <c r="AN220" i="110" s="1"/>
  <c r="BG34" i="169"/>
  <c r="AX26" i="169"/>
  <c r="AN202" i="110" s="1"/>
  <c r="BL28" i="170"/>
  <c r="BL26" i="170"/>
  <c r="BO36" i="170"/>
  <c r="AL24" i="170"/>
  <c r="BO34" i="170"/>
  <c r="AL30" i="170"/>
  <c r="AL26" i="170"/>
  <c r="BL36" i="170"/>
  <c r="BC24" i="170"/>
  <c r="BG30" i="170"/>
  <c r="BG28" i="170"/>
  <c r="BC34" i="170"/>
  <c r="AO30" i="170"/>
  <c r="BD22" i="169"/>
  <c r="AO28" i="170"/>
  <c r="BO26" i="170"/>
  <c r="BD20" i="170"/>
  <c r="AO20" i="170" s="1"/>
  <c r="AO32" i="170"/>
  <c r="AX34" i="170"/>
  <c r="AN222" i="110" s="1"/>
  <c r="BO30" i="170"/>
  <c r="AX30" i="169"/>
  <c r="AN204" i="110" s="1"/>
  <c r="BL22" i="169"/>
  <c r="BG26" i="170"/>
  <c r="BG32" i="170"/>
  <c r="AO34" i="170"/>
  <c r="BD26" i="170"/>
  <c r="AX36" i="170"/>
  <c r="AN223" i="110" s="1"/>
  <c r="BC32" i="170"/>
  <c r="AL34" i="170"/>
  <c r="BC30" i="170"/>
  <c r="BI36" i="169"/>
  <c r="BO36" i="169"/>
  <c r="BD34" i="169"/>
  <c r="AN263" i="110"/>
  <c r="AX32" i="169"/>
  <c r="AN205" i="110" s="1"/>
  <c r="AL18" i="169"/>
  <c r="AL30" i="169"/>
  <c r="BG26" i="169"/>
  <c r="AL22" i="169"/>
  <c r="AX20" i="169"/>
  <c r="AN199" i="110" s="1"/>
  <c r="AO32" i="169"/>
  <c r="BO28" i="169"/>
  <c r="BG24" i="169"/>
  <c r="AL34" i="169"/>
  <c r="BO32" i="169"/>
  <c r="BG30" i="169"/>
  <c r="AL28" i="169"/>
  <c r="BG22" i="169"/>
  <c r="AL20" i="169"/>
  <c r="BL34" i="169"/>
  <c r="BL32" i="169"/>
  <c r="AO30" i="169"/>
  <c r="BI30" i="169" s="1"/>
  <c r="BD28" i="169"/>
  <c r="AO24" i="169"/>
  <c r="BI24" i="169" s="1"/>
  <c r="BC22" i="169"/>
  <c r="BO20" i="169"/>
  <c r="BC36" i="169"/>
  <c r="BD18" i="169"/>
  <c r="AN218" i="110"/>
  <c r="BL28" i="169"/>
  <c r="C203" i="110" s="1"/>
  <c r="B203" i="110" s="1"/>
  <c r="AL24" i="169"/>
  <c r="AX22" i="169"/>
  <c r="AN200" i="110" s="1"/>
  <c r="BC20" i="169"/>
  <c r="BD36" i="169"/>
  <c r="AO34" i="169"/>
  <c r="BC28" i="169"/>
  <c r="AL26" i="169"/>
  <c r="BO24" i="169"/>
  <c r="BG20" i="169"/>
  <c r="BL36" i="169"/>
  <c r="C207" i="110" s="1"/>
  <c r="B207" i="110" s="1"/>
  <c r="AX34" i="169"/>
  <c r="AN206" i="110" s="1"/>
  <c r="BC18" i="169"/>
  <c r="BG28" i="169"/>
  <c r="BO26" i="169"/>
  <c r="BD24" i="169"/>
  <c r="BD20" i="169"/>
  <c r="BG36" i="169"/>
  <c r="AL32" i="169"/>
  <c r="BC30" i="169"/>
  <c r="AX28" i="169"/>
  <c r="AN203" i="110" s="1"/>
  <c r="AO26" i="169"/>
  <c r="BL24" i="169"/>
  <c r="C201" i="110" s="1"/>
  <c r="B201" i="110" s="1"/>
  <c r="AX36" i="169"/>
  <c r="AN207" i="110" s="1"/>
  <c r="BD32" i="169"/>
  <c r="BO30" i="169"/>
  <c r="BD26" i="169"/>
  <c r="BO22" i="169"/>
  <c r="BC32" i="169"/>
  <c r="BD30" i="169"/>
  <c r="BL26" i="169"/>
  <c r="AL36" i="169"/>
  <c r="BJ46" i="158"/>
  <c r="AO36" i="160"/>
  <c r="R143" i="110"/>
  <c r="R123" i="110"/>
  <c r="R128" i="110"/>
  <c r="R138" i="110"/>
  <c r="BH32" i="163"/>
  <c r="BO32" i="163" s="1"/>
  <c r="R57" i="110"/>
  <c r="R56" i="110"/>
  <c r="R139" i="110"/>
  <c r="R104" i="110"/>
  <c r="AO18" i="162"/>
  <c r="R108" i="110"/>
  <c r="R59" i="110"/>
  <c r="N121" i="110"/>
  <c r="R112" i="110"/>
  <c r="R110" i="110"/>
  <c r="R107" i="110"/>
  <c r="R142" i="110"/>
  <c r="R105" i="110"/>
  <c r="R141" i="110"/>
  <c r="R127" i="110"/>
  <c r="R58" i="110"/>
  <c r="R109" i="110"/>
  <c r="R140" i="110"/>
  <c r="R111" i="110"/>
  <c r="BA46" i="158"/>
  <c r="AZ46" i="158"/>
  <c r="N136" i="110"/>
  <c r="I14" i="3"/>
  <c r="N52" i="110"/>
  <c r="AO20" i="160"/>
  <c r="I16" i="3"/>
  <c r="I15" i="3"/>
  <c r="AO24" i="162"/>
  <c r="AX22" i="163"/>
  <c r="AD121" i="110" s="1"/>
  <c r="P121" i="110"/>
  <c r="J15" i="3"/>
  <c r="P106" i="110"/>
  <c r="J14" i="3"/>
  <c r="P52" i="110"/>
  <c r="J12" i="3"/>
  <c r="BH32" i="158"/>
  <c r="BO32" i="158" s="1"/>
  <c r="BH40" i="158"/>
  <c r="BO40" i="158" s="1"/>
  <c r="AZ20" i="158"/>
  <c r="AE5" i="110" s="1"/>
  <c r="Q5" i="110"/>
  <c r="P136" i="110"/>
  <c r="J16" i="3"/>
  <c r="BI28" i="169"/>
  <c r="R15" i="110"/>
  <c r="R11" i="110"/>
  <c r="AN201" i="110"/>
  <c r="P119" i="110"/>
  <c r="P103" i="110"/>
  <c r="BH42" i="158"/>
  <c r="BO42" i="158" s="1"/>
  <c r="R16" i="110"/>
  <c r="BH36" i="158"/>
  <c r="BO36" i="158" s="1"/>
  <c r="R13" i="110"/>
  <c r="P135" i="110"/>
  <c r="BH34" i="158"/>
  <c r="BO34" i="158" s="1"/>
  <c r="R12" i="110"/>
  <c r="BH44" i="158"/>
  <c r="BO44" i="158" s="1"/>
  <c r="R17" i="110"/>
  <c r="BH30" i="160"/>
  <c r="BO30" i="160" s="1"/>
  <c r="B46" i="110"/>
  <c r="AR46" i="110"/>
  <c r="B47" i="110"/>
  <c r="AR47" i="110"/>
  <c r="N13" i="3"/>
  <c r="B49" i="110"/>
  <c r="AR49" i="110"/>
  <c r="B45" i="110"/>
  <c r="AR45" i="110"/>
  <c r="B48" i="110"/>
  <c r="AR48" i="110"/>
  <c r="B14" i="110"/>
  <c r="AR14" i="110"/>
  <c r="B9" i="110"/>
  <c r="AR9" i="110"/>
  <c r="BH34" i="160"/>
  <c r="BO34" i="160" s="1"/>
  <c r="C43" i="110"/>
  <c r="AS43" i="110" s="1"/>
  <c r="C40" i="110"/>
  <c r="AS40" i="110" s="1"/>
  <c r="C39" i="110"/>
  <c r="AS39" i="110" s="1"/>
  <c r="C42" i="110"/>
  <c r="AS42" i="110" s="1"/>
  <c r="C38" i="110"/>
  <c r="AS38" i="110" s="1"/>
  <c r="C41" i="110"/>
  <c r="AS41" i="110" s="1"/>
  <c r="BA22" i="158"/>
  <c r="Q37" i="110"/>
  <c r="Q36" i="110"/>
  <c r="Q35" i="110"/>
  <c r="BH26" i="158"/>
  <c r="BO26" i="158" s="1"/>
  <c r="R8" i="110"/>
  <c r="BH30" i="158"/>
  <c r="BO30" i="158" s="1"/>
  <c r="R10" i="110"/>
  <c r="C7" i="110"/>
  <c r="AS7" i="110" s="1"/>
  <c r="AT36" i="110" a="1"/>
  <c r="AT36" i="110" s="1"/>
  <c r="AE182" i="110" a="1"/>
  <c r="AE182" i="110" s="1"/>
  <c r="B187" i="110"/>
  <c r="AN187" i="110"/>
  <c r="AN183" i="110"/>
  <c r="AO184" i="110"/>
  <c r="AN185" i="110"/>
  <c r="B189" i="110"/>
  <c r="BH30" i="162"/>
  <c r="BO30" i="162" s="1"/>
  <c r="R126" i="110"/>
  <c r="BH28" i="162"/>
  <c r="BO28" i="162" s="1"/>
  <c r="BH34" i="163"/>
  <c r="BO34" i="163" s="1"/>
  <c r="BH26" i="163"/>
  <c r="BO26" i="163" s="1"/>
  <c r="K18" i="3"/>
  <c r="BH22" i="162"/>
  <c r="BO22" i="162" s="1"/>
  <c r="BH26" i="162"/>
  <c r="BO26" i="162" s="1"/>
  <c r="BH36" i="163"/>
  <c r="BO36" i="163" s="1"/>
  <c r="BH32" i="160"/>
  <c r="BO32" i="160" s="1"/>
  <c r="BH34" i="162"/>
  <c r="BO34" i="162" s="1"/>
  <c r="BH32" i="162"/>
  <c r="BO32" i="162" s="1"/>
  <c r="BH36" i="162"/>
  <c r="BO36" i="162" s="1"/>
  <c r="AJ18" i="154"/>
  <c r="AL18" i="154"/>
  <c r="BH20" i="162"/>
  <c r="BO20" i="162" s="1"/>
  <c r="X12" i="161"/>
  <c r="BA200" i="162"/>
  <c r="BA200" i="182"/>
  <c r="AZ200" i="162"/>
  <c r="BA200" i="161"/>
  <c r="AZ200" i="161"/>
  <c r="BA200" i="163"/>
  <c r="P120" i="110"/>
  <c r="R120" i="110"/>
  <c r="BH20" i="163"/>
  <c r="BO20" i="163" s="1"/>
  <c r="AK18" i="154"/>
  <c r="BH30" i="163"/>
  <c r="BO30" i="163" s="1"/>
  <c r="R125" i="110"/>
  <c r="AZ200" i="163"/>
  <c r="R137" i="110"/>
  <c r="BH28" i="163"/>
  <c r="BO28" i="163" s="1"/>
  <c r="R124" i="110"/>
  <c r="AN188" i="110"/>
  <c r="BH28" i="160"/>
  <c r="BO28" i="160" s="1"/>
  <c r="B188" i="110"/>
  <c r="AN186" i="110"/>
  <c r="AZ200" i="182"/>
  <c r="N135" i="110"/>
  <c r="AO191" i="110"/>
  <c r="AN221" i="110"/>
  <c r="AO190" i="110"/>
  <c r="AZ200" i="160"/>
  <c r="P51" i="110"/>
  <c r="BA200" i="160"/>
  <c r="N4" i="110"/>
  <c r="BN34" i="170" l="1"/>
  <c r="BN30" i="170"/>
  <c r="BN32" i="170"/>
  <c r="J55" i="110"/>
  <c r="BN26" i="170"/>
  <c r="BN24" i="170"/>
  <c r="BN20" i="170"/>
  <c r="BO24" i="170"/>
  <c r="BG24" i="170"/>
  <c r="AX24" i="170"/>
  <c r="AN217" i="110" s="1"/>
  <c r="BG18" i="170"/>
  <c r="BO18" i="170" s="1"/>
  <c r="BG20" i="170"/>
  <c r="AX20" i="170"/>
  <c r="AN215" i="110" s="1"/>
  <c r="BO20" i="170"/>
  <c r="J122" i="110"/>
  <c r="J53" i="110"/>
  <c r="J54" i="110"/>
  <c r="BH24" i="160"/>
  <c r="BO24" i="160" s="1"/>
  <c r="R54" i="110"/>
  <c r="BH26" i="160"/>
  <c r="BO26" i="160" s="1"/>
  <c r="AT55" i="110" a="1"/>
  <c r="AT55" i="110" s="1"/>
  <c r="BI26" i="160"/>
  <c r="AT54" i="110" a="1"/>
  <c r="AT54" i="110" s="1"/>
  <c r="BI24" i="160"/>
  <c r="AT53" i="110" a="1"/>
  <c r="AT53" i="110" s="1"/>
  <c r="BI22" i="160"/>
  <c r="BH22" i="160"/>
  <c r="BO22" i="160" s="1"/>
  <c r="R53" i="110"/>
  <c r="AX20" i="160"/>
  <c r="AR20" i="160" s="1"/>
  <c r="AT122" i="110" a="1"/>
  <c r="AT122" i="110" s="1"/>
  <c r="BI24" i="163"/>
  <c r="BH24" i="163"/>
  <c r="BO24" i="163" s="1"/>
  <c r="R122" i="110"/>
  <c r="AD119" i="110"/>
  <c r="AY36" i="13"/>
  <c r="AO255" i="110" s="1"/>
  <c r="AN231" i="110"/>
  <c r="H22" i="3"/>
  <c r="AN247" i="110"/>
  <c r="H23" i="3"/>
  <c r="AY24" i="13"/>
  <c r="AO249" i="110" s="1"/>
  <c r="BN24" i="13"/>
  <c r="AC249" i="110" s="1"/>
  <c r="BN36" i="13"/>
  <c r="AC255" i="110" s="1"/>
  <c r="BN22" i="171"/>
  <c r="AC232" i="110" s="1"/>
  <c r="AY28" i="171"/>
  <c r="AO235" i="110" s="1"/>
  <c r="AY36" i="171"/>
  <c r="AO239" i="110" s="1"/>
  <c r="BN32" i="171"/>
  <c r="AC237" i="110" s="1"/>
  <c r="BN32" i="13"/>
  <c r="AC253" i="110" s="1"/>
  <c r="AY22" i="13"/>
  <c r="AO248" i="110" s="1"/>
  <c r="AD36" i="110"/>
  <c r="BN36" i="171"/>
  <c r="AC239" i="110" s="1"/>
  <c r="AY20" i="171"/>
  <c r="AO231" i="110" s="1"/>
  <c r="BN28" i="13"/>
  <c r="AC251" i="110" s="1"/>
  <c r="AY30" i="171"/>
  <c r="AO236" i="110" s="1"/>
  <c r="AY30" i="13"/>
  <c r="AO252" i="110" s="1"/>
  <c r="BN34" i="171"/>
  <c r="AC238" i="110" s="1"/>
  <c r="AA175" i="110"/>
  <c r="Q175" i="110"/>
  <c r="L175" i="110"/>
  <c r="AB175" i="110"/>
  <c r="W175" i="110"/>
  <c r="P175" i="110"/>
  <c r="P168" i="110"/>
  <c r="AB168" i="110"/>
  <c r="W168" i="110"/>
  <c r="AA168" i="110"/>
  <c r="Q168" i="110"/>
  <c r="L168" i="110"/>
  <c r="Q173" i="110"/>
  <c r="AB173" i="110"/>
  <c r="P173" i="110"/>
  <c r="AA173" i="110"/>
  <c r="L173" i="110"/>
  <c r="W173" i="110"/>
  <c r="AB153" i="110"/>
  <c r="W153" i="110"/>
  <c r="P153" i="110"/>
  <c r="AA153" i="110"/>
  <c r="Q153" i="110"/>
  <c r="L153" i="110"/>
  <c r="AB180" i="110"/>
  <c r="W180" i="110"/>
  <c r="P180" i="110"/>
  <c r="AA180" i="110"/>
  <c r="Q180" i="110"/>
  <c r="L180" i="110"/>
  <c r="AB178" i="110"/>
  <c r="W178" i="110"/>
  <c r="P178" i="110"/>
  <c r="AA178" i="110"/>
  <c r="Q178" i="110"/>
  <c r="L178" i="110"/>
  <c r="AB164" i="110"/>
  <c r="W164" i="110"/>
  <c r="P164" i="110"/>
  <c r="AA164" i="110"/>
  <c r="L164" i="110"/>
  <c r="Q164" i="110"/>
  <c r="AB157" i="110"/>
  <c r="W157" i="110"/>
  <c r="P157" i="110"/>
  <c r="AA157" i="110"/>
  <c r="Q157" i="110"/>
  <c r="L157" i="110"/>
  <c r="AB154" i="110"/>
  <c r="W154" i="110"/>
  <c r="P154" i="110"/>
  <c r="AA154" i="110"/>
  <c r="Q154" i="110"/>
  <c r="L154" i="110"/>
  <c r="AA170" i="110"/>
  <c r="Q170" i="110"/>
  <c r="L170" i="110"/>
  <c r="AB170" i="110"/>
  <c r="P170" i="110"/>
  <c r="W170" i="110"/>
  <c r="AB155" i="110"/>
  <c r="L155" i="110"/>
  <c r="W155" i="110"/>
  <c r="AA155" i="110"/>
  <c r="Q155" i="110"/>
  <c r="P155" i="110"/>
  <c r="AA171" i="110"/>
  <c r="Q171" i="110"/>
  <c r="L171" i="110"/>
  <c r="AB171" i="110"/>
  <c r="W171" i="110"/>
  <c r="P171" i="110"/>
  <c r="AA163" i="110"/>
  <c r="Q163" i="110"/>
  <c r="L163" i="110"/>
  <c r="AB163" i="110"/>
  <c r="W163" i="110"/>
  <c r="P163" i="110"/>
  <c r="AA174" i="110"/>
  <c r="Q174" i="110"/>
  <c r="L174" i="110"/>
  <c r="AB174" i="110"/>
  <c r="W174" i="110"/>
  <c r="P174" i="110"/>
  <c r="W167" i="110"/>
  <c r="Q167" i="110"/>
  <c r="P167" i="110"/>
  <c r="AA167" i="110"/>
  <c r="L167" i="110"/>
  <c r="AB167" i="110"/>
  <c r="AB165" i="110"/>
  <c r="W165" i="110"/>
  <c r="P165" i="110"/>
  <c r="AA165" i="110"/>
  <c r="Q165" i="110"/>
  <c r="L165" i="110"/>
  <c r="AB152" i="110"/>
  <c r="W152" i="110"/>
  <c r="P152" i="110"/>
  <c r="AA152" i="110"/>
  <c r="Q152" i="110"/>
  <c r="L152" i="110"/>
  <c r="AB166" i="110"/>
  <c r="W166" i="110"/>
  <c r="P166" i="110"/>
  <c r="AA166" i="110"/>
  <c r="Q166" i="110"/>
  <c r="L166" i="110"/>
  <c r="W179" i="110"/>
  <c r="L179" i="110"/>
  <c r="AA179" i="110"/>
  <c r="Q179" i="110"/>
  <c r="AB179" i="110"/>
  <c r="P179" i="110"/>
  <c r="AA161" i="110"/>
  <c r="Q161" i="110"/>
  <c r="L161" i="110"/>
  <c r="W161" i="110"/>
  <c r="P161" i="110"/>
  <c r="AB161" i="110"/>
  <c r="AA158" i="110"/>
  <c r="Q158" i="110"/>
  <c r="L158" i="110"/>
  <c r="W158" i="110"/>
  <c r="AB158" i="110"/>
  <c r="P158" i="110"/>
  <c r="L162" i="110"/>
  <c r="AA162" i="110"/>
  <c r="Q162" i="110"/>
  <c r="AB162" i="110"/>
  <c r="W162" i="110"/>
  <c r="P162" i="110"/>
  <c r="AB176" i="110"/>
  <c r="W176" i="110"/>
  <c r="P176" i="110"/>
  <c r="AA176" i="110"/>
  <c r="Q176" i="110"/>
  <c r="L176" i="110"/>
  <c r="AA160" i="110"/>
  <c r="Q160" i="110"/>
  <c r="L160" i="110"/>
  <c r="AB160" i="110"/>
  <c r="W160" i="110"/>
  <c r="P160" i="110"/>
  <c r="AB177" i="110"/>
  <c r="W177" i="110"/>
  <c r="P177" i="110"/>
  <c r="AA177" i="110"/>
  <c r="Q177" i="110"/>
  <c r="L177" i="110"/>
  <c r="AA159" i="110"/>
  <c r="Q159" i="110"/>
  <c r="L159" i="110"/>
  <c r="AB159" i="110"/>
  <c r="W159" i="110"/>
  <c r="P159" i="110"/>
  <c r="AB169" i="110"/>
  <c r="W169" i="110"/>
  <c r="P169" i="110"/>
  <c r="AA169" i="110"/>
  <c r="Q169" i="110"/>
  <c r="L169" i="110"/>
  <c r="AA172" i="110"/>
  <c r="Q172" i="110"/>
  <c r="L172" i="110"/>
  <c r="AB172" i="110"/>
  <c r="W172" i="110"/>
  <c r="P172" i="110"/>
  <c r="AB156" i="110"/>
  <c r="W156" i="110"/>
  <c r="P156" i="110"/>
  <c r="AA156" i="110"/>
  <c r="Q156" i="110"/>
  <c r="L156" i="110"/>
  <c r="BB26" i="13"/>
  <c r="BA26" i="13"/>
  <c r="BI26" i="13"/>
  <c r="BM26" i="13" s="1"/>
  <c r="BB36" i="171"/>
  <c r="BA36" i="171"/>
  <c r="BI36" i="171"/>
  <c r="BM36" i="171" s="1"/>
  <c r="AY26" i="13"/>
  <c r="AO250" i="110" s="1"/>
  <c r="BN24" i="171"/>
  <c r="AC233" i="110" s="1"/>
  <c r="BN34" i="13"/>
  <c r="AC254" i="110" s="1"/>
  <c r="BN28" i="171"/>
  <c r="AC235" i="110" s="1"/>
  <c r="BB32" i="13"/>
  <c r="BA32" i="13"/>
  <c r="BI32" i="13"/>
  <c r="BM32" i="13" s="1"/>
  <c r="BA22" i="13"/>
  <c r="BB22" i="13"/>
  <c r="BI22" i="13"/>
  <c r="BM22" i="13" s="1"/>
  <c r="BB20" i="13"/>
  <c r="BA20" i="13"/>
  <c r="BI20" i="13"/>
  <c r="BM20" i="13" s="1"/>
  <c r="BD200" i="171"/>
  <c r="BN30" i="171"/>
  <c r="AC236" i="110" s="1"/>
  <c r="AY22" i="171"/>
  <c r="AO232" i="110" s="1"/>
  <c r="BB20" i="171"/>
  <c r="BA20" i="171"/>
  <c r="BI20" i="171"/>
  <c r="BM20" i="171" s="1"/>
  <c r="BK20" i="171"/>
  <c r="N22" i="3"/>
  <c r="BA22" i="171"/>
  <c r="BI22" i="171"/>
  <c r="BM22" i="171" s="1"/>
  <c r="BB22" i="171"/>
  <c r="BA34" i="171"/>
  <c r="BB34" i="171"/>
  <c r="BI34" i="171"/>
  <c r="BM34" i="171" s="1"/>
  <c r="BA24" i="13"/>
  <c r="BB24" i="13"/>
  <c r="BI24" i="13"/>
  <c r="BM24" i="13" s="1"/>
  <c r="AY26" i="171"/>
  <c r="AO234" i="110" s="1"/>
  <c r="BN26" i="13"/>
  <c r="AC250" i="110" s="1"/>
  <c r="BB36" i="13"/>
  <c r="BA36" i="13"/>
  <c r="BI36" i="13"/>
  <c r="BM36" i="13" s="1"/>
  <c r="AY24" i="171"/>
  <c r="AO233" i="110" s="1"/>
  <c r="AY28" i="13"/>
  <c r="AO251" i="110" s="1"/>
  <c r="AY34" i="171"/>
  <c r="AO238" i="110" s="1"/>
  <c r="BN22" i="13"/>
  <c r="AC248" i="110" s="1"/>
  <c r="BN30" i="13"/>
  <c r="AC252" i="110" s="1"/>
  <c r="BN26" i="171"/>
  <c r="AC234" i="110" s="1"/>
  <c r="P23" i="3"/>
  <c r="BB24" i="171"/>
  <c r="BA24" i="171"/>
  <c r="BI24" i="171"/>
  <c r="BM24" i="171" s="1"/>
  <c r="BB28" i="13"/>
  <c r="BA28" i="13"/>
  <c r="BI28" i="13"/>
  <c r="BM28" i="13" s="1"/>
  <c r="AY34" i="13"/>
  <c r="AO254" i="110" s="1"/>
  <c r="BG18" i="167"/>
  <c r="BK18" i="167" s="1"/>
  <c r="AM13" i="167" s="1"/>
  <c r="AY32" i="13"/>
  <c r="AO253" i="110" s="1"/>
  <c r="BB32" i="171"/>
  <c r="BA32" i="171"/>
  <c r="BI32" i="171"/>
  <c r="BM32" i="171" s="1"/>
  <c r="AY32" i="171"/>
  <c r="AO237" i="110" s="1"/>
  <c r="BA30" i="13"/>
  <c r="BB30" i="13"/>
  <c r="BI30" i="13"/>
  <c r="BM30" i="13" s="1"/>
  <c r="BD200" i="13"/>
  <c r="AY20" i="13"/>
  <c r="AO247" i="110" s="1"/>
  <c r="BB30" i="171"/>
  <c r="BA30" i="171"/>
  <c r="BI30" i="171"/>
  <c r="BM30" i="171" s="1"/>
  <c r="BN20" i="13"/>
  <c r="AC247" i="110" s="1"/>
  <c r="BC200" i="13"/>
  <c r="BN20" i="171"/>
  <c r="AC231" i="110" s="1"/>
  <c r="BC200" i="171"/>
  <c r="BG200" i="13"/>
  <c r="BB26" i="171"/>
  <c r="BA26" i="171"/>
  <c r="BI26" i="171"/>
  <c r="BM26" i="171" s="1"/>
  <c r="P22" i="3"/>
  <c r="BK20" i="13"/>
  <c r="N23" i="3"/>
  <c r="BB28" i="171"/>
  <c r="BA28" i="171"/>
  <c r="BI28" i="171"/>
  <c r="BM28" i="171" s="1"/>
  <c r="BB34" i="13"/>
  <c r="BA34" i="13"/>
  <c r="BI34" i="13"/>
  <c r="BM34" i="13" s="1"/>
  <c r="BG200" i="171"/>
  <c r="AY18" i="167"/>
  <c r="AO151" i="110" s="1"/>
  <c r="C71" i="110"/>
  <c r="C69" i="110"/>
  <c r="C72" i="110"/>
  <c r="C70" i="110"/>
  <c r="AS76" i="110"/>
  <c r="B76" i="110"/>
  <c r="AR76" i="110"/>
  <c r="C68" i="110"/>
  <c r="E278" i="110"/>
  <c r="E281" i="110"/>
  <c r="B253" i="110"/>
  <c r="B250" i="110"/>
  <c r="B252" i="110"/>
  <c r="B255" i="110"/>
  <c r="B248" i="110"/>
  <c r="B234" i="110"/>
  <c r="B231" i="110"/>
  <c r="B232" i="110"/>
  <c r="B239" i="110"/>
  <c r="B238" i="110"/>
  <c r="C268" i="110"/>
  <c r="B268" i="110" s="1"/>
  <c r="E270" i="110"/>
  <c r="C269" i="110"/>
  <c r="B269" i="110" s="1"/>
  <c r="E269" i="110"/>
  <c r="E267" i="110"/>
  <c r="E223" i="110"/>
  <c r="AQ200" i="110"/>
  <c r="AQ207" i="110"/>
  <c r="AE207" i="110" a="1"/>
  <c r="AE207" i="110" s="1"/>
  <c r="AE200" i="110" a="1"/>
  <c r="AE200" i="110" s="1"/>
  <c r="E207" i="110"/>
  <c r="C200" i="110"/>
  <c r="B200" i="110" s="1"/>
  <c r="E200" i="110"/>
  <c r="E203" i="110"/>
  <c r="AE203" i="110" a="1"/>
  <c r="AE203" i="110" s="1"/>
  <c r="B172" i="110"/>
  <c r="B170" i="110"/>
  <c r="B161" i="110"/>
  <c r="B159" i="110"/>
  <c r="B164" i="110"/>
  <c r="B160" i="110"/>
  <c r="B155" i="110"/>
  <c r="B152" i="110"/>
  <c r="B177" i="110"/>
  <c r="B171" i="110"/>
  <c r="B174" i="110"/>
  <c r="B173" i="110"/>
  <c r="B179" i="110"/>
  <c r="B166" i="110"/>
  <c r="B180" i="110"/>
  <c r="B157" i="110"/>
  <c r="B162" i="110"/>
  <c r="B167" i="110"/>
  <c r="B165" i="110"/>
  <c r="B158" i="110"/>
  <c r="B156" i="110"/>
  <c r="B153" i="110"/>
  <c r="B169" i="110"/>
  <c r="B168" i="110"/>
  <c r="B176" i="110"/>
  <c r="B175" i="110"/>
  <c r="B178" i="110"/>
  <c r="B163" i="110"/>
  <c r="B154" i="110"/>
  <c r="AD52" i="110"/>
  <c r="AT35" i="110" a="1"/>
  <c r="AT35" i="110" s="1"/>
  <c r="AD35" i="110"/>
  <c r="BC200" i="158"/>
  <c r="E6" i="110"/>
  <c r="E5" i="110"/>
  <c r="E18" i="110"/>
  <c r="AE6" i="110"/>
  <c r="AE18" i="110"/>
  <c r="J119" i="110"/>
  <c r="BM24" i="169"/>
  <c r="BM30" i="169"/>
  <c r="BM28" i="169"/>
  <c r="AY36" i="169"/>
  <c r="AD207" i="110" s="1" a="1"/>
  <c r="AD207" i="110" s="1"/>
  <c r="BM36" i="169"/>
  <c r="BK22" i="176"/>
  <c r="B235" i="110"/>
  <c r="BM24" i="176"/>
  <c r="AJ21" i="154"/>
  <c r="EE2" i="110"/>
  <c r="AP144" i="110"/>
  <c r="W38" i="81"/>
  <c r="BB30" i="176"/>
  <c r="BA30" i="176"/>
  <c r="I18" i="3"/>
  <c r="AM13" i="161"/>
  <c r="C44" i="110"/>
  <c r="AS44" i="110" s="1"/>
  <c r="J36" i="110"/>
  <c r="W37" i="81"/>
  <c r="AB37" i="81"/>
  <c r="R36" i="154"/>
  <c r="AD45" i="156"/>
  <c r="R37" i="154"/>
  <c r="R35" i="154"/>
  <c r="AO22" i="175"/>
  <c r="AY22" i="175" s="1"/>
  <c r="AN182" i="110"/>
  <c r="H19" i="3"/>
  <c r="BN22" i="176"/>
  <c r="BB18" i="170"/>
  <c r="E214" i="110" s="1"/>
  <c r="BN32" i="175"/>
  <c r="BN36" i="175"/>
  <c r="BN24" i="175"/>
  <c r="AC265" i="110" s="1"/>
  <c r="Z265" i="110" s="1"/>
  <c r="AY26" i="175"/>
  <c r="AY32" i="175"/>
  <c r="AY20" i="169"/>
  <c r="BN28" i="175"/>
  <c r="BN30" i="175"/>
  <c r="AC268" i="110" s="1"/>
  <c r="U268" i="110" s="1"/>
  <c r="AY24" i="175"/>
  <c r="BI26" i="170"/>
  <c r="BM26" i="170" s="1"/>
  <c r="BA26" i="170"/>
  <c r="AE218" i="110" s="1" a="1"/>
  <c r="AE218" i="110" s="1"/>
  <c r="BB26" i="170"/>
  <c r="AQ218" i="110" s="1"/>
  <c r="BI24" i="170"/>
  <c r="BA24" i="170"/>
  <c r="AE217" i="110" s="1" a="1"/>
  <c r="AE217" i="110" s="1"/>
  <c r="BB24" i="170"/>
  <c r="E217" i="110" s="1"/>
  <c r="BI24" i="175"/>
  <c r="BM24" i="175" s="1"/>
  <c r="BA24" i="175"/>
  <c r="BB24" i="175"/>
  <c r="AQ265" i="110" s="1"/>
  <c r="BI34" i="175"/>
  <c r="BM34" i="175" s="1"/>
  <c r="BA34" i="175"/>
  <c r="BB34" i="175"/>
  <c r="AE270" i="110" s="1" a="1"/>
  <c r="AE270" i="110" s="1"/>
  <c r="BI34" i="169"/>
  <c r="BM34" i="169" s="1"/>
  <c r="BB34" i="169"/>
  <c r="E206" i="110" s="1"/>
  <c r="BA34" i="169"/>
  <c r="BB24" i="169"/>
  <c r="AQ201" i="110" s="1"/>
  <c r="BA24" i="169"/>
  <c r="AE201" i="110" s="1" a="1"/>
  <c r="AE201" i="110" s="1"/>
  <c r="BI32" i="170"/>
  <c r="BM32" i="170" s="1"/>
  <c r="BB32" i="170"/>
  <c r="E221" i="110" s="1"/>
  <c r="BA32" i="170"/>
  <c r="AE221" i="110" s="1" a="1"/>
  <c r="AE221" i="110" s="1"/>
  <c r="BI34" i="170"/>
  <c r="BA34" i="170"/>
  <c r="AE222" i="110" s="1" a="1"/>
  <c r="AE222" i="110" s="1"/>
  <c r="BB34" i="170"/>
  <c r="AQ222" i="110" s="1"/>
  <c r="BI20" i="169"/>
  <c r="BB20" i="169"/>
  <c r="AQ199" i="110" s="1"/>
  <c r="BA20" i="169"/>
  <c r="BA20" i="175"/>
  <c r="BB20" i="175"/>
  <c r="AQ263" i="110" s="1"/>
  <c r="BB30" i="169"/>
  <c r="E204" i="110" s="1"/>
  <c r="BA30" i="169"/>
  <c r="BI30" i="175"/>
  <c r="BM30" i="175" s="1"/>
  <c r="BB30" i="175"/>
  <c r="AQ268" i="110" s="1"/>
  <c r="BA30" i="175"/>
  <c r="BI36" i="170"/>
  <c r="BM36" i="170" s="1"/>
  <c r="BA36" i="170"/>
  <c r="AE223" i="110" s="1" a="1"/>
  <c r="AE223" i="110" s="1"/>
  <c r="BB32" i="169"/>
  <c r="AQ205" i="110" s="1"/>
  <c r="BA32" i="169"/>
  <c r="BI28" i="170"/>
  <c r="BM28" i="170" s="1"/>
  <c r="BA28" i="170"/>
  <c r="AE219" i="110" s="1" a="1"/>
  <c r="AE219" i="110" s="1"/>
  <c r="BB28" i="170"/>
  <c r="E219" i="110" s="1"/>
  <c r="BA24" i="176"/>
  <c r="AE281" i="110" s="1" a="1"/>
  <c r="AE281" i="110" s="1"/>
  <c r="BB24" i="176"/>
  <c r="AQ281" i="110" s="1"/>
  <c r="BI32" i="175"/>
  <c r="BM32" i="175" s="1"/>
  <c r="BA32" i="175"/>
  <c r="BB32" i="175"/>
  <c r="AE269" i="110" s="1" a="1"/>
  <c r="AE269" i="110" s="1"/>
  <c r="BI26" i="169"/>
  <c r="BM26" i="169" s="1"/>
  <c r="BB26" i="169"/>
  <c r="E202" i="110" s="1"/>
  <c r="BA26" i="169"/>
  <c r="AE202" i="110" s="1" a="1"/>
  <c r="AE202" i="110" s="1"/>
  <c r="BI30" i="170"/>
  <c r="BA30" i="170"/>
  <c r="BB30" i="170"/>
  <c r="AQ220" i="110" s="1"/>
  <c r="BA22" i="176"/>
  <c r="BB22" i="176"/>
  <c r="AQ280" i="110" s="1"/>
  <c r="BN20" i="175"/>
  <c r="AC263" i="110" s="1"/>
  <c r="BB18" i="176"/>
  <c r="AQ278" i="110" s="1"/>
  <c r="BA18" i="176"/>
  <c r="BA28" i="175"/>
  <c r="BB28" i="175"/>
  <c r="AQ267" i="110" s="1"/>
  <c r="BI20" i="170"/>
  <c r="BB20" i="170"/>
  <c r="E215" i="110" s="1"/>
  <c r="BA20" i="170"/>
  <c r="BA36" i="175"/>
  <c r="BB36" i="175"/>
  <c r="AQ271" i="110" s="1"/>
  <c r="BI26" i="175"/>
  <c r="BM26" i="175" s="1"/>
  <c r="BB26" i="175"/>
  <c r="AQ266" i="110" s="1"/>
  <c r="BA26" i="175"/>
  <c r="AX30" i="176"/>
  <c r="H26" i="3" s="1"/>
  <c r="AO20" i="176"/>
  <c r="BI20" i="176" s="1"/>
  <c r="BM20" i="176" s="1"/>
  <c r="AY34" i="175"/>
  <c r="BN26" i="175"/>
  <c r="AY30" i="175"/>
  <c r="AY36" i="175"/>
  <c r="BI36" i="175"/>
  <c r="BM36" i="175" s="1"/>
  <c r="AY28" i="175"/>
  <c r="BI28" i="175"/>
  <c r="BM28" i="175" s="1"/>
  <c r="BN34" i="175"/>
  <c r="AC270" i="110" s="1"/>
  <c r="AY20" i="175"/>
  <c r="BI20" i="175"/>
  <c r="BM20" i="175" s="1"/>
  <c r="V191" i="110"/>
  <c r="AA191" i="110"/>
  <c r="V190" i="110"/>
  <c r="AA190" i="110"/>
  <c r="AA187" i="110"/>
  <c r="V187" i="110"/>
  <c r="AO18" i="169"/>
  <c r="C59" i="110"/>
  <c r="AS59" i="110" s="1"/>
  <c r="AY26" i="170"/>
  <c r="AD218" i="110" s="1" a="1"/>
  <c r="AD218" i="110" s="1"/>
  <c r="AC223" i="110"/>
  <c r="C142" i="110"/>
  <c r="AS142" i="110" s="1"/>
  <c r="AY34" i="170"/>
  <c r="C57" i="110"/>
  <c r="AS57" i="110" s="1"/>
  <c r="S187" i="110"/>
  <c r="T187" i="110"/>
  <c r="U187" i="110"/>
  <c r="H187" i="110"/>
  <c r="I187" i="110"/>
  <c r="J187" i="110"/>
  <c r="S191" i="110"/>
  <c r="T191" i="110"/>
  <c r="U191" i="110"/>
  <c r="H191" i="110"/>
  <c r="I191" i="110"/>
  <c r="J191" i="110"/>
  <c r="AY24" i="170"/>
  <c r="J35" i="110"/>
  <c r="U190" i="110"/>
  <c r="H190" i="110"/>
  <c r="I190" i="110"/>
  <c r="J190" i="110"/>
  <c r="S190" i="110"/>
  <c r="T190" i="110"/>
  <c r="AC219" i="110"/>
  <c r="J121" i="110"/>
  <c r="AY36" i="170"/>
  <c r="AY30" i="170"/>
  <c r="AY32" i="170"/>
  <c r="AC218" i="110"/>
  <c r="AY20" i="170"/>
  <c r="AY28" i="170"/>
  <c r="BN20" i="169"/>
  <c r="H15" i="3"/>
  <c r="AJ23" i="154"/>
  <c r="AK23" i="154"/>
  <c r="AL23" i="154"/>
  <c r="BN22" i="169"/>
  <c r="BN30" i="169"/>
  <c r="AC204" i="110" s="1"/>
  <c r="BN34" i="169"/>
  <c r="BN24" i="169"/>
  <c r="AC201" i="110" s="1"/>
  <c r="BN24" i="176"/>
  <c r="AC281" i="110" s="1"/>
  <c r="AB281" i="110" s="1"/>
  <c r="BN28" i="169"/>
  <c r="AC203" i="110" s="1"/>
  <c r="BN26" i="169"/>
  <c r="AC202" i="110" s="1"/>
  <c r="BN36" i="169"/>
  <c r="AC207" i="110" s="1"/>
  <c r="BN32" i="169"/>
  <c r="AC205" i="110" s="1"/>
  <c r="C110" i="110"/>
  <c r="AS110" i="110" s="1"/>
  <c r="C112" i="110"/>
  <c r="AS112" i="110" s="1"/>
  <c r="C56" i="110"/>
  <c r="AS56" i="110" s="1"/>
  <c r="C105" i="110"/>
  <c r="AS105" i="110" s="1"/>
  <c r="AP135" i="110"/>
  <c r="H16" i="3"/>
  <c r="C55" i="110"/>
  <c r="AS55" i="110" s="1"/>
  <c r="C109" i="110"/>
  <c r="AS109" i="110" s="1"/>
  <c r="C54" i="110"/>
  <c r="AS54" i="110" s="1"/>
  <c r="C58" i="110"/>
  <c r="AS58" i="110" s="1"/>
  <c r="AX36" i="160"/>
  <c r="C126" i="110"/>
  <c r="AS126" i="110" s="1"/>
  <c r="C107" i="110"/>
  <c r="AS107" i="110" s="1"/>
  <c r="C143" i="110"/>
  <c r="AS143" i="110" s="1"/>
  <c r="C104" i="110"/>
  <c r="AS104" i="110" s="1"/>
  <c r="C128" i="110"/>
  <c r="AS128" i="110" s="1"/>
  <c r="C140" i="110"/>
  <c r="AS140" i="110" s="1"/>
  <c r="C139" i="110"/>
  <c r="AS139" i="110" s="1"/>
  <c r="C141" i="110"/>
  <c r="AS141" i="110" s="1"/>
  <c r="C123" i="110"/>
  <c r="AS123" i="110" s="1"/>
  <c r="C111" i="110"/>
  <c r="AS111" i="110" s="1"/>
  <c r="C127" i="110"/>
  <c r="AS127" i="110" s="1"/>
  <c r="C108" i="110"/>
  <c r="AS108" i="110" s="1"/>
  <c r="C138" i="110"/>
  <c r="AS138" i="110" s="1"/>
  <c r="AO46" i="158"/>
  <c r="O18" i="110"/>
  <c r="Q18" i="110"/>
  <c r="AY30" i="169"/>
  <c r="K15" i="3"/>
  <c r="AY26" i="169"/>
  <c r="X12" i="163"/>
  <c r="AX200" i="163"/>
  <c r="C11" i="110"/>
  <c r="AS11" i="110" s="1"/>
  <c r="C15" i="110"/>
  <c r="AO20" i="158"/>
  <c r="AX24" i="162"/>
  <c r="R136" i="110"/>
  <c r="R121" i="110"/>
  <c r="BH22" i="163"/>
  <c r="BO22" i="163" s="1"/>
  <c r="O5" i="110"/>
  <c r="AY34" i="169"/>
  <c r="BI22" i="169"/>
  <c r="BM22" i="169" s="1"/>
  <c r="AY22" i="169"/>
  <c r="AD200" i="110" s="1" a="1"/>
  <c r="AD200" i="110" s="1"/>
  <c r="AY22" i="176"/>
  <c r="BI22" i="176"/>
  <c r="BM22" i="176" s="1"/>
  <c r="K24" i="3"/>
  <c r="K20" i="3"/>
  <c r="BD200" i="175"/>
  <c r="BC200" i="175"/>
  <c r="AY24" i="169"/>
  <c r="AY28" i="169"/>
  <c r="AD203" i="110" s="1" a="1"/>
  <c r="AD203" i="110" s="1"/>
  <c r="C13" i="110"/>
  <c r="AS13" i="110" s="1"/>
  <c r="AJ29" i="154"/>
  <c r="AY24" i="176"/>
  <c r="C17" i="110"/>
  <c r="AS17" i="110" s="1"/>
  <c r="C16" i="110"/>
  <c r="AS16" i="110" s="1"/>
  <c r="H14" i="3"/>
  <c r="C12" i="110"/>
  <c r="AS12" i="110" s="1"/>
  <c r="K25" i="3"/>
  <c r="BI32" i="169"/>
  <c r="BM32" i="169" s="1"/>
  <c r="BD200" i="169"/>
  <c r="AY30" i="176"/>
  <c r="K21" i="3"/>
  <c r="B42" i="110"/>
  <c r="AR42" i="110"/>
  <c r="B41" i="110"/>
  <c r="AR41" i="110"/>
  <c r="B39" i="110"/>
  <c r="AR39" i="110"/>
  <c r="B40" i="110"/>
  <c r="AR40" i="110"/>
  <c r="B38" i="110"/>
  <c r="AR38" i="110"/>
  <c r="B43" i="110"/>
  <c r="AR43" i="110"/>
  <c r="Z187" i="110"/>
  <c r="AB187" i="110"/>
  <c r="Z190" i="110"/>
  <c r="AB190" i="110"/>
  <c r="Z191" i="110"/>
  <c r="AB191" i="110"/>
  <c r="O190" i="110"/>
  <c r="Q190" i="110"/>
  <c r="O191" i="110"/>
  <c r="Q191" i="110"/>
  <c r="O187" i="110"/>
  <c r="Q187" i="110"/>
  <c r="B7" i="110"/>
  <c r="AR7" i="110"/>
  <c r="BI18" i="176"/>
  <c r="BM18" i="176" s="1"/>
  <c r="BE200" i="158"/>
  <c r="Q6" i="110"/>
  <c r="O6" i="110"/>
  <c r="BL22" i="158"/>
  <c r="C8" i="110"/>
  <c r="AS8" i="110" s="1"/>
  <c r="C10" i="110"/>
  <c r="AS10" i="110" s="1"/>
  <c r="R37" i="110"/>
  <c r="AO188" i="110"/>
  <c r="AY18" i="168"/>
  <c r="AO187" i="110"/>
  <c r="AO189" i="110"/>
  <c r="AO185" i="110"/>
  <c r="AK22" i="154"/>
  <c r="AJ22" i="154"/>
  <c r="AL22" i="154"/>
  <c r="AD103" i="110"/>
  <c r="H13" i="3"/>
  <c r="K13" i="3"/>
  <c r="AJ20" i="154"/>
  <c r="AK20" i="154"/>
  <c r="AL20" i="154"/>
  <c r="AX200" i="161"/>
  <c r="C125" i="110"/>
  <c r="AS125" i="110" s="1"/>
  <c r="C120" i="110"/>
  <c r="AS120" i="110" s="1"/>
  <c r="C137" i="110"/>
  <c r="AS137" i="110" s="1"/>
  <c r="O4" i="110"/>
  <c r="C124" i="110"/>
  <c r="AS124" i="110" s="1"/>
  <c r="AX200" i="159"/>
  <c r="K11" i="3"/>
  <c r="X12" i="159"/>
  <c r="K22" i="3"/>
  <c r="BE200" i="168"/>
  <c r="BB200" i="168"/>
  <c r="BC200" i="170"/>
  <c r="R187" i="110"/>
  <c r="R190" i="110"/>
  <c r="AO183" i="110"/>
  <c r="K19" i="3"/>
  <c r="AL29" i="154"/>
  <c r="AK29" i="154"/>
  <c r="I22" i="3"/>
  <c r="BC200" i="169"/>
  <c r="AK25" i="154"/>
  <c r="I19" i="3"/>
  <c r="AO186" i="110"/>
  <c r="AJ25" i="154"/>
  <c r="K23" i="3"/>
  <c r="BA200" i="168"/>
  <c r="BD200" i="170"/>
  <c r="AL25" i="154"/>
  <c r="AY32" i="169"/>
  <c r="AD205" i="110" s="1" a="1"/>
  <c r="AD205" i="110" s="1"/>
  <c r="R191" i="110"/>
  <c r="J19" i="3"/>
  <c r="AK19" i="154"/>
  <c r="H12" i="3"/>
  <c r="AL19" i="154"/>
  <c r="AJ19" i="154"/>
  <c r="AY18" i="176"/>
  <c r="B122" i="3"/>
  <c r="C155" i="3"/>
  <c r="C77" i="3"/>
  <c r="C156" i="3"/>
  <c r="C121" i="3"/>
  <c r="C124" i="3"/>
  <c r="C120" i="3"/>
  <c r="B111" i="3"/>
  <c r="B131" i="3"/>
  <c r="C166" i="3"/>
  <c r="B102" i="3"/>
  <c r="B117" i="3"/>
  <c r="B128" i="3"/>
  <c r="B167" i="3"/>
  <c r="C151" i="3"/>
  <c r="C123" i="3"/>
  <c r="C110" i="3"/>
  <c r="C160" i="3"/>
  <c r="C103" i="3"/>
  <c r="B105" i="3"/>
  <c r="B152" i="3"/>
  <c r="B76" i="3"/>
  <c r="C139" i="3"/>
  <c r="B158" i="3"/>
  <c r="B132" i="3"/>
  <c r="C135" i="3"/>
  <c r="B78" i="3"/>
  <c r="C134" i="3"/>
  <c r="B160" i="3"/>
  <c r="B154" i="3"/>
  <c r="C129" i="3"/>
  <c r="C153" i="3"/>
  <c r="C132" i="3"/>
  <c r="C127" i="3"/>
  <c r="C131" i="3"/>
  <c r="C102" i="3"/>
  <c r="B125" i="3"/>
  <c r="C150" i="3"/>
  <c r="B120" i="3"/>
  <c r="B166" i="3"/>
  <c r="C148" i="3"/>
  <c r="B157" i="3"/>
  <c r="B151" i="3"/>
  <c r="C76" i="3"/>
  <c r="B110" i="3"/>
  <c r="B106" i="3"/>
  <c r="B135" i="3"/>
  <c r="B136" i="3"/>
  <c r="C136" i="3"/>
  <c r="C106" i="3"/>
  <c r="B139" i="3"/>
  <c r="C133" i="3"/>
  <c r="B77" i="3"/>
  <c r="B133" i="3"/>
  <c r="B124" i="3"/>
  <c r="C157" i="3"/>
  <c r="B159" i="3"/>
  <c r="C138" i="3"/>
  <c r="B115" i="3"/>
  <c r="B156" i="3"/>
  <c r="B126" i="3"/>
  <c r="C137" i="3"/>
  <c r="B138" i="3"/>
  <c r="B153" i="3"/>
  <c r="C122" i="3"/>
  <c r="C78" i="3"/>
  <c r="B137" i="3"/>
  <c r="C154" i="3"/>
  <c r="C109" i="3"/>
  <c r="C105" i="3"/>
  <c r="C108" i="3"/>
  <c r="C115" i="3"/>
  <c r="C117" i="3"/>
  <c r="B104" i="3"/>
  <c r="B123" i="3"/>
  <c r="C126" i="3"/>
  <c r="C158" i="3"/>
  <c r="B108" i="3"/>
  <c r="C119" i="3"/>
  <c r="C125" i="3"/>
  <c r="B148" i="3"/>
  <c r="C167" i="3"/>
  <c r="B121" i="3"/>
  <c r="C118" i="3"/>
  <c r="B118" i="3"/>
  <c r="C149" i="3"/>
  <c r="C116" i="3"/>
  <c r="B155" i="3"/>
  <c r="B116" i="3"/>
  <c r="B150" i="3"/>
  <c r="B127" i="3"/>
  <c r="B134" i="3"/>
  <c r="C130" i="3"/>
  <c r="AR24" i="170" l="1"/>
  <c r="BK24" i="170" s="1"/>
  <c r="BL24" i="170"/>
  <c r="J52" i="110"/>
  <c r="C53" i="110"/>
  <c r="AS53" i="110" s="1"/>
  <c r="AT52" i="110" a="1"/>
  <c r="AT52" i="110" s="1"/>
  <c r="BI20" i="160"/>
  <c r="C122" i="110"/>
  <c r="AS122" i="110" s="1"/>
  <c r="BO18" i="163"/>
  <c r="AM76" i="110" a="1"/>
  <c r="AM76" i="110" s="1"/>
  <c r="AL76" i="110" a="1"/>
  <c r="AL76" i="110" s="1"/>
  <c r="AB254" i="110"/>
  <c r="Q254" i="110"/>
  <c r="X254" i="110"/>
  <c r="M254" i="110"/>
  <c r="L254" i="110"/>
  <c r="P254" i="110"/>
  <c r="W254" i="110"/>
  <c r="AA254" i="110"/>
  <c r="P252" i="110"/>
  <c r="W252" i="110"/>
  <c r="L252" i="110"/>
  <c r="AA252" i="110"/>
  <c r="X252" i="110"/>
  <c r="M252" i="110"/>
  <c r="AB252" i="110"/>
  <c r="Q252" i="110"/>
  <c r="X253" i="110"/>
  <c r="M253" i="110"/>
  <c r="AB253" i="110"/>
  <c r="Q253" i="110"/>
  <c r="AA253" i="110"/>
  <c r="P253" i="110"/>
  <c r="W253" i="110"/>
  <c r="L253" i="110"/>
  <c r="AB255" i="110"/>
  <c r="AA255" i="110"/>
  <c r="P255" i="110"/>
  <c r="X255" i="110"/>
  <c r="M255" i="110"/>
  <c r="Q255" i="110"/>
  <c r="W255" i="110"/>
  <c r="L255" i="110"/>
  <c r="X248" i="110"/>
  <c r="M248" i="110"/>
  <c r="AB248" i="110"/>
  <c r="Q248" i="110"/>
  <c r="AA248" i="110"/>
  <c r="P248" i="110"/>
  <c r="W248" i="110"/>
  <c r="L248" i="110"/>
  <c r="W250" i="110"/>
  <c r="L250" i="110"/>
  <c r="P250" i="110"/>
  <c r="X250" i="110"/>
  <c r="AB250" i="110"/>
  <c r="Q250" i="110"/>
  <c r="AA250" i="110"/>
  <c r="M250" i="110"/>
  <c r="X237" i="110"/>
  <c r="Q237" i="110"/>
  <c r="AA237" i="110"/>
  <c r="W237" i="110"/>
  <c r="P237" i="110"/>
  <c r="L237" i="110"/>
  <c r="AB237" i="110"/>
  <c r="M237" i="110"/>
  <c r="W231" i="110"/>
  <c r="L231" i="110"/>
  <c r="AA231" i="110"/>
  <c r="AB231" i="110"/>
  <c r="X231" i="110"/>
  <c r="Q231" i="110"/>
  <c r="M231" i="110"/>
  <c r="P231" i="110"/>
  <c r="AA233" i="110"/>
  <c r="W233" i="110"/>
  <c r="L233" i="110"/>
  <c r="AB233" i="110"/>
  <c r="X233" i="110"/>
  <c r="Q233" i="110"/>
  <c r="M233" i="110"/>
  <c r="P233" i="110"/>
  <c r="AA238" i="110"/>
  <c r="W238" i="110"/>
  <c r="P238" i="110"/>
  <c r="L238" i="110"/>
  <c r="AB238" i="110"/>
  <c r="X238" i="110"/>
  <c r="Q238" i="110"/>
  <c r="M238" i="110"/>
  <c r="AA234" i="110"/>
  <c r="W234" i="110"/>
  <c r="P234" i="110"/>
  <c r="L234" i="110"/>
  <c r="AB234" i="110"/>
  <c r="X234" i="110"/>
  <c r="Q234" i="110"/>
  <c r="M234" i="110"/>
  <c r="AA235" i="110"/>
  <c r="W235" i="110"/>
  <c r="P235" i="110"/>
  <c r="L235" i="110"/>
  <c r="AB235" i="110"/>
  <c r="X235" i="110"/>
  <c r="Q235" i="110"/>
  <c r="M235" i="110"/>
  <c r="AB232" i="110"/>
  <c r="X232" i="110"/>
  <c r="Q232" i="110"/>
  <c r="M232" i="110"/>
  <c r="AA232" i="110"/>
  <c r="W232" i="110"/>
  <c r="P232" i="110"/>
  <c r="L232" i="110"/>
  <c r="AA236" i="110"/>
  <c r="W236" i="110"/>
  <c r="P236" i="110"/>
  <c r="L236" i="110"/>
  <c r="AB236" i="110"/>
  <c r="X236" i="110"/>
  <c r="Q236" i="110"/>
  <c r="M236" i="110"/>
  <c r="AB239" i="110"/>
  <c r="X239" i="110"/>
  <c r="Q239" i="110"/>
  <c r="AA239" i="110"/>
  <c r="W239" i="110"/>
  <c r="P239" i="110"/>
  <c r="L239" i="110"/>
  <c r="M239" i="110"/>
  <c r="AM13" i="171"/>
  <c r="BA200" i="171"/>
  <c r="BB18" i="13"/>
  <c r="X246" i="110" s="1"/>
  <c r="BA18" i="13"/>
  <c r="W246" i="110" s="1"/>
  <c r="BI18" i="13"/>
  <c r="BM18" i="13" s="1"/>
  <c r="AM13" i="13" s="1"/>
  <c r="AY18" i="13"/>
  <c r="AO246" i="110" s="1"/>
  <c r="B68" i="110"/>
  <c r="AS68" i="110"/>
  <c r="AR68" i="110"/>
  <c r="AR70" i="110"/>
  <c r="AS70" i="110"/>
  <c r="B70" i="110"/>
  <c r="AR72" i="110"/>
  <c r="AS72" i="110"/>
  <c r="B72" i="110"/>
  <c r="AS69" i="110"/>
  <c r="AR69" i="110"/>
  <c r="B69" i="110"/>
  <c r="AR71" i="110"/>
  <c r="AS71" i="110"/>
  <c r="B71" i="110"/>
  <c r="BI18" i="159"/>
  <c r="AM13" i="159" s="1"/>
  <c r="AE284" i="110" a="1"/>
  <c r="AE284" i="110" s="1"/>
  <c r="AQ284" i="110"/>
  <c r="AD284" i="110" a="1"/>
  <c r="AD284" i="110" s="1"/>
  <c r="AO284" i="110"/>
  <c r="AP284" i="110"/>
  <c r="AE278" i="110" a="1"/>
  <c r="AE278" i="110" s="1"/>
  <c r="AE280" i="110" a="1"/>
  <c r="AE280" i="110" s="1"/>
  <c r="E280" i="110"/>
  <c r="AO280" i="110"/>
  <c r="AP280" i="110"/>
  <c r="AD281" i="110" a="1"/>
  <c r="AD281" i="110" s="1"/>
  <c r="AC280" i="110"/>
  <c r="AB280" i="110" s="1"/>
  <c r="AD278" i="110" a="1"/>
  <c r="AD278" i="110" s="1"/>
  <c r="AO281" i="110"/>
  <c r="AP281" i="110"/>
  <c r="AO278" i="110"/>
  <c r="AP278" i="110"/>
  <c r="AD280" i="110" a="1"/>
  <c r="AD280" i="110" s="1"/>
  <c r="C278" i="110"/>
  <c r="C280" i="110"/>
  <c r="B251" i="110"/>
  <c r="B247" i="110"/>
  <c r="B249" i="110"/>
  <c r="B254" i="110"/>
  <c r="B236" i="110"/>
  <c r="AE267" i="110" a="1"/>
  <c r="AE267" i="110" s="1"/>
  <c r="AE268" i="110" a="1"/>
  <c r="AE268" i="110" s="1"/>
  <c r="AE271" i="110" a="1"/>
  <c r="AE271" i="110" s="1"/>
  <c r="AE266" i="110" a="1"/>
  <c r="AE266" i="110" s="1"/>
  <c r="AE265" i="110" a="1"/>
  <c r="AE265" i="110" s="1"/>
  <c r="AE263" i="110" a="1"/>
  <c r="AE263" i="110" s="1"/>
  <c r="E265" i="110"/>
  <c r="E268" i="110"/>
  <c r="E266" i="110"/>
  <c r="AQ269" i="110"/>
  <c r="AQ270" i="110"/>
  <c r="E263" i="110"/>
  <c r="E271" i="110"/>
  <c r="AO271" i="110"/>
  <c r="AP271" i="110"/>
  <c r="AO266" i="110"/>
  <c r="AP266" i="110"/>
  <c r="AD265" i="110" a="1"/>
  <c r="AD265" i="110" s="1"/>
  <c r="AO263" i="110"/>
  <c r="AP263" i="110"/>
  <c r="AO268" i="110"/>
  <c r="AP268" i="110"/>
  <c r="AC266" i="110"/>
  <c r="Z266" i="110" s="1"/>
  <c r="AO270" i="110"/>
  <c r="AP270" i="110"/>
  <c r="AD270" i="110" a="1"/>
  <c r="AD270" i="110" s="1"/>
  <c r="AD271" i="110" a="1"/>
  <c r="AD271" i="110" s="1"/>
  <c r="AD268" i="110" a="1"/>
  <c r="AD268" i="110" s="1"/>
  <c r="AO265" i="110"/>
  <c r="AP265" i="110"/>
  <c r="AC271" i="110"/>
  <c r="AB271" i="110" s="1"/>
  <c r="AD267" i="110" a="1"/>
  <c r="AD267" i="110" s="1"/>
  <c r="AD266" i="110" a="1"/>
  <c r="AD266" i="110" s="1"/>
  <c r="AC267" i="110"/>
  <c r="U267" i="110" s="1"/>
  <c r="AC269" i="110"/>
  <c r="P269" i="110" s="1"/>
  <c r="AD269" i="110" a="1"/>
  <c r="AD269" i="110" s="1"/>
  <c r="AO267" i="110"/>
  <c r="AP267" i="110"/>
  <c r="AO269" i="110"/>
  <c r="AP269" i="110"/>
  <c r="AD263" i="110" a="1"/>
  <c r="AD263" i="110" s="1"/>
  <c r="C267" i="110"/>
  <c r="B267" i="110" s="1"/>
  <c r="C265" i="110"/>
  <c r="B265" i="110" s="1"/>
  <c r="C270" i="110"/>
  <c r="B270" i="110" s="1"/>
  <c r="C266" i="110"/>
  <c r="B266" i="110" s="1"/>
  <c r="C263" i="110"/>
  <c r="B263" i="110" s="1"/>
  <c r="C271" i="110"/>
  <c r="B271" i="110" s="1"/>
  <c r="AE220" i="110" a="1"/>
  <c r="AE220" i="110" s="1"/>
  <c r="AD223" i="110" a="1"/>
  <c r="AD223" i="110" s="1"/>
  <c r="AE215" i="110" a="1"/>
  <c r="AE215" i="110" s="1"/>
  <c r="AE214" i="110" a="1"/>
  <c r="AE214" i="110" s="1"/>
  <c r="E218" i="110"/>
  <c r="AQ215" i="110"/>
  <c r="AQ221" i="110"/>
  <c r="E222" i="110"/>
  <c r="AQ217" i="110"/>
  <c r="E220" i="110"/>
  <c r="AQ223" i="110"/>
  <c r="AO223" i="110"/>
  <c r="AP223" i="110"/>
  <c r="AD221" i="110" a="1"/>
  <c r="AD221" i="110" s="1"/>
  <c r="AC221" i="110"/>
  <c r="AQ219" i="110"/>
  <c r="AD219" i="110" a="1"/>
  <c r="AD219" i="110" s="1"/>
  <c r="AC222" i="110"/>
  <c r="AQ214" i="110"/>
  <c r="AD217" i="110" a="1"/>
  <c r="AD217" i="110" s="1"/>
  <c r="AO215" i="110"/>
  <c r="AP215" i="110"/>
  <c r="AO218" i="110"/>
  <c r="AP218" i="110"/>
  <c r="AD222" i="110" a="1"/>
  <c r="AD222" i="110" s="1"/>
  <c r="AO219" i="110"/>
  <c r="AP219" i="110"/>
  <c r="AO221" i="110"/>
  <c r="AP221" i="110"/>
  <c r="AO222" i="110"/>
  <c r="AP222" i="110"/>
  <c r="AO220" i="110"/>
  <c r="AP220" i="110"/>
  <c r="AO217" i="110"/>
  <c r="AP217" i="110"/>
  <c r="AD215" i="110" a="1"/>
  <c r="AD215" i="110" s="1"/>
  <c r="AD220" i="110" a="1"/>
  <c r="AD220" i="110" s="1"/>
  <c r="BM30" i="170"/>
  <c r="AC220" i="110" s="1"/>
  <c r="C220" i="110"/>
  <c r="B220" i="110" s="1"/>
  <c r="BM24" i="170"/>
  <c r="AC217" i="110" s="1"/>
  <c r="C217" i="110"/>
  <c r="B217" i="110" s="1"/>
  <c r="C223" i="110"/>
  <c r="B223" i="110" s="1"/>
  <c r="C219" i="110"/>
  <c r="B219" i="110" s="1"/>
  <c r="C218" i="110"/>
  <c r="B218" i="110" s="1"/>
  <c r="BM34" i="170"/>
  <c r="C222" i="110"/>
  <c r="B222" i="110" s="1"/>
  <c r="C221" i="110"/>
  <c r="B221" i="110" s="1"/>
  <c r="AE204" i="110" a="1"/>
  <c r="AE204" i="110" s="1"/>
  <c r="AE206" i="110" a="1"/>
  <c r="AE206" i="110" s="1"/>
  <c r="AE205" i="110" a="1"/>
  <c r="AE205" i="110" s="1"/>
  <c r="AE199" i="110" a="1"/>
  <c r="AE199" i="110" s="1"/>
  <c r="AQ204" i="110"/>
  <c r="E199" i="110"/>
  <c r="E205" i="110"/>
  <c r="AQ206" i="110"/>
  <c r="E201" i="110"/>
  <c r="AO199" i="110"/>
  <c r="AP199" i="110"/>
  <c r="AD204" i="110" a="1"/>
  <c r="AD204" i="110" s="1"/>
  <c r="AO201" i="110"/>
  <c r="AP201" i="110"/>
  <c r="AO207" i="110"/>
  <c r="AP207" i="110"/>
  <c r="AC206" i="110"/>
  <c r="AD206" i="110" a="1"/>
  <c r="AD206" i="110" s="1"/>
  <c r="AO206" i="110"/>
  <c r="AP206" i="110"/>
  <c r="AO204" i="110"/>
  <c r="AP204" i="110"/>
  <c r="AQ202" i="110"/>
  <c r="AD202" i="110" a="1"/>
  <c r="AD202" i="110" s="1"/>
  <c r="AC200" i="110"/>
  <c r="AD201" i="110" a="1"/>
  <c r="AD201" i="110" s="1"/>
  <c r="AO203" i="110"/>
  <c r="AP203" i="110"/>
  <c r="AO205" i="110"/>
  <c r="AP205" i="110"/>
  <c r="AO200" i="110"/>
  <c r="AP200" i="110"/>
  <c r="AO202" i="110"/>
  <c r="AP202" i="110"/>
  <c r="AD199" i="110" a="1"/>
  <c r="AD199" i="110" s="1"/>
  <c r="C206" i="110"/>
  <c r="B206" i="110" s="1"/>
  <c r="BM20" i="169"/>
  <c r="AC199" i="110" s="1"/>
  <c r="C199" i="110"/>
  <c r="B199" i="110" s="1"/>
  <c r="C205" i="110"/>
  <c r="B205" i="110" s="1"/>
  <c r="C202" i="110"/>
  <c r="B202" i="110" s="1"/>
  <c r="AO182" i="110"/>
  <c r="AQ182" i="110"/>
  <c r="J106" i="110"/>
  <c r="AD106" i="110"/>
  <c r="J144" i="110"/>
  <c r="AD144" i="110"/>
  <c r="J135" i="110"/>
  <c r="AD135" i="110"/>
  <c r="J60" i="110"/>
  <c r="AD60" i="110"/>
  <c r="AT51" i="110" a="1"/>
  <c r="AT51" i="110" s="1"/>
  <c r="AD51" i="110"/>
  <c r="AX46" i="158"/>
  <c r="AD18" i="110"/>
  <c r="BA200" i="170"/>
  <c r="AT144" i="110" a="1"/>
  <c r="AT144" i="110" s="1"/>
  <c r="K29" i="3"/>
  <c r="B44" i="110"/>
  <c r="AR44" i="110"/>
  <c r="AR36" i="160"/>
  <c r="AT60" i="110" s="1" a="1"/>
  <c r="AT60" i="110" s="1"/>
  <c r="AY18" i="169"/>
  <c r="BB18" i="169"/>
  <c r="E198" i="110" s="1"/>
  <c r="AK30" i="154"/>
  <c r="AL30" i="154"/>
  <c r="AL28" i="154"/>
  <c r="I24" i="3"/>
  <c r="AJ28" i="154"/>
  <c r="H10" i="3"/>
  <c r="C143" i="3" s="1"/>
  <c r="AK28" i="154"/>
  <c r="D151" i="3"/>
  <c r="D152" i="3"/>
  <c r="D157" i="3"/>
  <c r="D159" i="3"/>
  <c r="D154" i="3"/>
  <c r="D155" i="3"/>
  <c r="D156" i="3"/>
  <c r="D160" i="3"/>
  <c r="D153" i="3"/>
  <c r="D150" i="3"/>
  <c r="D158" i="3"/>
  <c r="D148" i="3"/>
  <c r="D133" i="3"/>
  <c r="D139" i="3"/>
  <c r="D127" i="3"/>
  <c r="D135" i="3"/>
  <c r="D137" i="3"/>
  <c r="D131" i="3"/>
  <c r="D138" i="3"/>
  <c r="D132" i="3"/>
  <c r="D126" i="3"/>
  <c r="D134" i="3"/>
  <c r="D128" i="3"/>
  <c r="D136" i="3"/>
  <c r="D125" i="3"/>
  <c r="D120" i="3"/>
  <c r="D124" i="3"/>
  <c r="D123" i="3"/>
  <c r="D117" i="3"/>
  <c r="D115" i="3"/>
  <c r="D116" i="3"/>
  <c r="D118" i="3"/>
  <c r="D121" i="3"/>
  <c r="D122" i="3"/>
  <c r="D110" i="3"/>
  <c r="D104" i="3"/>
  <c r="D106" i="3"/>
  <c r="D108" i="3"/>
  <c r="D111" i="3"/>
  <c r="D105" i="3"/>
  <c r="D102" i="3"/>
  <c r="D76" i="3"/>
  <c r="D77" i="3"/>
  <c r="D78" i="3"/>
  <c r="BA22" i="175"/>
  <c r="BB22" i="175"/>
  <c r="E264" i="110" s="1"/>
  <c r="I23" i="3"/>
  <c r="AJ30" i="154"/>
  <c r="BI22" i="175"/>
  <c r="BM22" i="175" s="1"/>
  <c r="BG22" i="175"/>
  <c r="AN284" i="110"/>
  <c r="AL31" i="154"/>
  <c r="AK31" i="154"/>
  <c r="AJ31" i="154"/>
  <c r="AY20" i="176"/>
  <c r="I25" i="3"/>
  <c r="BI18" i="169"/>
  <c r="BM18" i="169" s="1"/>
  <c r="BA18" i="169"/>
  <c r="AE198" i="110" s="1" a="1"/>
  <c r="AE198" i="110" s="1"/>
  <c r="I20" i="3"/>
  <c r="AJ26" i="154"/>
  <c r="AK26" i="154"/>
  <c r="AL26" i="154"/>
  <c r="BA20" i="176"/>
  <c r="BB20" i="176"/>
  <c r="E279" i="110" s="1"/>
  <c r="BG20" i="176"/>
  <c r="Z281" i="110"/>
  <c r="AA281" i="110"/>
  <c r="O270" i="110"/>
  <c r="Q270" i="110"/>
  <c r="R270" i="110"/>
  <c r="X270" i="110"/>
  <c r="S270" i="110"/>
  <c r="W270" i="110"/>
  <c r="K270" i="110"/>
  <c r="H270" i="110"/>
  <c r="M270" i="110"/>
  <c r="I270" i="110"/>
  <c r="J270" i="110"/>
  <c r="AA270" i="110"/>
  <c r="P270" i="110"/>
  <c r="L270" i="110"/>
  <c r="V270" i="110"/>
  <c r="T270" i="110"/>
  <c r="Z268" i="110"/>
  <c r="Z270" i="110"/>
  <c r="R263" i="110"/>
  <c r="S263" i="110"/>
  <c r="X263" i="110"/>
  <c r="Q263" i="110"/>
  <c r="W263" i="110"/>
  <c r="H263" i="110"/>
  <c r="M263" i="110"/>
  <c r="I263" i="110"/>
  <c r="K263" i="110"/>
  <c r="J263" i="110"/>
  <c r="L263" i="110"/>
  <c r="AA263" i="110"/>
  <c r="O263" i="110"/>
  <c r="P263" i="110"/>
  <c r="V263" i="110"/>
  <c r="T263" i="110"/>
  <c r="AB265" i="110"/>
  <c r="Z263" i="110"/>
  <c r="U265" i="110"/>
  <c r="U263" i="110"/>
  <c r="AA265" i="110"/>
  <c r="P265" i="110"/>
  <c r="Q265" i="110"/>
  <c r="K265" i="110"/>
  <c r="H265" i="110"/>
  <c r="I265" i="110"/>
  <c r="J265" i="110"/>
  <c r="M265" i="110"/>
  <c r="O265" i="110"/>
  <c r="S265" i="110"/>
  <c r="X265" i="110"/>
  <c r="R265" i="110"/>
  <c r="L265" i="110"/>
  <c r="W265" i="110"/>
  <c r="V265" i="110"/>
  <c r="T265" i="110"/>
  <c r="AB268" i="110"/>
  <c r="AB263" i="110"/>
  <c r="J268" i="110"/>
  <c r="M268" i="110"/>
  <c r="S268" i="110"/>
  <c r="Q268" i="110"/>
  <c r="W268" i="110"/>
  <c r="H268" i="110"/>
  <c r="K268" i="110"/>
  <c r="I268" i="110"/>
  <c r="P268" i="110"/>
  <c r="AA268" i="110"/>
  <c r="X268" i="110"/>
  <c r="L268" i="110"/>
  <c r="R268" i="110"/>
  <c r="O268" i="110"/>
  <c r="V268" i="110"/>
  <c r="T268" i="110"/>
  <c r="U270" i="110"/>
  <c r="AB270" i="110"/>
  <c r="P218" i="110"/>
  <c r="AA218" i="110"/>
  <c r="AA188" i="110"/>
  <c r="V188" i="110"/>
  <c r="V189" i="110"/>
  <c r="AA189" i="110"/>
  <c r="BG18" i="169"/>
  <c r="BO18" i="169" s="1"/>
  <c r="B59" i="110"/>
  <c r="AR59" i="110"/>
  <c r="B143" i="110"/>
  <c r="B142" i="110"/>
  <c r="AR142" i="110"/>
  <c r="B112" i="110"/>
  <c r="AR57" i="110"/>
  <c r="B57" i="110"/>
  <c r="B109" i="110"/>
  <c r="S170" i="110"/>
  <c r="T170" i="110"/>
  <c r="U170" i="110"/>
  <c r="H170" i="110"/>
  <c r="I170" i="110"/>
  <c r="J170" i="110"/>
  <c r="J103" i="110"/>
  <c r="J51" i="110"/>
  <c r="S165" i="110"/>
  <c r="T165" i="110"/>
  <c r="U165" i="110"/>
  <c r="H165" i="110"/>
  <c r="I165" i="110"/>
  <c r="J165" i="110"/>
  <c r="S158" i="110"/>
  <c r="T158" i="110"/>
  <c r="U158" i="110"/>
  <c r="H158" i="110"/>
  <c r="I158" i="110"/>
  <c r="J158" i="110"/>
  <c r="S177" i="110"/>
  <c r="T177" i="110"/>
  <c r="U177" i="110"/>
  <c r="H177" i="110"/>
  <c r="I177" i="110"/>
  <c r="J177" i="110"/>
  <c r="S178" i="110"/>
  <c r="T178" i="110"/>
  <c r="U178" i="110"/>
  <c r="H178" i="110"/>
  <c r="I178" i="110"/>
  <c r="J178" i="110"/>
  <c r="J179" i="110"/>
  <c r="S179" i="110"/>
  <c r="T179" i="110"/>
  <c r="U179" i="110"/>
  <c r="I179" i="110"/>
  <c r="H179" i="110"/>
  <c r="S174" i="110"/>
  <c r="T174" i="110"/>
  <c r="U174" i="110"/>
  <c r="H174" i="110"/>
  <c r="I174" i="110"/>
  <c r="J174" i="110"/>
  <c r="J189" i="110"/>
  <c r="S189" i="110"/>
  <c r="T189" i="110"/>
  <c r="U189" i="110"/>
  <c r="H189" i="110"/>
  <c r="I189" i="110"/>
  <c r="J171" i="110"/>
  <c r="S171" i="110"/>
  <c r="T171" i="110"/>
  <c r="U171" i="110"/>
  <c r="H171" i="110"/>
  <c r="I171" i="110"/>
  <c r="U176" i="110"/>
  <c r="H176" i="110"/>
  <c r="I176" i="110"/>
  <c r="J176" i="110"/>
  <c r="S176" i="110"/>
  <c r="T176" i="110"/>
  <c r="S173" i="110"/>
  <c r="T173" i="110"/>
  <c r="U173" i="110"/>
  <c r="H173" i="110"/>
  <c r="I173" i="110"/>
  <c r="J173" i="110"/>
  <c r="S162" i="110"/>
  <c r="T162" i="110"/>
  <c r="U162" i="110"/>
  <c r="H162" i="110"/>
  <c r="I162" i="110"/>
  <c r="J162" i="110"/>
  <c r="U160" i="110"/>
  <c r="H160" i="110"/>
  <c r="I160" i="110"/>
  <c r="J160" i="110"/>
  <c r="T160" i="110"/>
  <c r="S160" i="110"/>
  <c r="S161" i="110"/>
  <c r="T161" i="110"/>
  <c r="U161" i="110"/>
  <c r="H161" i="110"/>
  <c r="I161" i="110"/>
  <c r="J161" i="110"/>
  <c r="S166" i="110"/>
  <c r="T166" i="110"/>
  <c r="U166" i="110"/>
  <c r="H166" i="110"/>
  <c r="I166" i="110"/>
  <c r="J166" i="110"/>
  <c r="S218" i="110"/>
  <c r="T218" i="110"/>
  <c r="U218" i="110"/>
  <c r="H218" i="110"/>
  <c r="I218" i="110"/>
  <c r="J218" i="110"/>
  <c r="U172" i="110"/>
  <c r="H172" i="110"/>
  <c r="I172" i="110"/>
  <c r="J172" i="110"/>
  <c r="S172" i="110"/>
  <c r="T172" i="110"/>
  <c r="S169" i="110"/>
  <c r="T169" i="110"/>
  <c r="U169" i="110"/>
  <c r="H169" i="110"/>
  <c r="I169" i="110"/>
  <c r="J169" i="110"/>
  <c r="J167" i="110"/>
  <c r="S167" i="110"/>
  <c r="T167" i="110"/>
  <c r="U167" i="110"/>
  <c r="H167" i="110"/>
  <c r="I167" i="110"/>
  <c r="S154" i="110"/>
  <c r="T154" i="110"/>
  <c r="U154" i="110"/>
  <c r="H154" i="110"/>
  <c r="I154" i="110"/>
  <c r="J154" i="110"/>
  <c r="S157" i="110"/>
  <c r="T157" i="110"/>
  <c r="U157" i="110"/>
  <c r="H157" i="110"/>
  <c r="I157" i="110"/>
  <c r="J157" i="110"/>
  <c r="O156" i="110"/>
  <c r="U156" i="110"/>
  <c r="H156" i="110"/>
  <c r="I156" i="110"/>
  <c r="J156" i="110"/>
  <c r="T156" i="110"/>
  <c r="S156" i="110"/>
  <c r="U152" i="110"/>
  <c r="H152" i="110"/>
  <c r="I152" i="110"/>
  <c r="J152" i="110"/>
  <c r="S152" i="110"/>
  <c r="T152" i="110"/>
  <c r="J155" i="110"/>
  <c r="S155" i="110"/>
  <c r="T155" i="110"/>
  <c r="U155" i="110"/>
  <c r="I155" i="110"/>
  <c r="H155" i="110"/>
  <c r="U180" i="110"/>
  <c r="H180" i="110"/>
  <c r="I180" i="110"/>
  <c r="J180" i="110"/>
  <c r="S180" i="110"/>
  <c r="T180" i="110"/>
  <c r="U164" i="110"/>
  <c r="H164" i="110"/>
  <c r="I164" i="110"/>
  <c r="J164" i="110"/>
  <c r="S164" i="110"/>
  <c r="T164" i="110"/>
  <c r="Z159" i="110"/>
  <c r="J159" i="110"/>
  <c r="S159" i="110"/>
  <c r="T159" i="110"/>
  <c r="U159" i="110"/>
  <c r="H159" i="110"/>
  <c r="I159" i="110"/>
  <c r="U168" i="110"/>
  <c r="H168" i="110"/>
  <c r="I168" i="110"/>
  <c r="J168" i="110"/>
  <c r="S168" i="110"/>
  <c r="T168" i="110"/>
  <c r="S153" i="110"/>
  <c r="T153" i="110"/>
  <c r="U153" i="110"/>
  <c r="H153" i="110"/>
  <c r="I153" i="110"/>
  <c r="J153" i="110"/>
  <c r="J175" i="110"/>
  <c r="S175" i="110"/>
  <c r="T175" i="110"/>
  <c r="U175" i="110"/>
  <c r="I175" i="110"/>
  <c r="H175" i="110"/>
  <c r="S188" i="110"/>
  <c r="T188" i="110"/>
  <c r="U188" i="110"/>
  <c r="H188" i="110"/>
  <c r="I188" i="110"/>
  <c r="J188" i="110"/>
  <c r="O163" i="110"/>
  <c r="J163" i="110"/>
  <c r="S163" i="110"/>
  <c r="T163" i="110"/>
  <c r="U163" i="110"/>
  <c r="H163" i="110"/>
  <c r="I163" i="110"/>
  <c r="X218" i="110"/>
  <c r="M218" i="110"/>
  <c r="W218" i="110"/>
  <c r="L218" i="110"/>
  <c r="AR55" i="110"/>
  <c r="AR54" i="110"/>
  <c r="B54" i="110"/>
  <c r="AR109" i="110"/>
  <c r="B55" i="110"/>
  <c r="AR110" i="110"/>
  <c r="B110" i="110"/>
  <c r="N15" i="3"/>
  <c r="L15" i="3"/>
  <c r="R119" i="110"/>
  <c r="AM23" i="154"/>
  <c r="M15" i="3"/>
  <c r="AR139" i="110"/>
  <c r="B139" i="110"/>
  <c r="O15" i="3"/>
  <c r="AB12" i="163"/>
  <c r="AR58" i="110"/>
  <c r="B58" i="110"/>
  <c r="T12" i="163"/>
  <c r="AR56" i="110"/>
  <c r="B56" i="110"/>
  <c r="AR112" i="110"/>
  <c r="BO18" i="182"/>
  <c r="B126" i="110"/>
  <c r="X12" i="182"/>
  <c r="AR105" i="110"/>
  <c r="AR143" i="110"/>
  <c r="AR140" i="110"/>
  <c r="B140" i="110"/>
  <c r="B105" i="110"/>
  <c r="B107" i="110"/>
  <c r="AR128" i="110"/>
  <c r="B128" i="110"/>
  <c r="AR104" i="110"/>
  <c r="B104" i="110"/>
  <c r="AX200" i="182"/>
  <c r="K16" i="3"/>
  <c r="B111" i="110"/>
  <c r="AR126" i="110"/>
  <c r="B141" i="110"/>
  <c r="AR141" i="110"/>
  <c r="AR123" i="110"/>
  <c r="B123" i="110"/>
  <c r="B127" i="110"/>
  <c r="AR107" i="110"/>
  <c r="AR111" i="110"/>
  <c r="AR127" i="110"/>
  <c r="B138" i="110"/>
  <c r="AR138" i="110"/>
  <c r="AR108" i="110"/>
  <c r="B108" i="110"/>
  <c r="C136" i="110"/>
  <c r="B136" i="110" s="1"/>
  <c r="BF200" i="158"/>
  <c r="V156" i="110"/>
  <c r="M167" i="110"/>
  <c r="V159" i="110"/>
  <c r="R159" i="110"/>
  <c r="X156" i="110"/>
  <c r="R156" i="110"/>
  <c r="M156" i="110"/>
  <c r="K156" i="110"/>
  <c r="R167" i="110"/>
  <c r="X159" i="110"/>
  <c r="K159" i="110"/>
  <c r="M159" i="110"/>
  <c r="O159" i="110"/>
  <c r="Z156" i="110"/>
  <c r="K167" i="110"/>
  <c r="V167" i="110"/>
  <c r="X167" i="110"/>
  <c r="V218" i="110"/>
  <c r="O167" i="110"/>
  <c r="Z167" i="110"/>
  <c r="V163" i="110"/>
  <c r="X163" i="110"/>
  <c r="R163" i="110"/>
  <c r="M163" i="110"/>
  <c r="Z163" i="110"/>
  <c r="K163" i="110"/>
  <c r="AB218" i="110"/>
  <c r="R218" i="110"/>
  <c r="Z218" i="110"/>
  <c r="K218" i="110"/>
  <c r="Q218" i="110"/>
  <c r="O218" i="110"/>
  <c r="AR11" i="110"/>
  <c r="B11" i="110"/>
  <c r="B15" i="110"/>
  <c r="AS15" i="110"/>
  <c r="AR15" i="110"/>
  <c r="C121" i="110"/>
  <c r="AS121" i="110" s="1"/>
  <c r="R52" i="110"/>
  <c r="BH20" i="160"/>
  <c r="BO20" i="160" s="1"/>
  <c r="AR13" i="110"/>
  <c r="B13" i="110"/>
  <c r="B17" i="110"/>
  <c r="AR17" i="110"/>
  <c r="B16" i="110"/>
  <c r="AR16" i="110"/>
  <c r="AR12" i="110"/>
  <c r="B12" i="110"/>
  <c r="B124" i="110"/>
  <c r="AR124" i="110"/>
  <c r="B125" i="110"/>
  <c r="AR125" i="110"/>
  <c r="B137" i="110"/>
  <c r="AR137" i="110"/>
  <c r="N11" i="3"/>
  <c r="B120" i="110"/>
  <c r="AR120" i="110"/>
  <c r="B53" i="110"/>
  <c r="AR53" i="110"/>
  <c r="Z188" i="110"/>
  <c r="AB188" i="110"/>
  <c r="Z189" i="110"/>
  <c r="AB189" i="110"/>
  <c r="Z154" i="110"/>
  <c r="Z165" i="110"/>
  <c r="Z176" i="110"/>
  <c r="Z157" i="110"/>
  <c r="Z158" i="110"/>
  <c r="Z171" i="110"/>
  <c r="Z173" i="110"/>
  <c r="Z152" i="110"/>
  <c r="Z170" i="110"/>
  <c r="Z162" i="110"/>
  <c r="Z155" i="110"/>
  <c r="Z168" i="110"/>
  <c r="Z160" i="110"/>
  <c r="Z161" i="110"/>
  <c r="Z180" i="110"/>
  <c r="Z177" i="110"/>
  <c r="Z166" i="110"/>
  <c r="Z164" i="110"/>
  <c r="Z178" i="110"/>
  <c r="Z172" i="110"/>
  <c r="Z153" i="110"/>
  <c r="Z179" i="110"/>
  <c r="Z169" i="110"/>
  <c r="Z175" i="110"/>
  <c r="Z174" i="110"/>
  <c r="O188" i="110"/>
  <c r="Q188" i="110"/>
  <c r="O189" i="110"/>
  <c r="Q189" i="110"/>
  <c r="M161" i="110"/>
  <c r="O161" i="110"/>
  <c r="O180" i="110"/>
  <c r="K177" i="110"/>
  <c r="O177" i="110"/>
  <c r="X166" i="110"/>
  <c r="O166" i="110"/>
  <c r="K164" i="110"/>
  <c r="O164" i="110"/>
  <c r="O178" i="110"/>
  <c r="O172" i="110"/>
  <c r="O153" i="110"/>
  <c r="O179" i="110"/>
  <c r="O169" i="110"/>
  <c r="O175" i="110"/>
  <c r="O174" i="110"/>
  <c r="O154" i="110"/>
  <c r="R165" i="110"/>
  <c r="O165" i="110"/>
  <c r="O176" i="110"/>
  <c r="O157" i="110"/>
  <c r="K158" i="110"/>
  <c r="O158" i="110"/>
  <c r="O171" i="110"/>
  <c r="O173" i="110"/>
  <c r="R152" i="110"/>
  <c r="O152" i="110"/>
  <c r="O170" i="110"/>
  <c r="K162" i="110"/>
  <c r="O162" i="110"/>
  <c r="O155" i="110"/>
  <c r="R168" i="110"/>
  <c r="O168" i="110"/>
  <c r="K160" i="110"/>
  <c r="O160" i="110"/>
  <c r="B8" i="110"/>
  <c r="AR8" i="110"/>
  <c r="B10" i="110"/>
  <c r="AR10" i="110"/>
  <c r="BN30" i="176"/>
  <c r="AC284" i="110" s="1"/>
  <c r="AB284" i="110" s="1"/>
  <c r="AN278" i="110"/>
  <c r="AX22" i="158"/>
  <c r="AP6" i="110" s="1"/>
  <c r="C37" i="110"/>
  <c r="AS37" i="110" s="1"/>
  <c r="I21" i="3"/>
  <c r="BI18" i="170"/>
  <c r="R36" i="110"/>
  <c r="M162" i="110"/>
  <c r="X160" i="110"/>
  <c r="X155" i="110"/>
  <c r="X162" i="110"/>
  <c r="M155" i="110"/>
  <c r="K155" i="110"/>
  <c r="V173" i="110"/>
  <c r="V155" i="110"/>
  <c r="M168" i="110"/>
  <c r="X158" i="110"/>
  <c r="V158" i="110"/>
  <c r="M165" i="110"/>
  <c r="R158" i="110"/>
  <c r="M158" i="110"/>
  <c r="K165" i="110"/>
  <c r="K157" i="110"/>
  <c r="R157" i="110"/>
  <c r="X157" i="110"/>
  <c r="X168" i="110"/>
  <c r="X173" i="110"/>
  <c r="K169" i="110"/>
  <c r="R175" i="110"/>
  <c r="X175" i="110"/>
  <c r="V174" i="110"/>
  <c r="M153" i="110"/>
  <c r="V175" i="110"/>
  <c r="V172" i="110"/>
  <c r="R169" i="110"/>
  <c r="V168" i="110"/>
  <c r="M152" i="110"/>
  <c r="M170" i="110"/>
  <c r="K170" i="110"/>
  <c r="X170" i="110"/>
  <c r="R155" i="110"/>
  <c r="R162" i="110"/>
  <c r="V162" i="110"/>
  <c r="R170" i="110"/>
  <c r="R173" i="110"/>
  <c r="V160" i="110"/>
  <c r="R160" i="110"/>
  <c r="M160" i="110"/>
  <c r="K168" i="110"/>
  <c r="V152" i="110"/>
  <c r="K152" i="110"/>
  <c r="X152" i="110"/>
  <c r="V170" i="110"/>
  <c r="K173" i="110"/>
  <c r="M173" i="110"/>
  <c r="K176" i="110"/>
  <c r="R176" i="110"/>
  <c r="K154" i="110"/>
  <c r="M176" i="110"/>
  <c r="X154" i="110"/>
  <c r="X171" i="110"/>
  <c r="M171" i="110"/>
  <c r="K171" i="110"/>
  <c r="V154" i="110"/>
  <c r="R171" i="110"/>
  <c r="K166" i="110"/>
  <c r="M175" i="110"/>
  <c r="X177" i="110"/>
  <c r="V169" i="110"/>
  <c r="V161" i="110"/>
  <c r="R177" i="110"/>
  <c r="K178" i="110"/>
  <c r="X165" i="110"/>
  <c r="V165" i="110"/>
  <c r="M157" i="110"/>
  <c r="V157" i="110"/>
  <c r="V166" i="110"/>
  <c r="X176" i="110"/>
  <c r="V176" i="110"/>
  <c r="K175" i="110"/>
  <c r="K179" i="110"/>
  <c r="M154" i="110"/>
  <c r="R154" i="110"/>
  <c r="V171" i="110"/>
  <c r="K172" i="110"/>
  <c r="M174" i="110"/>
  <c r="V177" i="110"/>
  <c r="K153" i="110"/>
  <c r="R161" i="110"/>
  <c r="R166" i="110"/>
  <c r="M180" i="110"/>
  <c r="M177" i="110"/>
  <c r="R178" i="110"/>
  <c r="V178" i="110"/>
  <c r="X161" i="110"/>
  <c r="R164" i="110"/>
  <c r="V164" i="110"/>
  <c r="M166" i="110"/>
  <c r="R180" i="110"/>
  <c r="K180" i="110"/>
  <c r="X180" i="110"/>
  <c r="V179" i="110"/>
  <c r="X179" i="110"/>
  <c r="M172" i="110"/>
  <c r="R174" i="110"/>
  <c r="K174" i="110"/>
  <c r="X174" i="110"/>
  <c r="M169" i="110"/>
  <c r="X153" i="110"/>
  <c r="K161" i="110"/>
  <c r="M164" i="110"/>
  <c r="X164" i="110"/>
  <c r="V180" i="110"/>
  <c r="M179" i="110"/>
  <c r="R179" i="110"/>
  <c r="R172" i="110"/>
  <c r="M178" i="110"/>
  <c r="X178" i="110"/>
  <c r="X172" i="110"/>
  <c r="X169" i="110"/>
  <c r="R153" i="110"/>
  <c r="V153" i="110"/>
  <c r="AL27" i="154"/>
  <c r="AJ27" i="154"/>
  <c r="AK27" i="154"/>
  <c r="AY18" i="170"/>
  <c r="AD214" i="110" s="1" a="1"/>
  <c r="AD214" i="110" s="1"/>
  <c r="BG200" i="176"/>
  <c r="AX18" i="170"/>
  <c r="AX200" i="162"/>
  <c r="K14" i="3"/>
  <c r="X12" i="162"/>
  <c r="T12" i="161"/>
  <c r="R67" i="110"/>
  <c r="L13" i="3"/>
  <c r="O13" i="3"/>
  <c r="AB12" i="161"/>
  <c r="M13" i="3"/>
  <c r="AM20" i="154"/>
  <c r="L11" i="3"/>
  <c r="AB12" i="159"/>
  <c r="R35" i="110"/>
  <c r="AM18" i="154"/>
  <c r="M11" i="3"/>
  <c r="T12" i="159"/>
  <c r="O11" i="3"/>
  <c r="R4" i="110"/>
  <c r="R189" i="110"/>
  <c r="R188" i="110"/>
  <c r="K12" i="3"/>
  <c r="X12" i="160"/>
  <c r="AX200" i="160"/>
  <c r="C159" i="3"/>
  <c r="B119" i="3"/>
  <c r="B130" i="3"/>
  <c r="B129" i="3"/>
  <c r="C152" i="3"/>
  <c r="C104" i="3"/>
  <c r="B109" i="3"/>
  <c r="C107" i="3"/>
  <c r="C128" i="3"/>
  <c r="B107" i="3"/>
  <c r="B149" i="3"/>
  <c r="C111" i="3"/>
  <c r="B103" i="3"/>
  <c r="AR122" i="110" l="1"/>
  <c r="B122" i="110"/>
  <c r="C119" i="110"/>
  <c r="AS119" i="110" s="1"/>
  <c r="BI18" i="163"/>
  <c r="AM13" i="163" s="1"/>
  <c r="AT119" i="110" a="1"/>
  <c r="AT119" i="110" s="1"/>
  <c r="AM71" i="110" a="1"/>
  <c r="AM71" i="110" s="1"/>
  <c r="AL71" i="110" a="1"/>
  <c r="AL71" i="110" s="1"/>
  <c r="AM68" i="110" a="1"/>
  <c r="AM68" i="110" s="1"/>
  <c r="AL68" i="110" a="1"/>
  <c r="AL68" i="110" s="1"/>
  <c r="AM69" i="110" a="1"/>
  <c r="AM69" i="110" s="1"/>
  <c r="AL69" i="110" a="1"/>
  <c r="AL69" i="110" s="1"/>
  <c r="AM72" i="110" a="1"/>
  <c r="AM72" i="110" s="1"/>
  <c r="AL72" i="110" a="1"/>
  <c r="AL72" i="110" s="1"/>
  <c r="AM70" i="110" a="1"/>
  <c r="AM70" i="110" s="1"/>
  <c r="AL70" i="110" a="1"/>
  <c r="AL70" i="110" s="1"/>
  <c r="AA251" i="110"/>
  <c r="P251" i="110"/>
  <c r="W251" i="110"/>
  <c r="L251" i="110"/>
  <c r="Q251" i="110"/>
  <c r="X251" i="110"/>
  <c r="AB251" i="110"/>
  <c r="M251" i="110"/>
  <c r="X249" i="110"/>
  <c r="W249" i="110"/>
  <c r="L249" i="110"/>
  <c r="AB249" i="110"/>
  <c r="Q249" i="110"/>
  <c r="M249" i="110"/>
  <c r="AA249" i="110"/>
  <c r="P249" i="110"/>
  <c r="L247" i="110"/>
  <c r="AB247" i="110"/>
  <c r="Q247" i="110"/>
  <c r="X247" i="110"/>
  <c r="AA247" i="110"/>
  <c r="P247" i="110"/>
  <c r="M247" i="110"/>
  <c r="W247" i="110"/>
  <c r="BA200" i="13"/>
  <c r="BI18" i="160"/>
  <c r="S271" i="110"/>
  <c r="O271" i="110"/>
  <c r="M271" i="110"/>
  <c r="Z280" i="110"/>
  <c r="AA280" i="110"/>
  <c r="AQ279" i="110"/>
  <c r="AD279" i="110" a="1"/>
  <c r="AD279" i="110" s="1"/>
  <c r="BC200" i="176"/>
  <c r="AE279" i="110" a="1"/>
  <c r="AE279" i="110" s="1"/>
  <c r="BD200" i="176"/>
  <c r="V271" i="110"/>
  <c r="U271" i="110"/>
  <c r="Q271" i="110"/>
  <c r="AA271" i="110"/>
  <c r="J271" i="110"/>
  <c r="Z271" i="110"/>
  <c r="X267" i="110"/>
  <c r="K271" i="110"/>
  <c r="X271" i="110"/>
  <c r="W271" i="110"/>
  <c r="P271" i="110"/>
  <c r="L271" i="110"/>
  <c r="T271" i="110"/>
  <c r="H271" i="110"/>
  <c r="I271" i="110"/>
  <c r="R271" i="110"/>
  <c r="I266" i="110"/>
  <c r="I267" i="110"/>
  <c r="Z267" i="110"/>
  <c r="AB267" i="110"/>
  <c r="V267" i="110"/>
  <c r="W267" i="110"/>
  <c r="AB266" i="110"/>
  <c r="K267" i="110"/>
  <c r="U266" i="110"/>
  <c r="L267" i="110"/>
  <c r="AA267" i="110"/>
  <c r="J267" i="110"/>
  <c r="M267" i="110"/>
  <c r="R267" i="110"/>
  <c r="M269" i="110"/>
  <c r="P267" i="110"/>
  <c r="O267" i="110"/>
  <c r="T267" i="110"/>
  <c r="H267" i="110"/>
  <c r="L266" i="110"/>
  <c r="Q269" i="110"/>
  <c r="K266" i="110"/>
  <c r="S269" i="110"/>
  <c r="H266" i="110"/>
  <c r="AB269" i="110"/>
  <c r="H269" i="110"/>
  <c r="T266" i="110"/>
  <c r="S266" i="110"/>
  <c r="X269" i="110"/>
  <c r="V266" i="110"/>
  <c r="P266" i="110"/>
  <c r="O269" i="110"/>
  <c r="M266" i="110"/>
  <c r="R266" i="110"/>
  <c r="J269" i="110"/>
  <c r="W266" i="110"/>
  <c r="AA266" i="110"/>
  <c r="O266" i="110"/>
  <c r="Q266" i="110"/>
  <c r="U269" i="110"/>
  <c r="X266" i="110"/>
  <c r="Z269" i="110"/>
  <c r="J266" i="110"/>
  <c r="T269" i="110"/>
  <c r="V269" i="110"/>
  <c r="I269" i="110"/>
  <c r="L269" i="110"/>
  <c r="AA269" i="110"/>
  <c r="AE264" i="110" a="1"/>
  <c r="AE264" i="110" s="1"/>
  <c r="R269" i="110"/>
  <c r="K269" i="110"/>
  <c r="Q267" i="110"/>
  <c r="S267" i="110"/>
  <c r="W269" i="110"/>
  <c r="AQ264" i="110"/>
  <c r="AD264" i="110" a="1"/>
  <c r="AD264" i="110" s="1"/>
  <c r="AO214" i="110"/>
  <c r="AP214" i="110"/>
  <c r="W199" i="110"/>
  <c r="K199" i="110"/>
  <c r="O199" i="110"/>
  <c r="Q199" i="110"/>
  <c r="S199" i="110"/>
  <c r="T199" i="110"/>
  <c r="P199" i="110"/>
  <c r="U199" i="110"/>
  <c r="AA199" i="110"/>
  <c r="H199" i="110"/>
  <c r="Z199" i="110"/>
  <c r="V199" i="110"/>
  <c r="I199" i="110"/>
  <c r="L199" i="110"/>
  <c r="J199" i="110"/>
  <c r="AB199" i="110"/>
  <c r="R199" i="110"/>
  <c r="M199" i="110"/>
  <c r="X199" i="110"/>
  <c r="AQ198" i="110"/>
  <c r="AD198" i="110" a="1"/>
  <c r="AD198" i="110" s="1"/>
  <c r="AP198" i="110"/>
  <c r="N18" i="110"/>
  <c r="AP18" i="110"/>
  <c r="AD6" i="110"/>
  <c r="P6" i="110"/>
  <c r="J18" i="110"/>
  <c r="P18" i="110"/>
  <c r="J6" i="110"/>
  <c r="N6" i="110"/>
  <c r="AM13" i="182"/>
  <c r="BI36" i="160"/>
  <c r="BA200" i="175"/>
  <c r="BA200" i="169"/>
  <c r="BA200" i="176"/>
  <c r="R144" i="110"/>
  <c r="I29" i="3"/>
  <c r="R60" i="110"/>
  <c r="D149" i="3"/>
  <c r="C147" i="3" s="1"/>
  <c r="D130" i="3"/>
  <c r="D129" i="3"/>
  <c r="D119" i="3"/>
  <c r="D107" i="3"/>
  <c r="D109" i="3"/>
  <c r="D103" i="3"/>
  <c r="D75" i="3"/>
  <c r="C75" i="3"/>
  <c r="J24" i="3"/>
  <c r="BG200" i="175"/>
  <c r="BO22" i="175"/>
  <c r="AX22" i="175"/>
  <c r="AP264" i="110" s="1"/>
  <c r="J25" i="3"/>
  <c r="AX20" i="176"/>
  <c r="AO279" i="110" s="1"/>
  <c r="BO20" i="176"/>
  <c r="Z284" i="110"/>
  <c r="BL30" i="176"/>
  <c r="C284" i="110" s="1"/>
  <c r="Q281" i="110"/>
  <c r="P281" i="110"/>
  <c r="P217" i="110"/>
  <c r="AA217" i="110"/>
  <c r="AA223" i="110"/>
  <c r="P223" i="110"/>
  <c r="P219" i="110"/>
  <c r="AA219" i="110"/>
  <c r="AA222" i="110"/>
  <c r="P222" i="110"/>
  <c r="AA220" i="110"/>
  <c r="P220" i="110"/>
  <c r="AA221" i="110"/>
  <c r="P221" i="110"/>
  <c r="P207" i="110"/>
  <c r="AA207" i="110"/>
  <c r="AA204" i="110"/>
  <c r="P204" i="110"/>
  <c r="P206" i="110"/>
  <c r="AA206" i="110"/>
  <c r="P205" i="110"/>
  <c r="AA205" i="110"/>
  <c r="P200" i="110"/>
  <c r="AA200" i="110"/>
  <c r="P201" i="110"/>
  <c r="AA201" i="110"/>
  <c r="P203" i="110"/>
  <c r="AA203" i="110"/>
  <c r="P202" i="110"/>
  <c r="AA202" i="110"/>
  <c r="AX18" i="169"/>
  <c r="AO198" i="110" s="1"/>
  <c r="J20" i="3"/>
  <c r="BG200" i="169"/>
  <c r="U201" i="110"/>
  <c r="H201" i="110"/>
  <c r="I201" i="110"/>
  <c r="J201" i="110"/>
  <c r="S201" i="110"/>
  <c r="T201" i="110"/>
  <c r="S247" i="110"/>
  <c r="T247" i="110"/>
  <c r="U247" i="110"/>
  <c r="H247" i="110"/>
  <c r="I247" i="110"/>
  <c r="J247" i="110"/>
  <c r="S222" i="110"/>
  <c r="T222" i="110"/>
  <c r="U222" i="110"/>
  <c r="H222" i="110"/>
  <c r="I222" i="110"/>
  <c r="J222" i="110"/>
  <c r="S237" i="110"/>
  <c r="T237" i="110"/>
  <c r="U237" i="110"/>
  <c r="H237" i="110"/>
  <c r="I237" i="110"/>
  <c r="J237" i="110"/>
  <c r="U231" i="110"/>
  <c r="H231" i="110"/>
  <c r="I231" i="110"/>
  <c r="J231" i="110"/>
  <c r="S231" i="110"/>
  <c r="T231" i="110"/>
  <c r="U220" i="110"/>
  <c r="H220" i="110"/>
  <c r="I220" i="110"/>
  <c r="J220" i="110"/>
  <c r="T220" i="110"/>
  <c r="S220" i="110"/>
  <c r="S217" i="110"/>
  <c r="T217" i="110"/>
  <c r="U217" i="110"/>
  <c r="H217" i="110"/>
  <c r="I217" i="110"/>
  <c r="J217" i="110"/>
  <c r="S202" i="110"/>
  <c r="T202" i="110"/>
  <c r="U202" i="110"/>
  <c r="H202" i="110"/>
  <c r="I202" i="110"/>
  <c r="J202" i="110"/>
  <c r="S221" i="110"/>
  <c r="T221" i="110"/>
  <c r="U221" i="110"/>
  <c r="H221" i="110"/>
  <c r="I221" i="110"/>
  <c r="J221" i="110"/>
  <c r="J238" i="110"/>
  <c r="S238" i="110"/>
  <c r="T238" i="110"/>
  <c r="U238" i="110"/>
  <c r="H238" i="110"/>
  <c r="I238" i="110"/>
  <c r="S203" i="110"/>
  <c r="T203" i="110"/>
  <c r="U203" i="110"/>
  <c r="H203" i="110"/>
  <c r="I203" i="110"/>
  <c r="J203" i="110"/>
  <c r="U281" i="110"/>
  <c r="H281" i="110"/>
  <c r="I281" i="110"/>
  <c r="J281" i="110"/>
  <c r="T281" i="110"/>
  <c r="S281" i="110"/>
  <c r="S251" i="110"/>
  <c r="T251" i="110"/>
  <c r="U251" i="110"/>
  <c r="H251" i="110"/>
  <c r="I251" i="110"/>
  <c r="J251" i="110"/>
  <c r="S207" i="110"/>
  <c r="T207" i="110"/>
  <c r="U207" i="110"/>
  <c r="H207" i="110"/>
  <c r="I207" i="110"/>
  <c r="J207" i="110"/>
  <c r="J204" i="110"/>
  <c r="S204" i="110"/>
  <c r="T204" i="110"/>
  <c r="U204" i="110"/>
  <c r="H204" i="110"/>
  <c r="I204" i="110"/>
  <c r="J234" i="110"/>
  <c r="S234" i="110"/>
  <c r="T234" i="110"/>
  <c r="U234" i="110"/>
  <c r="H234" i="110"/>
  <c r="I234" i="110"/>
  <c r="S255" i="110"/>
  <c r="T255" i="110"/>
  <c r="U255" i="110"/>
  <c r="H255" i="110"/>
  <c r="I255" i="110"/>
  <c r="J255" i="110"/>
  <c r="S252" i="110"/>
  <c r="T252" i="110"/>
  <c r="U252" i="110"/>
  <c r="H252" i="110"/>
  <c r="I252" i="110"/>
  <c r="J252" i="110"/>
  <c r="S206" i="110"/>
  <c r="T206" i="110"/>
  <c r="U206" i="110"/>
  <c r="H206" i="110"/>
  <c r="I206" i="110"/>
  <c r="J206" i="110"/>
  <c r="S233" i="110"/>
  <c r="T233" i="110"/>
  <c r="U233" i="110"/>
  <c r="H233" i="110"/>
  <c r="I233" i="110"/>
  <c r="J233" i="110"/>
  <c r="S236" i="110"/>
  <c r="T236" i="110"/>
  <c r="U236" i="110"/>
  <c r="H236" i="110"/>
  <c r="I236" i="110"/>
  <c r="J236" i="110"/>
  <c r="J249" i="110"/>
  <c r="S249" i="110"/>
  <c r="T249" i="110"/>
  <c r="U249" i="110"/>
  <c r="I249" i="110"/>
  <c r="H249" i="110"/>
  <c r="U205" i="110"/>
  <c r="H205" i="110"/>
  <c r="I205" i="110"/>
  <c r="J205" i="110"/>
  <c r="S205" i="110"/>
  <c r="T205" i="110"/>
  <c r="J223" i="110"/>
  <c r="S223" i="110"/>
  <c r="T223" i="110"/>
  <c r="U223" i="110"/>
  <c r="H223" i="110"/>
  <c r="I223" i="110"/>
  <c r="J280" i="110"/>
  <c r="S280" i="110"/>
  <c r="T280" i="110"/>
  <c r="U280" i="110"/>
  <c r="I280" i="110"/>
  <c r="H280" i="110"/>
  <c r="J219" i="110"/>
  <c r="S219" i="110"/>
  <c r="T219" i="110"/>
  <c r="U219" i="110"/>
  <c r="H219" i="110"/>
  <c r="I219" i="110"/>
  <c r="J253" i="110"/>
  <c r="S253" i="110"/>
  <c r="T253" i="110"/>
  <c r="U253" i="110"/>
  <c r="I253" i="110"/>
  <c r="H253" i="110"/>
  <c r="S232" i="110"/>
  <c r="T232" i="110"/>
  <c r="U232" i="110"/>
  <c r="H232" i="110"/>
  <c r="I232" i="110"/>
  <c r="J232" i="110"/>
  <c r="U254" i="110"/>
  <c r="H254" i="110"/>
  <c r="I254" i="110"/>
  <c r="J254" i="110"/>
  <c r="T254" i="110"/>
  <c r="S254" i="110"/>
  <c r="U250" i="110"/>
  <c r="H250" i="110"/>
  <c r="I250" i="110"/>
  <c r="J250" i="110"/>
  <c r="S250" i="110"/>
  <c r="T250" i="110"/>
  <c r="S248" i="110"/>
  <c r="T248" i="110"/>
  <c r="U248" i="110"/>
  <c r="H248" i="110"/>
  <c r="I248" i="110"/>
  <c r="J248" i="110"/>
  <c r="U235" i="110"/>
  <c r="H235" i="110"/>
  <c r="I235" i="110"/>
  <c r="J235" i="110"/>
  <c r="S235" i="110"/>
  <c r="T235" i="110"/>
  <c r="U239" i="110"/>
  <c r="H239" i="110"/>
  <c r="I239" i="110"/>
  <c r="J239" i="110"/>
  <c r="S239" i="110"/>
  <c r="T239" i="110"/>
  <c r="J200" i="110"/>
  <c r="S200" i="110"/>
  <c r="T200" i="110"/>
  <c r="U200" i="110"/>
  <c r="H200" i="110"/>
  <c r="I200" i="110"/>
  <c r="X280" i="110"/>
  <c r="W280" i="110"/>
  <c r="X281" i="110"/>
  <c r="W281" i="110"/>
  <c r="L280" i="110"/>
  <c r="M280" i="110"/>
  <c r="M281" i="110"/>
  <c r="L281" i="110"/>
  <c r="W200" i="110"/>
  <c r="X200" i="110"/>
  <c r="M201" i="110"/>
  <c r="W201" i="110"/>
  <c r="X201" i="110"/>
  <c r="M203" i="110"/>
  <c r="X203" i="110"/>
  <c r="W203" i="110"/>
  <c r="M202" i="110"/>
  <c r="W202" i="110"/>
  <c r="X202" i="110"/>
  <c r="M207" i="110"/>
  <c r="X207" i="110"/>
  <c r="W207" i="110"/>
  <c r="M204" i="110"/>
  <c r="W204" i="110"/>
  <c r="X204" i="110"/>
  <c r="M206" i="110"/>
  <c r="X206" i="110"/>
  <c r="W206" i="110"/>
  <c r="M205" i="110"/>
  <c r="X205" i="110"/>
  <c r="W205" i="110"/>
  <c r="Z232" i="110"/>
  <c r="K239" i="110"/>
  <c r="Z238" i="110"/>
  <c r="Z233" i="110"/>
  <c r="Z249" i="110"/>
  <c r="AB223" i="110"/>
  <c r="X223" i="110"/>
  <c r="M223" i="110"/>
  <c r="W223" i="110"/>
  <c r="L223" i="110"/>
  <c r="AB217" i="110"/>
  <c r="X217" i="110"/>
  <c r="W217" i="110"/>
  <c r="L217" i="110"/>
  <c r="M217" i="110"/>
  <c r="Z222" i="110"/>
  <c r="X222" i="110"/>
  <c r="M222" i="110"/>
  <c r="W222" i="110"/>
  <c r="L222" i="110"/>
  <c r="AB220" i="110"/>
  <c r="W220" i="110"/>
  <c r="L220" i="110"/>
  <c r="X220" i="110"/>
  <c r="M220" i="110"/>
  <c r="Q221" i="110"/>
  <c r="X221" i="110"/>
  <c r="M221" i="110"/>
  <c r="W221" i="110"/>
  <c r="L221" i="110"/>
  <c r="X219" i="110"/>
  <c r="M219" i="110"/>
  <c r="W219" i="110"/>
  <c r="L219" i="110"/>
  <c r="L200" i="110"/>
  <c r="M200" i="110"/>
  <c r="R203" i="110"/>
  <c r="L203" i="110"/>
  <c r="Z207" i="110"/>
  <c r="L207" i="110"/>
  <c r="AB202" i="110"/>
  <c r="L202" i="110"/>
  <c r="O204" i="110"/>
  <c r="L204" i="110"/>
  <c r="Q206" i="110"/>
  <c r="L206" i="110"/>
  <c r="L201" i="110"/>
  <c r="L205" i="110"/>
  <c r="M16" i="3"/>
  <c r="R135" i="110"/>
  <c r="C135" i="110" s="1"/>
  <c r="AS135" i="110" s="1"/>
  <c r="N16" i="3"/>
  <c r="T12" i="182"/>
  <c r="L16" i="3"/>
  <c r="AM21" i="154"/>
  <c r="O16" i="3"/>
  <c r="AB12" i="182"/>
  <c r="BH36" i="160"/>
  <c r="BO36" i="160" s="1"/>
  <c r="V221" i="110"/>
  <c r="V237" i="110"/>
  <c r="K221" i="110"/>
  <c r="AR136" i="110"/>
  <c r="AS136" i="110"/>
  <c r="R221" i="110"/>
  <c r="V220" i="110"/>
  <c r="O221" i="110"/>
  <c r="R220" i="110"/>
  <c r="K220" i="110"/>
  <c r="AR119" i="110"/>
  <c r="Q220" i="110"/>
  <c r="O220" i="110"/>
  <c r="AB221" i="110"/>
  <c r="Z220" i="110"/>
  <c r="V203" i="110"/>
  <c r="Q203" i="110"/>
  <c r="Z203" i="110"/>
  <c r="K203" i="110"/>
  <c r="O203" i="110"/>
  <c r="AB203" i="110"/>
  <c r="K237" i="110"/>
  <c r="R237" i="110"/>
  <c r="Z221" i="110"/>
  <c r="O250" i="110"/>
  <c r="Z237" i="110"/>
  <c r="R250" i="110"/>
  <c r="Z250" i="110"/>
  <c r="V250" i="110"/>
  <c r="K250" i="110"/>
  <c r="Z200" i="110"/>
  <c r="O237" i="110"/>
  <c r="Q200" i="110"/>
  <c r="K200" i="110"/>
  <c r="O200" i="110"/>
  <c r="AB200" i="110"/>
  <c r="R200" i="110"/>
  <c r="V200" i="110"/>
  <c r="R233" i="110"/>
  <c r="V233" i="110"/>
  <c r="O233" i="110"/>
  <c r="K233" i="110"/>
  <c r="R106" i="110"/>
  <c r="R18" i="110"/>
  <c r="BH46" i="158"/>
  <c r="BO46" i="158" s="1"/>
  <c r="R103" i="110"/>
  <c r="AM19" i="154"/>
  <c r="V217" i="110"/>
  <c r="V247" i="110"/>
  <c r="R247" i="110"/>
  <c r="Z247" i="110"/>
  <c r="R204" i="110"/>
  <c r="R217" i="110"/>
  <c r="K217" i="110"/>
  <c r="O217" i="110"/>
  <c r="Z251" i="110"/>
  <c r="Z253" i="110"/>
  <c r="O247" i="110"/>
  <c r="V204" i="110"/>
  <c r="K253" i="110"/>
  <c r="O251" i="110"/>
  <c r="K247" i="110"/>
  <c r="O253" i="110"/>
  <c r="V253" i="110"/>
  <c r="R251" i="110"/>
  <c r="R253" i="110"/>
  <c r="K251" i="110"/>
  <c r="V251" i="110"/>
  <c r="O254" i="110"/>
  <c r="K281" i="110"/>
  <c r="AB204" i="110"/>
  <c r="V223" i="110"/>
  <c r="Z223" i="110"/>
  <c r="V236" i="110"/>
  <c r="Z206" i="110"/>
  <c r="K236" i="110"/>
  <c r="R236" i="110"/>
  <c r="O236" i="110"/>
  <c r="O206" i="110"/>
  <c r="O223" i="110"/>
  <c r="K223" i="110"/>
  <c r="Q223" i="110"/>
  <c r="K204" i="110"/>
  <c r="R222" i="110"/>
  <c r="Z236" i="110"/>
  <c r="V254" i="110"/>
  <c r="R206" i="110"/>
  <c r="K254" i="110"/>
  <c r="Z254" i="110"/>
  <c r="K206" i="110"/>
  <c r="O248" i="110"/>
  <c r="R254" i="110"/>
  <c r="R248" i="110"/>
  <c r="Z255" i="110"/>
  <c r="K248" i="110"/>
  <c r="V206" i="110"/>
  <c r="O255" i="110"/>
  <c r="K255" i="110"/>
  <c r="AB206" i="110"/>
  <c r="Z217" i="110"/>
  <c r="O239" i="110"/>
  <c r="Z239" i="110"/>
  <c r="R281" i="110"/>
  <c r="K231" i="110"/>
  <c r="O231" i="110"/>
  <c r="AB222" i="110"/>
  <c r="Q222" i="110"/>
  <c r="K238" i="110"/>
  <c r="K222" i="110"/>
  <c r="V281" i="110"/>
  <c r="R238" i="110"/>
  <c r="R239" i="110"/>
  <c r="O222" i="110"/>
  <c r="Q217" i="110"/>
  <c r="Z231" i="110"/>
  <c r="V222" i="110"/>
  <c r="V231" i="110"/>
  <c r="O238" i="110"/>
  <c r="O281" i="110"/>
  <c r="V238" i="110"/>
  <c r="R231" i="110"/>
  <c r="V239" i="110"/>
  <c r="Q205" i="110"/>
  <c r="Z204" i="110"/>
  <c r="R255" i="110"/>
  <c r="Q204" i="110"/>
  <c r="V248" i="110"/>
  <c r="V255" i="110"/>
  <c r="V280" i="110"/>
  <c r="Q201" i="110"/>
  <c r="AB205" i="110"/>
  <c r="O205" i="110"/>
  <c r="V201" i="110"/>
  <c r="AB201" i="110"/>
  <c r="O249" i="110"/>
  <c r="O201" i="110"/>
  <c r="Z201" i="110"/>
  <c r="K205" i="110"/>
  <c r="K201" i="110"/>
  <c r="V205" i="110"/>
  <c r="V249" i="110"/>
  <c r="AB219" i="110"/>
  <c r="R201" i="110"/>
  <c r="R205" i="110"/>
  <c r="Z205" i="110"/>
  <c r="K249" i="110"/>
  <c r="R249" i="110"/>
  <c r="Z219" i="110"/>
  <c r="Z248" i="110"/>
  <c r="Q219" i="110"/>
  <c r="R252" i="110"/>
  <c r="K252" i="110"/>
  <c r="O219" i="110"/>
  <c r="V219" i="110"/>
  <c r="O207" i="110"/>
  <c r="Z202" i="110"/>
  <c r="R207" i="110"/>
  <c r="O202" i="110"/>
  <c r="V207" i="110"/>
  <c r="R202" i="110"/>
  <c r="AB207" i="110"/>
  <c r="V202" i="110"/>
  <c r="Q207" i="110"/>
  <c r="K207" i="110"/>
  <c r="K232" i="110"/>
  <c r="Q202" i="110"/>
  <c r="K219" i="110"/>
  <c r="R219" i="110"/>
  <c r="R232" i="110"/>
  <c r="K202" i="110"/>
  <c r="V252" i="110"/>
  <c r="Z234" i="110"/>
  <c r="O234" i="110"/>
  <c r="R235" i="110"/>
  <c r="K235" i="110"/>
  <c r="K280" i="110"/>
  <c r="V232" i="110"/>
  <c r="O252" i="110"/>
  <c r="R223" i="110"/>
  <c r="V234" i="110"/>
  <c r="Z252" i="110"/>
  <c r="O232" i="110"/>
  <c r="R234" i="110"/>
  <c r="O235" i="110"/>
  <c r="K234" i="110"/>
  <c r="O280" i="110"/>
  <c r="R280" i="110"/>
  <c r="V235" i="110"/>
  <c r="Z235" i="110"/>
  <c r="B280" i="110"/>
  <c r="BH24" i="162"/>
  <c r="BO24" i="162" s="1"/>
  <c r="B121" i="110"/>
  <c r="AR121" i="110"/>
  <c r="C52" i="110"/>
  <c r="AM22" i="154"/>
  <c r="N12" i="3"/>
  <c r="N14" i="3"/>
  <c r="T12" i="162"/>
  <c r="BO18" i="162"/>
  <c r="M14" i="3"/>
  <c r="O14" i="3"/>
  <c r="AB12" i="162"/>
  <c r="L14" i="3"/>
  <c r="AB12" i="160"/>
  <c r="L12" i="3"/>
  <c r="R51" i="110"/>
  <c r="T12" i="160"/>
  <c r="O12" i="3"/>
  <c r="BO18" i="160"/>
  <c r="M12" i="3"/>
  <c r="B37" i="110"/>
  <c r="AR37" i="110"/>
  <c r="C36" i="110"/>
  <c r="AS36" i="110" s="1"/>
  <c r="C35" i="110"/>
  <c r="AS35" i="110" s="1"/>
  <c r="J21" i="3"/>
  <c r="BG200" i="170"/>
  <c r="C67" i="110"/>
  <c r="AS67" i="110" s="1"/>
  <c r="C4" i="110"/>
  <c r="AS4" i="110" s="1"/>
  <c r="B119" i="110" l="1"/>
  <c r="AM67" i="110" a="1"/>
  <c r="AM67" i="110" s="1"/>
  <c r="AL67" i="110" a="1"/>
  <c r="AL67" i="110" s="1"/>
  <c r="AM13" i="160"/>
  <c r="AP279" i="110"/>
  <c r="AN264" i="110"/>
  <c r="AO264" i="110"/>
  <c r="C144" i="110"/>
  <c r="AS144" i="110" s="1"/>
  <c r="J29" i="3"/>
  <c r="N26" i="3"/>
  <c r="M26" i="3"/>
  <c r="L26" i="3"/>
  <c r="O26" i="3"/>
  <c r="C60" i="110"/>
  <c r="AS60" i="110" s="1"/>
  <c r="E75" i="3"/>
  <c r="R14" i="154" s="1"/>
  <c r="D147" i="3"/>
  <c r="D101" i="3"/>
  <c r="C114" i="3"/>
  <c r="C101" i="3"/>
  <c r="D114" i="3"/>
  <c r="AN279" i="110"/>
  <c r="H25" i="3"/>
  <c r="AN198" i="110"/>
  <c r="H20" i="3"/>
  <c r="P25" i="3"/>
  <c r="Q280" i="110"/>
  <c r="P280" i="110"/>
  <c r="AR135" i="110"/>
  <c r="B135" i="110"/>
  <c r="C106" i="110"/>
  <c r="B106" i="110" s="1"/>
  <c r="C103" i="110"/>
  <c r="AS103" i="110" s="1"/>
  <c r="C18" i="110"/>
  <c r="AS18" i="110" s="1"/>
  <c r="B52" i="110"/>
  <c r="AS52" i="110"/>
  <c r="AR52" i="110"/>
  <c r="R6" i="110"/>
  <c r="C51" i="110"/>
  <c r="BH22" i="158"/>
  <c r="BO22" i="158" s="1"/>
  <c r="B36" i="110"/>
  <c r="AR36" i="110"/>
  <c r="B35" i="110"/>
  <c r="AR35" i="110"/>
  <c r="B67" i="110"/>
  <c r="AR67" i="110"/>
  <c r="B4" i="110"/>
  <c r="AR4" i="110"/>
  <c r="T18" i="81"/>
  <c r="R16" i="154"/>
  <c r="B144" i="110" l="1"/>
  <c r="AR144" i="110"/>
  <c r="AR60" i="110"/>
  <c r="B60" i="110"/>
  <c r="E101" i="3"/>
  <c r="T19" i="81" s="1"/>
  <c r="E114" i="3"/>
  <c r="T20" i="81" s="1"/>
  <c r="E147" i="3"/>
  <c r="R34" i="154" s="1"/>
  <c r="T16" i="81"/>
  <c r="AR106" i="110"/>
  <c r="AS106" i="110"/>
  <c r="AR103" i="110"/>
  <c r="B103" i="110"/>
  <c r="B18" i="110"/>
  <c r="AR18" i="110"/>
  <c r="AR51" i="110"/>
  <c r="AS51" i="110"/>
  <c r="C6" i="110"/>
  <c r="B51" i="110"/>
  <c r="B246" i="110"/>
  <c r="T22" i="81" l="1"/>
  <c r="R21" i="154"/>
  <c r="R25" i="154"/>
  <c r="H246" i="110"/>
  <c r="U246" i="110"/>
  <c r="T246" i="110"/>
  <c r="S246" i="110"/>
  <c r="J246" i="110"/>
  <c r="I246" i="110"/>
  <c r="AR6" i="110"/>
  <c r="AS6" i="110"/>
  <c r="B6" i="110"/>
  <c r="Z246" i="110"/>
  <c r="O246" i="110"/>
  <c r="K246" i="110"/>
  <c r="V246" i="110"/>
  <c r="R246" i="110"/>
  <c r="AM30" i="154"/>
  <c r="M23" i="3"/>
  <c r="AB12" i="13"/>
  <c r="X12" i="13"/>
  <c r="L23" i="3"/>
  <c r="T12" i="13"/>
  <c r="O23" i="3"/>
  <c r="BN18" i="176" l="1"/>
  <c r="AC278" i="110" s="1"/>
  <c r="AA278" i="110" l="1"/>
  <c r="Q278" i="110"/>
  <c r="AB278" i="110"/>
  <c r="P278" i="110"/>
  <c r="BL20" i="160"/>
  <c r="P11" i="3"/>
  <c r="BL24" i="162" l="1"/>
  <c r="BL46" i="158"/>
  <c r="P16" i="3" l="1"/>
  <c r="BL18" i="158"/>
  <c r="BL36" i="160" l="1"/>
  <c r="BL22" i="163"/>
  <c r="BL20" i="158"/>
  <c r="P15" i="3" l="1"/>
  <c r="P12" i="3" l="1"/>
  <c r="BO22" i="170" l="1"/>
  <c r="P21" i="3" s="1"/>
  <c r="AX22" i="170"/>
  <c r="AX18" i="175"/>
  <c r="BO18" i="175"/>
  <c r="AN214" i="110"/>
  <c r="P14" i="3"/>
  <c r="P13" i="3" l="1"/>
  <c r="AO262" i="110"/>
  <c r="AP262" i="110"/>
  <c r="AO216" i="110"/>
  <c r="AP216" i="110"/>
  <c r="AN262" i="110"/>
  <c r="H24" i="3"/>
  <c r="AN216" i="110"/>
  <c r="H21" i="3"/>
  <c r="H29" i="3" l="1"/>
  <c r="C144" i="3"/>
  <c r="C142" i="3" s="1"/>
  <c r="BG18" i="168"/>
  <c r="E142" i="3" l="1"/>
  <c r="BN22" i="175" l="1"/>
  <c r="BN20" i="176"/>
  <c r="AR22" i="170"/>
  <c r="BN18" i="169"/>
  <c r="BN18" i="175"/>
  <c r="BJ26" i="168"/>
  <c r="BK22" i="170" l="1"/>
  <c r="BM22" i="170"/>
  <c r="BL22" i="175"/>
  <c r="C264" i="110" s="1"/>
  <c r="B264" i="110" s="1"/>
  <c r="BL20" i="176"/>
  <c r="C279" i="110" s="1"/>
  <c r="B279" i="110" s="1"/>
  <c r="K230" i="110"/>
  <c r="C186" i="110"/>
  <c r="B186" i="110" s="1"/>
  <c r="BL18" i="175"/>
  <c r="AC262" i="110" s="1"/>
  <c r="BL22" i="170"/>
  <c r="AC216" i="110"/>
  <c r="V186" i="110"/>
  <c r="AA186" i="110"/>
  <c r="BL18" i="169"/>
  <c r="P20" i="3" s="1"/>
  <c r="U186" i="110"/>
  <c r="H186" i="110"/>
  <c r="I186" i="110"/>
  <c r="J186" i="110"/>
  <c r="S186" i="110"/>
  <c r="T186" i="110"/>
  <c r="Z186" i="110"/>
  <c r="AB186" i="110"/>
  <c r="O186" i="110"/>
  <c r="Q186" i="110"/>
  <c r="B278" i="110"/>
  <c r="Q284" i="110"/>
  <c r="B284" i="110"/>
  <c r="R186" i="110"/>
  <c r="AC279" i="110" l="1"/>
  <c r="Z279" i="110" s="1"/>
  <c r="B230" i="110"/>
  <c r="AC264" i="110"/>
  <c r="Q264" i="110" s="1"/>
  <c r="C262" i="110"/>
  <c r="B262" i="110" s="1"/>
  <c r="P24" i="3"/>
  <c r="C216" i="110"/>
  <c r="B216" i="110" s="1"/>
  <c r="AC198" i="110"/>
  <c r="U198" i="110" s="1"/>
  <c r="J151" i="110"/>
  <c r="AM13" i="175"/>
  <c r="AM13" i="169"/>
  <c r="M22" i="3"/>
  <c r="AM29" i="154"/>
  <c r="O22" i="3"/>
  <c r="AB12" i="171"/>
  <c r="O230" i="110"/>
  <c r="T12" i="171"/>
  <c r="L22" i="3"/>
  <c r="X12" i="171"/>
  <c r="R230" i="110"/>
  <c r="I230" i="110"/>
  <c r="H230" i="110"/>
  <c r="J230" i="110"/>
  <c r="S230" i="110"/>
  <c r="Z230" i="110"/>
  <c r="T230" i="110"/>
  <c r="V230" i="110"/>
  <c r="U230" i="110"/>
  <c r="B151" i="110"/>
  <c r="AK51" i="81"/>
  <c r="AA262" i="110"/>
  <c r="P262" i="110"/>
  <c r="J262" i="110"/>
  <c r="I262" i="110"/>
  <c r="W262" i="110"/>
  <c r="Q262" i="110"/>
  <c r="H262" i="110"/>
  <c r="O262" i="110"/>
  <c r="M262" i="110"/>
  <c r="X262" i="110"/>
  <c r="V262" i="110"/>
  <c r="K262" i="110"/>
  <c r="S262" i="110"/>
  <c r="L262" i="110"/>
  <c r="R262" i="110"/>
  <c r="T262" i="110"/>
  <c r="U262" i="110"/>
  <c r="Z262" i="110"/>
  <c r="AB262" i="110"/>
  <c r="AA216" i="110"/>
  <c r="V216" i="110"/>
  <c r="P216" i="110"/>
  <c r="Q216" i="110"/>
  <c r="AB216" i="110"/>
  <c r="M216" i="110"/>
  <c r="U216" i="110"/>
  <c r="X216" i="110"/>
  <c r="H216" i="110"/>
  <c r="W216" i="110"/>
  <c r="I216" i="110"/>
  <c r="L216" i="110"/>
  <c r="Z216" i="110"/>
  <c r="J216" i="110"/>
  <c r="T216" i="110"/>
  <c r="S216" i="110"/>
  <c r="K216" i="110"/>
  <c r="R216" i="110"/>
  <c r="O216" i="110"/>
  <c r="C198" i="110"/>
  <c r="B198" i="110" s="1"/>
  <c r="U278" i="110"/>
  <c r="T278" i="110"/>
  <c r="S278" i="110"/>
  <c r="J278" i="110"/>
  <c r="I278" i="110"/>
  <c r="H278" i="110"/>
  <c r="L284" i="110"/>
  <c r="U284" i="110"/>
  <c r="T284" i="110"/>
  <c r="S284" i="110"/>
  <c r="J284" i="110"/>
  <c r="I284" i="110"/>
  <c r="H284" i="110"/>
  <c r="W278" i="110"/>
  <c r="X278" i="110"/>
  <c r="W284" i="110"/>
  <c r="X284" i="110"/>
  <c r="M284" i="110"/>
  <c r="L278" i="110"/>
  <c r="M278" i="110"/>
  <c r="L24" i="3"/>
  <c r="T12" i="175"/>
  <c r="X12" i="175"/>
  <c r="AB12" i="175"/>
  <c r="AM28" i="154"/>
  <c r="N24" i="3"/>
  <c r="M24" i="3"/>
  <c r="O24" i="3"/>
  <c r="Z278" i="110"/>
  <c r="O284" i="110"/>
  <c r="O278" i="110"/>
  <c r="N25" i="3"/>
  <c r="O25" i="3"/>
  <c r="L25" i="3"/>
  <c r="M25" i="3"/>
  <c r="R278" i="110"/>
  <c r="V278" i="110"/>
  <c r="K278" i="110"/>
  <c r="R284" i="110"/>
  <c r="K284" i="110"/>
  <c r="V284" i="110"/>
  <c r="X12" i="169"/>
  <c r="AB12" i="169"/>
  <c r="M20" i="3"/>
  <c r="AM26" i="154"/>
  <c r="T12" i="169"/>
  <c r="L20" i="3"/>
  <c r="O20" i="3"/>
  <c r="N20" i="3"/>
  <c r="L18" i="3"/>
  <c r="M18" i="3"/>
  <c r="T12" i="167"/>
  <c r="X12" i="167"/>
  <c r="O18" i="3"/>
  <c r="AB12" i="167"/>
  <c r="X151" i="110" l="1"/>
  <c r="AA279" i="110"/>
  <c r="V151" i="110"/>
  <c r="T151" i="110"/>
  <c r="O151" i="110"/>
  <c r="S151" i="110"/>
  <c r="U151" i="110"/>
  <c r="M151" i="110"/>
  <c r="K151" i="110"/>
  <c r="R151" i="110"/>
  <c r="Z151" i="110"/>
  <c r="H151" i="110"/>
  <c r="I151" i="110"/>
  <c r="S198" i="110"/>
  <c r="K198" i="110"/>
  <c r="X198" i="110"/>
  <c r="M198" i="110"/>
  <c r="P279" i="110"/>
  <c r="X279" i="110"/>
  <c r="R279" i="110"/>
  <c r="U279" i="110"/>
  <c r="H279" i="110"/>
  <c r="L279" i="110"/>
  <c r="V279" i="110"/>
  <c r="M279" i="110"/>
  <c r="K279" i="110"/>
  <c r="H198" i="110"/>
  <c r="J198" i="110"/>
  <c r="T279" i="110"/>
  <c r="Q279" i="110"/>
  <c r="S279" i="110"/>
  <c r="W279" i="110"/>
  <c r="O279" i="110"/>
  <c r="J279" i="110"/>
  <c r="AB279" i="110"/>
  <c r="I279" i="110"/>
  <c r="T198" i="110"/>
  <c r="U264" i="110"/>
  <c r="K264" i="110"/>
  <c r="L264" i="110"/>
  <c r="M264" i="110"/>
  <c r="W264" i="110"/>
  <c r="T264" i="110"/>
  <c r="AB264" i="110"/>
  <c r="R264" i="110"/>
  <c r="S264" i="110"/>
  <c r="V264" i="110"/>
  <c r="P264" i="110"/>
  <c r="O264" i="110"/>
  <c r="Z264" i="110"/>
  <c r="I264" i="110"/>
  <c r="J264" i="110"/>
  <c r="X264" i="110"/>
  <c r="AA264" i="110"/>
  <c r="H264" i="110"/>
  <c r="Z198" i="110"/>
  <c r="Q198" i="110"/>
  <c r="I198" i="110"/>
  <c r="V198" i="110"/>
  <c r="O198" i="110"/>
  <c r="R198" i="110"/>
  <c r="L198" i="110"/>
  <c r="AB198" i="110"/>
  <c r="W198" i="110"/>
  <c r="P198" i="110"/>
  <c r="AA198" i="110"/>
  <c r="Y202" i="168" l="1"/>
  <c r="Y202" i="170"/>
  <c r="Y202" i="171"/>
  <c r="Y202" i="148"/>
  <c r="Y202" i="144"/>
  <c r="AA202" i="14"/>
  <c r="BH2" i="110"/>
  <c r="Y202" i="160"/>
  <c r="Y202" i="162"/>
  <c r="Y202" i="154"/>
  <c r="I21" i="81"/>
  <c r="Y202" i="167"/>
  <c r="Y202" i="169"/>
  <c r="Y202" i="13"/>
  <c r="Y202" i="166"/>
  <c r="Y202" i="147"/>
  <c r="Y202" i="151"/>
  <c r="Y202" i="158"/>
  <c r="Y202" i="153"/>
  <c r="AA202" i="172"/>
  <c r="Y202" i="175"/>
  <c r="Y202" i="176"/>
  <c r="Y202" i="159"/>
  <c r="Y202" i="163"/>
  <c r="Y202" i="161"/>
  <c r="Y202" i="155"/>
  <c r="Y202" i="156"/>
  <c r="Y202" i="81"/>
  <c r="Y202" i="180"/>
  <c r="Y202" i="182"/>
  <c r="AX20" i="158" l="1"/>
  <c r="AP5" i="110" s="1"/>
  <c r="H28" i="3"/>
  <c r="H30" i="3" s="1"/>
  <c r="P5" i="110" l="1"/>
  <c r="J10" i="3"/>
  <c r="BA200" i="158"/>
  <c r="BB200" i="158"/>
  <c r="AD5" i="110"/>
  <c r="AK50" i="81" s="1"/>
  <c r="I10" i="3"/>
  <c r="AZ200" i="158"/>
  <c r="N5" i="110"/>
  <c r="J5" i="110"/>
  <c r="K10" i="3"/>
  <c r="K30" i="3" s="1"/>
  <c r="AX200" i="158"/>
  <c r="X12" i="158"/>
  <c r="J28" i="3" l="1"/>
  <c r="J30" i="3"/>
  <c r="I28" i="3"/>
  <c r="I30" i="3"/>
  <c r="T30" i="3" s="1"/>
  <c r="N10" i="3"/>
  <c r="K28" i="3"/>
  <c r="T12" i="158"/>
  <c r="AB12" i="158"/>
  <c r="L10" i="3"/>
  <c r="BH20" i="158"/>
  <c r="AM13" i="158" s="1"/>
  <c r="M10" i="3"/>
  <c r="M28" i="3" s="1"/>
  <c r="O10" i="3"/>
  <c r="O28" i="3" s="1"/>
  <c r="R5" i="110"/>
  <c r="Q44" i="14"/>
  <c r="AZ8" i="13" l="1"/>
  <c r="AZ8" i="171"/>
  <c r="AZ8" i="167"/>
  <c r="BO20" i="158"/>
  <c r="P10" i="3"/>
  <c r="BA54" i="14"/>
  <c r="BA55" i="14" s="1"/>
  <c r="H1" i="3"/>
  <c r="L57" i="14"/>
  <c r="N28" i="3"/>
  <c r="T28" i="3"/>
  <c r="L28" i="3"/>
  <c r="H3" i="3" s="1"/>
  <c r="C5" i="110"/>
  <c r="BA8" i="160"/>
  <c r="BA8" i="162"/>
  <c r="BA8" i="163"/>
  <c r="BA8" i="159"/>
  <c r="BA8" i="161"/>
  <c r="AZ8" i="176"/>
  <c r="AZ8" i="169"/>
  <c r="AZ8" i="170"/>
  <c r="AZ8" i="175"/>
  <c r="AZ8" i="168"/>
  <c r="BA8" i="158"/>
  <c r="V35" i="155"/>
  <c r="V35" i="156"/>
  <c r="AA35" i="155"/>
  <c r="AA35" i="156"/>
  <c r="AZ6" i="167" l="1"/>
  <c r="AZ6" i="13"/>
  <c r="AZ6" i="171"/>
  <c r="P28" i="3"/>
  <c r="S28" i="3" s="1"/>
  <c r="P30" i="3"/>
  <c r="S30" i="3" s="1"/>
  <c r="AF29" i="14"/>
  <c r="M36" i="14"/>
  <c r="AG63" i="14"/>
  <c r="O63" i="14"/>
  <c r="X63" i="14"/>
  <c r="AZ6" i="176"/>
  <c r="AR5" i="110"/>
  <c r="AS5" i="110"/>
  <c r="AZ6" i="169"/>
  <c r="BA6" i="163"/>
  <c r="AZ6" i="175"/>
  <c r="AZ6" i="170"/>
  <c r="BA6" i="161"/>
  <c r="BA6" i="159"/>
  <c r="BA6" i="158"/>
  <c r="AZ6" i="168"/>
  <c r="BA6" i="162"/>
  <c r="BA6" i="160"/>
  <c r="AF35" i="155"/>
  <c r="AF35" i="156"/>
  <c r="B5" i="110"/>
  <c r="AY6" i="167" l="1"/>
  <c r="AY6" i="171"/>
  <c r="AY6" i="13"/>
  <c r="AY8" i="167"/>
  <c r="AY8" i="13"/>
  <c r="AY8" i="171"/>
  <c r="AZ8" i="162"/>
  <c r="AZ8" i="159"/>
  <c r="AZ8" i="161"/>
  <c r="AY8" i="176"/>
  <c r="AY8" i="169"/>
  <c r="AY8" i="168"/>
  <c r="AY8" i="175"/>
  <c r="AY8" i="170"/>
  <c r="AZ8" i="163"/>
  <c r="AZ8" i="160"/>
  <c r="AZ8" i="158"/>
  <c r="AZ6" i="162"/>
  <c r="AY6" i="168"/>
  <c r="AY6" i="175"/>
  <c r="AZ6" i="163"/>
  <c r="AZ6" i="159"/>
  <c r="AZ6" i="161"/>
  <c r="AZ6" i="158"/>
  <c r="AY6" i="176"/>
  <c r="AY6" i="169"/>
  <c r="AZ6" i="160"/>
  <c r="AY6" i="170"/>
  <c r="Q46" i="14"/>
  <c r="Q48" i="14"/>
  <c r="AS8" i="161"/>
  <c r="AS8" i="159"/>
  <c r="AS8" i="167"/>
  <c r="AS8" i="171"/>
  <c r="AS8" i="155"/>
  <c r="AS8" i="162"/>
  <c r="AS8" i="151"/>
  <c r="AS8" i="144"/>
  <c r="AS8" i="14"/>
  <c r="AS8" i="180"/>
  <c r="AS8" i="175"/>
  <c r="AS8" i="168"/>
  <c r="AS8" i="148"/>
  <c r="AS8" i="169"/>
  <c r="AS8" i="182"/>
  <c r="AS8" i="160"/>
  <c r="AS8" i="154"/>
  <c r="AS8" i="153"/>
  <c r="AS8" i="170"/>
  <c r="AS8" i="13"/>
  <c r="AS8" i="158"/>
  <c r="AS8" i="163"/>
  <c r="AS8" i="81"/>
  <c r="AS8" i="156"/>
  <c r="AS8" i="147"/>
  <c r="AS8" i="166"/>
  <c r="AS8" i="176"/>
  <c r="T21" i="81"/>
  <c r="AN16" i="154"/>
  <c r="T29" i="3" l="1"/>
  <c r="AZ7" i="167" l="1"/>
  <c r="AZ7" i="13"/>
  <c r="AZ7" i="171"/>
  <c r="AZ7" i="176"/>
  <c r="BA7" i="161"/>
  <c r="AZ7" i="169"/>
  <c r="AZ7" i="168"/>
  <c r="AZ7" i="170"/>
  <c r="AZ7" i="175"/>
  <c r="BA7" i="163"/>
  <c r="BA7" i="159"/>
  <c r="BA7" i="158"/>
  <c r="BK2" i="110"/>
  <c r="BA7" i="162"/>
  <c r="BA7" i="160"/>
  <c r="BN36" i="176"/>
  <c r="BL36" i="176" l="1"/>
  <c r="P27" i="3" s="1"/>
  <c r="P29" i="3" s="1"/>
  <c r="S29" i="3" s="1"/>
  <c r="AC287" i="110"/>
  <c r="AR18" i="170" l="1"/>
  <c r="BL18" i="170"/>
  <c r="C214" i="110" s="1"/>
  <c r="B214" i="110" s="1"/>
  <c r="BL24" i="168"/>
  <c r="AC185" i="110" s="1"/>
  <c r="AR24" i="168"/>
  <c r="BJ24" i="168"/>
  <c r="C185" i="110" s="1"/>
  <c r="B185" i="110" s="1"/>
  <c r="BL20" i="168"/>
  <c r="AR20" i="168" s="1"/>
  <c r="BL22" i="168"/>
  <c r="AY7" i="171"/>
  <c r="BL18" i="168"/>
  <c r="AZ7" i="160"/>
  <c r="AZ7" i="158"/>
  <c r="AY7" i="170"/>
  <c r="AY7" i="169"/>
  <c r="AZ7" i="159"/>
  <c r="AY7" i="176"/>
  <c r="AY7" i="168"/>
  <c r="BJ2" i="110"/>
  <c r="AY7" i="175"/>
  <c r="AY7" i="167"/>
  <c r="AZ7" i="161"/>
  <c r="AY7" i="13"/>
  <c r="AZ7" i="163"/>
  <c r="AZ7" i="162"/>
  <c r="C287" i="110"/>
  <c r="B287" i="110" s="1"/>
  <c r="Q27" i="3"/>
  <c r="Q29" i="3" s="1"/>
  <c r="W287" i="110"/>
  <c r="J287" i="110"/>
  <c r="U287" i="110"/>
  <c r="H287" i="110"/>
  <c r="S287" i="110"/>
  <c r="O287" i="110"/>
  <c r="V287" i="110"/>
  <c r="I287" i="110"/>
  <c r="T287" i="110"/>
  <c r="P287" i="110"/>
  <c r="AA287" i="110"/>
  <c r="Z287" i="110"/>
  <c r="X287" i="110"/>
  <c r="K287" i="110"/>
  <c r="AB287" i="110"/>
  <c r="R287" i="110"/>
  <c r="Q287" i="110"/>
  <c r="M287" i="110"/>
  <c r="L287" i="110"/>
  <c r="O27" i="3"/>
  <c r="T12" i="176"/>
  <c r="M27" i="3"/>
  <c r="X12" i="176"/>
  <c r="AB12" i="176"/>
  <c r="AM13" i="176"/>
  <c r="N27" i="3"/>
  <c r="AM31" i="154"/>
  <c r="L27" i="3"/>
  <c r="BK18" i="170" l="1"/>
  <c r="BM18" i="170"/>
  <c r="AC214" i="110" s="1"/>
  <c r="AC215" i="110"/>
  <c r="AR20" i="170"/>
  <c r="BL20" i="170"/>
  <c r="C215" i="110" s="1"/>
  <c r="B215" i="110" s="1"/>
  <c r="BJ20" i="168"/>
  <c r="C183" i="110" s="1"/>
  <c r="B183" i="110" s="1"/>
  <c r="AC183" i="110"/>
  <c r="W183" i="110" s="1"/>
  <c r="BI24" i="168"/>
  <c r="BK24" i="168" s="1"/>
  <c r="X185" i="110"/>
  <c r="M185" i="110"/>
  <c r="W185" i="110"/>
  <c r="P185" i="110"/>
  <c r="L185" i="110"/>
  <c r="O185" i="110"/>
  <c r="J185" i="110"/>
  <c r="Q185" i="110"/>
  <c r="S185" i="110"/>
  <c r="AA185" i="110"/>
  <c r="T185" i="110"/>
  <c r="Z185" i="110"/>
  <c r="R185" i="110"/>
  <c r="V185" i="110"/>
  <c r="U185" i="110"/>
  <c r="AB185" i="110"/>
  <c r="H185" i="110"/>
  <c r="I185" i="110"/>
  <c r="AC184" i="110"/>
  <c r="AR22" i="168"/>
  <c r="BJ22" i="168"/>
  <c r="C184" i="110" s="1"/>
  <c r="B184" i="110" s="1"/>
  <c r="BI20" i="168"/>
  <c r="BK20" i="168" s="1"/>
  <c r="C182" i="110"/>
  <c r="B182" i="110" s="1"/>
  <c r="AC182" i="110"/>
  <c r="Q30" i="3"/>
  <c r="E11" i="81" s="1"/>
  <c r="P214" i="110" l="1"/>
  <c r="AA214" i="110"/>
  <c r="I214" i="110"/>
  <c r="L214" i="110"/>
  <c r="H214" i="110"/>
  <c r="V214" i="110"/>
  <c r="Z214" i="110"/>
  <c r="R214" i="110"/>
  <c r="S214" i="110"/>
  <c r="J214" i="110"/>
  <c r="W214" i="110"/>
  <c r="Q214" i="110"/>
  <c r="O214" i="110"/>
  <c r="M214" i="110"/>
  <c r="K214" i="110"/>
  <c r="U214" i="110"/>
  <c r="AB214" i="110"/>
  <c r="T214" i="110"/>
  <c r="X214" i="110"/>
  <c r="BK20" i="170"/>
  <c r="BM20" i="170"/>
  <c r="AM13" i="170" s="1"/>
  <c r="M21" i="3"/>
  <c r="N21" i="3"/>
  <c r="L21" i="3"/>
  <c r="O21" i="3"/>
  <c r="X12" i="170"/>
  <c r="AB12" i="170"/>
  <c r="T12" i="170"/>
  <c r="AM27" i="154"/>
  <c r="Q215" i="110"/>
  <c r="Z215" i="110"/>
  <c r="AA215" i="110"/>
  <c r="L215" i="110"/>
  <c r="U215" i="110"/>
  <c r="X215" i="110"/>
  <c r="P215" i="110"/>
  <c r="I215" i="110"/>
  <c r="J215" i="110"/>
  <c r="AB215" i="110"/>
  <c r="O215" i="110"/>
  <c r="W215" i="110"/>
  <c r="K215" i="110"/>
  <c r="S215" i="110"/>
  <c r="V215" i="110"/>
  <c r="H215" i="110"/>
  <c r="R215" i="110"/>
  <c r="T215" i="110"/>
  <c r="M215" i="110"/>
  <c r="M183" i="110"/>
  <c r="AB183" i="110"/>
  <c r="P183" i="110"/>
  <c r="T183" i="110"/>
  <c r="Z183" i="110"/>
  <c r="J183" i="110"/>
  <c r="I183" i="110"/>
  <c r="V183" i="110"/>
  <c r="AA183" i="110"/>
  <c r="L183" i="110"/>
  <c r="X183" i="110"/>
  <c r="U183" i="110"/>
  <c r="O183" i="110"/>
  <c r="S183" i="110"/>
  <c r="Q183" i="110"/>
  <c r="H183" i="110"/>
  <c r="R183" i="110"/>
  <c r="BI22" i="168"/>
  <c r="BK22" i="168" s="1"/>
  <c r="X184" i="110"/>
  <c r="L184" i="110"/>
  <c r="M184" i="110"/>
  <c r="W184" i="110"/>
  <c r="P184" i="110"/>
  <c r="R184" i="110"/>
  <c r="Z184" i="110"/>
  <c r="AB184" i="110"/>
  <c r="S184" i="110"/>
  <c r="AA184" i="110"/>
  <c r="T184" i="110"/>
  <c r="V184" i="110"/>
  <c r="U184" i="110"/>
  <c r="H184" i="110"/>
  <c r="I184" i="110"/>
  <c r="O184" i="110"/>
  <c r="J184" i="110"/>
  <c r="Q184" i="110"/>
  <c r="W182" i="110"/>
  <c r="J182" i="110"/>
  <c r="Q182" i="110"/>
  <c r="AK37" i="81" s="1"/>
  <c r="S182" i="110"/>
  <c r="X182" i="110"/>
  <c r="T182" i="110"/>
  <c r="L182" i="110"/>
  <c r="M182" i="110"/>
  <c r="AA182" i="110"/>
  <c r="R182" i="110"/>
  <c r="P182" i="110"/>
  <c r="H182" i="110"/>
  <c r="Z182" i="110"/>
  <c r="AK43" i="81" s="1"/>
  <c r="V182" i="110"/>
  <c r="U182" i="110"/>
  <c r="AB182" i="110"/>
  <c r="AK44" i="81" s="1"/>
  <c r="I182" i="110"/>
  <c r="O182" i="110"/>
  <c r="AK36" i="81" s="1"/>
  <c r="BI18" i="168"/>
  <c r="BK18" i="168" s="1"/>
  <c r="AB12" i="168"/>
  <c r="N19" i="3"/>
  <c r="X12" i="168"/>
  <c r="L19" i="3"/>
  <c r="AM25" i="154"/>
  <c r="M19" i="3"/>
  <c r="O19" i="3"/>
  <c r="T12" i="168"/>
  <c r="AM32" i="154" l="1"/>
  <c r="AC35" i="154" s="1"/>
  <c r="AK41" i="81"/>
  <c r="AK46" i="81"/>
  <c r="AK48" i="81"/>
  <c r="AK40" i="81"/>
  <c r="AK39" i="81"/>
  <c r="AK35" i="81"/>
  <c r="AK38" i="81"/>
  <c r="AK45" i="81"/>
  <c r="AK47" i="81"/>
  <c r="AM13" i="168"/>
  <c r="L30" i="3"/>
  <c r="L29" i="3"/>
  <c r="N30" i="3"/>
  <c r="N29" i="3"/>
  <c r="O30" i="3"/>
  <c r="O29" i="3"/>
  <c r="M30" i="3"/>
  <c r="M29" i="3"/>
  <c r="V37" i="156" l="1"/>
  <c r="V37" i="155"/>
  <c r="AA37" i="156"/>
  <c r="AA37" i="155"/>
  <c r="I20" i="81"/>
  <c r="I19" i="81"/>
  <c r="DJ2" i="110" s="1"/>
  <c r="AF36" i="155"/>
  <c r="AF36" i="156"/>
  <c r="V36" i="156"/>
  <c r="V36" i="155"/>
  <c r="AA36" i="156"/>
  <c r="AA36" i="155"/>
  <c r="Z44" i="14"/>
  <c r="A4" i="158"/>
  <c r="A4" i="169"/>
  <c r="AB36" i="14"/>
  <c r="A4" i="182"/>
  <c r="A4" i="153"/>
  <c r="A4" i="147"/>
  <c r="A4" i="151"/>
  <c r="A4" i="170"/>
  <c r="A4" i="180"/>
  <c r="AF37" i="155"/>
  <c r="D167" i="3"/>
  <c r="A4" i="156"/>
  <c r="A4" i="160"/>
  <c r="A4" i="171"/>
  <c r="A4" i="13"/>
  <c r="A4" i="166"/>
  <c r="A4" i="162"/>
  <c r="A4" i="159"/>
  <c r="D166" i="3"/>
  <c r="A4" i="163"/>
  <c r="A4" i="14"/>
  <c r="A4" i="144"/>
  <c r="A4" i="154"/>
  <c r="AF37" i="156"/>
  <c r="A4" i="175"/>
  <c r="A4" i="148"/>
  <c r="A4" i="167"/>
  <c r="A4" i="155"/>
  <c r="A4" i="176"/>
  <c r="A4" i="81"/>
  <c r="A4" i="161"/>
  <c r="A4" i="168"/>
  <c r="H2" i="3"/>
  <c r="D165" i="3" l="1"/>
  <c r="C165" i="3"/>
  <c r="Z48" i="14"/>
  <c r="Z46" i="14"/>
  <c r="H4" i="3" l="1"/>
  <c r="E165" i="3"/>
  <c r="T23" i="81" s="1"/>
  <c r="AJ15" i="180" l="1" a="1"/>
  <c r="AJ15" i="180" s="1"/>
  <c r="AS5" i="170"/>
  <c r="AS5" i="163"/>
  <c r="AS5" i="169"/>
  <c r="AS5" i="153"/>
  <c r="AS5" i="167"/>
  <c r="AS5" i="154"/>
  <c r="AS5" i="182"/>
  <c r="AS5" i="166"/>
  <c r="AS5" i="158"/>
  <c r="AS5" i="144"/>
  <c r="AS5" i="175"/>
  <c r="AS5" i="159"/>
  <c r="AS5" i="148"/>
  <c r="AS5" i="156"/>
  <c r="AS5" i="14"/>
  <c r="AS5" i="151"/>
  <c r="AS5" i="176"/>
  <c r="AS5" i="180"/>
  <c r="AS5" i="81"/>
  <c r="AS5" i="162"/>
  <c r="AS5" i="171"/>
  <c r="AS5" i="13"/>
  <c r="AS5" i="161"/>
  <c r="AS5" i="147"/>
  <c r="AS5" i="168"/>
  <c r="AS5" i="160"/>
  <c r="AS5" i="1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Cheek, Taylor</author>
    <author>Jones, Travis</author>
  </authors>
  <commentList>
    <comment ref="O101" authorId="0" shapeId="0" xr:uid="{57483419-1BFC-4371-922E-5AD0B820CAA2}">
      <text>
        <r>
          <rPr>
            <b/>
            <sz val="9"/>
            <color indexed="81"/>
            <rFont val="Tahoma"/>
            <family val="2"/>
          </rPr>
          <t>Cheek, Taylor:</t>
        </r>
        <r>
          <rPr>
            <sz val="9"/>
            <color indexed="81"/>
            <rFont val="Tahoma"/>
            <family val="2"/>
          </rPr>
          <t xml:space="preserve">
Not used</t>
        </r>
      </text>
    </comment>
    <comment ref="P101" authorId="0" shapeId="0" xr:uid="{E4BF1DA3-2A1E-4475-8564-F71F38E74803}">
      <text>
        <r>
          <rPr>
            <b/>
            <sz val="9"/>
            <color indexed="81"/>
            <rFont val="Tahoma"/>
            <family val="2"/>
          </rPr>
          <t>Cheek, Taylor:</t>
        </r>
        <r>
          <rPr>
            <sz val="9"/>
            <color indexed="81"/>
            <rFont val="Tahoma"/>
            <family val="2"/>
          </rPr>
          <t xml:space="preserve">
Not Used</t>
        </r>
      </text>
    </comment>
    <comment ref="Q101" authorId="0" shapeId="0" xr:uid="{10FE824F-2E6E-4909-8ED6-F560EC37C62C}">
      <text>
        <r>
          <rPr>
            <b/>
            <sz val="9"/>
            <color indexed="81"/>
            <rFont val="Tahoma"/>
            <family val="2"/>
          </rPr>
          <t>Cheek, Taylor:</t>
        </r>
        <r>
          <rPr>
            <sz val="9"/>
            <color indexed="81"/>
            <rFont val="Tahoma"/>
            <family val="2"/>
          </rPr>
          <t xml:space="preserve">
Not Used</t>
        </r>
      </text>
    </comment>
    <comment ref="R101" authorId="0" shapeId="0" xr:uid="{FEFC7CB5-4EDE-485A-A91F-6D5E986E21E1}">
      <text>
        <r>
          <rPr>
            <b/>
            <sz val="9"/>
            <color indexed="81"/>
            <rFont val="Tahoma"/>
            <family val="2"/>
          </rPr>
          <t>Cheek, Taylor:</t>
        </r>
        <r>
          <rPr>
            <sz val="9"/>
            <color indexed="81"/>
            <rFont val="Tahoma"/>
            <family val="2"/>
          </rPr>
          <t xml:space="preserve">
Not Used</t>
        </r>
      </text>
    </comment>
    <comment ref="V101" authorId="0" shapeId="0" xr:uid="{593DB835-7302-4597-B981-08FDE1ADED34}">
      <text>
        <r>
          <rPr>
            <b/>
            <sz val="9"/>
            <color indexed="81"/>
            <rFont val="Tahoma"/>
            <family val="2"/>
          </rPr>
          <t>Cheek, Taylor:</t>
        </r>
        <r>
          <rPr>
            <sz val="9"/>
            <color indexed="81"/>
            <rFont val="Tahoma"/>
            <family val="2"/>
          </rPr>
          <t xml:space="preserve">
Source of Part Load Cooling Rating</t>
        </r>
      </text>
    </comment>
    <comment ref="W101" authorId="0" shapeId="0" xr:uid="{74CCEEE8-C42A-4FAF-AF0C-4CE17401B78F}">
      <text>
        <r>
          <rPr>
            <b/>
            <sz val="9"/>
            <color indexed="81"/>
            <rFont val="Tahoma"/>
            <family val="2"/>
          </rPr>
          <t>Cheek, Taylor:</t>
        </r>
        <r>
          <rPr>
            <sz val="9"/>
            <color indexed="81"/>
            <rFont val="Tahoma"/>
            <family val="2"/>
          </rPr>
          <t xml:space="preserve">
Source of Part Load Cooling Baseline Value.
Used in Calculated kWh.</t>
        </r>
      </text>
    </comment>
    <comment ref="X101" authorId="0" shapeId="0" xr:uid="{807A673A-D3C7-4B1D-94CC-1CCDE3A57327}">
      <text>
        <r>
          <rPr>
            <b/>
            <sz val="9"/>
            <color indexed="81"/>
            <rFont val="Tahoma"/>
            <family val="2"/>
          </rPr>
          <t>Cheek, Taylor:</t>
        </r>
        <r>
          <rPr>
            <sz val="9"/>
            <color indexed="81"/>
            <rFont val="Tahoma"/>
            <family val="2"/>
          </rPr>
          <t xml:space="preserve">
STDHVACTONMIN</t>
        </r>
      </text>
    </comment>
    <comment ref="Y101" authorId="0" shapeId="0" xr:uid="{6AF086CB-B9EF-4B3A-9D2C-EF112D298E77}">
      <text>
        <r>
          <rPr>
            <b/>
            <sz val="9"/>
            <color indexed="81"/>
            <rFont val="Tahoma"/>
            <family val="2"/>
          </rPr>
          <t>Cheek, Taylor:</t>
        </r>
        <r>
          <rPr>
            <sz val="9"/>
            <color indexed="81"/>
            <rFont val="Tahoma"/>
            <family val="2"/>
          </rPr>
          <t xml:space="preserve">
STDHVACTONMAX</t>
        </r>
      </text>
    </comment>
    <comment ref="Z101" authorId="0" shapeId="0" xr:uid="{B7358A57-129F-4D2E-886E-0AC5682FB01B}">
      <text>
        <r>
          <rPr>
            <b/>
            <sz val="9"/>
            <color indexed="81"/>
            <rFont val="Tahoma"/>
            <family val="2"/>
          </rPr>
          <t>Cheek, Taylor:</t>
        </r>
        <r>
          <rPr>
            <sz val="9"/>
            <color indexed="81"/>
            <rFont val="Tahoma"/>
            <family val="2"/>
          </rPr>
          <t xml:space="preserve">
Used in Calculated kWh</t>
        </r>
      </text>
    </comment>
    <comment ref="AA101" authorId="0" shapeId="0" xr:uid="{A8C47E9D-D110-43A4-8D57-87DECB36E279}">
      <text>
        <r>
          <rPr>
            <b/>
            <sz val="9"/>
            <color indexed="81"/>
            <rFont val="Tahoma"/>
            <family val="2"/>
          </rPr>
          <t>Cheek, Taylor:</t>
        </r>
        <r>
          <rPr>
            <sz val="9"/>
            <color indexed="81"/>
            <rFont val="Tahoma"/>
            <family val="2"/>
          </rPr>
          <t xml:space="preserve">
Used in Calculated kWh</t>
        </r>
      </text>
    </comment>
    <comment ref="AB101" authorId="0" shapeId="0" xr:uid="{59F95245-79C4-4A57-8D84-9C3FDC37AE59}">
      <text>
        <r>
          <rPr>
            <b/>
            <sz val="9"/>
            <color indexed="81"/>
            <rFont val="Tahoma"/>
            <family val="2"/>
          </rPr>
          <t>Cheek, Taylor:</t>
        </r>
        <r>
          <rPr>
            <sz val="9"/>
            <color indexed="81"/>
            <rFont val="Tahoma"/>
            <family val="2"/>
          </rPr>
          <t xml:space="preserve">
Source of Other Efficiency Rating.</t>
        </r>
      </text>
    </comment>
    <comment ref="AC101" authorId="0" shapeId="0" xr:uid="{950065BC-5E79-4A18-B2AE-06B55EF99B1A}">
      <text>
        <r>
          <rPr>
            <b/>
            <sz val="9"/>
            <color indexed="81"/>
            <rFont val="Tahoma"/>
            <family val="2"/>
          </rPr>
          <t>Cheek, Taylor:</t>
        </r>
        <r>
          <rPr>
            <sz val="9"/>
            <color indexed="81"/>
            <rFont val="Tahoma"/>
            <family val="2"/>
          </rPr>
          <t xml:space="preserve">
Source of Other Efficiency Baseline Value.</t>
        </r>
      </text>
    </comment>
    <comment ref="AD101" authorId="0" shapeId="0" xr:uid="{4046A1B9-6795-4D1A-83D4-5E9E03D6E9B6}">
      <text>
        <r>
          <rPr>
            <b/>
            <sz val="9"/>
            <color indexed="81"/>
            <rFont val="Tahoma"/>
            <family val="2"/>
          </rPr>
          <t>Cheek, Taylor:</t>
        </r>
        <r>
          <rPr>
            <sz val="9"/>
            <color indexed="81"/>
            <rFont val="Tahoma"/>
            <family val="2"/>
          </rPr>
          <t xml:space="preserve">
Source of Details Efficiency Unit</t>
        </r>
      </text>
    </comment>
    <comment ref="AE101" authorId="0" shapeId="0" xr:uid="{22C048A0-B92D-468A-871C-1A21B855C5AC}">
      <text>
        <r>
          <rPr>
            <b/>
            <sz val="9"/>
            <color indexed="81"/>
            <rFont val="Tahoma"/>
            <family val="2"/>
          </rPr>
          <t>Cheek, Taylor:</t>
        </r>
        <r>
          <rPr>
            <sz val="9"/>
            <color indexed="81"/>
            <rFont val="Tahoma"/>
            <family val="2"/>
          </rPr>
          <t xml:space="preserve">
Source of Details Efficiency Base value.</t>
        </r>
      </text>
    </comment>
    <comment ref="K109" authorId="1" shapeId="0" xr:uid="{CE83C042-C755-45D9-87BA-43BD59A374C2}">
      <text>
        <r>
          <rPr>
            <b/>
            <sz val="9"/>
            <color indexed="81"/>
            <rFont val="Tahoma"/>
            <family val="2"/>
          </rPr>
          <t>Jones, Travis:</t>
        </r>
        <r>
          <rPr>
            <sz val="9"/>
            <color indexed="81"/>
            <rFont val="Tahoma"/>
            <family val="2"/>
          </rPr>
          <t xml:space="preserve">
Suspected error in TRM- $1,000 incrmental cost in TRM out of line with cost trends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<sst xmlns="http://schemas.openxmlformats.org/spreadsheetml/2006/main" count="11182" uniqueCount="3147">
  <si>
    <t>Program</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</si>
  <si>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</si>
  <si>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</si>
  <si>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</si>
  <si>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</si>
  <si>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</si>
  <si>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</si>
  <si>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</si>
  <si>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</si>
  <si>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</si>
  <si>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</si>
  <si>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</si>
  <si>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</si>
  <si>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</si>
  <si>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</si>
  <si>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</si>
  <si>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</si>
  <si>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</si>
  <si>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</si>
  <si>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</si>
  <si>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</si>
  <si>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</si>
  <si>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</si>
  <si>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</si>
  <si>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</si>
  <si>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</si>
  <si>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</si>
  <si>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</si>
  <si>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</si>
  <si>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</si>
  <si>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</si>
  <si>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</si>
  <si>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</si>
  <si>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</si>
  <si>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</si>
  <si>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</si>
  <si>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</si>
  <si>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</si>
  <si>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</si>
  <si>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</si>
  <si>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</si>
  <si>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</si>
  <si>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</si>
  <si>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</si>
  <si>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</si>
  <si>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</si>
  <si>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</si>
  <si>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</si>
  <si>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</si>
  <si>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</si>
  <si>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</si>
  <si>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</si>
  <si>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</si>
  <si>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</si>
  <si>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</si>
  <si>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</si>
  <si>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</si>
  <si>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</si>
  <si>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</si>
  <si>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</si>
  <si>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</si>
  <si>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</si>
  <si>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</si>
  <si>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</si>
  <si>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</si>
  <si>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</si>
  <si>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</si>
  <si>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Section Cost</t>
  </si>
  <si>
    <t>Terms &amp; Conditions</t>
  </si>
  <si>
    <t>Project Summary</t>
  </si>
  <si>
    <t>Application Expiration Date:</t>
  </si>
  <si>
    <t>City</t>
  </si>
  <si>
    <t>State</t>
  </si>
  <si>
    <t>Mailing Address</t>
  </si>
  <si>
    <t>Quantity</t>
  </si>
  <si>
    <t>Location</t>
  </si>
  <si>
    <t>Address</t>
  </si>
  <si>
    <t>Offer Form</t>
  </si>
  <si>
    <t>Completion Form</t>
  </si>
  <si>
    <t>Contact</t>
  </si>
  <si>
    <t>Zip</t>
  </si>
  <si>
    <t>Site Information</t>
  </si>
  <si>
    <t>Company</t>
  </si>
  <si>
    <t>Incentive</t>
  </si>
  <si>
    <t>Total</t>
  </si>
  <si>
    <t>Measure Number</t>
  </si>
  <si>
    <t>Measure Group</t>
  </si>
  <si>
    <t>Unit</t>
  </si>
  <si>
    <t>EUL</t>
  </si>
  <si>
    <t>Lighting</t>
  </si>
  <si>
    <t>LED</t>
  </si>
  <si>
    <t>Fixture</t>
  </si>
  <si>
    <t>T5</t>
  </si>
  <si>
    <t>T8</t>
  </si>
  <si>
    <t>HVAC</t>
  </si>
  <si>
    <t>Heat Pump</t>
  </si>
  <si>
    <t>Refrigeration</t>
  </si>
  <si>
    <t>Other</t>
  </si>
  <si>
    <t>T12</t>
  </si>
  <si>
    <t>Base Desc 1</t>
  </si>
  <si>
    <t>Base Desc 2</t>
  </si>
  <si>
    <t>Eff Desc 1</t>
  </si>
  <si>
    <t>Eff Desc 2</t>
  </si>
  <si>
    <t>Change Log</t>
  </si>
  <si>
    <t>Changed By:</t>
  </si>
  <si>
    <t>Version:</t>
  </si>
  <si>
    <t>Date Applied</t>
  </si>
  <si>
    <t>Action Taken</t>
  </si>
  <si>
    <t>T12 - U-Tube - 1 Lamp</t>
  </si>
  <si>
    <t>T12 - U-Tube - 2 Lamp</t>
  </si>
  <si>
    <t>T8 - 4ft - 1 Lamp - 32W</t>
  </si>
  <si>
    <t>T8 - 4ft - 3 Lamp - 32W</t>
  </si>
  <si>
    <t>T8 - 4ft - 4 Lamp - 32W</t>
  </si>
  <si>
    <t>Base Watt 1</t>
  </si>
  <si>
    <t>Eff Watt 1</t>
  </si>
  <si>
    <t>Eff Watt 2</t>
  </si>
  <si>
    <t>T5 - 4ft - 1 Lamp - 54W - HO</t>
  </si>
  <si>
    <t>T5 - 4ft - 2 Lamp - 54W - HO</t>
  </si>
  <si>
    <t>T5 - 4ft - 4 Lamp - 54W - HO</t>
  </si>
  <si>
    <t>T5 - 4ft - 6 Lamp - 54W - HO</t>
  </si>
  <si>
    <t>T5 - 4ft - 8 Lamp - 54W - HO</t>
  </si>
  <si>
    <t>T5 - 4ft - 10 Lamp - 54W - HO</t>
  </si>
  <si>
    <t>New Construction</t>
  </si>
  <si>
    <t>Year</t>
  </si>
  <si>
    <t>Avoided Capacity Cost $/kW</t>
  </si>
  <si>
    <t>Avoided T&amp;D $/kW</t>
  </si>
  <si>
    <t>Cost Benefit Data</t>
  </si>
  <si>
    <t>Electric and Gas Avoided Cost</t>
  </si>
  <si>
    <t>Electricity Losses</t>
  </si>
  <si>
    <t>Year Number</t>
  </si>
  <si>
    <t>Electricity Discount Rate</t>
  </si>
  <si>
    <t>NPV AEC $/kWh</t>
  </si>
  <si>
    <t>CB Ratio</t>
  </si>
  <si>
    <t>Base Watt 2</t>
  </si>
  <si>
    <t>Process</t>
  </si>
  <si>
    <t>Custom</t>
  </si>
  <si>
    <t>Water Heating</t>
  </si>
  <si>
    <t>Inspection Form</t>
  </si>
  <si>
    <t>Email</t>
  </si>
  <si>
    <t>M02S02F01</t>
  </si>
  <si>
    <t>Total Prescriptive Electric</t>
  </si>
  <si>
    <t>Total Custom Electric</t>
  </si>
  <si>
    <t>Total ALL</t>
  </si>
  <si>
    <t>kWh Status</t>
  </si>
  <si>
    <t>Incentive Status</t>
  </si>
  <si>
    <t>M02S03F01</t>
  </si>
  <si>
    <t>M02S02F02</t>
  </si>
  <si>
    <t>M02S02F03</t>
  </si>
  <si>
    <t>M02S02F04</t>
  </si>
  <si>
    <t>M02S02F05</t>
  </si>
  <si>
    <t>M02S02F06</t>
  </si>
  <si>
    <t>M02S02F07</t>
  </si>
  <si>
    <t>M02S02F08</t>
  </si>
  <si>
    <t>M02S02F09</t>
  </si>
  <si>
    <t>M02S02F10</t>
  </si>
  <si>
    <t>M02S02F11</t>
  </si>
  <si>
    <t>M02S03F02</t>
  </si>
  <si>
    <t>M02S03F03</t>
  </si>
  <si>
    <t>M02S03F04</t>
  </si>
  <si>
    <t>M02S03F05</t>
  </si>
  <si>
    <t>M02S03F06</t>
  </si>
  <si>
    <t>M02S03F07</t>
  </si>
  <si>
    <t>M02S03F08</t>
  </si>
  <si>
    <t>M02S03F09</t>
  </si>
  <si>
    <t>M02S03F10</t>
  </si>
  <si>
    <t>M02S04F01</t>
  </si>
  <si>
    <t>M02S04F02</t>
  </si>
  <si>
    <t>M02S04F03</t>
  </si>
  <si>
    <t>M02S04F04</t>
  </si>
  <si>
    <t>M02S04F05</t>
  </si>
  <si>
    <t>M02S04F06</t>
  </si>
  <si>
    <t>M02S04F07</t>
  </si>
  <si>
    <t>M02S04F08</t>
  </si>
  <si>
    <t>M02S04F09</t>
  </si>
  <si>
    <t>M02S04F10</t>
  </si>
  <si>
    <t>M02S04F11</t>
  </si>
  <si>
    <t>M02S04F12</t>
  </si>
  <si>
    <t>Building Type</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</si>
  <si>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</si>
  <si>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</si>
  <si>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</si>
  <si>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</si>
  <si>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</si>
  <si>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</si>
  <si>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</si>
  <si>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</si>
  <si>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</si>
  <si>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</si>
  <si>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</si>
  <si>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</si>
  <si>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</si>
  <si>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</si>
  <si>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</si>
  <si>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</si>
  <si>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</si>
  <si>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</si>
  <si>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</si>
  <si>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</si>
  <si>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</si>
  <si>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</si>
  <si>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</si>
  <si>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</si>
  <si>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</si>
  <si>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</si>
  <si>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</si>
  <si>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</si>
  <si>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</si>
  <si>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</si>
  <si>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</si>
  <si>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</si>
  <si>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</si>
  <si>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</si>
  <si>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</si>
  <si>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</si>
  <si>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</si>
  <si>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</si>
  <si>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</si>
  <si>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</si>
  <si>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</si>
  <si>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</si>
  <si>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</si>
  <si>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</si>
  <si>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</si>
  <si>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</si>
  <si>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</si>
  <si>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</si>
  <si>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</si>
  <si>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</si>
  <si>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</si>
  <si>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</si>
  <si>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</si>
  <si>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</si>
  <si>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</si>
  <si>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</si>
  <si>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</si>
  <si>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</si>
  <si>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</si>
  <si>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</si>
  <si>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</si>
  <si>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</si>
  <si>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</si>
  <si>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</si>
  <si>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</si>
  <si>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</si>
  <si>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</si>
  <si>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</si>
  <si>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</si>
  <si>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</si>
  <si>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</si>
  <si>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</si>
  <si>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</si>
  <si>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</si>
  <si>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</si>
  <si>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</si>
  <si>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</si>
  <si>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</si>
  <si>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</si>
  <si>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</si>
  <si>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</si>
  <si>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</si>
  <si>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</si>
  <si>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</si>
  <si>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</si>
  <si>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</si>
  <si>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</si>
  <si>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</si>
  <si>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</si>
  <si>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</si>
  <si>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</si>
  <si>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</si>
  <si>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</si>
  <si>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</si>
  <si>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</si>
  <si>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</si>
  <si>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</si>
  <si>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</si>
  <si>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</si>
  <si>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</si>
  <si>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</si>
  <si>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</si>
  <si>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</si>
  <si>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</si>
  <si>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AC with Natural Gas Heat</t>
  </si>
  <si>
    <t>AC with Electric Heat</t>
  </si>
  <si>
    <t>Electric Heat Only</t>
  </si>
  <si>
    <t>Natural Gas Heat Only</t>
  </si>
  <si>
    <t>Installer</t>
  </si>
  <si>
    <t>Phone</t>
  </si>
  <si>
    <t>First</t>
  </si>
  <si>
    <t>Last</t>
  </si>
  <si>
    <t>Site</t>
  </si>
  <si>
    <t>Terms</t>
  </si>
  <si>
    <t>Payment to</t>
  </si>
  <si>
    <t>Tax Entity</t>
  </si>
  <si>
    <t>Corporation</t>
  </si>
  <si>
    <t>Exempt</t>
  </si>
  <si>
    <t>LLC</t>
  </si>
  <si>
    <t>Partnership, LLP</t>
  </si>
  <si>
    <t>Project Status</t>
  </si>
  <si>
    <t>Progress</t>
  </si>
  <si>
    <t>Required</t>
  </si>
  <si>
    <t>Measure Data</t>
  </si>
  <si>
    <t>M03S01-M03S05</t>
  </si>
  <si>
    <t>M04S01-M04S02</t>
  </si>
  <si>
    <t>Progress Status</t>
  </si>
  <si>
    <t>M05S02F01</t>
  </si>
  <si>
    <t>M05S02F02</t>
  </si>
  <si>
    <t>Incentive Total</t>
  </si>
  <si>
    <t>Engineer</t>
  </si>
  <si>
    <t>Status</t>
  </si>
  <si>
    <t>Review Date</t>
  </si>
  <si>
    <t>Application Info</t>
  </si>
  <si>
    <t>City, State, Zip</t>
  </si>
  <si>
    <t>Project Description</t>
  </si>
  <si>
    <t>Project Cost</t>
  </si>
  <si>
    <t>Additional Information</t>
  </si>
  <si>
    <t>ProjectID</t>
  </si>
  <si>
    <t>UploadID</t>
  </si>
  <si>
    <t>Building Shell</t>
  </si>
  <si>
    <t>Miscellaneous</t>
  </si>
  <si>
    <t>Lighting Controls</t>
  </si>
  <si>
    <t>End Use to Coincident Peak Demand Factors</t>
  </si>
  <si>
    <t>Factor</t>
  </si>
  <si>
    <t>Interior</t>
  </si>
  <si>
    <t>Exterior (24/7)</t>
  </si>
  <si>
    <t>Payback</t>
  </si>
  <si>
    <t>Peak T&amp;D Adj Factor</t>
  </si>
  <si>
    <t>Capacity Reserve Margin</t>
  </si>
  <si>
    <t>Equation</t>
  </si>
  <si>
    <t>Welcome</t>
  </si>
  <si>
    <t>2 ft</t>
  </si>
  <si>
    <t>Measure Subgroup 1</t>
  </si>
  <si>
    <t>Measure Subgroup 2</t>
  </si>
  <si>
    <t>1 Lamp</t>
  </si>
  <si>
    <t>T12 VHO - 8 ft - 4 Lamp</t>
  </si>
  <si>
    <t>Pulse Start MH - 200 Watt</t>
  </si>
  <si>
    <t>Order</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</si>
  <si>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</si>
  <si>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</si>
  <si>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</si>
  <si>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</si>
  <si>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</si>
  <si>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</si>
  <si>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</si>
  <si>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</si>
  <si>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</si>
  <si>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</si>
  <si>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</si>
  <si>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</si>
  <si>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T12 HO - 8 ft - 1 Lamp</t>
  </si>
  <si>
    <t>T12 HO - 8 ft - 2 Lamp</t>
  </si>
  <si>
    <t>T12 HO - 8 ft - 3 Lamp</t>
  </si>
  <si>
    <t>T12 HO - 8 ft - 4 Lamp</t>
  </si>
  <si>
    <t>T12 VHO - 8 ft - 1 Lamp</t>
  </si>
  <si>
    <t>T12 VHO - 8 ft - 2 Lamp</t>
  </si>
  <si>
    <t>T12 VHO - 8 ft - 3 Lamp</t>
  </si>
  <si>
    <t>T8 - 2 ft - 1 Lamp</t>
  </si>
  <si>
    <t>T8 - 2 ft - 2 Lamp</t>
  </si>
  <si>
    <t>T8 - 3 ft - 1 Lamp</t>
  </si>
  <si>
    <t>T8 - 3 ft - 2 Lamp</t>
  </si>
  <si>
    <t>T8 - 4 ft - 1 Lamp</t>
  </si>
  <si>
    <t>T8 - 4 ft - 2 Lamp</t>
  </si>
  <si>
    <t>T8 - 4 ft - 3 Lamp</t>
  </si>
  <si>
    <t>T8 - 8 ft - 1 Lamp</t>
  </si>
  <si>
    <t>T8 - 8 ft - 2 Lamp</t>
  </si>
  <si>
    <t>T8 - 8 ft - 3 Lamp</t>
  </si>
  <si>
    <t>T8 - 8 ft - 4 Lamp</t>
  </si>
  <si>
    <t>T8 HO - 8 ft - 1 Lamp</t>
  </si>
  <si>
    <t>T8 HO - 8 ft - 2 Lamp</t>
  </si>
  <si>
    <t>T8 HO - 8 ft - 3 Lamp</t>
  </si>
  <si>
    <t>T8 HO - 8 ft - 4 Lamp</t>
  </si>
  <si>
    <t>T8 - U-Tube - 1 Lamp</t>
  </si>
  <si>
    <t>T8 - U-Tube - 2 Lamp</t>
  </si>
  <si>
    <t>MH - 70 Watt</t>
  </si>
  <si>
    <t>MH - 100 Watt</t>
  </si>
  <si>
    <t>MH - 175 Watt</t>
  </si>
  <si>
    <t>MH - 250 Watt</t>
  </si>
  <si>
    <t>MH - 400 Watt</t>
  </si>
  <si>
    <t>MH - 1000 Watt</t>
  </si>
  <si>
    <t>Pulse Start MH - 320 Watt</t>
  </si>
  <si>
    <t>Pulse Start MH - 400 Watt</t>
  </si>
  <si>
    <t>HPS - 35 Watt</t>
  </si>
  <si>
    <t>HPS - 50 Watt</t>
  </si>
  <si>
    <t>HPS - 70 watt</t>
  </si>
  <si>
    <t>HPS - 100 Watt</t>
  </si>
  <si>
    <t>HPS - 150 Watt</t>
  </si>
  <si>
    <t>HPS - 200 Watt</t>
  </si>
  <si>
    <t>HPS - 250 Watt</t>
  </si>
  <si>
    <t>HPS - 400 Watt</t>
  </si>
  <si>
    <t>HPS - 1000 Watt</t>
  </si>
  <si>
    <t>MV - 40 Watt</t>
  </si>
  <si>
    <t>MV - 50 Watt</t>
  </si>
  <si>
    <t>MV - 75 Watt</t>
  </si>
  <si>
    <t>MV - 100 Watt</t>
  </si>
  <si>
    <t>MV - 175 Watt</t>
  </si>
  <si>
    <t>MV - 250 Watt</t>
  </si>
  <si>
    <t>MV - 400 Watt</t>
  </si>
  <si>
    <t>Incandescent Lamp</t>
  </si>
  <si>
    <t>CFL Lamp</t>
  </si>
  <si>
    <t>2 Lamp</t>
  </si>
  <si>
    <t>3 ft</t>
  </si>
  <si>
    <t>4 ft</t>
  </si>
  <si>
    <t>3 Lamp</t>
  </si>
  <si>
    <t>4 Lamp</t>
  </si>
  <si>
    <t>8 ft</t>
  </si>
  <si>
    <t>T12 HO</t>
  </si>
  <si>
    <t>T12 VHO</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</si>
  <si>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</si>
  <si>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</si>
  <si>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</si>
  <si>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</si>
  <si>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</si>
  <si>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</si>
  <si>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</si>
  <si>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</si>
  <si>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</si>
  <si>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</si>
  <si>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</si>
  <si>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</si>
  <si>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</si>
  <si>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</si>
  <si>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</si>
  <si>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</si>
  <si>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</si>
  <si>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</si>
  <si>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</si>
  <si>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</si>
  <si>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</si>
  <si>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</si>
  <si>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Linear Tube LED Fixture</t>
  </si>
  <si>
    <t>Non Linear LED Fixture</t>
  </si>
  <si>
    <t>Application Tab</t>
  </si>
  <si>
    <t>End Use Category</t>
  </si>
  <si>
    <t>Units</t>
  </si>
  <si>
    <t>Demand Control Ventilation</t>
  </si>
  <si>
    <t>Air Cooled Chiller</t>
  </si>
  <si>
    <t>Water Cooled Chiller</t>
  </si>
  <si>
    <t>CRAC Unit</t>
  </si>
  <si>
    <t>Window Film</t>
  </si>
  <si>
    <t>Window Replacement</t>
  </si>
  <si>
    <t>Heat Pump Water Heater</t>
  </si>
  <si>
    <t>Heat Pump Pool Heater</t>
  </si>
  <si>
    <t>Compressed Air / Process</t>
  </si>
  <si>
    <t>Compressed Air Optimization</t>
  </si>
  <si>
    <t>Compressed Air Engineered Nozzle</t>
  </si>
  <si>
    <t>Compressor Optimization</t>
  </si>
  <si>
    <t>Optimizing Process Cooling</t>
  </si>
  <si>
    <t>Optimizing Process Heating</t>
  </si>
  <si>
    <t>Motor/Pump/VFD</t>
  </si>
  <si>
    <t>VFD for Fan</t>
  </si>
  <si>
    <t>VFD for Pump</t>
  </si>
  <si>
    <t>ECM Motor for Refrigeration</t>
  </si>
  <si>
    <t>ECM Motor for HVAC</t>
  </si>
  <si>
    <t>Refrigeration Insulation</t>
  </si>
  <si>
    <t>Freezer Insulation</t>
  </si>
  <si>
    <t>Wall Insulation</t>
  </si>
  <si>
    <t>Proj Desc 1</t>
  </si>
  <si>
    <t>Proj Desc 2</t>
  </si>
  <si>
    <t>Commercial Cooker</t>
  </si>
  <si>
    <t>Commercial Fryer</t>
  </si>
  <si>
    <t>Commercial Range Hood</t>
  </si>
  <si>
    <t>Commercial Refrigerator</t>
  </si>
  <si>
    <t>Commercial Freezer</t>
  </si>
  <si>
    <t>VFD for Chiller</t>
  </si>
  <si>
    <t>VFD for Air Compressor</t>
  </si>
  <si>
    <t>Invalid</t>
  </si>
  <si>
    <t>T12 - 4ft - 4 Lamp - 164W Actual</t>
  </si>
  <si>
    <t>T12 - 8ft - 1 Lamp - 83W Actual</t>
  </si>
  <si>
    <t>T12 - 8ft - 2 Lamp - 138W Actual</t>
  </si>
  <si>
    <t>T12 - 8ft - 3 Lamp - 221W Actual</t>
  </si>
  <si>
    <t>T12 - 8ft - 4 Lamp - 276W Actual</t>
  </si>
  <si>
    <t>T12 - 8ft - 1 Lamp - HO - 125W Actual</t>
  </si>
  <si>
    <t>T12 - 8ft - 2 Lamp - HO - 227W Actual</t>
  </si>
  <si>
    <t>T12 - 8ft - 1 Lamp  - VHO - 200W Actual</t>
  </si>
  <si>
    <t>T12 - 8ft - 2 Lamp - VHO - 400W Actual</t>
  </si>
  <si>
    <t>T12 - 8ft - 3 Lamp - VHO - 600W Actual</t>
  </si>
  <si>
    <t>T12 - U-Tube - 1 Lamp - 51W Actual</t>
  </si>
  <si>
    <t>T12 - U-Tube - 2 Lamp - 82W Actual</t>
  </si>
  <si>
    <t>T8 - 2ft - 1 Lamp - 18W</t>
  </si>
  <si>
    <t>T8 - 2ft - 2 Lamp - 18W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</si>
  <si>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</si>
  <si>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</si>
  <si>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</si>
  <si>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</si>
  <si>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</si>
  <si>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</si>
  <si>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</si>
  <si>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</si>
  <si>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</si>
  <si>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</si>
  <si>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</si>
  <si>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</si>
  <si>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</si>
  <si>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</si>
  <si>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</si>
  <si>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</si>
  <si>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</si>
  <si>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</si>
  <si>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</si>
  <si>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</si>
  <si>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</si>
  <si>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</si>
  <si>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</si>
  <si>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</si>
  <si>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</si>
  <si>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</si>
  <si>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</si>
  <si>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</si>
  <si>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</si>
  <si>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</si>
  <si>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</si>
  <si>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</si>
  <si>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</si>
  <si>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Ameren IL</t>
  </si>
  <si>
    <t>ComEd</t>
  </si>
  <si>
    <t>T5 HO - 4 ft - 1 Lamp</t>
  </si>
  <si>
    <t>T5 HO - 4 ft - 2 Lamp</t>
  </si>
  <si>
    <t>T5 HO - 4 ft - 4 Lamp</t>
  </si>
  <si>
    <t>T5 HO - 4 ft - 6 Lamp</t>
  </si>
  <si>
    <t>T5 HO - 4 ft - 8 Lamp</t>
  </si>
  <si>
    <t>T5 HO - 4 ft - 10 Lamp</t>
  </si>
  <si>
    <t>T5 HO</t>
  </si>
  <si>
    <t>Oncor</t>
  </si>
  <si>
    <t>Incremental</t>
  </si>
  <si>
    <t>T5 - 4 ft - 1 Lamp</t>
  </si>
  <si>
    <t>T5 - 4 ft - 2 Lamp</t>
  </si>
  <si>
    <t>T5 - 4 ft - 4 Lamp</t>
  </si>
  <si>
    <t>T5 - 4 ft - 6 Lamp</t>
  </si>
  <si>
    <t>Inefficient Signage Fixture</t>
  </si>
  <si>
    <t>Inefficient Neon Fixture</t>
  </si>
  <si>
    <t>Inefficient Induction Fixture</t>
  </si>
  <si>
    <t>Project Category</t>
  </si>
  <si>
    <t>Air Cooled Chiller (Incremental)</t>
  </si>
  <si>
    <t>Water Cooled Chiller (Incremental)</t>
  </si>
  <si>
    <t>VFD for Fan (Incremental)</t>
  </si>
  <si>
    <t>VFD for Chiller (Incremental)</t>
  </si>
  <si>
    <t>Demand Control Ventilation (Incremental)</t>
  </si>
  <si>
    <t>CRAC Unit (Incremental)</t>
  </si>
  <si>
    <t>Wall Insulation (Incremental)</t>
  </si>
  <si>
    <t>Window Film (Incremental)</t>
  </si>
  <si>
    <t>Window Replacement (Incremental)</t>
  </si>
  <si>
    <t>Inc Rate</t>
  </si>
  <si>
    <t>Others</t>
  </si>
  <si>
    <t>Others (Incremental)</t>
  </si>
  <si>
    <t>Commercial Cooker (Incremental)</t>
  </si>
  <si>
    <t>Commercial Fryer (Incremental)</t>
  </si>
  <si>
    <t>Commercial Range Hood (Incremental)</t>
  </si>
  <si>
    <t>Heat Pump Pool Heater (Incremental)</t>
  </si>
  <si>
    <t>Heat Pump Water Heater (Incremental)</t>
  </si>
  <si>
    <t>Compressed Air Engineered Nozzle (Incremental)</t>
  </si>
  <si>
    <t>Compressed Air Optimization (Incremental)</t>
  </si>
  <si>
    <t>Compressor Optimization (Incremental)</t>
  </si>
  <si>
    <t>Optimizing Process Cooling (Incremental)</t>
  </si>
  <si>
    <t>Optimizing Process Heating (Incremental)</t>
  </si>
  <si>
    <t>VFD for Pump (Incremental)</t>
  </si>
  <si>
    <t>VFD for Air Compressor (Incremental)</t>
  </si>
  <si>
    <t>ECM Motor for Refrigeration (Incremental)</t>
  </si>
  <si>
    <t>ECM Motor for HVAC (Incremental)</t>
  </si>
  <si>
    <t>Commercial Refrigerator (Incremental)</t>
  </si>
  <si>
    <t>Commercial Freezer (Incremental)</t>
  </si>
  <si>
    <t>Refrigeration Insulation (Incremental)</t>
  </si>
  <si>
    <t>Freezer Insulation (Incremental)</t>
  </si>
  <si>
    <t>Efficient Motor</t>
  </si>
  <si>
    <t>Efficient Motor (Incremental)</t>
  </si>
  <si>
    <t>Efficient Pumps</t>
  </si>
  <si>
    <t>Efficient Pumps (Incremental)</t>
  </si>
  <si>
    <t>M02S01F01</t>
  </si>
  <si>
    <t>M02S01F02</t>
  </si>
  <si>
    <t>M02S01F03</t>
  </si>
  <si>
    <t>Cost Basis</t>
  </si>
  <si>
    <t>CFL</t>
  </si>
  <si>
    <t>New Efficient Lighting Fixture</t>
  </si>
  <si>
    <t>Existing Inefficient Lighting Fixture</t>
  </si>
  <si>
    <t>Spillover Text</t>
  </si>
  <si>
    <t>Spillover Reason</t>
  </si>
  <si>
    <t>Enter Measures</t>
  </si>
  <si>
    <t>No Savings</t>
  </si>
  <si>
    <t>Payback Too Fast, Submit for Review</t>
  </si>
  <si>
    <t>Not Cost Effective Submit for Review</t>
  </si>
  <si>
    <t>Submit for Review</t>
  </si>
  <si>
    <t>Rate Schedules</t>
  </si>
  <si>
    <t>Rate</t>
  </si>
  <si>
    <t>Please Review and Sign Form</t>
  </si>
  <si>
    <t>Measure Not Eligible</t>
  </si>
  <si>
    <t>Not Cost Effective</t>
  </si>
  <si>
    <t>Payback Under 18 Months</t>
  </si>
  <si>
    <t>Not Eligible</t>
  </si>
  <si>
    <t>System Text</t>
  </si>
  <si>
    <t>Corp</t>
  </si>
  <si>
    <t>Sole/Ind</t>
  </si>
  <si>
    <t>Partner</t>
  </si>
  <si>
    <t>Summary Form</t>
  </si>
  <si>
    <t>Standard Only No Pre-approval Required</t>
  </si>
  <si>
    <t>Pre-approval Required</t>
  </si>
  <si>
    <t>Equipment Cost</t>
  </si>
  <si>
    <t>Labor Cost</t>
  </si>
  <si>
    <t>Project</t>
  </si>
  <si>
    <t>Payment Preference</t>
  </si>
  <si>
    <t xml:space="preserve">Efficient Air Compressor </t>
  </si>
  <si>
    <t>Efficient Air Compressor (Incremental)</t>
  </si>
  <si>
    <t>Impl. Specialist</t>
  </si>
  <si>
    <t>Incentive Less Than $150</t>
  </si>
  <si>
    <t>X.0.0</t>
  </si>
  <si>
    <t>0.X.0</t>
  </si>
  <si>
    <t>0.0.X</t>
  </si>
  <si>
    <t>Versioning Guidelines (using the highest hierarchy in a group of changes)</t>
  </si>
  <si>
    <t>Chiller Control Optimization</t>
  </si>
  <si>
    <t>Chiller Control Optimization (Incremental)</t>
  </si>
  <si>
    <t>Advanced RTU Compressor Controller</t>
  </si>
  <si>
    <t>Advanced RTU Compressor Controller (Incremental)</t>
  </si>
  <si>
    <t>~~~~~~~~~~~~~~~~~~~~~~~~~~~~~</t>
  </si>
  <si>
    <t>Total kWh</t>
  </si>
  <si>
    <t>Total kW</t>
  </si>
  <si>
    <t>VFD for Process Motor</t>
  </si>
  <si>
    <t>Eff. Wattage Not Met</t>
  </si>
  <si>
    <t>Linear Feet Exceeded</t>
  </si>
  <si>
    <t>Operating Hours Invalid</t>
  </si>
  <si>
    <t>VFD for Process Motor (Incremental)</t>
  </si>
  <si>
    <t>Incentivized kWh</t>
  </si>
  <si>
    <t>Incentivized kW</t>
  </si>
  <si>
    <t>Incentivized Cost</t>
  </si>
  <si>
    <t>Business Development Lead</t>
  </si>
  <si>
    <t>Bus. Devel. Lead</t>
  </si>
  <si>
    <t>Controls (Incremental)</t>
  </si>
  <si>
    <t>Engineers</t>
  </si>
  <si>
    <t>None</t>
  </si>
  <si>
    <t>Controls</t>
  </si>
  <si>
    <t>Unconditioned</t>
  </si>
  <si>
    <t>6 lamp</t>
  </si>
  <si>
    <t>T8 - 8ft - 6 Lamp - 59W</t>
  </si>
  <si>
    <t>Not Eligible for BizSavers Program</t>
  </si>
  <si>
    <t>Industrial Ceiling Fan</t>
  </si>
  <si>
    <t>Industrial Ceiling Fan (Incremental)</t>
  </si>
  <si>
    <t>MH - 150 Watt</t>
  </si>
  <si>
    <t>Pulse Start MH - 1000 Watt</t>
  </si>
  <si>
    <t>Baseline kWh</t>
  </si>
  <si>
    <t>T12 - 2 ft - 3 Lamp</t>
  </si>
  <si>
    <t>T12 - 2 ft - 4 Lamp</t>
  </si>
  <si>
    <t>T12 - 3 ft - 3 Lamp</t>
  </si>
  <si>
    <t>T12 - 3 ft - 4 Lamp</t>
  </si>
  <si>
    <t>T8 - 2 ft - 3 Lamp</t>
  </si>
  <si>
    <t>T8 - 2 ft - 4 Lamp</t>
  </si>
  <si>
    <t>T8 - 3 ft - 3 Lamp</t>
  </si>
  <si>
    <t>T8 - 3 ft - 4 Lamp</t>
  </si>
  <si>
    <t>T12 - U-Tube - 3 Lamp</t>
  </si>
  <si>
    <t>T8 - U-Tube - 3 Lamp</t>
  </si>
  <si>
    <t>T5 - 4 ft - 3 Lamp</t>
  </si>
  <si>
    <t>T5 - 4 ft - 8 Lamp</t>
  </si>
  <si>
    <t>T5 HO - 4 ft - 3 Lamp</t>
  </si>
  <si>
    <t>MH - 50 Watt</t>
  </si>
  <si>
    <t>Pulse Start MH - 350 Watt</t>
  </si>
  <si>
    <t>MV - 1000 Watt</t>
  </si>
  <si>
    <t>T12 - 2ft - 1 Lamp - 20W Actual</t>
  </si>
  <si>
    <t>T12 - 2ft - 2 Lamp - 40W Actual</t>
  </si>
  <si>
    <t>T12 - 2ft - 3 Lamp - 60W Actual</t>
  </si>
  <si>
    <t>T12 - 2ft - 4 Lamp - 80W Actual</t>
  </si>
  <si>
    <t>T12 - 3ft - 1 Lamp - 30W Actual</t>
  </si>
  <si>
    <t>T12 - 3ft - 2 Lamp - 60W Actual</t>
  </si>
  <si>
    <t>T12 - 3ft - 3 Lamp - 90W Actual</t>
  </si>
  <si>
    <t>T12 - 3ft - 4 Lamp - 120W Actual</t>
  </si>
  <si>
    <t>T12 - 4ft - 1 Lamp - 40W Actual</t>
  </si>
  <si>
    <t>T12 - 4ft - 2 Lamp - 80W Actual</t>
  </si>
  <si>
    <t>T12 - 4ft - 3 Lamp - 120W Actual</t>
  </si>
  <si>
    <t>T12 - 4ft - 6 Lamp - 240W Actual</t>
  </si>
  <si>
    <t>T12 - 8ft - 3 Lamp - HO - 454W Actual</t>
  </si>
  <si>
    <t>T12 - 8ft - 3 Lamp - HO - 352W Actual</t>
  </si>
  <si>
    <t>T12 - 8ft - 3 Lamp - VHO - 800W Actual</t>
  </si>
  <si>
    <t>T12 - U-Tube - 2 Lamp - 102W Actual</t>
  </si>
  <si>
    <t>T8 - 3ft - 1 Lamp - 25W</t>
  </si>
  <si>
    <t>T8 - 3ft - 3 Lamp - 25W</t>
  </si>
  <si>
    <t>T8 - 2ft - 3 Lamp - 18W</t>
  </si>
  <si>
    <t>T8 - 2ft - 4 Lamp - 18W</t>
  </si>
  <si>
    <t>T8 - 3ft - 2 Lamp - 25W</t>
  </si>
  <si>
    <t>T8 - 3ft - 4 Lamp - 25W</t>
  </si>
  <si>
    <t>T8 - U-Tube - 3 Lamp - 30W</t>
  </si>
  <si>
    <t>T5 - 4ft - 1 Lamp - 28W</t>
  </si>
  <si>
    <t>T5 - 4ft - 2 Lamp - 28W</t>
  </si>
  <si>
    <t>T5 - 4ft - 4 Lamp - 28W</t>
  </si>
  <si>
    <t>T5 - 4ft - 6 Lamp - 28W</t>
  </si>
  <si>
    <t>T5 - 4ft - 3 Lamp - 28W</t>
  </si>
  <si>
    <t>T5 - 4ft - 8 Lamp - 28W</t>
  </si>
  <si>
    <t>T5 - 4ft - 3 Lamp - 54W - HO</t>
  </si>
  <si>
    <t>MH 50W</t>
  </si>
  <si>
    <t>MH 150W</t>
  </si>
  <si>
    <t>350 Watt</t>
  </si>
  <si>
    <t>MV 1000W</t>
  </si>
  <si>
    <t>Halogen Lamp</t>
  </si>
  <si>
    <t>No Code</t>
  </si>
  <si>
    <t>IECC 2009</t>
  </si>
  <si>
    <t>IECC 2012</t>
  </si>
  <si>
    <t>IECC 2015</t>
  </si>
  <si>
    <t>IECC 2003</t>
  </si>
  <si>
    <t>IECC 2006</t>
  </si>
  <si>
    <t>North Kansas City</t>
  </si>
  <si>
    <t>Sedalia</t>
  </si>
  <si>
    <t>Raytown</t>
  </si>
  <si>
    <t>Riverside</t>
  </si>
  <si>
    <t>Buckner</t>
  </si>
  <si>
    <t>Belton</t>
  </si>
  <si>
    <t>Smithville</t>
  </si>
  <si>
    <t>Warrensburg</t>
  </si>
  <si>
    <t>Gladstone</t>
  </si>
  <si>
    <t>Grandview</t>
  </si>
  <si>
    <t>$/kWh</t>
  </si>
  <si>
    <t>Project Payback Too Fast</t>
  </si>
  <si>
    <t xml:space="preserve"> </t>
  </si>
  <si>
    <t>Yes</t>
  </si>
  <si>
    <t>Hotel/Motel</t>
  </si>
  <si>
    <t>School (Elementary)</t>
  </si>
  <si>
    <t>School (Middle/High)</t>
  </si>
  <si>
    <t>((1+ELOSS)*PEAKTD*(1+CAPRESERVE)*((KWH*NPVAEC)+(KW*NPVACCTD)))/PROJCOST</t>
  </si>
  <si>
    <t>Project Not Cost Effective</t>
  </si>
  <si>
    <t>ZIP Code</t>
  </si>
  <si>
    <t>Cities Dropdown</t>
  </si>
  <si>
    <t>NC City Code</t>
  </si>
  <si>
    <t>County</t>
  </si>
  <si>
    <t>NC County Code</t>
  </si>
  <si>
    <t>Amazonia</t>
  </si>
  <si>
    <t>Andrew</t>
  </si>
  <si>
    <t>x</t>
  </si>
  <si>
    <t>Adrian</t>
  </si>
  <si>
    <t>Bolckow</t>
  </si>
  <si>
    <t>Agency</t>
  </si>
  <si>
    <t>Cosby</t>
  </si>
  <si>
    <t>Albany</t>
  </si>
  <si>
    <t>Fillmore</t>
  </si>
  <si>
    <t>Allendale</t>
  </si>
  <si>
    <t>Helena</t>
  </si>
  <si>
    <t>Alma</t>
  </si>
  <si>
    <t>Rea</t>
  </si>
  <si>
    <t>Altamont</t>
  </si>
  <si>
    <t>Rosendale</t>
  </si>
  <si>
    <t>Savannah</t>
  </si>
  <si>
    <t>Amity</t>
  </si>
  <si>
    <t>Fairfax</t>
  </si>
  <si>
    <t>Atchison</t>
  </si>
  <si>
    <t>Amoret</t>
  </si>
  <si>
    <t>Langdon</t>
  </si>
  <si>
    <t>Amsterdam</t>
  </si>
  <si>
    <t>Rock Port</t>
  </si>
  <si>
    <t>Appleton City</t>
  </si>
  <si>
    <t>Tarkio</t>
  </si>
  <si>
    <t>Archie</t>
  </si>
  <si>
    <t>Watson</t>
  </si>
  <si>
    <t>Arcola</t>
  </si>
  <si>
    <t>Westboro</t>
  </si>
  <si>
    <t>Armstrong</t>
  </si>
  <si>
    <t>Asbury</t>
  </si>
  <si>
    <t>Barton</t>
  </si>
  <si>
    <t>Arrow Rock</t>
  </si>
  <si>
    <t>Golden City</t>
  </si>
  <si>
    <t>Iantha</t>
  </si>
  <si>
    <t>Aullville</t>
  </si>
  <si>
    <t>Irwin</t>
  </si>
  <si>
    <t>Austin</t>
  </si>
  <si>
    <t>Lamar</t>
  </si>
  <si>
    <t>Avalon</t>
  </si>
  <si>
    <t>Liberal</t>
  </si>
  <si>
    <t>Avondale</t>
  </si>
  <si>
    <t>Milford</t>
  </si>
  <si>
    <t>Bahner</t>
  </si>
  <si>
    <t>Mindenmines</t>
  </si>
  <si>
    <t>Barnard</t>
  </si>
  <si>
    <t>Bates</t>
  </si>
  <si>
    <t>Bates City</t>
  </si>
  <si>
    <t>Beaman</t>
  </si>
  <si>
    <t>Butler</t>
  </si>
  <si>
    <t>Bethany</t>
  </si>
  <si>
    <t>Drexel</t>
  </si>
  <si>
    <t>Bigelow</t>
  </si>
  <si>
    <t>Foster</t>
  </si>
  <si>
    <t>Birmingham</t>
  </si>
  <si>
    <t>Hume</t>
  </si>
  <si>
    <t>Blackburn</t>
  </si>
  <si>
    <t>Passaic</t>
  </si>
  <si>
    <t>Blairstown</t>
  </si>
  <si>
    <t>Prairie City</t>
  </si>
  <si>
    <t>Blue Springs</t>
  </si>
  <si>
    <t>Rich Hill</t>
  </si>
  <si>
    <t>Blythedale</t>
  </si>
  <si>
    <t>Rockville</t>
  </si>
  <si>
    <t>Bogard</t>
  </si>
  <si>
    <t>Stotesbury</t>
  </si>
  <si>
    <t>Taberville</t>
  </si>
  <si>
    <t>Boonesboro</t>
  </si>
  <si>
    <t>Cole Camp</t>
  </si>
  <si>
    <t>Benton</t>
  </si>
  <si>
    <t>Bosworth</t>
  </si>
  <si>
    <t>Edwards</t>
  </si>
  <si>
    <t>Brimson</t>
  </si>
  <si>
    <t>Fristoe</t>
  </si>
  <si>
    <t>Brunswick</t>
  </si>
  <si>
    <t>Hastain</t>
  </si>
  <si>
    <t>Ionia</t>
  </si>
  <si>
    <t>Burlington Junction</t>
  </si>
  <si>
    <t>Lakeview Heights</t>
  </si>
  <si>
    <t>Lincoln</t>
  </si>
  <si>
    <t>Bynumville</t>
  </si>
  <si>
    <t>Mount Hulda</t>
  </si>
  <si>
    <t>Cainsville</t>
  </si>
  <si>
    <t>Old Fredonia</t>
  </si>
  <si>
    <t>Cairo</t>
  </si>
  <si>
    <t>Palopinto</t>
  </si>
  <si>
    <t>Calhoun</t>
  </si>
  <si>
    <t>Racket</t>
  </si>
  <si>
    <t>Camden</t>
  </si>
  <si>
    <t>Sagrada</t>
  </si>
  <si>
    <t>Camden Point</t>
  </si>
  <si>
    <t>Warsaw</t>
  </si>
  <si>
    <t>Cameron</t>
  </si>
  <si>
    <t>Whitakerville</t>
  </si>
  <si>
    <t>Camp Clark</t>
  </si>
  <si>
    <t>Wisdom</t>
  </si>
  <si>
    <t>Caplinger Mills</t>
  </si>
  <si>
    <t>Buchanan</t>
  </si>
  <si>
    <t>Carrollton</t>
  </si>
  <si>
    <t>De Kalb</t>
  </si>
  <si>
    <t>Centerview</t>
  </si>
  <si>
    <t>Easton</t>
  </si>
  <si>
    <t>Chilhowee</t>
  </si>
  <si>
    <t>Faucett</t>
  </si>
  <si>
    <t>Chillicothe</t>
  </si>
  <si>
    <t>Rushville</t>
  </si>
  <si>
    <t>Chula</t>
  </si>
  <si>
    <t>Saint Joseph</t>
  </si>
  <si>
    <t>Clark</t>
  </si>
  <si>
    <t>Clarksdale</t>
  </si>
  <si>
    <t>Claycomo</t>
  </si>
  <si>
    <t>Clearmont</t>
  </si>
  <si>
    <t>Cleveland</t>
  </si>
  <si>
    <t>Clifton Hill</t>
  </si>
  <si>
    <t>Clinton</t>
  </si>
  <si>
    <t>Clyde</t>
  </si>
  <si>
    <t>Taos</t>
  </si>
  <si>
    <t>Coffey</t>
  </si>
  <si>
    <t>Winthrop</t>
  </si>
  <si>
    <t>Carroll</t>
  </si>
  <si>
    <t>Collins</t>
  </si>
  <si>
    <t>Conception</t>
  </si>
  <si>
    <t>Conception Junction</t>
  </si>
  <si>
    <t>De Witt</t>
  </si>
  <si>
    <t>Concordia</t>
  </si>
  <si>
    <t>Hale</t>
  </si>
  <si>
    <t>Corder</t>
  </si>
  <si>
    <t>Norborne</t>
  </si>
  <si>
    <t>Corning</t>
  </si>
  <si>
    <t>Stet</t>
  </si>
  <si>
    <t>Tina</t>
  </si>
  <si>
    <t>Craig</t>
  </si>
  <si>
    <t>Wakenda</t>
  </si>
  <si>
    <t>Creighton</t>
  </si>
  <si>
    <t>Cass</t>
  </si>
  <si>
    <t>Cretcher</t>
  </si>
  <si>
    <t>Crystal Lakes</t>
  </si>
  <si>
    <t>Dadeville</t>
  </si>
  <si>
    <t>East Lynne</t>
  </si>
  <si>
    <t>Dalton</t>
  </si>
  <si>
    <t>Freeman</t>
  </si>
  <si>
    <t>Damascus</t>
  </si>
  <si>
    <t>Garden City</t>
  </si>
  <si>
    <t>Darksville</t>
  </si>
  <si>
    <t>Gunn City</t>
  </si>
  <si>
    <t>Darlington</t>
  </si>
  <si>
    <t>Harrisonville</t>
  </si>
  <si>
    <t>Dawn</t>
  </si>
  <si>
    <t>Lake Annette</t>
  </si>
  <si>
    <t>Latour</t>
  </si>
  <si>
    <t>Peculiar</t>
  </si>
  <si>
    <t>Dearborn</t>
  </si>
  <si>
    <t>Pleasant Hill</t>
  </si>
  <si>
    <t>Deepwater</t>
  </si>
  <si>
    <t>Raymore</t>
  </si>
  <si>
    <t>Deerfield</t>
  </si>
  <si>
    <t>Denver</t>
  </si>
  <si>
    <t>Strasburg</t>
  </si>
  <si>
    <t>Dover</t>
  </si>
  <si>
    <t>West Line</t>
  </si>
  <si>
    <t>Dresden</t>
  </si>
  <si>
    <t>Cedar</t>
  </si>
  <si>
    <t>El Dorado Springs</t>
  </si>
  <si>
    <t>Dunksburg</t>
  </si>
  <si>
    <t>Jerico Springs</t>
  </si>
  <si>
    <t>Eagleville</t>
  </si>
  <si>
    <t>Stockton</t>
  </si>
  <si>
    <t>Chariton</t>
  </si>
  <si>
    <t>Edgerton</t>
  </si>
  <si>
    <t>Forest Green</t>
  </si>
  <si>
    <t>Indian Grove</t>
  </si>
  <si>
    <t>Elmira</t>
  </si>
  <si>
    <t>Keytesville</t>
  </si>
  <si>
    <t>Elmo</t>
  </si>
  <si>
    <t>Mendon</t>
  </si>
  <si>
    <t>Elmwood</t>
  </si>
  <si>
    <t>Musselfork</t>
  </si>
  <si>
    <t>Emma</t>
  </si>
  <si>
    <t>Prairie Hill</t>
  </si>
  <si>
    <t>Ernestville</t>
  </si>
  <si>
    <t>Rothville</t>
  </si>
  <si>
    <t>Estill</t>
  </si>
  <si>
    <t>Salisbury</t>
  </si>
  <si>
    <t>Everton</t>
  </si>
  <si>
    <t>Snyder</t>
  </si>
  <si>
    <t>Excelsior Estates</t>
  </si>
  <si>
    <t>Sumner</t>
  </si>
  <si>
    <t>Excelsior Springs</t>
  </si>
  <si>
    <t>Triplett</t>
  </si>
  <si>
    <t>Clay</t>
  </si>
  <si>
    <t>Fairport</t>
  </si>
  <si>
    <t>Farley</t>
  </si>
  <si>
    <t>Fayette</t>
  </si>
  <si>
    <t>Ferrelview</t>
  </si>
  <si>
    <t>Holt</t>
  </si>
  <si>
    <t>Forest City</t>
  </si>
  <si>
    <t>Homestead Village</t>
  </si>
  <si>
    <t>Kearney</t>
  </si>
  <si>
    <t>Fort Osage</t>
  </si>
  <si>
    <t>Liberty</t>
  </si>
  <si>
    <t>Fortescue</t>
  </si>
  <si>
    <t>Missouri City</t>
  </si>
  <si>
    <t>Franklin</t>
  </si>
  <si>
    <t>Mosby</t>
  </si>
  <si>
    <t>Oakview</t>
  </si>
  <si>
    <t>Paradise</t>
  </si>
  <si>
    <t>Gallatin</t>
  </si>
  <si>
    <t>Pleasant Valley</t>
  </si>
  <si>
    <t>Randolph</t>
  </si>
  <si>
    <t>Gentry</t>
  </si>
  <si>
    <t>Gentryville</t>
  </si>
  <si>
    <t>Georgetown</t>
  </si>
  <si>
    <t>Gilliam</t>
  </si>
  <si>
    <t>Gilman City</t>
  </si>
  <si>
    <t>Glasgow</t>
  </si>
  <si>
    <t>Gower</t>
  </si>
  <si>
    <t>Kansas City</t>
  </si>
  <si>
    <t>Graham</t>
  </si>
  <si>
    <t>Grain Valley</t>
  </si>
  <si>
    <t>Grand Pass</t>
  </si>
  <si>
    <t>Grant City</t>
  </si>
  <si>
    <t>Green Ridge</t>
  </si>
  <si>
    <t>Greenfield</t>
  </si>
  <si>
    <t>Greenwood</t>
  </si>
  <si>
    <t>Guilford</t>
  </si>
  <si>
    <t>Hardin</t>
  </si>
  <si>
    <t>Hartwell</t>
  </si>
  <si>
    <t>Harwood</t>
  </si>
  <si>
    <t>Village of Oakview</t>
  </si>
  <si>
    <t>Hatfield</t>
  </si>
  <si>
    <t>Hemple</t>
  </si>
  <si>
    <t>Wood Heights</t>
  </si>
  <si>
    <t>Henrietta</t>
  </si>
  <si>
    <t>Higbee</t>
  </si>
  <si>
    <t>Higginsville</t>
  </si>
  <si>
    <t>Lathrop</t>
  </si>
  <si>
    <t>Holden</t>
  </si>
  <si>
    <t>Plattsburg</t>
  </si>
  <si>
    <t>Trimble</t>
  </si>
  <si>
    <t>Turney</t>
  </si>
  <si>
    <t>Hopkins</t>
  </si>
  <si>
    <t>Dade</t>
  </si>
  <si>
    <t>Horton</t>
  </si>
  <si>
    <t>Houston Lake</t>
  </si>
  <si>
    <t>Houstonia</t>
  </si>
  <si>
    <t>Hughesville</t>
  </si>
  <si>
    <t>Lockwood</t>
  </si>
  <si>
    <t>South Greenfield</t>
  </si>
  <si>
    <t>Huntsville</t>
  </si>
  <si>
    <t>Daviess</t>
  </si>
  <si>
    <t>Independence</t>
  </si>
  <si>
    <t>Jameson</t>
  </si>
  <si>
    <t>Jamesport</t>
  </si>
  <si>
    <t>Lake Viking</t>
  </si>
  <si>
    <t>Jacksonville</t>
  </si>
  <si>
    <t>Lock Springs</t>
  </si>
  <si>
    <t>Pattonsburg</t>
  </si>
  <si>
    <t>Winston</t>
  </si>
  <si>
    <t>Dekalb</t>
  </si>
  <si>
    <t>Maysville</t>
  </si>
  <si>
    <t>King City</t>
  </si>
  <si>
    <t>Osborn</t>
  </si>
  <si>
    <t>Kingsville</t>
  </si>
  <si>
    <t>Stewartsville</t>
  </si>
  <si>
    <t>Knob Noster</t>
  </si>
  <si>
    <t>Union Star</t>
  </si>
  <si>
    <t>La Monte</t>
  </si>
  <si>
    <t>Weatherby</t>
  </si>
  <si>
    <t>Lake Lafayette</t>
  </si>
  <si>
    <t>Lake Lotawana</t>
  </si>
  <si>
    <t>Lake Tapawingo</t>
  </si>
  <si>
    <t>Lake Waukomis</t>
  </si>
  <si>
    <t>Mc Fall</t>
  </si>
  <si>
    <t>Lake Winnebago</t>
  </si>
  <si>
    <t>McFall</t>
  </si>
  <si>
    <t>Stanberry</t>
  </si>
  <si>
    <t>Laredo</t>
  </si>
  <si>
    <t>Grundy</t>
  </si>
  <si>
    <t>Spickard</t>
  </si>
  <si>
    <t>Trenton</t>
  </si>
  <si>
    <t>Harrison</t>
  </si>
  <si>
    <t>Lawson</t>
  </si>
  <si>
    <t>Lees Summit</t>
  </si>
  <si>
    <t>Leeton</t>
  </si>
  <si>
    <t>Levasy</t>
  </si>
  <si>
    <t>Lewis Station</t>
  </si>
  <si>
    <t>Lexington</t>
  </si>
  <si>
    <t>Martinsville</t>
  </si>
  <si>
    <t>Mount Moriah</t>
  </si>
  <si>
    <t>New Hampton</t>
  </si>
  <si>
    <t>Ridgeway</t>
  </si>
  <si>
    <t>Henry</t>
  </si>
  <si>
    <t>Lone Jack</t>
  </si>
  <si>
    <t>Longwood</t>
  </si>
  <si>
    <t>Lowry City</t>
  </si>
  <si>
    <t>Ludlow</t>
  </si>
  <si>
    <t>Maitland</t>
  </si>
  <si>
    <t>Malta Bend</t>
  </si>
  <si>
    <t>Montrose</t>
  </si>
  <si>
    <t>Marshall</t>
  </si>
  <si>
    <t>Tightwad</t>
  </si>
  <si>
    <t>Marshall Junction</t>
  </si>
  <si>
    <t>Urich</t>
  </si>
  <si>
    <t>Martin City</t>
  </si>
  <si>
    <t>Windsor</t>
  </si>
  <si>
    <t>Maryville</t>
  </si>
  <si>
    <t>Mayview</t>
  </si>
  <si>
    <t>Mound City</t>
  </si>
  <si>
    <t>Mercer</t>
  </si>
  <si>
    <t>Metz</t>
  </si>
  <si>
    <t>Howard</t>
  </si>
  <si>
    <t>Miami</t>
  </si>
  <si>
    <t>Milo</t>
  </si>
  <si>
    <t>Moberly</t>
  </si>
  <si>
    <t>New Franklin</t>
  </si>
  <si>
    <t>Petersburg</t>
  </si>
  <si>
    <t>Montserrat</t>
  </si>
  <si>
    <t>Roanoke</t>
  </si>
  <si>
    <t>Mooresville</t>
  </si>
  <si>
    <t>Jackson</t>
  </si>
  <si>
    <t>Mora</t>
  </si>
  <si>
    <t>Moundville</t>
  </si>
  <si>
    <t>Napoleon</t>
  </si>
  <si>
    <t>Napton</t>
  </si>
  <si>
    <t>Nelson</t>
  </si>
  <si>
    <t>Oak Grove</t>
  </si>
  <si>
    <t>Odessa</t>
  </si>
  <si>
    <t>Orrick</t>
  </si>
  <si>
    <t>Osceola</t>
  </si>
  <si>
    <t>Parkville</t>
  </si>
  <si>
    <t>Parnell</t>
  </si>
  <si>
    <t>Sibley</t>
  </si>
  <si>
    <t>Sugar Creek</t>
  </si>
  <si>
    <t>Pickering</t>
  </si>
  <si>
    <t>Platte City</t>
  </si>
  <si>
    <t>Unity Village</t>
  </si>
  <si>
    <t>Platte Woods</t>
  </si>
  <si>
    <t>Princeton</t>
  </si>
  <si>
    <t>Quitman</t>
  </si>
  <si>
    <t>Ravenwood</t>
  </si>
  <si>
    <t>Rayville</t>
  </si>
  <si>
    <t>Renick</t>
  </si>
  <si>
    <t>Richards</t>
  </si>
  <si>
    <t>Richmond</t>
  </si>
  <si>
    <t>Roscoe</t>
  </si>
  <si>
    <t>Rucker</t>
  </si>
  <si>
    <t>Saline City</t>
  </si>
  <si>
    <t>Salt Pond</t>
  </si>
  <si>
    <t>Schell City</t>
  </si>
  <si>
    <t>Sharon</t>
  </si>
  <si>
    <t>Sheldon</t>
  </si>
  <si>
    <t>Sheridan</t>
  </si>
  <si>
    <t>Skidmore</t>
  </si>
  <si>
    <t>Slater</t>
  </si>
  <si>
    <t>Smithton</t>
  </si>
  <si>
    <t>Springfork</t>
  </si>
  <si>
    <t>Sweet Springs</t>
  </si>
  <si>
    <t>Thomas Hill</t>
  </si>
  <si>
    <t>Johnson</t>
  </si>
  <si>
    <t>Tracy</t>
  </si>
  <si>
    <t>Valley City</t>
  </si>
  <si>
    <t>Urbandale</t>
  </si>
  <si>
    <t>Whiteman Air Force Base</t>
  </si>
  <si>
    <t>Utica</t>
  </si>
  <si>
    <t>Lafayette</t>
  </si>
  <si>
    <t>Vista</t>
  </si>
  <si>
    <t>Waldron</t>
  </si>
  <si>
    <t>Walker</t>
  </si>
  <si>
    <t>Waverly</t>
  </si>
  <si>
    <t>Weatherby Lake</t>
  </si>
  <si>
    <t>Wellington</t>
  </si>
  <si>
    <t>Weston</t>
  </si>
  <si>
    <t>Livingston</t>
  </si>
  <si>
    <t>Wheeling</t>
  </si>
  <si>
    <t>Worth</t>
  </si>
  <si>
    <t>Yates</t>
  </si>
  <si>
    <t>Nodaway</t>
  </si>
  <si>
    <t>Pettis</t>
  </si>
  <si>
    <t>Platte</t>
  </si>
  <si>
    <t>Ray</t>
  </si>
  <si>
    <t>Saint Clair</t>
  </si>
  <si>
    <t>Saline</t>
  </si>
  <si>
    <t>Vernon</t>
  </si>
  <si>
    <t>Project Address:</t>
  </si>
  <si>
    <t>Contact:</t>
  </si>
  <si>
    <t>Phone:</t>
  </si>
  <si>
    <t>Over 5 years you could save</t>
  </si>
  <si>
    <t>Impact Summary</t>
  </si>
  <si>
    <t>Additional Resources</t>
  </si>
  <si>
    <t>Online:</t>
  </si>
  <si>
    <t>Email:</t>
  </si>
  <si>
    <t>kWh Savings</t>
  </si>
  <si>
    <t>Learn more online or contact 
a program representative today!</t>
  </si>
  <si>
    <t>metric tons CO2/kWh</t>
  </si>
  <si>
    <t>metric tons CO2</t>
  </si>
  <si>
    <t>metric tons C02E/vehicle/year</t>
  </si>
  <si>
    <t>metric tons CO2E/ton of waste recycled instead of landfilled</t>
  </si>
  <si>
    <t>metric tons CO2/home/month.</t>
  </si>
  <si>
    <t>Already planning future projects?</t>
  </si>
  <si>
    <t>Unit of Measure</t>
  </si>
  <si>
    <t>Ton</t>
  </si>
  <si>
    <t>1000 Sq. Ft. Cond. Space</t>
  </si>
  <si>
    <t>HP</t>
  </si>
  <si>
    <t>Cu. Ft.</t>
  </si>
  <si>
    <t>1000 Sq. Ft. of Insulation</t>
  </si>
  <si>
    <t>100 Sq. Ft. of Window</t>
  </si>
  <si>
    <r>
      <t>1</t>
    </r>
    <r>
      <rPr>
        <vertAlign val="superscript"/>
        <sz val="14"/>
        <rFont val="Arial"/>
        <family val="2"/>
      </rPr>
      <t>st</t>
    </r>
    <r>
      <rPr>
        <sz val="14"/>
        <rFont val="Arial"/>
        <family val="2"/>
      </rPr>
      <t xml:space="preserve"> Year ROI</t>
    </r>
  </si>
  <si>
    <t>Interior Lighting</t>
  </si>
  <si>
    <t>Interior Lighting Control</t>
  </si>
  <si>
    <t>NPV ACC $/kW</t>
  </si>
  <si>
    <t>Utility Discount Rate</t>
  </si>
  <si>
    <t>Avoided Costs</t>
  </si>
  <si>
    <t>Net Present Value of Avoided Costs per kWh and kW for expected measure lives</t>
  </si>
  <si>
    <t>Utility Avoided Costs</t>
  </si>
  <si>
    <t>Total Utility Avoided Costs</t>
  </si>
  <si>
    <t>$/kW-yr</t>
  </si>
  <si>
    <t>Measure Life</t>
  </si>
  <si>
    <t>kWh escalator</t>
  </si>
  <si>
    <t>kW escalator</t>
  </si>
  <si>
    <t>NPV</t>
  </si>
  <si>
    <t>Retrofit</t>
  </si>
  <si>
    <t>KCP&amp;L confimred that line losses, capacity reserve margins, and peak T&amp;D adjustments are all incldued in the NPV values. (email 9/20/18)</t>
  </si>
  <si>
    <t xml:space="preserve">vehicles removed </t>
  </si>
  <si>
    <t>from the road</t>
  </si>
  <si>
    <t>homes powered</t>
  </si>
  <si>
    <t>for one month</t>
  </si>
  <si>
    <r>
      <t>tons of landfill CO</t>
    </r>
    <r>
      <rPr>
        <vertAlign val="subscript"/>
        <sz val="13"/>
        <color theme="1"/>
        <rFont val="Arial"/>
        <family val="2"/>
      </rPr>
      <t>2</t>
    </r>
  </si>
  <si>
    <t xml:space="preserve">Saving </t>
  </si>
  <si>
    <t>Motors and Drives</t>
  </si>
  <si>
    <t>Source</t>
  </si>
  <si>
    <t xml:space="preserve"> emissions eliminated</t>
  </si>
  <si>
    <t>Taylor</t>
  </si>
  <si>
    <t>Payment</t>
  </si>
  <si>
    <t>Instructions</t>
  </si>
  <si>
    <t>Customer Information</t>
  </si>
  <si>
    <t>Building Information</t>
  </si>
  <si>
    <t>Forms</t>
  </si>
  <si>
    <t>Activate Offer</t>
  </si>
  <si>
    <t>Activate Completion</t>
  </si>
  <si>
    <t>We encourage electronic submission. A typewritten signature is acceptable and will have the same effect as a pen signature.</t>
  </si>
  <si>
    <t>AUTHORIZATION FOR RELEASE OF CUSTOMER ACCOUNT INFORMATION</t>
  </si>
  <si>
    <t>AGREEMENT</t>
  </si>
  <si>
    <t>Equipment Type</t>
  </si>
  <si>
    <t>M4S9</t>
  </si>
  <si>
    <t>Section Savings</t>
  </si>
  <si>
    <t>Ineff. Wattage</t>
  </si>
  <si>
    <t>Efficient Wattage</t>
  </si>
  <si>
    <t>Equipment Input</t>
  </si>
  <si>
    <t xml:space="preserve">Please fill out the company information below. For the purposes of this application "Company" is the headquarters or primary office that is responsible for a given building/site where the project is being implemented.  </t>
  </si>
  <si>
    <t>Account Number 2</t>
  </si>
  <si>
    <t>M02S04F13</t>
  </si>
  <si>
    <t>M02S04F14</t>
  </si>
  <si>
    <t>M02S04F15</t>
  </si>
  <si>
    <t>M02S04F16</t>
  </si>
  <si>
    <t>M02S04F17</t>
  </si>
  <si>
    <t>M02S04F18</t>
  </si>
  <si>
    <t>M02S04F19</t>
  </si>
  <si>
    <t>M02S04F20</t>
  </si>
  <si>
    <t>M02S04F21</t>
  </si>
  <si>
    <t>M02S04F22</t>
  </si>
  <si>
    <t>M02S04F23</t>
  </si>
  <si>
    <t>% Complete</t>
  </si>
  <si>
    <t>Project Review &amp; Summary</t>
  </si>
  <si>
    <t>M05S01F01</t>
  </si>
  <si>
    <t>M05S01F02</t>
  </si>
  <si>
    <t>M05S01F03</t>
  </si>
  <si>
    <t>M05S01F04</t>
  </si>
  <si>
    <t>M05S01F05</t>
  </si>
  <si>
    <t>M05S01F06</t>
  </si>
  <si>
    <t>M05S01F07</t>
  </si>
  <si>
    <t>M05S01F08</t>
  </si>
  <si>
    <t>M05S01F09</t>
  </si>
  <si>
    <t>M05S01F10</t>
  </si>
  <si>
    <t>M05S01F11</t>
  </si>
  <si>
    <t>M05S01F12</t>
  </si>
  <si>
    <t>Standard Category</t>
  </si>
  <si>
    <t>Custom Category</t>
  </si>
  <si>
    <t>Payment Type</t>
  </si>
  <si>
    <t>Payee Company Name</t>
  </si>
  <si>
    <t>Payee First Name</t>
  </si>
  <si>
    <t>Payee Last Name</t>
  </si>
  <si>
    <t>Phone Number</t>
  </si>
  <si>
    <t>Zip Code</t>
  </si>
  <si>
    <t>Federal Tax ID Number</t>
  </si>
  <si>
    <t xml:space="preserve">Please enter the Payee Information below. The payee information may be autofilled based on your selection, but you can overwrite the data if necessary. </t>
  </si>
  <si>
    <t>M05S01TB1</t>
  </si>
  <si>
    <t>-</t>
  </si>
  <si>
    <t>M05S01F13</t>
  </si>
  <si>
    <t>No</t>
  </si>
  <si>
    <t>Options</t>
  </si>
  <si>
    <t>Trade Ally</t>
  </si>
  <si>
    <t>Payment Agreement</t>
  </si>
  <si>
    <t>Payment Agreement Checkbox</t>
  </si>
  <si>
    <t xml:space="preserve"> ✎ Update</t>
  </si>
  <si>
    <t>Project Review</t>
  </si>
  <si>
    <t>is equivalent to…</t>
  </si>
  <si>
    <t>Measure Name</t>
  </si>
  <si>
    <t>Primary Key</t>
  </si>
  <si>
    <t>End Use</t>
  </si>
  <si>
    <t>Current Unit</t>
  </si>
  <si>
    <t>Incremental Measure Cost ($/Unit)</t>
  </si>
  <si>
    <t>Electric Energy Savings (Annual kWh/unit)</t>
  </si>
  <si>
    <t>Coincident Peak Demand Savings (kW/unit)</t>
  </si>
  <si>
    <t>Measure Life (Years)</t>
  </si>
  <si>
    <t>Measure Efficiency Value</t>
  </si>
  <si>
    <t>Baseline Definition</t>
  </si>
  <si>
    <t>Baseline Efficiency Value</t>
  </si>
  <si>
    <t>Effective Start Date</t>
  </si>
  <si>
    <t>Door</t>
  </si>
  <si>
    <t>LED Refrig Case Lights w/Doors 4ft 5ft or 6ft repl Fluor Refrig Case Lights w/Doors 4ft 5ft or 6ft</t>
  </si>
  <si>
    <t>Remove 4ft Lamp from T8 or T12 system</t>
  </si>
  <si>
    <t>Remove 8ft Lamp from T8 or T12 System</t>
  </si>
  <si>
    <t>Variable Speed Drive Compressor - 1 shift weekdays</t>
  </si>
  <si>
    <t>Variable Speed Drive Compressor - 2 shift weekdays</t>
  </si>
  <si>
    <t>Variable Speed Drive Compressor - 3 shift weekdays</t>
  </si>
  <si>
    <t>Variable Speed Drive Compressor - 3 shift weekdays plus weekends</t>
  </si>
  <si>
    <t>Motor</t>
  </si>
  <si>
    <t>Strip Curtains Cooler</t>
  </si>
  <si>
    <t>Strip Curtains Freezer</t>
  </si>
  <si>
    <t>TRM Measure Name</t>
  </si>
  <si>
    <t>-----Interior-----</t>
  </si>
  <si>
    <t>Measure Type</t>
  </si>
  <si>
    <t>Column2</t>
  </si>
  <si>
    <t>Efficient Category</t>
  </si>
  <si>
    <t>Material</t>
  </si>
  <si>
    <t>Labor</t>
  </si>
  <si>
    <t>Total Measure Cost</t>
  </si>
  <si>
    <t>LED Linear Lamps</t>
  </si>
  <si>
    <t>Permanent Lamp Removal</t>
  </si>
  <si>
    <t>LED Freezer Case Lights w/Doors 4ft 5ft or 6ft repl Fluor Freezer Case Lights w/Doors 4ft 5ft or 6ft</t>
  </si>
  <si>
    <t>LED replacing Fluorescent Freezer Case Lights w/Doors 4', 5', or 6'</t>
  </si>
  <si>
    <t>LED replacing Fluorescent Refrigerator Case Lights w/Doors 4', 5', or 6'</t>
  </si>
  <si>
    <t>Install Location</t>
  </si>
  <si>
    <t>Efficient Measure</t>
  </si>
  <si>
    <t>kWh</t>
  </si>
  <si>
    <t>kW</t>
  </si>
  <si>
    <t>Deemed</t>
  </si>
  <si>
    <t>Calculated</t>
  </si>
  <si>
    <t>Existing kWh</t>
  </si>
  <si>
    <t>Efficient kWh</t>
  </si>
  <si>
    <t>Measure Cost</t>
  </si>
  <si>
    <t>Efficient Brand and Model #</t>
  </si>
  <si>
    <t>Annual Op Hrs Before Install</t>
  </si>
  <si>
    <t>Wattage Controlled</t>
  </si>
  <si>
    <t>Quantity Type</t>
  </si>
  <si>
    <t>T12 - 4 ft - 6 Lamp</t>
  </si>
  <si>
    <t>T12 - 5 ft - 1 Lamp</t>
  </si>
  <si>
    <t>T12 - 5ft - 1 Lamp - 72W Actual</t>
  </si>
  <si>
    <t>5 ft</t>
  </si>
  <si>
    <t>Xcel</t>
  </si>
  <si>
    <t>T12 - 5 ft - 2 Lamp</t>
  </si>
  <si>
    <t>T12 - 5ft - 2 Lamp - 111W Actual</t>
  </si>
  <si>
    <t>T12 - 6 ft - 1 Lamp</t>
  </si>
  <si>
    <t>T12 - 6ft - 1 Lamp - 80W Actual</t>
  </si>
  <si>
    <t>6 ft</t>
  </si>
  <si>
    <t>T12 - 6 ft - 2 Lamp</t>
  </si>
  <si>
    <t>T12 - 6ft - 2 Lamp - 122W Actual</t>
  </si>
  <si>
    <t>T8 - 5 ft - 2 Lamp</t>
  </si>
  <si>
    <t>T8 - 5ft - 2 Lamp - 40W</t>
  </si>
  <si>
    <t>T8 - 5 ft - 3 Lamp</t>
  </si>
  <si>
    <t>T8 - 5ft - 3 Lamp - 40W</t>
  </si>
  <si>
    <t>T8 - 5 ft - 4 Lamp</t>
  </si>
  <si>
    <t>T8 - 5ft - 4 Lamp - 40W</t>
  </si>
  <si>
    <t>T8 - 6 ft - 1 Lamp</t>
  </si>
  <si>
    <t>T8 - 6ft - 1 Lamp - 46W</t>
  </si>
  <si>
    <t>T8 - 6 ft - 2 Lamp</t>
  </si>
  <si>
    <t>T8 - 6ft - 2 Lamp - 46W</t>
  </si>
  <si>
    <t>T8 - 8 ft - 6 Lamp</t>
  </si>
  <si>
    <t>T5 - 2 ft - 1 Lamp</t>
  </si>
  <si>
    <t>T5 - 2ft - 1 Lamp - 14W</t>
  </si>
  <si>
    <t>T5 - 2 ft - 2 Lamp</t>
  </si>
  <si>
    <t>T5 - 2ft - 2 Lamp - 14W</t>
  </si>
  <si>
    <t>T5 - 5 ft - 1 Lamp</t>
  </si>
  <si>
    <t>T5 - 5ft - 1 Lamp - 35W</t>
  </si>
  <si>
    <t>T5 - 5 ft - 2 Lamp</t>
  </si>
  <si>
    <t>T5 - 5ft - 2 Lamp - 35W</t>
  </si>
  <si>
    <t>MH - 1500 Watt</t>
  </si>
  <si>
    <t>MH 1500W</t>
  </si>
  <si>
    <t>1500 Watt</t>
  </si>
  <si>
    <t>MH - 2000 Watt</t>
  </si>
  <si>
    <t>MH 2000W</t>
  </si>
  <si>
    <t>2000 Watt</t>
  </si>
  <si>
    <t>Location Type</t>
  </si>
  <si>
    <t>Exterior</t>
  </si>
  <si>
    <t>Baseline</t>
  </si>
  <si>
    <t>Annual Hours</t>
  </si>
  <si>
    <t>Incremental Cost</t>
  </si>
  <si>
    <t>Total Cost</t>
  </si>
  <si>
    <t>End Use Factor</t>
  </si>
  <si>
    <t>Caps</t>
  </si>
  <si>
    <t>End Use kW</t>
  </si>
  <si>
    <t>Project Type</t>
  </si>
  <si>
    <t>Base Equipment Detail</t>
  </si>
  <si>
    <t>New Equipment Detail</t>
  </si>
  <si>
    <t>Cost Type</t>
  </si>
  <si>
    <t>Replace Failed Equip.</t>
  </si>
  <si>
    <t>INDEX(CMEMISC[Proj Desc 1],MATCH('M04-S09'!C18,CMEMISC[Project Category],0),1):INDEX(CMEMISC[Proj Desc 1],MATCH('M04-S09'!C18,CMEMISC[Project Category],1),1)</t>
  </si>
  <si>
    <t>Enter Utility Rate (Building Info Tab)</t>
  </si>
  <si>
    <t>CB</t>
  </si>
  <si>
    <t>Value</t>
  </si>
  <si>
    <t>Payback (years)</t>
  </si>
  <si>
    <t>kWh Rate Min</t>
  </si>
  <si>
    <t>kWh Rate Max</t>
  </si>
  <si>
    <t>Standard</t>
  </si>
  <si>
    <t>Input Watt</t>
  </si>
  <si>
    <t>Hours per Year</t>
  </si>
  <si>
    <t>New Fixture Type</t>
  </si>
  <si>
    <t>New Quantity</t>
  </si>
  <si>
    <t>Descrip-tion</t>
  </si>
  <si>
    <t>Garage</t>
  </si>
  <si>
    <t>Garage (24/7)</t>
  </si>
  <si>
    <t>LED - Fixture</t>
  </si>
  <si>
    <t>LED - Fixture w/ Linear Tubes</t>
  </si>
  <si>
    <t>Others (Describe)</t>
  </si>
  <si>
    <t>Signage Fixture (Describe)</t>
  </si>
  <si>
    <t>Neon Fixture (Describe)</t>
  </si>
  <si>
    <t>Induction Fixture (Describe)</t>
  </si>
  <si>
    <t>CFL (Describe)</t>
  </si>
  <si>
    <t>Halogen (Describe)</t>
  </si>
  <si>
    <t>Incandescent (Describe)</t>
  </si>
  <si>
    <t>Lighting Coincidence Factor</t>
  </si>
  <si>
    <t>School (College/University)</t>
  </si>
  <si>
    <t>Assisted Living</t>
  </si>
  <si>
    <t>School (Childcare/Pre-School)</t>
  </si>
  <si>
    <t>Convenience Store</t>
  </si>
  <si>
    <t>Garage (24/7 lighting)</t>
  </si>
  <si>
    <t>Grocery</t>
  </si>
  <si>
    <t>Healthcare Clinic</t>
  </si>
  <si>
    <t>Movie Theater</t>
  </si>
  <si>
    <t>Manufacturing Facility</t>
  </si>
  <si>
    <t>Office - High Rise</t>
  </si>
  <si>
    <t>Office - Low Rise</t>
  </si>
  <si>
    <t>Office - Mid Rise</t>
  </si>
  <si>
    <t>Restaurant</t>
  </si>
  <si>
    <t>Retail - Department Store</t>
  </si>
  <si>
    <t>Retail - Strip Mall</t>
  </si>
  <si>
    <t>Hospital</t>
  </si>
  <si>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</si>
  <si>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</si>
  <si>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</si>
  <si>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r>
      <t>Mailing Address</t>
    </r>
    <r>
      <rPr>
        <sz val="11"/>
        <color rgb="FFFF0000"/>
        <rFont val="Arial"/>
        <family val="2"/>
      </rPr>
      <t>*</t>
    </r>
  </si>
  <si>
    <r>
      <t>City</t>
    </r>
    <r>
      <rPr>
        <sz val="11"/>
        <color rgb="FFFF0000"/>
        <rFont val="Arial"/>
        <family val="2"/>
      </rPr>
      <t>*</t>
    </r>
  </si>
  <si>
    <r>
      <t>Zip Code</t>
    </r>
    <r>
      <rPr>
        <sz val="11"/>
        <color rgb="FFFF0000"/>
        <rFont val="Arial"/>
        <family val="2"/>
      </rPr>
      <t>*</t>
    </r>
  </si>
  <si>
    <r>
      <t>Contact 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</si>
  <si>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</si>
  <si>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</si>
  <si>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</si>
  <si>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</si>
  <si>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Legal Company Name</t>
    </r>
    <r>
      <rPr>
        <sz val="11"/>
        <color rgb="FFFF0000"/>
        <rFont val="Arial"/>
        <family val="2"/>
      </rPr>
      <t>*</t>
    </r>
  </si>
  <si>
    <r>
      <t>Company Address</t>
    </r>
    <r>
      <rPr>
        <sz val="11"/>
        <color rgb="FFFF0000"/>
        <rFont val="Arial"/>
        <family val="2"/>
      </rPr>
      <t>*</t>
    </r>
  </si>
  <si>
    <r>
      <t>Account Number 1</t>
    </r>
    <r>
      <rPr>
        <sz val="11"/>
        <color rgb="FFFF0000"/>
        <rFont val="Arial"/>
        <family val="2"/>
      </rPr>
      <t>*</t>
    </r>
  </si>
  <si>
    <r>
      <t>Utility Rate Code</t>
    </r>
    <r>
      <rPr>
        <sz val="11"/>
        <color rgb="FFFF0000"/>
        <rFont val="Arial"/>
        <family val="2"/>
      </rPr>
      <t>*</t>
    </r>
  </si>
  <si>
    <r>
      <t>Utility Electric Rate</t>
    </r>
    <r>
      <rPr>
        <sz val="11"/>
        <color rgb="FFFF0000"/>
        <rFont val="Arial"/>
        <family val="2"/>
      </rPr>
      <t>*</t>
    </r>
    <r>
      <rPr>
        <sz val="11"/>
        <color theme="1" tint="0.249977111117893"/>
        <rFont val="Arial"/>
        <family val="2"/>
      </rPr>
      <t xml:space="preserve"> ($/kWh)</t>
    </r>
  </si>
  <si>
    <r>
      <t>Site Name</t>
    </r>
    <r>
      <rPr>
        <sz val="11"/>
        <color rgb="FFFF0000"/>
        <rFont val="Arial"/>
        <family val="2"/>
      </rPr>
      <t>*</t>
    </r>
  </si>
  <si>
    <r>
      <t>Site Address</t>
    </r>
    <r>
      <rPr>
        <sz val="11"/>
        <color rgb="FFFF0000"/>
        <rFont val="Arial"/>
        <family val="2"/>
      </rPr>
      <t>*</t>
    </r>
  </si>
  <si>
    <r>
      <t>Project Name / ID</t>
    </r>
    <r>
      <rPr>
        <sz val="11"/>
        <color rgb="FFFF0000"/>
        <rFont val="Arial"/>
        <family val="2"/>
      </rPr>
      <t>*</t>
    </r>
  </si>
  <si>
    <r>
      <t>How did you hear about the Program?</t>
    </r>
    <r>
      <rPr>
        <sz val="11"/>
        <color rgb="FFFF0000"/>
        <rFont val="Arial"/>
        <family val="2"/>
      </rPr>
      <t>*</t>
    </r>
  </si>
  <si>
    <r>
      <t>Building Type</t>
    </r>
    <r>
      <rPr>
        <sz val="11"/>
        <color rgb="FFFF0000"/>
        <rFont val="Arial"/>
        <family val="2"/>
      </rPr>
      <t>*</t>
    </r>
  </si>
  <si>
    <r>
      <t>Annual Operating Hours</t>
    </r>
    <r>
      <rPr>
        <sz val="11"/>
        <color rgb="FFFF0000"/>
        <rFont val="Arial"/>
        <family val="2"/>
      </rPr>
      <t>*</t>
    </r>
  </si>
  <si>
    <r>
      <t>Square Footage</t>
    </r>
    <r>
      <rPr>
        <sz val="11"/>
        <color rgb="FFFF0000"/>
        <rFont val="Arial"/>
        <family val="2"/>
      </rPr>
      <t>*</t>
    </r>
  </si>
  <si>
    <r>
      <t>Space Conditioning Type</t>
    </r>
    <r>
      <rPr>
        <sz val="11"/>
        <color rgb="FFFF0000"/>
        <rFont val="Arial"/>
        <family val="2"/>
      </rPr>
      <t>*</t>
    </r>
  </si>
  <si>
    <r>
      <t>Project Description</t>
    </r>
    <r>
      <rPr>
        <sz val="11"/>
        <color rgb="FFFF0000"/>
        <rFont val="Arial"/>
        <family val="2"/>
      </rPr>
      <t>*</t>
    </r>
  </si>
  <si>
    <t>Customer Info</t>
  </si>
  <si>
    <t>Contractor/Vendor</t>
  </si>
  <si>
    <t>Program Flyer</t>
  </si>
  <si>
    <t>Program Email</t>
  </si>
  <si>
    <t>Program Advertisement</t>
  </si>
  <si>
    <t>Select Rate Code</t>
  </si>
  <si>
    <t>Continue to Instructions</t>
  </si>
  <si>
    <t>Compressed Air - No Loss Condensate Drain/Valve</t>
  </si>
  <si>
    <t>Multi-Family</t>
  </si>
  <si>
    <t>Office</t>
  </si>
  <si>
    <t>Religious Building</t>
  </si>
  <si>
    <t>Project Information</t>
  </si>
  <si>
    <t>Project Site Address</t>
  </si>
  <si>
    <t>Project Contact</t>
  </si>
  <si>
    <t>Trade Ally / Vendor</t>
  </si>
  <si>
    <t>Approving Engineer</t>
  </si>
  <si>
    <t>Signature</t>
  </si>
  <si>
    <t>Date</t>
  </si>
  <si>
    <t>1. Project Timeline</t>
  </si>
  <si>
    <t>2. Customer Signature</t>
  </si>
  <si>
    <t>Please provide an estimated timeline for your project.The second line should contain the date you expect to send the completion form and invoices to us.</t>
  </si>
  <si>
    <t>Sign and date here. We encourage electronic submission. A typewritten signature is acceptable and will have the same effect as a pen signature.</t>
  </si>
  <si>
    <t>Customer Signature</t>
  </si>
  <si>
    <t>3.</t>
  </si>
  <si>
    <t>Submit Offer Form</t>
  </si>
  <si>
    <t>Costs</t>
  </si>
  <si>
    <t>kW Savings</t>
  </si>
  <si>
    <t>Please review the Offer Form below and fill in the highlighted fields. If you have any questions, please contact us.</t>
  </si>
  <si>
    <r>
      <t xml:space="preserve">Please review the Completion Form for accuracy. If there have been adjustments to the project, go to </t>
    </r>
    <r>
      <rPr>
        <u/>
        <sz val="12"/>
        <color theme="8"/>
        <rFont val="Arial"/>
        <family val="2"/>
      </rPr>
      <t>Equipment Input</t>
    </r>
    <r>
      <rPr>
        <sz val="12"/>
        <rFont val="Arial"/>
        <family val="2"/>
      </rPr>
      <t xml:space="preserve"> and update your measures accordingly. </t>
    </r>
  </si>
  <si>
    <t>1. Update Installed Measures</t>
  </si>
  <si>
    <t>2. Review Payee Information</t>
  </si>
  <si>
    <r>
      <t>Is the following payment information correct? If not, change your selection in the</t>
    </r>
    <r>
      <rPr>
        <sz val="11"/>
        <color rgb="FF0000FF"/>
        <rFont val="Arial"/>
        <family val="2"/>
      </rPr>
      <t xml:space="preserve"> Payment</t>
    </r>
    <r>
      <rPr>
        <sz val="11"/>
        <color theme="1"/>
        <rFont val="Arial"/>
        <family val="2"/>
      </rPr>
      <t xml:space="preserve"> tab.</t>
    </r>
  </si>
  <si>
    <r>
      <rPr>
        <sz val="11"/>
        <rFont val="Arial"/>
        <family val="2"/>
      </rPr>
      <t>Reviewed Standard</t>
    </r>
    <r>
      <rPr>
        <sz val="11"/>
        <color rgb="FF0000FF"/>
        <rFont val="Arial"/>
        <family val="2"/>
      </rPr>
      <t xml:space="preserve"> </t>
    </r>
    <r>
      <rPr>
        <sz val="11"/>
        <rFont val="Arial"/>
        <family val="2"/>
      </rPr>
      <t>Measures Input tab</t>
    </r>
  </si>
  <si>
    <t>Reviewed Custom Measures Input tab</t>
  </si>
  <si>
    <t>3. Customer Signature</t>
  </si>
  <si>
    <t>4. Submit Documents</t>
  </si>
  <si>
    <t>a.</t>
  </si>
  <si>
    <t>Save this application with an unique file name.</t>
  </si>
  <si>
    <t>b.</t>
  </si>
  <si>
    <t>Gather all required documents to submit, such as</t>
  </si>
  <si>
    <t>Material and labor invoices</t>
  </si>
  <si>
    <t>Specification sheets of all new equipment</t>
  </si>
  <si>
    <t>If applicable</t>
  </si>
  <si>
    <t>Tax Exempt Letter</t>
  </si>
  <si>
    <t>Additional project assumption documents</t>
  </si>
  <si>
    <t>Calculation or model output</t>
  </si>
  <si>
    <t>c.</t>
  </si>
  <si>
    <t>Submit this Excel application and related documents as email attachments.</t>
  </si>
  <si>
    <t>d.</t>
  </si>
  <si>
    <t>Invoice Date*</t>
  </si>
  <si>
    <t>Installed Date*</t>
  </si>
  <si>
    <t>As part of our commitment to achieve realized savings, all projects are subject to random inspections. If you receive a visit from one of our inspectors they will refer to this project, ask a couple of questions, and perform a verification.</t>
  </si>
  <si>
    <t>Please feel free to contact us with any questions about this project or any other project. (Reference our contact information below).</t>
  </si>
  <si>
    <t>1. Application Submittal Attachment Steps</t>
  </si>
  <si>
    <t>2. Submittal and Next Steps</t>
  </si>
  <si>
    <t>Project Submission</t>
  </si>
  <si>
    <t>Measure Code</t>
  </si>
  <si>
    <t>Calculated kWh Savings</t>
  </si>
  <si>
    <t>Calculated kW Savings</t>
  </si>
  <si>
    <t>Spillover Calculated kWh Savings</t>
  </si>
  <si>
    <t>Base Wattage</t>
  </si>
  <si>
    <t>Line Number</t>
  </si>
  <si>
    <t>Base Notes</t>
  </si>
  <si>
    <t>Eff Notes</t>
  </si>
  <si>
    <t>Spillover Equipment Cost</t>
  </si>
  <si>
    <t>Spillover Labor Cost</t>
  </si>
  <si>
    <t>Spillover Total Cost</t>
  </si>
  <si>
    <t>Spillover Cost Basis</t>
  </si>
  <si>
    <t>Cost Benefit</t>
  </si>
  <si>
    <t>Program Contact PC</t>
  </si>
  <si>
    <t>Project Number</t>
  </si>
  <si>
    <t>Application Version</t>
  </si>
  <si>
    <t>Method Received</t>
  </si>
  <si>
    <t>Project Type*</t>
  </si>
  <si>
    <t>Project Name / ID*</t>
  </si>
  <si>
    <t>Building Type*</t>
  </si>
  <si>
    <t>Annual Operating Hours*</t>
  </si>
  <si>
    <t>Square Footage*</t>
  </si>
  <si>
    <t>Space Conditioning Type*</t>
  </si>
  <si>
    <t>Project Description*</t>
  </si>
  <si>
    <t>Eff Units</t>
  </si>
  <si>
    <t>Base Units</t>
  </si>
  <si>
    <t>Spillover Base Units</t>
  </si>
  <si>
    <t>Spillover Eff Units</t>
  </si>
  <si>
    <t>Spillover Calculated kW Savings</t>
  </si>
  <si>
    <t>Standard and Custom</t>
  </si>
  <si>
    <t xml:space="preserve">kW </t>
  </si>
  <si>
    <t>Calculated kW</t>
  </si>
  <si>
    <t>Project Start Date</t>
  </si>
  <si>
    <t>Completion Paperwork Submission Date</t>
  </si>
  <si>
    <t>Payment To</t>
  </si>
  <si>
    <t>Tax Information</t>
  </si>
  <si>
    <t>Transfer ID</t>
  </si>
  <si>
    <t>Building Info</t>
  </si>
  <si>
    <t>Application Progress</t>
  </si>
  <si>
    <t>Company Name</t>
  </si>
  <si>
    <t>Contact Name</t>
  </si>
  <si>
    <t>Title</t>
  </si>
  <si>
    <t>Company Address</t>
  </si>
  <si>
    <t>How did you hear about this program?</t>
  </si>
  <si>
    <t>Invoiced Date</t>
  </si>
  <si>
    <t>Installed Date</t>
  </si>
  <si>
    <t>Electric $/kWh</t>
  </si>
  <si>
    <t>Customer Contact / Company Contact</t>
  </si>
  <si>
    <t>Primary Contact / Site Contact</t>
  </si>
  <si>
    <t>Payee Information</t>
  </si>
  <si>
    <t>Payee Company</t>
  </si>
  <si>
    <t>Payee Name</t>
  </si>
  <si>
    <t>Payee Address</t>
  </si>
  <si>
    <t>Payee Phone</t>
  </si>
  <si>
    <t>Payee Email</t>
  </si>
  <si>
    <t>Payee Type</t>
  </si>
  <si>
    <t>Site Address</t>
  </si>
  <si>
    <t>Sq Ft</t>
  </si>
  <si>
    <t>Annual Hrs/Op</t>
  </si>
  <si>
    <t>Equip Cost</t>
  </si>
  <si>
    <t>Account Name</t>
  </si>
  <si>
    <t>Account #</t>
  </si>
  <si>
    <t>App Version</t>
  </si>
  <si>
    <t>Rate Code</t>
  </si>
  <si>
    <t>Site Name</t>
  </si>
  <si>
    <t>Project ID</t>
  </si>
  <si>
    <t>TA Address</t>
  </si>
  <si>
    <t>TA Company Name</t>
  </si>
  <si>
    <t>Space Cond Type</t>
  </si>
  <si>
    <t>Measure Count</t>
  </si>
  <si>
    <t>Questions?</t>
  </si>
  <si>
    <t>Website:</t>
  </si>
  <si>
    <t>M02S04F24</t>
  </si>
  <si>
    <t>M02S04F25</t>
  </si>
  <si>
    <t>KCPL Contact</t>
  </si>
  <si>
    <t>How did you hear?</t>
  </si>
  <si>
    <t>Vendor:</t>
  </si>
  <si>
    <t>Address:</t>
  </si>
  <si>
    <t xml:space="preserve">Phone: </t>
  </si>
  <si>
    <t xml:space="preserve">Email: </t>
  </si>
  <si>
    <t xml:space="preserve">Project ID: </t>
  </si>
  <si>
    <t>https://www.eia.gov/tools/faqs/faq.php?id=74&amp;t=11</t>
  </si>
  <si>
    <t>https://www.epa.gov/energy/greenhouse-gases-equivalencies-calculator-calculations-and-references</t>
  </si>
  <si>
    <t>Utility Escalation Rate</t>
  </si>
  <si>
    <t>Societal Discount Rate</t>
  </si>
  <si>
    <t>Environmental Adder ($/kWh)</t>
  </si>
  <si>
    <t>Mercury emissions plus potential future carbon tax</t>
  </si>
  <si>
    <t>Societal Avoided Costs</t>
  </si>
  <si>
    <t>Total Societal Avoided Costs</t>
  </si>
  <si>
    <t>Custom Cost Benefit</t>
  </si>
  <si>
    <t>Custom Payback</t>
  </si>
  <si>
    <t>Spillover Measure Number</t>
  </si>
  <si>
    <t>20000001</t>
  </si>
  <si>
    <t>Block Bidding</t>
  </si>
  <si>
    <r>
      <rPr>
        <sz val="11"/>
        <color theme="0" tint="-0.499984740745262"/>
        <rFont val="Wingdings"/>
        <charset val="2"/>
      </rPr>
      <t xml:space="preserve">( </t>
    </r>
    <r>
      <rPr>
        <b/>
        <sz val="11"/>
        <color theme="0" tint="-0.499984740745262"/>
        <rFont val="Arial"/>
        <family val="2"/>
      </rPr>
      <t xml:space="preserve">
Contact</t>
    </r>
  </si>
  <si>
    <t>Block Bidding Rate ($/kWh)</t>
  </si>
  <si>
    <t>Activate Block Bid</t>
  </si>
  <si>
    <t>$/kW Rate</t>
  </si>
  <si>
    <t>Enter Bldg Type (Building Tab)</t>
  </si>
  <si>
    <t>Measure Qty</t>
  </si>
  <si>
    <t>COMPTA</t>
  </si>
  <si>
    <t>COMPTERMS</t>
  </si>
  <si>
    <r>
      <t>Payment Type</t>
    </r>
    <r>
      <rPr>
        <sz val="11"/>
        <color rgb="FFFF0000"/>
        <rFont val="Arial"/>
        <family val="2"/>
      </rPr>
      <t>*</t>
    </r>
  </si>
  <si>
    <r>
      <t>Payee Company Name</t>
    </r>
    <r>
      <rPr>
        <sz val="11"/>
        <color rgb="FFFF0000"/>
        <rFont val="Arial"/>
        <family val="2"/>
      </rPr>
      <t>"</t>
    </r>
  </si>
  <si>
    <r>
      <t>Tax Entity</t>
    </r>
    <r>
      <rPr>
        <sz val="11"/>
        <color rgb="FFFF0000"/>
        <rFont val="Arial"/>
        <family val="2"/>
      </rPr>
      <t>*</t>
    </r>
  </si>
  <si>
    <r>
      <t>Phone Number</t>
    </r>
    <r>
      <rPr>
        <sz val="11"/>
        <color rgb="FFFF0000"/>
        <rFont val="Arial"/>
        <family val="2"/>
      </rPr>
      <t>*</t>
    </r>
  </si>
  <si>
    <r>
      <t>Payee Last Name</t>
    </r>
    <r>
      <rPr>
        <sz val="11"/>
        <color rgb="FFFF0000"/>
        <rFont val="Arial"/>
        <family val="2"/>
      </rPr>
      <t>*</t>
    </r>
  </si>
  <si>
    <r>
      <t>Payee First Name</t>
    </r>
    <r>
      <rPr>
        <sz val="11"/>
        <color rgb="FFFF0000"/>
        <rFont val="Arial"/>
        <family val="2"/>
      </rPr>
      <t>*</t>
    </r>
  </si>
  <si>
    <r>
      <t>Federal Tax ID Number</t>
    </r>
    <r>
      <rPr>
        <sz val="11"/>
        <color rgb="FFFF0000"/>
        <rFont val="Arial"/>
        <family val="2"/>
      </rPr>
      <t>*</t>
    </r>
  </si>
  <si>
    <t>21111118</t>
  </si>
  <si>
    <t>21111136</t>
  </si>
  <si>
    <t>21111137</t>
  </si>
  <si>
    <t>21111106</t>
  </si>
  <si>
    <t>21111119</t>
  </si>
  <si>
    <t>21111702</t>
  </si>
  <si>
    <t>22210501</t>
  </si>
  <si>
    <t>22211802</t>
  </si>
  <si>
    <t>22210503</t>
  </si>
  <si>
    <t>22211805</t>
  </si>
  <si>
    <t>22210506</t>
  </si>
  <si>
    <t>22211307</t>
  </si>
  <si>
    <t>22210509</t>
  </si>
  <si>
    <t>22210510</t>
  </si>
  <si>
    <t>22211911</t>
  </si>
  <si>
    <t>22211315</t>
  </si>
  <si>
    <t>22211816</t>
  </si>
  <si>
    <t>22110501</t>
  </si>
  <si>
    <t>22111802</t>
  </si>
  <si>
    <t>22110503</t>
  </si>
  <si>
    <t>22111805</t>
  </si>
  <si>
    <t>22110506</t>
  </si>
  <si>
    <t>22111307</t>
  </si>
  <si>
    <t>22110509</t>
  </si>
  <si>
    <t>22110510</t>
  </si>
  <si>
    <t>22111911</t>
  </si>
  <si>
    <t>22111315</t>
  </si>
  <si>
    <t>22111816</t>
  </si>
  <si>
    <t>22210301</t>
  </si>
  <si>
    <t>22210302</t>
  </si>
  <si>
    <t>22210303</t>
  </si>
  <si>
    <t>22212005</t>
  </si>
  <si>
    <t>22212006</t>
  </si>
  <si>
    <t>22211908</t>
  </si>
  <si>
    <t>22110301</t>
  </si>
  <si>
    <t>22110302</t>
  </si>
  <si>
    <t>22110303</t>
  </si>
  <si>
    <t>22112005</t>
  </si>
  <si>
    <t>22112006</t>
  </si>
  <si>
    <t>22111908</t>
  </si>
  <si>
    <t>22210101</t>
  </si>
  <si>
    <t>22210102</t>
  </si>
  <si>
    <t>22211503</t>
  </si>
  <si>
    <t>22210104</t>
  </si>
  <si>
    <t>22211505</t>
  </si>
  <si>
    <t>22211506</t>
  </si>
  <si>
    <t>22211907</t>
  </si>
  <si>
    <t>22210108</t>
  </si>
  <si>
    <t>22110101</t>
  </si>
  <si>
    <t>22110102</t>
  </si>
  <si>
    <t>22111503</t>
  </si>
  <si>
    <t>22110104</t>
  </si>
  <si>
    <t>22111505</t>
  </si>
  <si>
    <t>22111506</t>
  </si>
  <si>
    <t>22111907</t>
  </si>
  <si>
    <t>22110108</t>
  </si>
  <si>
    <t>22211301</t>
  </si>
  <si>
    <t>22211702</t>
  </si>
  <si>
    <t>22211303</t>
  </si>
  <si>
    <t>22211304</t>
  </si>
  <si>
    <t>22211905</t>
  </si>
  <si>
    <t>22210106</t>
  </si>
  <si>
    <t>22211308</t>
  </si>
  <si>
    <t>22211309</t>
  </si>
  <si>
    <t>22211310</t>
  </si>
  <si>
    <t>22111301</t>
  </si>
  <si>
    <t>22111702</t>
  </si>
  <si>
    <t>22111303</t>
  </si>
  <si>
    <t>22111304</t>
  </si>
  <si>
    <t>22111904</t>
  </si>
  <si>
    <t>22110106</t>
  </si>
  <si>
    <t>22111308</t>
  </si>
  <si>
    <t>22111309</t>
  </si>
  <si>
    <t>22111310</t>
  </si>
  <si>
    <t>22211701</t>
  </si>
  <si>
    <t>22211703</t>
  </si>
  <si>
    <t>22211704</t>
  </si>
  <si>
    <t>22211706</t>
  </si>
  <si>
    <t>22211906</t>
  </si>
  <si>
    <t>22211707</t>
  </si>
  <si>
    <t>22111701</t>
  </si>
  <si>
    <t>22111703</t>
  </si>
  <si>
    <t>22111704</t>
  </si>
  <si>
    <t>22111706</t>
  </si>
  <si>
    <t>22111906</t>
  </si>
  <si>
    <t>22111707</t>
  </si>
  <si>
    <t>22211901</t>
  </si>
  <si>
    <t>22210202</t>
  </si>
  <si>
    <t>22210203</t>
  </si>
  <si>
    <t>22210204</t>
  </si>
  <si>
    <t>22111901</t>
  </si>
  <si>
    <t>22110202</t>
  </si>
  <si>
    <t>22110203</t>
  </si>
  <si>
    <t>22110204</t>
  </si>
  <si>
    <t>01</t>
  </si>
  <si>
    <t>02</t>
  </si>
  <si>
    <t>03</t>
  </si>
  <si>
    <t>04</t>
  </si>
  <si>
    <t>05</t>
  </si>
  <si>
    <t>06</t>
  </si>
  <si>
    <t>07</t>
  </si>
  <si>
    <t>08</t>
  </si>
  <si>
    <t>11</t>
  </si>
  <si>
    <t>12</t>
  </si>
  <si>
    <t>13</t>
  </si>
  <si>
    <t>15</t>
  </si>
  <si>
    <t>17</t>
  </si>
  <si>
    <t>18</t>
  </si>
  <si>
    <t>19</t>
  </si>
  <si>
    <t>20</t>
  </si>
  <si>
    <t>21</t>
  </si>
  <si>
    <t>Measure Number Indicator</t>
  </si>
  <si>
    <t>Baseline Min Wattage</t>
  </si>
  <si>
    <t>Baseline Max Wattage</t>
  </si>
  <si>
    <r>
      <t xml:space="preserve">1) Download and read through the Program terms and conditions using the link below. 
2) Sign at the bottom of the page to indicate you understand and agree to the terms and conditions.
</t>
    </r>
    <r>
      <rPr>
        <b/>
        <sz val="11"/>
        <color theme="1" tint="0.249977111117893"/>
        <rFont val="Arial"/>
        <family val="2"/>
      </rPr>
      <t xml:space="preserve">
</t>
    </r>
    <r>
      <rPr>
        <b/>
        <u/>
        <sz val="11"/>
        <color theme="4" tint="-0.249977111117893"/>
        <rFont val="Arial"/>
        <family val="2"/>
      </rPr>
      <t xml:space="preserve">Download Program Terms and Conditions </t>
    </r>
  </si>
  <si>
    <t>Please fill out the building/site information below. If there is not a higher business entity than the site where the project is being performed, then "Site" address and the customer "Company" address are the same.</t>
  </si>
  <si>
    <t>Enter Site City &amp; Zip (Building Tab)</t>
  </si>
  <si>
    <t>IECC 2018</t>
  </si>
  <si>
    <t>Complete Step 1: Lighting Schedule</t>
  </si>
  <si>
    <t>Codes</t>
  </si>
  <si>
    <t>1.0.0</t>
  </si>
  <si>
    <t>First version sent out</t>
  </si>
  <si>
    <t>MP</t>
  </si>
  <si>
    <t>Annual Avoided Energy Cost</t>
  </si>
  <si>
    <t>1.0.1</t>
  </si>
  <si>
    <t>Updated new con baseline formula
Formatted Show Detail columns
Made all quantity and kWh columns on custom tabs whole number formatting
Unhid formulas on building info tab
Updated export project type, phone number, links, payee type
fixed header row so that the thick border doesnt drag down
hid index formula on custom lighting tab
updated link for Standard Water heating on Project Review
Wrapped text on Install Location on standard tabs
Fixed CB ratio on all measure tabs</t>
  </si>
  <si>
    <t>Total Wattage Controlled</t>
  </si>
  <si>
    <t>Trade Ally Mailing Address</t>
  </si>
  <si>
    <t>Trade Ally City</t>
  </si>
  <si>
    <t>Trade Ally State</t>
  </si>
  <si>
    <t>Trade Ally Zip Code</t>
  </si>
  <si>
    <t>Trade Ally Contact First Name</t>
  </si>
  <si>
    <t>Trade Ally Last Name</t>
  </si>
  <si>
    <t>Trade Ally Title</t>
  </si>
  <si>
    <t>Trade Ally Primary Phone</t>
  </si>
  <si>
    <t>Trade Ally Email</t>
  </si>
  <si>
    <t>Legal Company Name</t>
  </si>
  <si>
    <t>Company City</t>
  </si>
  <si>
    <t>Company State</t>
  </si>
  <si>
    <t>Company Zip Code</t>
  </si>
  <si>
    <t>Company Contact First Name</t>
  </si>
  <si>
    <t>Company Last Name</t>
  </si>
  <si>
    <t>Company Title</t>
  </si>
  <si>
    <t>Company Primary Phone</t>
  </si>
  <si>
    <t>Company Email</t>
  </si>
  <si>
    <t>Utility Rate Code</t>
  </si>
  <si>
    <t>Account Number 1</t>
  </si>
  <si>
    <t>Utility Electric Rate ($/kWh)</t>
  </si>
  <si>
    <t>Trade Ally / Vendor Company</t>
  </si>
  <si>
    <t>Is there a Trade Ally or vendor for this project?</t>
  </si>
  <si>
    <t>Date Signed</t>
  </si>
  <si>
    <t>Signatory Title</t>
  </si>
  <si>
    <t>Electronic Signature (Account Owner or Authorized Representative)</t>
  </si>
  <si>
    <t>Site City</t>
  </si>
  <si>
    <t>Site State</t>
  </si>
  <si>
    <t>Site Zip Code</t>
  </si>
  <si>
    <t>Site Contact First Name</t>
  </si>
  <si>
    <t>Site Last Name</t>
  </si>
  <si>
    <t>Site Title</t>
  </si>
  <si>
    <t>Site Primary Phone</t>
  </si>
  <si>
    <t>Site Email</t>
  </si>
  <si>
    <t>Invoice Date</t>
  </si>
  <si>
    <t>Installation Date</t>
  </si>
  <si>
    <t xml:space="preserve">Updated Export Title Names to be unique for approval tool
Added invoice and install date to Export </t>
  </si>
  <si>
    <t>Updated 2' and 4' lamp standard measure to have T5s</t>
  </si>
  <si>
    <t>Small General Service (1SGSE)</t>
  </si>
  <si>
    <t>Medium General Service (1MGSE)</t>
  </si>
  <si>
    <t>Large General Service (1LGSE)</t>
  </si>
  <si>
    <t>Large Power Service (1PGSE)</t>
  </si>
  <si>
    <t>Small General Service (MOSGS)</t>
  </si>
  <si>
    <t>Large General Service (MOLGS)</t>
  </si>
  <si>
    <t>Large Power Service (MOPGS)</t>
  </si>
  <si>
    <t>1.2.0</t>
  </si>
  <si>
    <t>Section Incentive</t>
  </si>
  <si>
    <t>Incentive per Unit</t>
  </si>
  <si>
    <t>kW Incentive</t>
  </si>
  <si>
    <t>Terms and Conditions for Payment of Incentive</t>
  </si>
  <si>
    <t>Incentive Summary</t>
  </si>
  <si>
    <t>Estimated Incentive</t>
  </si>
  <si>
    <t>Energy Efficiency Incentive Report</t>
  </si>
  <si>
    <t>Without Incentive</t>
  </si>
  <si>
    <t>With Incentive</t>
  </si>
  <si>
    <t>Incentive Offer</t>
  </si>
  <si>
    <t>Select the appropriate equipment category below to apply for incentives.</t>
  </si>
  <si>
    <t>Fred Schreiber</t>
  </si>
  <si>
    <r>
      <t>Jaime Jim</t>
    </r>
    <r>
      <rPr>
        <sz val="11"/>
        <color theme="1"/>
        <rFont val="Calibri"/>
        <family val="2"/>
      </rPr>
      <t>é</t>
    </r>
    <r>
      <rPr>
        <sz val="11"/>
        <color theme="1"/>
        <rFont val="Calibri"/>
        <family val="2"/>
      </rPr>
      <t>nez-Fuentes</t>
    </r>
  </si>
  <si>
    <t>Brett Sharp</t>
  </si>
  <si>
    <t>Spillover kWh</t>
  </si>
  <si>
    <t>Spillover kW</t>
  </si>
  <si>
    <t>Spillover Units</t>
  </si>
  <si>
    <r>
      <t>Spillover</t>
    </r>
    <r>
      <rPr>
        <sz val="8"/>
        <rFont val="Arial"/>
        <family val="2"/>
      </rPr>
      <t xml:space="preserve"> </t>
    </r>
    <r>
      <rPr>
        <sz val="11"/>
        <rFont val="Arial"/>
        <family val="2"/>
      </rPr>
      <t>Equip</t>
    </r>
    <r>
      <rPr>
        <sz val="8"/>
        <rFont val="Arial"/>
        <family val="2"/>
      </rPr>
      <t xml:space="preserve"> </t>
    </r>
    <r>
      <rPr>
        <sz val="11"/>
        <rFont val="Arial"/>
        <family val="2"/>
      </rPr>
      <t>Cost</t>
    </r>
  </si>
  <si>
    <r>
      <t>Spillover</t>
    </r>
    <r>
      <rPr>
        <sz val="8"/>
        <rFont val="Arial"/>
        <family val="2"/>
      </rPr>
      <t xml:space="preserve"> </t>
    </r>
    <r>
      <rPr>
        <sz val="11"/>
        <rFont val="Arial"/>
        <family val="2"/>
      </rPr>
      <t>Labor</t>
    </r>
    <r>
      <rPr>
        <sz val="8"/>
        <rFont val="Arial"/>
        <family val="2"/>
      </rPr>
      <t xml:space="preserve"> </t>
    </r>
    <r>
      <rPr>
        <sz val="11"/>
        <rFont val="Arial"/>
        <family val="2"/>
      </rPr>
      <t>Cost</t>
    </r>
  </si>
  <si>
    <t>Milestone Track</t>
  </si>
  <si>
    <t>Offered Date</t>
  </si>
  <si>
    <t>Offer Signed Date</t>
  </si>
  <si>
    <t>RECFR Date</t>
  </si>
  <si>
    <t>Offer Signature</t>
  </si>
  <si>
    <t>Completion Signature</t>
  </si>
  <si>
    <t>Completion Signed Date</t>
  </si>
  <si>
    <t>Measure</t>
  </si>
  <si>
    <t>Incentive Unit Type</t>
  </si>
  <si>
    <t>Min Tons</t>
  </si>
  <si>
    <t>Max Tons</t>
  </si>
  <si>
    <t>Proposed</t>
  </si>
  <si>
    <t>Rating</t>
  </si>
  <si>
    <t>Efficiency Details</t>
  </si>
  <si>
    <t>App Expired</t>
  </si>
  <si>
    <t>Enthalpy Economizer (Incremental)</t>
  </si>
  <si>
    <t>Heat Pump - Water Source (Incremental)</t>
  </si>
  <si>
    <t>Heat Pump - Ground Source (Incremental)</t>
  </si>
  <si>
    <t>Heat Pump - Ground Source</t>
  </si>
  <si>
    <t xml:space="preserve">Heat Pump - Water Source </t>
  </si>
  <si>
    <t>Fan Walls (Incremental)</t>
  </si>
  <si>
    <t>Fan Walls</t>
  </si>
  <si>
    <t>VRF System (Incremental)</t>
  </si>
  <si>
    <t>VRF System</t>
  </si>
  <si>
    <t>Electric Heat</t>
  </si>
  <si>
    <t>Electric Heat (Incremental)</t>
  </si>
  <si>
    <t>Fan Wall (Incremental)</t>
  </si>
  <si>
    <t>Enthalpy Economizer</t>
  </si>
  <si>
    <t>Fan Wall</t>
  </si>
  <si>
    <t>Bonus Incentive</t>
  </si>
  <si>
    <t>Bonus Rate ($/kWh)</t>
  </si>
  <si>
    <t>MBH</t>
  </si>
  <si>
    <t>ESTIMATED INCENTIVE TOTAL:</t>
  </si>
  <si>
    <t>Custom Base kWh</t>
  </si>
  <si>
    <t>Custom Eff kWh</t>
  </si>
  <si>
    <t>General
	• Added $100,000 alert for block bidding -&gt; Project Review Tab
	• Labeled submit button as submit instructions
	• Added expiration coding to measures and added an alert at top, Expiration is October 19th
	• Changed rebate to incentive
	• Updated default $/kWh rates
	• Added Canada to the states list
	• Added Makenna Dunlap to the PCs, Removed Edward
	• Added Brett, Eric, and Angie to BDs list, Removed Rick and Jeff
	• Added rate code to Rate Code dropdown
	• Updated block bidding rate to 4 cents
	• Updated Project Submission install and invoice date conditional formatting to show if standard incentive is = 10K 
	• Updated CB Data
Measures
	• Updated existing Standard measures with new incentive rates
	• Added bonus custom rates
	• Added WHF to baseline and eff kWh calculations on standard lighting tab
	• Updated the Standard HVAC tab to accept RTU standard measures (size and efficiency)
	• Updated standard end uses to match LM Captures option set
	• Updated standard lighting DLC column to Efficient Brand and Model #
	• Fixed all columns so they shrink instead of wrap text
	• Updated summing formulas on custom lighting at bottom
	• Update rate code alert to make sure it is a number and not "select a rate code", Add error check for Utility Electric Rate = "Select Rate Code"
	• Fixed orange conditional formatting on New construction measure tab for annual hours, material, labor
	• Fixed LPD table for Exercise Center to have Interior Lighting End Use
	• Added VRF System, Fan Wall, Enthalpy Economizer, Water Source Heat Pump, Air Source Heat Pump to the HVAC dropdown
	• Removed Cooling Only HVAC Equipment option
PC Summary
	• Updated fields so the 's will not capitalize
	• Added pre-approval / fast track milestone indicator to PC Summary
	• Added baseline and efficient kWh totals to the PC Summary
	• Added building code to the PC Summary
	• Split out spillover savings
Export
	• Added formulas to all Export fields
	• Added Offer fields to export
	• Added Completion fields to export
                • Corrected Spillover fields on Export tab under Custom New Construction lighting</t>
  </si>
  <si>
    <t>8/22/19-8/27/19</t>
  </si>
  <si>
    <t>22212101</t>
  </si>
  <si>
    <t>22210601</t>
  </si>
  <si>
    <t>22211316</t>
  </si>
  <si>
    <t>22210512</t>
  </si>
  <si>
    <t>22112101</t>
  </si>
  <si>
    <t>22110601</t>
  </si>
  <si>
    <t>22111316</t>
  </si>
  <si>
    <t>Added marketing images
Removed VFD for Chiller measures
Added measure numbers to new standard and custom measures</t>
  </si>
  <si>
    <r>
      <rPr>
        <sz val="11"/>
        <color rgb="FF76BB40"/>
        <rFont val="Wingdings"/>
        <charset val="2"/>
      </rPr>
      <t xml:space="preserve">( </t>
    </r>
    <r>
      <rPr>
        <b/>
        <sz val="11"/>
        <color rgb="FF76BB40"/>
        <rFont val="Arial"/>
        <family val="2"/>
      </rPr>
      <t xml:space="preserve">
Contact</t>
    </r>
  </si>
  <si>
    <t>---Evergy Missouri Metro---</t>
  </si>
  <si>
    <t>---Evergy Missouri West---</t>
  </si>
  <si>
    <t>businessrebates@evergy.com</t>
  </si>
  <si>
    <t>Once you're ready to submit, attach all required documents and your saved application to an email and send it to: businessrebates@evergy.com</t>
  </si>
  <si>
    <t>✉ Draft Email</t>
  </si>
  <si>
    <t>I am authorizing this payment of my incentive to the third party (“Payee”) named above and I understand that I will not be receiving the incentive check from Evergy.  I also understand that my release of the payment to the third party does not exempt me from the incentive requirements outlined in this application.   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</si>
  <si>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 xml:space="preserve">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 </t>
  </si>
  <si>
    <t>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</si>
  <si>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Evergy Website</t>
  </si>
  <si>
    <t>Evergy/Program Representative</t>
  </si>
  <si>
    <t>I authorize Evergy to access energy usage data for the specified accounts at the physical site address of the project listed above and release to the Trade Ally listed on this application. I agree that Evergy may include my name, city or county of business, Program services/incentives and resulting energy-savings in reports or other documentation submitted to Evergy and relevant agencies administering energy programs. Evergy will treat all other information gathered through the Program as confidential.</t>
  </si>
  <si>
    <t xml:space="preserve">I understand and agree to comply with the Terms and Conditions of the Evergy Energy Efficiency Program and that all energy efficiency measures identified in this application comply with program rules. </t>
  </si>
  <si>
    <t>Evergy Program Approval</t>
  </si>
  <si>
    <t>Evergy Business Energy Savings Program</t>
  </si>
  <si>
    <t>evergy.com/mybusiness</t>
  </si>
  <si>
    <t>1.3.0</t>
  </si>
  <si>
    <t>Bill Credit Account*</t>
  </si>
  <si>
    <t>Site (Bill Credit)</t>
  </si>
  <si>
    <t>Site (Check)</t>
  </si>
  <si>
    <t>Company (Check)</t>
  </si>
  <si>
    <t>Trade Ally (Check)</t>
  </si>
  <si>
    <t>Other (Check)</t>
  </si>
  <si>
    <t>As a participant in Evergy's Business Energy Savings Program, you have the option to have your incentive for energy efficiency upgrades credited to your electric utility bill instead of receiving a check from Evergy.  A line item that reads "credit" will appear on your next electric bill.  Please check the box below and enter the Evergy account you would like to receive a bill credit.  Tax Liability:  Incentives are taxable if greater than $600 for business customers, and will be reported to the IRS unless you are exempt.  Evergy will report your incentives as income to you on the IRS Form 1099 unless you have checked “Corporation" or “Exempt” tax status above.  You are urged to consult your tax advisor concerning the taxability of incentives.  Evergy is not responsible for any taxes that may be imposed on your business as a result of receipt of this incentive.</t>
  </si>
  <si>
    <t>M05S01F14</t>
  </si>
  <si>
    <t>Bill Credit Acc</t>
  </si>
  <si>
    <t>Updated expiration date
Updated version number
Updated logos
Updated coloring
Updated marketing pngs
Updated email address
Added in bill credit option to payee, updated template, project summary, completion form, PC summary, export
Added site name to project ID in the footer</t>
  </si>
  <si>
    <t xml:space="preserve">evergy.com/mybusiness </t>
  </si>
  <si>
    <t>Taylor Cheek</t>
  </si>
  <si>
    <t>Signatory</t>
  </si>
  <si>
    <t>T&amp;C</t>
  </si>
  <si>
    <t>Tax Entity / Tax ID</t>
  </si>
  <si>
    <t>Initial Engineering Notes</t>
  </si>
  <si>
    <t>Final Engineering Notes</t>
  </si>
  <si>
    <t xml:space="preserve">To move forward with the incentive process click the "Draft Email" button, attach the below items to the email, and then hit send. </t>
  </si>
  <si>
    <t>1)</t>
  </si>
  <si>
    <t>2)</t>
  </si>
  <si>
    <t>Itemized invoices (including equipment and labor costs)</t>
  </si>
  <si>
    <t>Updated and signed Completion Form (as Excel)</t>
  </si>
  <si>
    <t xml:space="preserve">To move forward with the incentive process click the "Draft Email" button, attach your signed Offer Form (as Excel) to the email, and then hit send. </t>
  </si>
  <si>
    <t>Added Dane as IS, Removed Alana
Added thicker separation lines on measure input tabs to identify different sections 
Corrected the quantity type for the standard strip curtain standard measures to per curtain
Updated wording for ecm refrigerator measure to include reach in
Updated rate schedule headers
	○ KCP&amp;L Missouri = Evergy Missouri Metro
	○ KCP&amp;L GMO = Evergy Missouri West
Changed inbox email from businessrebate@kcpl.com to businessrebates@evergy.com
Updated Standard Incentives: http://www.lmenergyefficiency.com/wp-content/uploads/Evergy-Standard-Incentives-Brochure.pdf 
Updated Custom Incentives: http://www.lmenergyefficiency.com/wp-content/uploads/Evergy-Custom-Incentive-Rates.pdf 
Updated new T&amp;Cs: http://www.lmenergyefficiency.com/wp-content/uploads/Evergy-TERMS-FINAL.pdf 
Updated website link: https://www.evergy.com/ways-to-save/incentives/custom-and-standard
Updated account link https://www.evergy.com/log-in 
Updated TA link https://www.evergy.com/partner-with-us/trade-allies
Added intiial and final engineering comment filed to PC Summary and Export tab
Added explination to annual operative hours
Added draft email buttons to offer and completion forms
Removed Kansas City North from city drop down</t>
  </si>
  <si>
    <t>Jordan</t>
  </si>
  <si>
    <t>Added RCx tabs</t>
  </si>
  <si>
    <t>Trade Ally / Contractor Information</t>
  </si>
  <si>
    <r>
      <t>TA / Contractor Company</t>
    </r>
    <r>
      <rPr>
        <sz val="11"/>
        <color rgb="FFFF0000"/>
        <rFont val="Arial"/>
        <family val="2"/>
      </rPr>
      <t>*</t>
    </r>
  </si>
  <si>
    <r>
      <t>Who will install/installed the equipment for this project?</t>
    </r>
    <r>
      <rPr>
        <sz val="11"/>
        <color rgb="FFFF0000"/>
        <rFont val="Arial"/>
        <family val="2"/>
      </rPr>
      <t>*</t>
    </r>
  </si>
  <si>
    <t>TA/Contractor</t>
  </si>
  <si>
    <t>Customer/Self-Installed</t>
  </si>
  <si>
    <t>M02S02F12</t>
  </si>
  <si>
    <r>
      <t>Is there a Trade Ally (TA) or contractor involved with this project?</t>
    </r>
    <r>
      <rPr>
        <sz val="11"/>
        <color rgb="FFFF0000"/>
        <rFont val="Arial"/>
        <family val="2"/>
      </rPr>
      <t>*</t>
    </r>
    <r>
      <rPr>
        <sz val="11"/>
        <color theme="1" tint="0.249977111117893"/>
        <rFont val="Arial"/>
        <family val="2"/>
      </rPr>
      <t xml:space="preserve">  </t>
    </r>
  </si>
  <si>
    <t>3 Pan ENERGY STAR Steam Cooker</t>
  </si>
  <si>
    <t>4 Pan ENERGY STAR Steam Cooker</t>
  </si>
  <si>
    <t>5 Pan ENERGY STAR Steam Cooker</t>
  </si>
  <si>
    <t>6 Pan ENERGY STAR Steam Cooker</t>
  </si>
  <si>
    <t>ENERGY STAR Hot Holding Cabinet (0 &lt; V &lt;13)</t>
  </si>
  <si>
    <t>ENERGY STAR Hot Holding Cabinet (13 ≤ V &lt;28)</t>
  </si>
  <si>
    <t>ENERGY STAR Hot Holding Cabinet (28 ≤ V)</t>
  </si>
  <si>
    <t>Food Services</t>
  </si>
  <si>
    <t>Water Heating / Food Services</t>
  </si>
  <si>
    <t>Interior Remote or Wall-Mounted Occupany Sensor Controlling ≥ 425W</t>
  </si>
  <si>
    <t>Networked Lighting Controls</t>
  </si>
  <si>
    <t>Interior Daylighting Controls Replacing No Controls</t>
  </si>
  <si>
    <t>Interior Occupancy or Vacancy Sensor Replacing No Controls</t>
  </si>
  <si>
    <t>Can’t find your equipment? Select Custom.</t>
  </si>
  <si>
    <t>Standard incentives are unavailable for this equipment type.</t>
  </si>
  <si>
    <t>Compressed Air</t>
  </si>
  <si>
    <t>ASHP &lt;65kbtu</t>
  </si>
  <si>
    <t>ASHP &gt;240kbtu</t>
  </si>
  <si>
    <t>ASHP 135 - 240kbtu</t>
  </si>
  <si>
    <t>ASHP 65 - 135kbtu</t>
  </si>
  <si>
    <t>Packaged DX &lt;65kbtu</t>
  </si>
  <si>
    <t>Packaged DX &gt;760kbtu</t>
  </si>
  <si>
    <t>Packaged DX 135 - 240kbtu</t>
  </si>
  <si>
    <t>Packaged DX 240 - 760kbtu</t>
  </si>
  <si>
    <t>Packaged DX 65 -135kbtu</t>
  </si>
  <si>
    <t>PTAC - Early Replacement</t>
  </si>
  <si>
    <t>PTHP - Early Replacement</t>
  </si>
  <si>
    <t>Cooling</t>
  </si>
  <si>
    <t>Efficient Definition</t>
  </si>
  <si>
    <t>Parking Garage LEDs</t>
  </si>
  <si>
    <t>Exterior Dusk-to-Dawn LEDs</t>
  </si>
  <si>
    <t>T12 2' 20W</t>
  </si>
  <si>
    <t>T12 4' 30W</t>
  </si>
  <si>
    <t>T12 4' 34W</t>
  </si>
  <si>
    <t>T12 4' 40W</t>
  </si>
  <si>
    <t>T12 8' 60W</t>
  </si>
  <si>
    <t>T12 8' 75W</t>
  </si>
  <si>
    <t>T8 2' 17W</t>
  </si>
  <si>
    <t>T8 4' 25W</t>
  </si>
  <si>
    <t>T8 4' 28W</t>
  </si>
  <si>
    <t>T8 4' 32W</t>
  </si>
  <si>
    <t>T5 2' 13W</t>
  </si>
  <si>
    <t>T5 2' 14W</t>
  </si>
  <si>
    <t>T5 4' 28W</t>
  </si>
  <si>
    <t>Incand./CFL</t>
  </si>
  <si>
    <t>A-Series</t>
  </si>
  <si>
    <t>MR-16</t>
  </si>
  <si>
    <t>BR/R</t>
  </si>
  <si>
    <t>PAR</t>
  </si>
  <si>
    <t>175W Med. Base</t>
  </si>
  <si>
    <t>175W Mogul Base</t>
  </si>
  <si>
    <t>250W Mogul Base</t>
  </si>
  <si>
    <t>150W Med. Base</t>
  </si>
  <si>
    <t>150W Double Ended</t>
  </si>
  <si>
    <t>150W Mogul Base</t>
  </si>
  <si>
    <t>200W Mogul Base</t>
  </si>
  <si>
    <t>--Metal Halide--</t>
  </si>
  <si>
    <t>--Mercury Vapor--</t>
  </si>
  <si>
    <t>--High Pres. Sodium--</t>
  </si>
  <si>
    <t>310W Mogul Base</t>
  </si>
  <si>
    <t>400W Mogul Base</t>
  </si>
  <si>
    <t>600W Mogul Base</t>
  </si>
  <si>
    <t>750W Mogul Base</t>
  </si>
  <si>
    <t>Electric Heating</t>
  </si>
  <si>
    <t>2.0.0</t>
  </si>
  <si>
    <t>Fixture-Mounted Occupancy Sensor</t>
  </si>
  <si>
    <t xml:space="preserve">Fixture-Mounted Daylight Sensor </t>
  </si>
  <si>
    <t>Default kW Controlled</t>
  </si>
  <si>
    <t>Energy Savings Factor</t>
  </si>
  <si>
    <t>Hours</t>
  </si>
  <si>
    <t>WHFe</t>
  </si>
  <si>
    <t>Wattage Unit</t>
  </si>
  <si>
    <t>ESF</t>
  </si>
  <si>
    <t>sensor</t>
  </si>
  <si>
    <t>Min Watts Controlled</t>
  </si>
  <si>
    <t>Min Watts Req.</t>
  </si>
  <si>
    <t>Eff Category 1</t>
  </si>
  <si>
    <t>Ineff Dropdown 1</t>
  </si>
  <si>
    <t>HID</t>
  </si>
  <si>
    <t>Incand_CFL</t>
  </si>
  <si>
    <t>BR_R</t>
  </si>
  <si>
    <t>Ineff. Type</t>
  </si>
  <si>
    <t>Ineff. Details</t>
  </si>
  <si>
    <t>Ineff Dropdown 2</t>
  </si>
  <si>
    <t>T12 4' 60W</t>
  </si>
  <si>
    <t>T12 4' 116W</t>
  </si>
  <si>
    <t>T12 8' 95W</t>
  </si>
  <si>
    <t>T12 8' 110W</t>
  </si>
  <si>
    <t>T12 8' 185W</t>
  </si>
  <si>
    <t>T12 8' 215W</t>
  </si>
  <si>
    <t>T8 4' 44W</t>
  </si>
  <si>
    <t>T8 8' 59W</t>
  </si>
  <si>
    <t>T8 8' 86W</t>
  </si>
  <si>
    <t>T12 2' 35W</t>
  </si>
  <si>
    <t>2ft_Lamp</t>
  </si>
  <si>
    <t>4ft_Lamp</t>
  </si>
  <si>
    <t>8ft_Lamp</t>
  </si>
  <si>
    <t>Ineff DropDown 2</t>
  </si>
  <si>
    <t>50W Wall Pack</t>
  </si>
  <si>
    <t>70W Wall Pack</t>
  </si>
  <si>
    <t>100W Wall Pack</t>
  </si>
  <si>
    <t xml:space="preserve">125W Wall Pack </t>
  </si>
  <si>
    <t>150W Wall Pack</t>
  </si>
  <si>
    <t>75W Wall Pack</t>
  </si>
  <si>
    <t>Match</t>
  </si>
  <si>
    <t>175W Wall Pack</t>
  </si>
  <si>
    <t>200W Wall Pack</t>
  </si>
  <si>
    <t>250W Wall Pack</t>
  </si>
  <si>
    <t>320W Wall Pack</t>
  </si>
  <si>
    <t>350W Wall Pack</t>
  </si>
  <si>
    <t>400W Wall Pack</t>
  </si>
  <si>
    <t>310W Wall Pack</t>
  </si>
  <si>
    <t>450W Wall Pack</t>
  </si>
  <si>
    <t>750W Lamp</t>
  </si>
  <si>
    <t>700W Fixture</t>
  </si>
  <si>
    <t>T12_2ft_Lamp</t>
  </si>
  <si>
    <t>T8_2ft_Lamp</t>
  </si>
  <si>
    <t>T5_2ft_Lamp</t>
  </si>
  <si>
    <t>Logic Order</t>
  </si>
  <si>
    <t>Sort Ineff Dropdown 1 column A-&gt;Z</t>
  </si>
  <si>
    <t>Sort Match column A-&gt;Z</t>
  </si>
  <si>
    <t>T12_4ft_Lamp</t>
  </si>
  <si>
    <t>T8_4ft_Lamp</t>
  </si>
  <si>
    <t>T5_4ft_Lamp</t>
  </si>
  <si>
    <t>Full Name</t>
  </si>
  <si>
    <t>1,000W Lamp</t>
  </si>
  <si>
    <t>1,000W Fixture</t>
  </si>
  <si>
    <t>T12_8ft_Lamp</t>
  </si>
  <si>
    <t>T8_8ft_Lamp</t>
  </si>
  <si>
    <t>300W Mogul Base</t>
  </si>
  <si>
    <t>325W Mogul Base</t>
  </si>
  <si>
    <t>360W Mogul Base</t>
  </si>
  <si>
    <t>700W Mogul Base</t>
  </si>
  <si>
    <t>1,000W Mogul Base</t>
  </si>
  <si>
    <t>1,500W Mogul Base</t>
  </si>
  <si>
    <t>LEDs Replacing HID</t>
  </si>
  <si>
    <t>LED Fixtures Replacing Fluor</t>
  </si>
  <si>
    <t>Eff Min Wattage</t>
  </si>
  <si>
    <t>Eff Max Wattage</t>
  </si>
  <si>
    <t>T12_T8</t>
  </si>
  <si>
    <t>1L T12 2' 20W</t>
  </si>
  <si>
    <t>2L T12 2' 20W</t>
  </si>
  <si>
    <t>3L T12 2' 20W</t>
  </si>
  <si>
    <t>4L T12 2' 20W</t>
  </si>
  <si>
    <t>1L T12 2' 35W</t>
  </si>
  <si>
    <t>2L T12 2' 35W</t>
  </si>
  <si>
    <t>3L T12 2' 35W</t>
  </si>
  <si>
    <t>4L T12 2' 35W</t>
  </si>
  <si>
    <t>1L T12 3' 21W</t>
  </si>
  <si>
    <t>2L T12 3' 21W</t>
  </si>
  <si>
    <t>1L T12 3' 24W</t>
  </si>
  <si>
    <t>2L T12 3' 24W</t>
  </si>
  <si>
    <t>1L T12 3' 25W</t>
  </si>
  <si>
    <t>2L T12 3' 25W</t>
  </si>
  <si>
    <t>3L T12 3' 25W</t>
  </si>
  <si>
    <t>4L T12 3' 25W</t>
  </si>
  <si>
    <t>1L T12 3' 30W</t>
  </si>
  <si>
    <t>2L T12 3' 30W</t>
  </si>
  <si>
    <t>3L T12 3' 30W</t>
  </si>
  <si>
    <t>4L T12 3' 30W</t>
  </si>
  <si>
    <t>1L T12 3' 50W</t>
  </si>
  <si>
    <t>2L T12 3' 50W</t>
  </si>
  <si>
    <t>3L T12 3' 50W</t>
  </si>
  <si>
    <t>4L T12 3' 50W</t>
  </si>
  <si>
    <t>1L T12 4' 30W</t>
  </si>
  <si>
    <t>2L T12 4' 30W</t>
  </si>
  <si>
    <t>1L T12 4' 34W</t>
  </si>
  <si>
    <t>2L T12 4' 34W</t>
  </si>
  <si>
    <t>3L T12 4' 34W</t>
  </si>
  <si>
    <t>4L T12 4' 34W</t>
  </si>
  <si>
    <t>1L T12 4' 40W</t>
  </si>
  <si>
    <t>2L T12 4' 40W</t>
  </si>
  <si>
    <t>3L T12 4' 40W</t>
  </si>
  <si>
    <t>4L T12 4' 40W</t>
  </si>
  <si>
    <t>1L T12 4' 60W</t>
  </si>
  <si>
    <t>2L T12 4' 60W</t>
  </si>
  <si>
    <t>3L T12 4' 60W</t>
  </si>
  <si>
    <t>4L T12 4' 60W</t>
  </si>
  <si>
    <t>1L T12 4' 116W</t>
  </si>
  <si>
    <t>2L T12 4' 116W</t>
  </si>
  <si>
    <t>3L T12 4' 116W</t>
  </si>
  <si>
    <t>1L T12 5' 138W</t>
  </si>
  <si>
    <t>2L T12 5' 138W</t>
  </si>
  <si>
    <t>1L T12 5' 50W</t>
  </si>
  <si>
    <t>2L T12 5' 50W</t>
  </si>
  <si>
    <t>1L T12 5' 75W</t>
  </si>
  <si>
    <t>2L T12 5' 75W</t>
  </si>
  <si>
    <t>3L T12 5' 75W</t>
  </si>
  <si>
    <t>4L T12 5' 75W</t>
  </si>
  <si>
    <t>1L T12 6' 168W</t>
  </si>
  <si>
    <t>2L T12 6' 168W</t>
  </si>
  <si>
    <t>3L T12 6' 168W</t>
  </si>
  <si>
    <t>1L T12 6' 57W</t>
  </si>
  <si>
    <t>2L T12 6' 57W</t>
  </si>
  <si>
    <t>1L T12 6' 85W</t>
  </si>
  <si>
    <t>2L T12 6' 85W</t>
  </si>
  <si>
    <t>3L T12 6' 85W</t>
  </si>
  <si>
    <t>4L T12 6' 85W</t>
  </si>
  <si>
    <t>1L T12 7' 65W</t>
  </si>
  <si>
    <t>2L T12 7' 65W</t>
  </si>
  <si>
    <t>1L T12 7' 100W</t>
  </si>
  <si>
    <t>2L T12 7' 100W</t>
  </si>
  <si>
    <t>3L T12 7' 100W</t>
  </si>
  <si>
    <t>1L T12 8' 60W</t>
  </si>
  <si>
    <t>2L T12 8' 60W</t>
  </si>
  <si>
    <t>4L T12 8' 60W</t>
  </si>
  <si>
    <t>1L T12 8' 75W</t>
  </si>
  <si>
    <t>2L T12 8' 75W</t>
  </si>
  <si>
    <t>1L T12 8' 95W</t>
  </si>
  <si>
    <t>2L T12 8' 95W</t>
  </si>
  <si>
    <t>1L T12 8' 110W</t>
  </si>
  <si>
    <t>2L T12 8' 110W</t>
  </si>
  <si>
    <t>1L T12 8' 185W</t>
  </si>
  <si>
    <t>2L T12 8' 185W</t>
  </si>
  <si>
    <t>3L T12 8' 185W</t>
  </si>
  <si>
    <t>1L T12 8' 215W</t>
  </si>
  <si>
    <t>2L T12 8' 215W</t>
  </si>
  <si>
    <t>3L T12 8' 215W</t>
  </si>
  <si>
    <t>Column1</t>
  </si>
  <si>
    <t>----2 ft Lamps----</t>
  </si>
  <si>
    <t>----3 ft Lamps----</t>
  </si>
  <si>
    <t>----4 ft Lamps----</t>
  </si>
  <si>
    <t>----5 ft Lamps----</t>
  </si>
  <si>
    <t>----6 ft Lamps----</t>
  </si>
  <si>
    <t>----7 ft Lamps----</t>
  </si>
  <si>
    <t>----8 ft Lamps----</t>
  </si>
  <si>
    <t>Column3</t>
  </si>
  <si>
    <t>Column4</t>
  </si>
  <si>
    <t>Column5</t>
  </si>
  <si>
    <t>1L T8 2' 17W</t>
  </si>
  <si>
    <t>2L T8 2' 17W</t>
  </si>
  <si>
    <t>3L T8 2' 17W</t>
  </si>
  <si>
    <t>4L T8 2' 17W</t>
  </si>
  <si>
    <t>1L T8 3' 25W</t>
  </si>
  <si>
    <t>2L T8 3' 25W</t>
  </si>
  <si>
    <t>3L T8 3' 25W</t>
  </si>
  <si>
    <t>4L T8 3' 25W</t>
  </si>
  <si>
    <t>1L T8 4' 25W</t>
  </si>
  <si>
    <t>2L T8 4' 25W</t>
  </si>
  <si>
    <t>3L T8 4' 25W</t>
  </si>
  <si>
    <t>4L T8 4' 25W</t>
  </si>
  <si>
    <t>1L T8 4' 28W</t>
  </si>
  <si>
    <t>2L T8 4' 28W</t>
  </si>
  <si>
    <t>3L T8 4' 28W</t>
  </si>
  <si>
    <t>4L T8 4' 28W</t>
  </si>
  <si>
    <t>1L T8 4' 32W</t>
  </si>
  <si>
    <t>2L T8 4' 32W</t>
  </si>
  <si>
    <t>3L T8 4' 32W</t>
  </si>
  <si>
    <t>4L T8 4' 32W</t>
  </si>
  <si>
    <t>6L T8 4' 32W</t>
  </si>
  <si>
    <t>1L T8 4' 44W</t>
  </si>
  <si>
    <t>2L T8 4' 44W</t>
  </si>
  <si>
    <t>1L T8 5' 40W</t>
  </si>
  <si>
    <t>2L T8 5' 40W</t>
  </si>
  <si>
    <t>3L T8 5' 40W</t>
  </si>
  <si>
    <t>4L T8 5' 40W</t>
  </si>
  <si>
    <t>1L T8 5' 55W</t>
  </si>
  <si>
    <t>2L T8 5' 55W</t>
  </si>
  <si>
    <t>1L T8 6' 46W</t>
  </si>
  <si>
    <t>2L T8 6' 46W</t>
  </si>
  <si>
    <t>1L T8 8' 59W</t>
  </si>
  <si>
    <t>2L T8 8' 59W</t>
  </si>
  <si>
    <t>1L T8 6' 66W</t>
  </si>
  <si>
    <t>2L T8 6' 66W</t>
  </si>
  <si>
    <t>1L T8 8' 86W</t>
  </si>
  <si>
    <t>2L T8 8' 86W</t>
  </si>
  <si>
    <t>1L T5 2' 13W</t>
  </si>
  <si>
    <t>2L T5 2' 13W</t>
  </si>
  <si>
    <t>1L T5 2' 14W</t>
  </si>
  <si>
    <t>2L T5 2' 14W</t>
  </si>
  <si>
    <t>1L T5 3' 21W</t>
  </si>
  <si>
    <t>2L T5 3' 21W</t>
  </si>
  <si>
    <t>1L T5 3' 39W</t>
  </si>
  <si>
    <t>1L T5 4' 28W</t>
  </si>
  <si>
    <t>2L T5 4' 28W</t>
  </si>
  <si>
    <t>3L T5 4' 28W</t>
  </si>
  <si>
    <t>4L T5 4' 28W</t>
  </si>
  <si>
    <t>1L T5 5' 35W</t>
  </si>
  <si>
    <t>2L T5 5' 35W</t>
  </si>
  <si>
    <t>8L T8 4' 32W</t>
  </si>
  <si>
    <t>HID_T12</t>
  </si>
  <si>
    <t>32W Med Base</t>
  </si>
  <si>
    <t xml:space="preserve">35W/39W Med Base </t>
  </si>
  <si>
    <t>50W Med Base</t>
  </si>
  <si>
    <t>70W Med Base</t>
  </si>
  <si>
    <t xml:space="preserve">70W Double Ended </t>
  </si>
  <si>
    <t>100W Med Base</t>
  </si>
  <si>
    <t xml:space="preserve">100W Double Ended </t>
  </si>
  <si>
    <t>75W Med Base</t>
  </si>
  <si>
    <t>35W Med Base</t>
  </si>
  <si>
    <t>100W Mogul Base</t>
  </si>
  <si>
    <t>150W Med Base</t>
  </si>
  <si>
    <t>175W Med Base</t>
  </si>
  <si>
    <t>Rate ($/kWh)</t>
  </si>
  <si>
    <t>kWh Incentive</t>
  </si>
  <si>
    <t>Total Cost Cap</t>
  </si>
  <si>
    <t>Incremental Cost Cap</t>
  </si>
  <si>
    <t>-----Other-----</t>
  </si>
  <si>
    <t>After your application has been emailed you can expect to see a confirmation email within 5 business days. If pre-approval is required, you will receive an offer or request for additional information. You may proceed with purchase and installation AFTER signing the offer.</t>
  </si>
  <si>
    <t>Benefits</t>
  </si>
  <si>
    <t>VFD for Air Compressor &gt; 200HP</t>
  </si>
  <si>
    <t>Variable Speed Drive Compressor ≤ 200 hp - 1 shift weekdays</t>
  </si>
  <si>
    <t>Variable Speed Drive Compressor ≤ 200 hp - 2 shift weekdays</t>
  </si>
  <si>
    <t>Variable Speed Drive Compressor ≤ 200 hp - 3 shift weekdays</t>
  </si>
  <si>
    <t>Variable Speed Drive Compressor ≤ 200 hp - 3 shift weekdays plus weekends</t>
  </si>
  <si>
    <t>VFD for Air Compressor &gt; 200HP (Incremental)</t>
  </si>
  <si>
    <t>Process Chiller</t>
  </si>
  <si>
    <t>HVAC Controls Op w/ Peak</t>
  </si>
  <si>
    <t>HVAC Controls Op w/o Peak</t>
  </si>
  <si>
    <t>Ext Lighting w/o Peak</t>
  </si>
  <si>
    <t xml:space="preserve">Ext Lighting w/ Peak </t>
  </si>
  <si>
    <t>2-ft LED Linear Replacement Lamps</t>
  </si>
  <si>
    <t>17W 2-ft T8 with Electronic NBF Ballast</t>
  </si>
  <si>
    <t>4-ft LED Linear Replacement Lamps</t>
  </si>
  <si>
    <t>32W 4-ft T8 with Electronic NBF Ballast</t>
  </si>
  <si>
    <t>8' LED Lamp</t>
  </si>
  <si>
    <t>96", T-8 lamp, Instant Start Ballast, NLO</t>
  </si>
  <si>
    <t>Remove T8</t>
  </si>
  <si>
    <t>T8 4 ft (watts)</t>
  </si>
  <si>
    <t>T8 8 ft (watts)</t>
  </si>
  <si>
    <t>Photocell Occupancy Sensor (watts controlled)</t>
  </si>
  <si>
    <t>No Control</t>
  </si>
  <si>
    <t>Wall-Mount Occupancy Sensor (watts controlled)</t>
  </si>
  <si>
    <t>SteamModeESTAR</t>
  </si>
  <si>
    <t>SteamModeBase</t>
  </si>
  <si>
    <t>IdleRateESTAR</t>
  </si>
  <si>
    <t>IdleRateBase</t>
  </si>
  <si>
    <t>LED Freezer (Low Temp) Case Light Fixtures (4, 5, and 6-foot)</t>
  </si>
  <si>
    <t>Linear Fluorescent T8 Fixtures</t>
  </si>
  <si>
    <t>LED Refrigerated (Medium Temp) Case Light Fixtures (4, 5, and 6-foot)</t>
  </si>
  <si>
    <t>No strip curtain</t>
  </si>
  <si>
    <t>ECM Motor</t>
  </si>
  <si>
    <t>Column12</t>
  </si>
  <si>
    <t>Column13</t>
  </si>
  <si>
    <t>Column14</t>
  </si>
  <si>
    <t>Column15</t>
  </si>
  <si>
    <t>Column16</t>
  </si>
  <si>
    <t>Column17</t>
  </si>
  <si>
    <t>31110301</t>
  </si>
  <si>
    <t>31110302</t>
  </si>
  <si>
    <t>31110303</t>
  </si>
  <si>
    <t>31110304</t>
  </si>
  <si>
    <t>31110305</t>
  </si>
  <si>
    <t>31110306</t>
  </si>
  <si>
    <t>31110307</t>
  </si>
  <si>
    <t>31111801</t>
  </si>
  <si>
    <t>31111802</t>
  </si>
  <si>
    <t>31111803</t>
  </si>
  <si>
    <t>31111804</t>
  </si>
  <si>
    <t>31111805</t>
  </si>
  <si>
    <t>31111806</t>
  </si>
  <si>
    <t>31111807</t>
  </si>
  <si>
    <t>31111808</t>
  </si>
  <si>
    <t>31111809</t>
  </si>
  <si>
    <t>31111810</t>
  </si>
  <si>
    <t>31111811</t>
  </si>
  <si>
    <t>32311201</t>
  </si>
  <si>
    <t>32311202</t>
  </si>
  <si>
    <t>32311203</t>
  </si>
  <si>
    <t>32311204</t>
  </si>
  <si>
    <t>32311205</t>
  </si>
  <si>
    <t>32311206</t>
  </si>
  <si>
    <t>32311207</t>
  </si>
  <si>
    <t>32311208</t>
  </si>
  <si>
    <t>Process Chiller (Incremental)</t>
  </si>
  <si>
    <t>32311501</t>
  </si>
  <si>
    <t>32311502</t>
  </si>
  <si>
    <t>EER</t>
  </si>
  <si>
    <t>SEER</t>
  </si>
  <si>
    <t>IEER</t>
  </si>
  <si>
    <t>EFLHcool</t>
  </si>
  <si>
    <t>EFLHheat</t>
  </si>
  <si>
    <t>COP</t>
  </si>
  <si>
    <t>Column18</t>
  </si>
  <si>
    <t>HSPF</t>
  </si>
  <si>
    <t>This is a TRC tool</t>
  </si>
  <si>
    <t>Who will install/installed the equipment for this project?</t>
  </si>
  <si>
    <t>General
	• Updated LM to TRC
	• Updated footer to say TRC tool 
	• Updated expiration date to 5/29/2020 
Terms and Conditions
	• Update help hint for electronic signature to say Evergy
TA/Vendor Info
	• Updated TA tab to Trade Ally/Contractor Information. 
	• Added who install field 
Data Tables
	• Updated PCDR factors and end use naming. 
Measure3
	○ Updated end use Cooking to Food Services
	○ Updated end use Unitary AC to Cooling
	○ Removed measures that can be applied for on standard
	○ Added VFD on Chiller end use HVAC Controls w/ peak
	○ Added Process Chiller end use Process
Measures
Std Lighting
	○ Added autofill for wattages
	○ Added min and max for wattages
	○ Updated front end kWh to show calculated kWh
	○ Updated kW to kWh*PCDR factor
	○ Updated kWh for parking and exterior so there is no WHF included
	○ Added max of 4380 hours for exterior dusk-to-dawn lighting
	○ Updated standard lighting to obtain more detail on ineff equipment
	○ Added green highlight if baseline autofill wattage is overrode
Std Lighting Controls
	○ Changed kWh to actuals
	○ Updated tab to function for Networked lighting controls, sq ft, quantity type
	○ Added check on total wattage controlled to make sure it exceeds or meets required amount Made this the min wattage controlled times the number of sensors which is a column in the backend 
Std HVAC
	○ Updated deemed savings to just kWh*ton and kW*ton because that’s how the deemed savings are
	○ Updated to calculate actuals for kWh using IL TRM calcs
	○ Updated kW to calculate using cooling PCDR factor times cooling only savings.
	○ Updated kWh to show actuals to customer
	○ Updated incentive to calculate correctly based on incentive type ($/ton vs $/eff improve/ton)
Cstm Lighting
	○ Added green highlight if baseline autofill wattage is overrode
Cstm Lighting Controls
	○ Changed kWh to acutals
	○ Updated the custom lighting controls tab to the options in the IL TRM and have it auto calculate the savings using the IL TRM calc 
Cstm
	○ Updated all custom tabs to 100% incremental cost and 75% total cost (see Data Tables for named cap fields)
	○ Updated all custom tabs to new $/kWh rates
	○ Updated cost cap notifications to include incremental notice
General
	○ Updated all links to go between standard and custom and removed new construction reference
	○ Added popup note to Install Location
	○ Created new measure numbers for new measures
Export
	○ Added clean(trim( to payee info: company, payee address, payee city
Project Submission
	○ Updated submission instructions Step 2.b to "You may proceed with purchase and installation AFTER signing the offer" 
Template
	• Added Benefits column to measure tabs. Updated project CB to be sum of benefits at the measures level divided by the sum of total costs at the measure level. The benefits will already be weighted by their equipment EULs. 
Export
Updated linking since columns were moved around and new columns were added</t>
  </si>
  <si>
    <r>
      <t>Evergy Contact</t>
    </r>
    <r>
      <rPr>
        <sz val="11"/>
        <color rgb="FFFF0000"/>
        <rFont val="Arial"/>
        <family val="2"/>
      </rPr>
      <t>*</t>
    </r>
  </si>
  <si>
    <t>Retrofit_2ft</t>
  </si>
  <si>
    <t>Retrofit_8ft</t>
  </si>
  <si>
    <t>Secondary Contact (Optional)</t>
  </si>
  <si>
    <t>Contact First Name</t>
  </si>
  <si>
    <t>Last Name</t>
  </si>
  <si>
    <t>Primary Phone</t>
  </si>
  <si>
    <t>M02S02F13</t>
  </si>
  <si>
    <t>M02S02F14</t>
  </si>
  <si>
    <t>M02S02F15</t>
  </si>
  <si>
    <t>M02S02F16</t>
  </si>
  <si>
    <t>M02S02F17</t>
  </si>
  <si>
    <t>Note: The application must be submitted within 90 days of project installed date in order to qualify for a incentive.</t>
  </si>
  <si>
    <t xml:space="preserve">How to Print    </t>
  </si>
  <si>
    <r>
      <t>To</t>
    </r>
    <r>
      <rPr>
        <b/>
        <sz val="11"/>
        <rFont val="Airal"/>
      </rPr>
      <t xml:space="preserve"> print </t>
    </r>
    <r>
      <rPr>
        <sz val="11"/>
        <rFont val="Airal"/>
      </rPr>
      <t>this report go to File -&gt; Print. Under "Printer" select your local printer to print a paper copy or select a default PDF application to save a digital copy. Click</t>
    </r>
    <r>
      <rPr>
        <b/>
        <sz val="11"/>
        <rFont val="Airal"/>
      </rPr>
      <t xml:space="preserve"> </t>
    </r>
    <r>
      <rPr>
        <sz val="11"/>
        <rFont val="Airal"/>
      </rPr>
      <t>"</t>
    </r>
    <r>
      <rPr>
        <b/>
        <sz val="11"/>
        <rFont val="Airal"/>
      </rPr>
      <t>Submission Instructions</t>
    </r>
    <r>
      <rPr>
        <sz val="11"/>
        <rFont val="Airal"/>
      </rPr>
      <t>"</t>
    </r>
    <r>
      <rPr>
        <b/>
        <sz val="11"/>
        <rFont val="Airal"/>
      </rPr>
      <t xml:space="preserve"> </t>
    </r>
    <r>
      <rPr>
        <sz val="11"/>
        <rFont val="Airal"/>
      </rPr>
      <t>to continue.</t>
    </r>
  </si>
  <si>
    <r>
      <t xml:space="preserve">Review the below information, if there is information missing use the links or the tracker above to update accordingly. Once progress is </t>
    </r>
    <r>
      <rPr>
        <b/>
        <sz val="11"/>
        <color theme="1" tint="0.249977111117893"/>
        <rFont val="Arial"/>
        <family val="2"/>
      </rPr>
      <t>100%,</t>
    </r>
    <r>
      <rPr>
        <sz val="11"/>
        <color theme="1" tint="0.249977111117893"/>
        <rFont val="Arial"/>
        <family val="2"/>
      </rPr>
      <t xml:space="preserve"> please use the "View Incentive Report" to print a personalized project report and the "Submission Instructions" button for instructions on how to finish the application process.</t>
    </r>
  </si>
  <si>
    <t>MH 125W</t>
  </si>
  <si>
    <t>MH 200W</t>
  </si>
  <si>
    <t>MH 320W</t>
  </si>
  <si>
    <t>MH 350W</t>
  </si>
  <si>
    <t>HPS 310W</t>
  </si>
  <si>
    <t>MH 450W</t>
  </si>
  <si>
    <t>MH 750W</t>
  </si>
  <si>
    <t>MH 1,000W</t>
  </si>
  <si>
    <t>MV 700W</t>
  </si>
  <si>
    <t>MV 1,000W</t>
  </si>
  <si>
    <t>kW Shifted to Off-Peak</t>
  </si>
  <si>
    <t>Rate ($/kW)</t>
  </si>
  <si>
    <t>=</t>
  </si>
  <si>
    <t>$/kW</t>
  </si>
  <si>
    <t>Peak Load (kW) Shift</t>
  </si>
  <si>
    <t>32311901</t>
  </si>
  <si>
    <t>Water Heating/Food Services</t>
  </si>
  <si>
    <t>21111238</t>
  </si>
  <si>
    <t>21111239</t>
  </si>
  <si>
    <t>21110101</t>
  </si>
  <si>
    <t>21110102</t>
  </si>
  <si>
    <t>21110103</t>
  </si>
  <si>
    <t>21110104</t>
  </si>
  <si>
    <t>21110107</t>
  </si>
  <si>
    <t>21111738</t>
  </si>
  <si>
    <t>21111739</t>
  </si>
  <si>
    <t>21111703</t>
  </si>
  <si>
    <t>22110508</t>
  </si>
  <si>
    <t>22110514</t>
  </si>
  <si>
    <t>22110517</t>
  </si>
  <si>
    <t>22210508</t>
  </si>
  <si>
    <t>22210514</t>
  </si>
  <si>
    <t>22210517</t>
  </si>
  <si>
    <t>General
	• Updated welcome tab, instruction tab, and equipment icons
Project Review
	• Removed new con lighting line
	• Updated block bidding notice to look at $250,000 total incentive
	• Moved Invoice and Installed Date fields to this tab
	• Updated incentive report and draft email buttons
	• Corrected link for project review tab
	• Add secondary TA info to list
Incentive Report
	• Updated to TRC logo
Template
	• Updated rate formula to not count if it says "select rate code" or it equal zero
Measure Numbers
	• Verified and updated old measure numbers if needed
Measures1
	• Added ranges for 1x8 ineff wattages and ineff and eff exit sign wattages
	• Updated 1x8 lines
	• Updated unit types
	• Updated exterior &gt; 400W to $100
Measures2
	• Corrected all the screw in dropdowns
	• Corrected 4' lamp 60W lamp wattage
	• Broke out retrofit kits and made the list smaller based on size of LED kit
	• Removed 5' and 7' types from exterior and parking garage, Also removed indicator of wall pack/canopy on exterior lighting
Data Tables
	• Removed Claudia from BDs
Cst Misc
	• Add peak shift measure to the end of this tab. To view/use we will have to unhide this row internally. $380/kW
TA/Contractor Info
	• Added option secondary contact
Std Tabs
	• Corrected font to all Arial in tabs
Std Lighting
	• Updated dropdowns so they cant be changed unless the info after it is deleted
Export
	• Removed NC lighting rows
Added secondary TA info to columns on the end</t>
  </si>
  <si>
    <t>Please fill out the Trade Ally / contractor information below.</t>
  </si>
  <si>
    <t>A Customer shall complete a project no later than 9 months from project approval by Program Administrator, or by December 31, 2022, whichever occurs earlier. Projects that are not completed within 9 months or by December 31, 2022 shall forfeit their position in the queue for program funds unless otherwise agreed by Evergy in its sole reasonable discretion based upon consideration of Customer’s completion of project milestones and/or construction activity to begin the project. Once final paperwork is submitted (such as Completion Form, invoices, etc.) and project inspection completed (as applicable), payment of incentive amount is made within eight weeks. Incomplete applications will delay payment. 
If I am authorizing this payment of my incentive to the third-party (“Payee”) named above, I understand that I will not be receiving the incentive check from Evergy. I also understand that my release of the payment to the third-party does not exempt me from the incentive requirements outlined in this application.</t>
  </si>
  <si>
    <t>Updated typo on TA tab, unlocked cell in project review tab, updated offer and completion language</t>
  </si>
  <si>
    <t>2.0.1</t>
  </si>
  <si>
    <t>Updated links to website to: https://www.evergy.com/ways-to-save/incentives/businessenergysavings
Updated sorting of lighting measures since it was incorrect</t>
  </si>
  <si>
    <t>RCx</t>
  </si>
  <si>
    <t>Service Provider</t>
  </si>
  <si>
    <t>Deemed kWh Savings</t>
  </si>
  <si>
    <t>Deemed kW Savings</t>
  </si>
  <si>
    <t>Spillover Deemed kWh Savings</t>
  </si>
  <si>
    <t>Spillover Deemed kW Savings</t>
  </si>
  <si>
    <t>Reporting Methodology</t>
  </si>
  <si>
    <t>Updated Std Measure Tables to have Reporting Methodology column
Add Reporting Type Column to Export
Updated Custom Calculated kWh and kW to the correct "Calcualted" columns in the Export
Updated PC summary kWh and kW summations so that they looked at Report Methodology column on Export
Corrected Template so that it is pulling in the correct kW (Calculated versus Deemed)
Fixed the arrows on the Equipment Input tab</t>
  </si>
  <si>
    <t>Incentive Type</t>
  </si>
  <si>
    <t>RCx Threshold</t>
  </si>
  <si>
    <t>2.0.2</t>
  </si>
  <si>
    <t xml:space="preserve">Updated Std Flourescent Fixture replacement to have the size for the ineff and not the eff and upated the ineff dropdown to match retrofit kit size ranges
Made show detail savings and incentives shrink to fit
Updated current unit type for exterior and parking garge standard measures to Fixture </t>
  </si>
  <si>
    <t>Updated welcome tab</t>
  </si>
  <si>
    <t>Electrical Engineer</t>
  </si>
  <si>
    <t>Mechanical Engineer</t>
  </si>
  <si>
    <t>Architect</t>
  </si>
  <si>
    <t>Start</t>
  </si>
  <si>
    <t>32310511</t>
  </si>
  <si>
    <t>32310512</t>
  </si>
  <si>
    <t>Waste Heat Factor (e)</t>
  </si>
  <si>
    <t>updated WHF to match IL TRM 8.0</t>
  </si>
  <si>
    <t>New Construction Project Type</t>
  </si>
  <si>
    <t>New Building</t>
  </si>
  <si>
    <t>Building Addition</t>
  </si>
  <si>
    <t>Change of Purpose</t>
  </si>
  <si>
    <t>816-382-8747</t>
  </si>
  <si>
    <t>fixed the total summation on the Project Summary tab. It was reading the wrong column</t>
  </si>
  <si>
    <t>App:</t>
  </si>
  <si>
    <t>Main</t>
  </si>
  <si>
    <t>Captures ID</t>
  </si>
  <si>
    <t>10% LPD Reduction Req.</t>
  </si>
  <si>
    <t>NC Lighting Incentive ($/Watt Reduced)</t>
  </si>
  <si>
    <t>NC Lighting Cost Cap</t>
  </si>
  <si>
    <t>Tests/Rates/Caps</t>
  </si>
  <si>
    <t>WBP Energy Savings % Below Baseline</t>
  </si>
  <si>
    <t>Incentive Rate</t>
  </si>
  <si>
    <t>10-25%</t>
  </si>
  <si>
    <t>≥25%</t>
  </si>
  <si>
    <t>eQuest</t>
  </si>
  <si>
    <t>Energy Pro</t>
  </si>
  <si>
    <t>Visual DOE</t>
  </si>
  <si>
    <t>EnergyPlus</t>
  </si>
  <si>
    <t>Trane TRACE</t>
  </si>
  <si>
    <t>Energy Modeling Software</t>
  </si>
  <si>
    <t>DOE-2</t>
  </si>
  <si>
    <t>Carrier HAP</t>
  </si>
  <si>
    <t>WBP Cap</t>
  </si>
  <si>
    <t>Negative Incremental Cost</t>
  </si>
  <si>
    <t>Payback over 18 months, Custom Measure</t>
  </si>
  <si>
    <t>Payback Over 18 Months</t>
  </si>
  <si>
    <t>Payback under 18 months, RCx Measure</t>
  </si>
  <si>
    <t>RCx Payback over 18 months</t>
  </si>
  <si>
    <t>Custom Payback under 18 months</t>
  </si>
  <si>
    <t>Trade Ally or Contractor (Check)</t>
  </si>
  <si>
    <t>Trade Ally / General Contractor</t>
  </si>
  <si>
    <t>Additional Contact 1</t>
  </si>
  <si>
    <t>Additional Contact 2</t>
  </si>
  <si>
    <t>Design Team Options</t>
  </si>
  <si>
    <t>Verify the above Incentive Summary is accurate. Has your energy efficiency project scope changed from the original plan? If so, please review and update the measures, quantities, and costs associated with each line item.</t>
  </si>
  <si>
    <t>RCx and Custom</t>
  </si>
  <si>
    <t>Principal building activity</t>
  </si>
  <si>
    <t>Education</t>
  </si>
  <si>
    <t>CBECS 2012 Midwest Electricity Energy Intensity (kWh/sq ft)</t>
  </si>
  <si>
    <t>Vacant</t>
  </si>
  <si>
    <t>Public assembly</t>
  </si>
  <si>
    <t>Enclosed and strip malls</t>
  </si>
  <si>
    <t>Retail (other than mall)</t>
  </si>
  <si>
    <t>Mercantile</t>
  </si>
  <si>
    <t>Lodging</t>
  </si>
  <si>
    <t>Outpatient</t>
  </si>
  <si>
    <t>Inpatient</t>
  </si>
  <si>
    <t>Health care</t>
  </si>
  <si>
    <t>Food service</t>
  </si>
  <si>
    <t>Food sales</t>
  </si>
  <si>
    <t>Warehouse and storage</t>
  </si>
  <si>
    <t>Service</t>
  </si>
  <si>
    <t>Religious worship</t>
  </si>
  <si>
    <t>Public order and safety</t>
  </si>
  <si>
    <t>T8 - 4 ft - 4 Lamp</t>
  </si>
  <si>
    <t>1L T12 Ubend 34W</t>
  </si>
  <si>
    <t>2L T12 Ubend 34W</t>
  </si>
  <si>
    <t>1L T12 Ubend 40W</t>
  </si>
  <si>
    <t>2L T12 Ubend 40W</t>
  </si>
  <si>
    <t>2008 Oncor Electric Delivery Lighting Table - Fluorescent, (1) U-Tube, ES Lamp</t>
  </si>
  <si>
    <t>2008 Oncor Electric Delivery Lighting Table - Fluorescent (2) 48" U-bent ES lamps, Electronic ballast, NLO (0.85 &lt; BF &lt; 0.95)</t>
  </si>
  <si>
    <t>2008 Oncor Electric Delivery Lighting Table - Fluorescent (2) 48" U-bent Standard lamps, Electronic ballast, NLO (0.85 &lt; BF &lt; 0.95)</t>
  </si>
  <si>
    <t>1L T8 Ubend 32W</t>
  </si>
  <si>
    <t>2L T8 Ubend 32W</t>
  </si>
  <si>
    <t>Updated Standard Measure kWh/unit to 4 decimals
Updated rounding in Standard &amp; Custom kWh calculations to 4 decimals</t>
  </si>
  <si>
    <t>System Wattage</t>
  </si>
  <si>
    <t>Nominal Wattage</t>
  </si>
  <si>
    <t>2.03</t>
  </si>
  <si>
    <t>Notes</t>
  </si>
  <si>
    <t>Updated Export file. Corrected Std Lighitng annual hours and quanitiy columns 
Now showing kWh on Export to 4 decimal places
Updated dropdown options for exterior dusk to dawn and parking garage standard measures to have Ineff dropdowns based on nominal wattage 
Removed Baseline Code from Main PC summary
Updated PC Summary kWh fields to show 4 decimal places</t>
  </si>
  <si>
    <t>2.1.0</t>
  </si>
  <si>
    <t>Service Provider / Contractor (Check)</t>
  </si>
  <si>
    <t>MBSharp@trccompanies.com</t>
  </si>
  <si>
    <t>Application Type</t>
  </si>
  <si>
    <t>Expiration Date</t>
  </si>
  <si>
    <t>Expiration Status</t>
  </si>
  <si>
    <t>All</t>
  </si>
  <si>
    <t>FOOT1</t>
  </si>
  <si>
    <t>FOOT2</t>
  </si>
  <si>
    <t>FOOT3</t>
  </si>
  <si>
    <t>FOOT4</t>
  </si>
  <si>
    <t>FOOT5</t>
  </si>
  <si>
    <t>FOOT6</t>
  </si>
  <si>
    <t>FOOTDISCLAIM_N</t>
  </si>
  <si>
    <t>FOOTDISCLAIM</t>
  </si>
  <si>
    <t/>
  </si>
  <si>
    <t>Moved application version and expiration date from M01S01 to template tab
moved all other template fields that apply across apps to here as well</t>
  </si>
  <si>
    <t>FOOTDISCLAIM_X</t>
  </si>
  <si>
    <t>General
	• Duplicated main tabs and renamed for NC
	• Started working on naming fields in Template
	• Added handbook link to DTM and Incentive tabs
	• Updated all footers
	• Updated version number
	• Updated expiration date
Welcome tab
	• Updated expiration date and expiration notice to formulas
	• Added welcome tab and links
Instruction tab
	• Added instruction tab
Template
	• Made account number required when Completion Form is active
	• Deleted formula for Benefits in WBP row
Top Banner
	• Changed offer and completion formulas to ACTIVEOFFER_N and ACTIVECOML_N or whatever they are
Data Tables
	• Updated Brett's email to MBSharp@trccompanies.com
	• Change all footer named fields to the Data tables tab
	• Update all references to read to that field including the first tab
Measures1_N
	• Added IECC baselines for HVAC measures that look at selected IECC code in PC summary
	• Added additional ASHP for split vs package
	• Removed PTACs and PTHPs. Too much effort to add at the moment 
	• Updated measure numbers
	• Updated HVAC measure names to include tons
Measures2_N
	• Moved all new con custom measures to this new tab
	• Removed lighting controls measures since it is required by code
	• Named tables
	• Named measure lists
	• Updated end use naming
	• Removed RTUs from list as they are standard
	• Updated cooking end use to food services
	• Updated measure numbers
	• Added water cooled chiller
LPD Tables_N
	• Add WI TRM incremental cost table
	• Add WHFe to the table
	• Update operating hours
	• Make sure to update the IL TRM Building Type assumption
	• Updated IECC baselines based on Chris' email and Jaime's updated document (find in Engineering IECC Code folder)
Customer/Building tab
	• Make sure account numbers are not required in template and make sure they don’t have a red star by the title
DTM Summary 
	• Added conditional formatting to WBP based on sq ft
	• Check marks autocheck eligible or not
	• Add DT contact to Attendees list
	• Added conditional formatting to date fields. If blank then orange
	• Updated error message for date fields
	• Added data validation to meeting date
	• Unlock custom description box
	• Unlock additional notes box
	• Make sure project number shows up on DTM
	• Created toggle yes/no fields
All Measure tabs
	• Added baseline to show details
	• Updated all formulas look at ACTIVEBLOCK to ACTIVEBLOCK_N
Standard Refrig/HVAC/Food Services
	• Updated all dropdowns and formulas to ready NC tables
Grow Facility
	• Did NOT add WHFe to calcs
	• Updated cost cap to 50% total cost
	• Added % below code column
	• Added status to look if 10% reduction requirement is met
	• Add incremental cost calc using actual costs
	• Updated Caps notices
	• Hard coded EUL and End Use
	• CB Ratio at measure level referencing incremental cost and not total cost
	• Expanded the PPF to XX.X format
	• Tried to make eff and ineff titles more obvious
WBP tab
	• Named fields
	• Added calculations
	• Added data validation
	• Created dropdown for models
	• Add in table for incentive rates
	• Added conditional formatting to show/hide fields when appropriate
	• Added section percentage complete
	• Updated backed kWh and kW to show negative kW if the modelled kW is lower than the sum of the kW claimed on the other measures
Traditional Lighting tab
	• Add WHFe to the calcs
	• Updated cost cap to 50% total cost
	• Added % below code column
	• Added status to look if 10% reduction requirement is met
	• Add incremental cost calc using WI TRM
	• Updated Caps notices
	• CB Ratio at measure level referencing incremental cost and not total cost
	• Updated payback so it reads incremental 
	• Updated baseline LPD formulas
	• Updated WI incremental formula to include &lt;.4
Standard HVAC tab
	• Updated all data validation to NC tables
	• Updated headers and formatted lines to make efficiency details easier to read
Custom Tabs
	• Updated measure dropdowns
	• Updated caps
	• Removed min and max kWh incentive columns
	• Removed calculated kW
	• Updated status to look at correct CB and Payback
	• I removed thermal storage from the Misc tab. I hope that’s ok…
Payment
	• Updated dropdown to match Jotform options
	• Added dropdown field to select particular TA
	• Fix title reference
Project Review tab
	• Updated Incentive Summary
	• Updated field summary formulas and incomplete indicators
	• Updated all links
	• Update tax entity and tax ID to pull in correct fields
	• Fix title reference
Project Report
	• Updated Estimated incentive title to not read bonusactive field
	• Fix title reference
PC Summary
	• Currently using CBECS 2012 Midwest (kWh/sq ft * sq ft * 5%) savings to calculate the provisional measure (Ameren Sq Ft*1.8*0.6) Used interior lighting end use for kW estimate
	• Added Preliminary to the dropdown status
	• Renamed block bid field as ACTIVEBLOCK_N
	• Renamed offer to ACTIVEOFFER_N
	• Renamed completion to ACTIVECOMPLETION_N
	• Fix PC Summary title reference
	• Fix spillover kW, units, total cost, baseline cost formulas
	• Highlight WBP in red if kWh and kW are negative
Offer Form
	• Made sure fields were named on the Offer
	• Updated all formulas and links
	• Fix title reference
Completion Form
	• Made sure fields were named on the Offer
	• Updated all formulas and links
	• Fix title reference
	• Fix the tax ID and tax number formulas
	• Right justify the payee fields
Export
	• Added measure numbers for provisional and WBP</t>
  </si>
  <si>
    <t>2.3.20
Changed version number to 2.1.0
Combined customer and site info into one tab
Combined building and study info into one tab
Started linking and naming cells
Added an "Evergy Approved" cell to the Service Provider info tab - to be filled in the PC Summary with date approved and locked on customer-facing tab
2.4.20
Added Measure_X tab and inserted measure drop down and info tables
2.5.20
Named fillable fields
Updated measure tabs
Started updating Template
2.6.20
General
	• Updated names of main progress tabs
	• Updated links for welcome, instruction, contact, offer form, completion form and all progress tabs
	• Copied progress tabs to each tab
Building Optimization Tab
	• Formatted and Data Validated Baseline kWh, Efficient kWh, Measure Cost
	• Added in Equipment Incentive formula and formatted cell
	• Added Total Incentive formula
	• Fixed Section Cost to sum the correct column
	• Created dropdown for Incentive Type in Data Tables
	• Added in Cost Type, I didn’t autofill because it created a circular reference with the Equipment Incentive and Incentive Type
	• Made Incentive Type, Base Detail, Efficient Detail columns smaller
	• Updated Study Incentive so it does not show incentive for Custom measure
	• Updated Total Incentive so it does not error out if Study Incentive has words in it
	• Added incremental check to Equipment Incentive
2.7.20
General
	• Linked arrows
2.8.20-2.18.20
General
	• Find the link that you created due to copying from Ameren application
Template/Measure Tabs
	• Make sure CB test has been updated to match Main application. Benefits column on the measure tabs and then that is summed on the Template and used in the CB test. Change the CB test formula on the Template
	• Incentive level CB, separate CB for custom and RCx
	• Measure level payback
	• Add alert, if study cost = """ or zero then "Complete RCx Study" or something of the sort
Measure Tabs
	• Remove flip between RCx and Custom
	• Reformat tabs to the following
		○ Inputs: Efficient Measure, Efficient Description, Baseline Description, Quantity, Baseline kWh, Efficient kWh, Total Cost.
		○ Outputs: Incentive Type, kWh Savings, Equipment Incentive, Study Incentive
Offer/Completion Forms
	• Make sure language matches Main application
Customer &amp; Building Information 
	• For the sake of my sanity can we format this section the same as the main application? So the Customer Info has the information for the company and the Building Info has the site address and contact and everything else under it
	• Type of Control System still has an option that says explain below but the detail field is on the next tab. Not sure how you want to fix it
	• You might be able to get the additional info in 1 row of 5 fields and 1 row of 4 fields
Study tab
Update the project types to the three options since that is what we ended up with</t>
  </si>
  <si>
    <t>2.0.4</t>
  </si>
  <si>
    <t>Updated measure tabs to show deemed or calculated based on column in show details
Updated template to show kwh/kw based on deemed verusus calculated designation</t>
  </si>
  <si>
    <t>Added Grow Facility to space type dropdown, updated traditional lighting to recoginize if grow facility is selected and added status saying completion on Grow Facility tab, Link space type to the backend in Export</t>
  </si>
  <si>
    <t>2.1.1</t>
  </si>
  <si>
    <t xml:space="preserve">	• Create RCx cities list
	• Fix zipcodes dropdown
	• Left justify final eng notes
	• Fix costs on offer and completion
	• Unlock SP Approval date
		○ Changed formatting for both fields to date
	• Increase field size for ### fields on project summary
Fix missing additional info </t>
  </si>
  <si>
    <t>Updated BD info link from front end to PC Summary</t>
  </si>
  <si>
    <t>Energy Recovery Ventilator</t>
  </si>
  <si>
    <t>Energy Recovery Ventilator (Incremental)</t>
  </si>
  <si>
    <t>32310509</t>
  </si>
  <si>
    <t>32310508</t>
  </si>
  <si>
    <t>2.0.5</t>
  </si>
  <si>
    <t xml:space="preserve">Adjusted expiration date to 12/31/2020
Welcome tab
	• Add smaller sized welcome image (See marketing folder)
	• Update PACE link to the following per Chris' email request https://energy.mo.gov/assistance-programs/pace
Template
	• Get rid of LM Proprietary note in far off column
Updated Standard Measures per TRM 2020.5.1
	○ 21111106, 31111103, 31111107, 21111136, 21111137, 21111238, 21111239, 21110107, 21111738, 21111739, 21111705
Standard HVAC
	• Update efficiency titles to match NC application format
Lighting Controls
	• Update the calculations so they are using the WHFe based on building type
Measures1_M
	• Update HVAC measure names to include tons? This may mess up copy and paste functionality between version so we will want to warn the PCs about it --&gt; could we have the transfer tool look at the TRM name to identify what to copy/paste?
• Add new measure to application and Captures
	○ Custom -&gt; HVAC -&gt; Energy Recovery Ventilation (see IL TRM 4.4.27 for EUL=15, End Use = HVAC Controls w/ Optimization, Units = cfm)
• All Custom Measure tabs
	○ Update status column. Currently if other is selected then it errors out and we have to remove that part of the formula to have it not error out. Update to the formula to say if Other AND end use is blank then error. If other and end use and EUL is filled in then it is ok and the incentive can populate
Welcome tab
	• Updated version number to v2.0.5 for Std/Cstm app
	• Change hover over language for the PACE link to  "View PACE Financing Information"
Standard HVAC tab
	• Changed ASHP to &gt;= 20 tons
Measures3 tab
	• Moved spillover to B103 in data tables table including named range so it doesn't break in NC and RCx apps
Standard and Custom Lighting Controls tabs
	• Added alert to the status that tell user to fill out building type if it is blank. 
Export
	• Added primary key to new column for standard measures so that we can upload
Custom tabs
	• Added conditional formatting to the EUL and End Use Factor columns that colors orange if it is blank
</t>
  </si>
  <si>
    <t>Welcome
Updated PACE link to https://energy.mo.gov/assistance-programs/pace
Custom HVAC
	• Custom -&gt; HVAC -&gt; Energy Recovery Ventilation (see IL TRM 4.4.27 for EUL=15, End Use = HVAC Controls w/ Optimization, Units = cfm) added to application and Captures
Export
	• Added condition if for "Custom Payback" and "Custom Cost Benefit" fields are "NA" show blank
All Custom tabs
	• Updated status column to say if Other AND (end use OR EUL) is blank then error otherwise incentive populates
PC Summary
	• Made an alert in the PC summary to ensure that the WBP tab is unhidden if &gt;100,000
DTM Summary
	• Extended Notes section for the Project Summary
	• Added notes sections for lighting and standard
Added customer contacts to summary and attendees</t>
  </si>
  <si>
    <t>2.1.2</t>
  </si>
  <si>
    <t>• Unlocked bill credit field on the Payment tab
• Formatted initial and revised study received columns on the RCx Export as a date
• Added additional contacts to SP info tab
Payment
	• Added additional contacts to SP payment section
Within the Agreement under Terms and Conditions, the phrase “Evergy Energy Efficiency Program” has no reference. The Energy Efficiency Programs  which are listed on evergy.com are Income Eligible Multi-Family and Renewables Direct.
Replace with Evergy Business Energy Savings Program
Added electric heat to measure list</t>
  </si>
  <si>
    <t>Event</t>
  </si>
  <si>
    <t>T5HO 4' 54W</t>
  </si>
  <si>
    <t>!</t>
  </si>
  <si>
    <t>Temperature Setback (Incremental)</t>
  </si>
  <si>
    <t>Temperature Setback</t>
  </si>
  <si>
    <t>Programmable Thermostat</t>
  </si>
  <si>
    <t>Programmable Thermostat (Incremental)</t>
  </si>
  <si>
    <t>Bonus Incentive Amount</t>
  </si>
  <si>
    <t>Incentive Override</t>
  </si>
  <si>
    <t>Automotive Services</t>
  </si>
  <si>
    <t>Entertainment/Recreation</t>
  </si>
  <si>
    <t>Gas Station</t>
  </si>
  <si>
    <t>IT/Data Center</t>
  </si>
  <si>
    <t>HVAC Controls / EMS without Peak (Incremental)</t>
  </si>
  <si>
    <t>HVAC Controls / EMS without Peak</t>
  </si>
  <si>
    <t>HVAC Controls / EMS with Peak (Incremental)</t>
  </si>
  <si>
    <t>HVAC Controls / EMS with Peak</t>
  </si>
  <si>
    <t>32310607</t>
  </si>
  <si>
    <t>32310608</t>
  </si>
  <si>
    <t>32310609</t>
  </si>
  <si>
    <t>32310610</t>
  </si>
  <si>
    <t>Building Info
	• Added “Event” to the How did you hear about the Program? List
	• Added Automotive Services, Entertainment/Recreation, Gas Station, and IT/Data Center to Building Types with associated WHF and CF from IL TRM v8.0
PC Summary
	• Added PC notification section
		○ Added alert to Building Type on PC Summary when building type says Other. "Other - Update to appropriate Bldg Type."
Std Lighting
	• Added T5HO 4' 54W to Ineff. Type and Ineff. Details.
	• Updated / increased HID limits on the standard lighting measures are set to include the ballast factored wattage (example: HIDs &lt;175W should allow 210W for ineff wattage)
Cstm HVAC
	• Added HVAC Controls/EMS with Peak and without Peak
Cstm Lighting
	• Fixed the End Use Factor formula on Custom Interior Lighting tab so that it uses "Ext Lighting w/ Peak" instead of "Ext Lighting w/Peak"
Updated bonus incentive measures
Cstm HVAC
	• New Measure: Temperature Setback
		○ End Use = HVAC Controls Optimization without Peak Demand Reduction
	• New Measure: Programmable Thermostat
		○ End Use = HVAC Controls Optimization without Peak Demand Reduction
Export
	• Added Bonus Incentive Amount to column AT
All Measure tabs
	• Added incentive override column to show details
	• Updated incentive formula to look at override field, if &gt;$0 then use override field otherwise do what it normally does</t>
  </si>
  <si>
    <t>Project Notifications:</t>
  </si>
  <si>
    <t>T5HO_4ft_Lamp</t>
  </si>
  <si>
    <t>T5HO</t>
  </si>
  <si>
    <t>T12_T8_T5_T5HO</t>
  </si>
  <si>
    <t>Lauren Hoover</t>
  </si>
  <si>
    <t>Dana Gordon</t>
  </si>
  <si>
    <t>Dgordon@trccompanies.com</t>
  </si>
  <si>
    <t>816-266-0742</t>
  </si>
  <si>
    <t>2.2.0</t>
  </si>
  <si>
    <t>DTM Summary
	• Updated standard cap to 100% of total cost instead of incremental cost
• Added multi-family to Building Types, used IL TRM v9 MF - Mid Rise WHFe and CF
All Measure tabs
	• Added incentive override column to show details
	• Updated incentive formula to look at override field, if &gt;$0 then use override field
	• Unlocked all Incentive Override cells
General
	• Removed interior lighting from the payback and benefit cost tests because the lighting is considered "prescriptive"
		○ "Measure Benefit/Cost Test- Each non-prescriptive Project must pass the Total Resource Cost Test by having a value of 1.0 or greater. Total Resource Cost Test value equals the present value of the benefits of each Measure over the useful life of each Measure divided by the incremental cost to implement the Project Measures. The benefits of the Measure include the Company’s estimated avoided costs." - Program Tariff - Sheet 1.74	
Cstm HVAC
	• Current Measure - HVAC Controls/EMS 
		○ Added two measures, one with HVAC Controls Optimization w/o Peak Demand Reduction and one HVAC Controls Optimization w/ Peak Demand Reduction
Custom Misc
	• Added energy-efficient roof measure, Building Shell, EUL 15
Std
	• Extended Standard HVAC lines from 20 to 35 lines
Lighting
	• Added more spaces type areas to the grow facility lighting section similar to the regular lighting tab…update export
		○ Added to front end tabs (Added 3 new sections)
		○ Added to Export
		○ Added to Template
PC Summary
	• Updated provisional measure so that it also looks to see if status = final. If it does then zero out. An exception project made it through without needing a completion form 
	• Added Lauren Hoover and Dana Gordon to PC/BD dropdown
	• Added alert if NC Type is Change of Purpose and New = Existing that says "New &amp; Existing Building Types are the same. Verify change of purpose."
	• If the baseline code says "Invalid" due to city and zip code mismatches, conditional format those two fields red, also added a notification to the PC summary to check City and Zip when Baseline Code is invalid
Export
	• If blank, make date fields blank
	•Unit for Provisional Measure zeros out when status = final and/or completion form active = yes
	• Added rounding to the cost fields in the backend (2 decimal places)
MEASURES2_N
Updated several custom measure units based on Taylor Cheek email in OneNote</t>
  </si>
  <si>
    <t>Municipal Building</t>
  </si>
  <si>
    <t>Base Total Annual kWh</t>
  </si>
  <si>
    <t>New Total Annual kWh</t>
  </si>
  <si>
    <t>New Units</t>
  </si>
  <si>
    <t>22110515</t>
  </si>
  <si>
    <t>VRF - Air Cooled &lt;65,000 Btuh</t>
  </si>
  <si>
    <t>VRF - Air Cooled 65,000 ≤ Btuh &lt; 135,000</t>
  </si>
  <si>
    <t>VRF - Air Cooled 135,000 ≤ Btuh &lt; 240,000</t>
  </si>
  <si>
    <t>VRF - Air Cooled ≥ 240,000 Btuh</t>
  </si>
  <si>
    <t>Retrofit_4ft_1x4</t>
  </si>
  <si>
    <t>Retrofit_4ft_2x4</t>
  </si>
  <si>
    <t>1L T5HO 2' 24W</t>
  </si>
  <si>
    <t>2L T5HO 2' 24W</t>
  </si>
  <si>
    <t>1L T5HO 4' 54W</t>
  </si>
  <si>
    <t>2L T5HO 4' 54W</t>
  </si>
  <si>
    <t>3L T5HO 4' 54W</t>
  </si>
  <si>
    <t>4L T5HO 4' 54W</t>
  </si>
  <si>
    <t>5L T5HO 4' 54W</t>
  </si>
  <si>
    <t>6L T5HO 4' 54W</t>
  </si>
  <si>
    <t>5L T8 4' 32W</t>
  </si>
  <si>
    <t>6L T12 4' 40W</t>
  </si>
  <si>
    <t>5L T12 4' 40W</t>
  </si>
  <si>
    <t>6L T5 4' 28W</t>
  </si>
  <si>
    <t>5L T5 4' 28W</t>
  </si>
  <si>
    <t>Input Data for Program Years 2020-2023</t>
  </si>
  <si>
    <t>MO Metro</t>
  </si>
  <si>
    <t>MO West</t>
  </si>
  <si>
    <t>Utility</t>
  </si>
  <si>
    <t xml:space="preserve">$/kWh </t>
  </si>
  <si>
    <t xml:space="preserve">$/kW-yr </t>
  </si>
  <si>
    <t>100 cfm</t>
  </si>
  <si>
    <t>100 Sq. Ft. Cond. Space</t>
  </si>
  <si>
    <t>Remove 4ft Lamp from T5 or T5HO system</t>
  </si>
  <si>
    <t>T5_T5HO</t>
  </si>
  <si>
    <t>Parking Garage LED Linear Lamp Replacing 2ft T8, T12, or T5/T5HO Lamp</t>
  </si>
  <si>
    <t>Parking Garage LED Linear Lamp Replacing 4ft T8, T12, or T5/T5HO Lamp</t>
  </si>
  <si>
    <t>Parking Garage LED Linear Lamp Replacing 8ft T8 or T12 Lamp</t>
  </si>
  <si>
    <t>8-ft LED Linear Replacement Lamps</t>
  </si>
  <si>
    <t>Air-Cooled Chiller with Condenser &lt; 150 tons</t>
  </si>
  <si>
    <t>Air-Cooled Chiller with Condenser ≥ 150 tons</t>
  </si>
  <si>
    <t>Path A - Water-Cooled Positive Displacement (Reciprocating, Rotary, Screw, Scroll) Chiller &lt; 75 tons</t>
  </si>
  <si>
    <t>Path A - Water-Cooled Positive Displacement (Reciprocating, Rotary, Screw, Scroll) Chiller 75 - 150 tons</t>
  </si>
  <si>
    <t>Path A - Water-Cooled Positive Displacement (Reciprocating, Rotary, Screw, Scroll) Chiller 150 - 300 tons</t>
  </si>
  <si>
    <t>Path A - Water-Cooled Positive Displacement (Reciprocating, Rotary, Screw, Scroll) Chiller ≥ 300 tons</t>
  </si>
  <si>
    <t>Path A - Water-Cooled Centrifugal Chiller &lt; 150 tons</t>
  </si>
  <si>
    <t>Path A - Water-Cooled Centrifugal Chiller 150 - 300 tons</t>
  </si>
  <si>
    <t>Path A - Water-Cooled Centrifugal Chiller 300 - 600 tons</t>
  </si>
  <si>
    <t>Path A - Water-Cooled Centrifugal Chiller ≥ 600 tons</t>
  </si>
  <si>
    <t>Water-Cooled Centrifugal Chiller &lt; 150 tons</t>
  </si>
  <si>
    <t>Water-Cooled Centrifugal Chiller ≥ 600 tons</t>
  </si>
  <si>
    <t>Water-Cooled Positive Displ. Chiller &lt; 75 tons</t>
  </si>
  <si>
    <t>Water-Cooled Positive Displ. Chiller ≥ 300 tons</t>
  </si>
  <si>
    <t>Sort A-Z</t>
  </si>
  <si>
    <t>Efficiency Unit</t>
  </si>
  <si>
    <t>Base</t>
  </si>
  <si>
    <t>EE</t>
  </si>
  <si>
    <t>Remove 4ft Lamp from T12 or T8 system</t>
  </si>
  <si>
    <t>4ft LED Linear Lamp replacing 4ft T12, T8 or T5/T5HO Lamp</t>
  </si>
  <si>
    <t>2ft LED Linear Lamp replacing 2ft T12, T8 or T5/T5HO Lamp</t>
  </si>
  <si>
    <t>8ft LED Linear Lamp replacing 8ft T12 or T8 Lamp</t>
  </si>
  <si>
    <t>Remove 8ft Lamp from T12 or T8 System</t>
  </si>
  <si>
    <t>Column19</t>
  </si>
  <si>
    <t>Column20</t>
  </si>
  <si>
    <t>Ext  &gt;500</t>
  </si>
  <si>
    <t>Ext ≤210</t>
  </si>
  <si>
    <t>Ext 211-300</t>
  </si>
  <si>
    <t>Ext 301-500</t>
  </si>
  <si>
    <t>301-500</t>
  </si>
  <si>
    <t>PG &lt;=130</t>
  </si>
  <si>
    <t>PG &gt;210</t>
  </si>
  <si>
    <t>PG 131-210</t>
  </si>
  <si>
    <t>HID &gt;850</t>
  </si>
  <si>
    <t>HID 150-350</t>
  </si>
  <si>
    <t>HID 351-500</t>
  </si>
  <si>
    <t>HID 501-850</t>
  </si>
  <si>
    <t>HID_T12_T8_T5_T5HO</t>
  </si>
  <si>
    <t>1L T5HOHO 4' 54W</t>
  </si>
  <si>
    <t>1L T5HO 5' 80W</t>
  </si>
  <si>
    <t>2L T5HO 3' 39W</t>
  </si>
  <si>
    <t>31111111</t>
  </si>
  <si>
    <t>31140801</t>
  </si>
  <si>
    <t>31140802</t>
  </si>
  <si>
    <t>31140803</t>
  </si>
  <si>
    <t>31111812</t>
  </si>
  <si>
    <t>31111813</t>
  </si>
  <si>
    <t>31111814</t>
  </si>
  <si>
    <t>31111815</t>
  </si>
  <si>
    <t>31111816</t>
  </si>
  <si>
    <t>31111817</t>
  </si>
  <si>
    <t>31111818</t>
  </si>
  <si>
    <t>31111819</t>
  </si>
  <si>
    <t>31111820</t>
  </si>
  <si>
    <t>31111821</t>
  </si>
  <si>
    <t>31112201</t>
  </si>
  <si>
    <t>31112202</t>
  </si>
  <si>
    <t>31112203</t>
  </si>
  <si>
    <t>31112204</t>
  </si>
  <si>
    <t>Retrofit_2U</t>
  </si>
  <si>
    <t>Water-Cooled Positive Displ. Chiller 75 ≤ tons &lt; 150</t>
  </si>
  <si>
    <t>Water-Cooled Positive Displ. Chiller 150 ≤ tons &lt; 300</t>
  </si>
  <si>
    <t>Water-Cooled Centrifugal Chiller 150 ≤ tons &lt; 300</t>
  </si>
  <si>
    <t>Water-Cooled Centrifugal Chiller 300 ≤ tons &lt; 600</t>
  </si>
  <si>
    <t>T5HO 2' 24W</t>
  </si>
  <si>
    <t>T5HO_2ft_Lamp</t>
  </si>
  <si>
    <t>HID_T12_T8_T5HO</t>
  </si>
  <si>
    <t>HID_T12_T5HO</t>
  </si>
  <si>
    <t>Exterior LED replacing ≤210W</t>
  </si>
  <si>
    <t>Exterior LED replacing &gt;500W</t>
  </si>
  <si>
    <t>Parking Non-Linear LED replacing ≤130W</t>
  </si>
  <si>
    <t>Parking Non-Linear LED replacing &gt;210W</t>
  </si>
  <si>
    <t xml:space="preserve">2ft LED Linear Lamp replacing 2ft T12, T8 or T5/T5HO Lamp </t>
  </si>
  <si>
    <t xml:space="preserve">4ft LED Linear Lamp replacing 4ft T12, T8 or T5/T5HO Lamp </t>
  </si>
  <si>
    <t xml:space="preserve">8ft LED Linear Lamp replacing 8ft T12 or T8 Lamp </t>
  </si>
  <si>
    <t>Territory</t>
  </si>
  <si>
    <t>Building Shell (Incremental)</t>
  </si>
  <si>
    <t>32310201</t>
  </si>
  <si>
    <t>32310202</t>
  </si>
  <si>
    <t>Incandescent</t>
  </si>
  <si>
    <t>LED Retrofit Kit Replacing Fluor</t>
  </si>
  <si>
    <t>Interior LED Fixture repl. &gt;850W HID</t>
  </si>
  <si>
    <t>Interior LED Lamp/Retrofit Kit repl. &gt;850W HID</t>
  </si>
  <si>
    <t>Exterior LED replacing 211-300W</t>
  </si>
  <si>
    <t>Exterior LED replacing 301-500W</t>
  </si>
  <si>
    <t>Interior LED Lamp/Retrofit Kit repl. 150-300W HID</t>
  </si>
  <si>
    <t>Interior LED Lamp/Retrofit Kit repl. 301-500W HID</t>
  </si>
  <si>
    <t>Interior LED Lamp/Retrofit Kit repl. 501-850W HID</t>
  </si>
  <si>
    <t>Interior LED Fixture repl. 150-300W HID</t>
  </si>
  <si>
    <t>Interior LED Fixture repl. 301-500W HID</t>
  </si>
  <si>
    <t>Interior LED Fixture repl. 501-850W HID</t>
  </si>
  <si>
    <t>Parking Non-Linear LED replacing 131-210W</t>
  </si>
  <si>
    <t>LED Fixture Replacing 
2' | 1 to 4 Lamps</t>
  </si>
  <si>
    <t>LED Fixture Replacing 
8' | 1 to 2 Lamps</t>
  </si>
  <si>
    <t xml:space="preserve">LED Retrofit Kit Replacing 
2' | 1 to 4 Lamps </t>
  </si>
  <si>
    <t xml:space="preserve">LED Retrofit Kit Replacing 
8' | 1 to 2 Lamps </t>
  </si>
  <si>
    <t>Secondary TA / Contractor Contact</t>
  </si>
  <si>
    <t>Trade Ally / Contractor Contact</t>
  </si>
  <si>
    <t>----Interior Sensors----</t>
  </si>
  <si>
    <t>Integrated Occ. Sensor for LED Fixture &lt;10k lm</t>
  </si>
  <si>
    <t>Integrated Occ. Sensor for LED Fixture ≥10k lm</t>
  </si>
  <si>
    <t>Integrated Dual Occ.&amp; Daylight Sensor for LED Fixture ≥10k lm</t>
  </si>
  <si>
    <t>Integrated Dual Occ.&amp; Daylight Sensor for LED Fixture &lt; 10k lm</t>
  </si>
  <si>
    <t>LED Fixt.-Mounted Dual Occ.&amp; Daylight Sensor &lt; 10k lm</t>
  </si>
  <si>
    <t>LED Fixt.-Mounted Dual Occ.&amp; Daylight Sensor ≥10k lm</t>
  </si>
  <si>
    <t>DX Unit 65 ≤ kBtu &lt; 135 
(5.42 ≤ tons &lt; 11.25)</t>
  </si>
  <si>
    <t>DX Unit 135 ≤ kBtu &lt; 240 
(11.25 ≤ tons &lt; 20)</t>
  </si>
  <si>
    <t>DX Unit 240 ≤ kBtu &lt; 760 
(20 ≤ tons &lt; 63.3)</t>
  </si>
  <si>
    <t>DX Unit ≥760 kbtu 
(&gt;63.3 tons)</t>
  </si>
  <si>
    <t>DX Unit &lt;65 kbtu 
(&lt;5.42 tons)</t>
  </si>
  <si>
    <t>ASHP &lt;65kbtu 
(&lt;5.42 tons)</t>
  </si>
  <si>
    <t>ASHP 65 ≤ kBtu &lt; 135 
(5.42 ≤ tons &lt; 11.25)</t>
  </si>
  <si>
    <t>ASHP 135 ≤ kBtu &lt; 240 
(11.25 ≤ tons &lt; 20)</t>
  </si>
  <si>
    <t>ASHP ≥240kbtu 
(≥20 tons)</t>
  </si>
  <si>
    <t>VRF - Air Cooled &lt; 65 kbtu 
(&lt; 5.42 ton)</t>
  </si>
  <si>
    <t>VRF - Air Cooled 65 ≤ kBtu &lt; 135 
(5.42 ≤ tons &lt; 11.25)</t>
  </si>
  <si>
    <t>VRF - Air Cooled 135 ≤ kBtu &lt; 240 
(11.25 ≤ tons &lt; 20)</t>
  </si>
  <si>
    <t>VRF - Air Cooled ≥ 240 kbtu 
(≥ 20 tons)</t>
  </si>
  <si>
    <r>
      <t>ENERGY STAR Hot Holding Cabinet (&lt; 13 ft</t>
    </r>
    <r>
      <rPr>
        <vertAlign val="superscript"/>
        <sz val="11"/>
        <rFont val="Calibri"/>
        <family val="2"/>
      </rPr>
      <t>3</t>
    </r>
    <r>
      <rPr>
        <sz val="11"/>
        <rFont val="Calibri"/>
        <family val="2"/>
      </rPr>
      <t>)</t>
    </r>
  </si>
  <si>
    <r>
      <t>ENERGY STAR Hot Holding Cabinet (13 ≤ ft</t>
    </r>
    <r>
      <rPr>
        <vertAlign val="superscript"/>
        <sz val="11"/>
        <rFont val="Calibri"/>
        <family val="2"/>
      </rPr>
      <t>3</t>
    </r>
    <r>
      <rPr>
        <sz val="11"/>
        <rFont val="Calibri"/>
        <family val="2"/>
      </rPr>
      <t xml:space="preserve"> &lt; 28)</t>
    </r>
  </si>
  <si>
    <r>
      <t>ENERGY STAR Hot Holding Cabinet (≥ 28 ft</t>
    </r>
    <r>
      <rPr>
        <vertAlign val="superscript"/>
        <sz val="11"/>
        <rFont val="Calibri"/>
        <family val="2"/>
      </rPr>
      <t>3</t>
    </r>
    <r>
      <rPr>
        <sz val="11"/>
        <rFont val="Calibri"/>
        <family val="2"/>
      </rPr>
      <t>)</t>
    </r>
  </si>
  <si>
    <t>WHFd</t>
  </si>
  <si>
    <t>Interior Remote or Wall-Mounted Daylight Sensor Controlling ≥ 570W</t>
  </si>
  <si>
    <t>Heating Tons</t>
  </si>
  <si>
    <t>ELECHEAT</t>
  </si>
  <si>
    <t>General
	• Updated version to 2.2.0
	• Added check for expiration if Offer and Completion Forms are showing
	• Added calculated kW fields to all measure tabs
	• Move all backend site collateral over to new site including T&amp;Cs. Update all links to backend site to the NEW backend site link
	• Updated avoided cost tables
	• Updated expiration date to 12/31/2021
Welcome
	• Added general link to all EE programs to the Welcome tab
MEASURES1_M
	• Removed Reach-in Refrigerator and Freezer measures
	• Added new Standard lighting and HVAC measures
	• Added two columns to record additional Efficiency data for HVAC measures
MEASURES3_M
	• Removed T8 and T5 from New Fixture dropdown
	• Added Building Shell custom measure
	• Updated units
All Measure Tabs
	• Removed kWh Min and Max columns and references from incentive formula
	• Integrate check in all lighting/lighting control calcs that look at the space heating/conditioning dropdown and whether to apply WHFe in the calcs
		○ If Space Conditioning Type = Electric Heat Only, Natural Gas Heat Only, or Unconditioned, then WHF = 1.0 for interior lighting and lighting controls
Data Tables
	• Updated WHF and CF to IL TRM v9.0 and EM&amp;V Light Logger study
	• Added WHFd to building type table
	• Added ELECHEAT column to Space Conditioning for ASHP, PTHP, and VRF calculated kWh formulas
	• Added new end use to end use table/dropdown in app and Captures "HVAC"
Custom Lighting Controls
	• Matched savings calculation to IL TRM v9.0
		○ Added High End Trim measures
Custom
	• Removed unit columns from the front end and moved to the backend for all non-lighting custom tabs
	• VFD for Pump &amp; VFD for Fan EULs updated to 15 years based on VSD measures in the IL TRM v9
	• Updated PCDR Factors table to align with new values 
	• Update data validation for annual kWh fields to say numbers only for non-lighting tabs
Bldg Info Tab
	• Added municipal building to building type list; assumed IN TRM 2015 Public Sector WHF and CF
Std Lighting
	• Expanded standard lighting to 30 measure lines
	• Updated fluorescent fixture organization so that it is more specific to fixture type and lamp count
	• Added 5' and 6' options to T12 and T8 retrofit options
	• Removed equivalency footages from 4' and 8' lamp/fixture Ineff dropdowns
	• Added incandescent and CFL Ineff. Options for Exit Sign
	• Updated calculated kW and kWh formulas to match source TRMs
Std HVAC
	• Fixed rows so that footer is on line 200
	• Fixed the baseline EER values for the ASHP measures
	• Added column to show details to record additional efficiency units and heating tons
	• Updated deemed and calculated savings
	• Updated Data Validation for min/max front end efficiency values
PC Summary
	• Removed LM From Captures ID
	• Add Lauren Hoover and Dana Gordon to PC/BD dropdown
	• Added check for engineers to make sure custom non-lighting units are filled in in Notifications section
	• Added Secondary TA section
Export
	• Added rounding to the cost fields in the backend (2 decimal places)
	• Added custom calculated kW to Deemed kW column
	• Added additional efficiency and heating tons to Base and Eff descriptions for Standard HVAC</t>
  </si>
  <si>
    <t>General
	• Added check for expiration if Offer and Completion Forms are showing
	• Added calculated kW fields to all measure tabs
	• Updated all links to backend site to the NEW backend site link
	• Updated PCDR Factors table to align with new values 
	• Added HVAC to end use table/dropdown
	• Updated measure end use assignments 
LPD Tables
	• Updated WHF, operating hours, and CF to IL TRM v9.0 values
	• Reviewed EM&amp;V Light Logger study in regards to WHF_CF_HOU assumptions
Welcome
	• Added general link to all EE programs to the Welcome tab
DTM
	• Removed Refrigeration from Standard Incentives check boxes
Custom
	• Removed unit columns from the front end and move to the backend for all non-lighting custom tabs
	• Added missing units check
Measure Tabs
	• Updated all background kW and kWh fields to 4 decimal places
Project Review
	• Removed Standard Refrigeration from Incentive Summary Table
Standard HVAC
	• Updated to match Standard HVAC on Standard tab
PC Summary
	• Added missing units notice
Export
Added Custom calculated kW to Deemed kW field</t>
  </si>
  <si>
    <t>2.3.0</t>
  </si>
  <si>
    <t>General
	• Added check for expiration if Offer and Completion Forms are showing
	• Added calculated kW fields to all measure tabs
	• Updated holiday calendar
	• Updated top-left corner Incentive to show LS&amp;R separately when applicable
Template
	• Changed "---" to 0 if incentive is zero
Welcome
	• Added general link to all EE programs to the Welcome tab
All Measure tabs
	• Added incentive override column to show details
	• Updated incentive formula to look at override field, if &gt;$0 then use override field otherwise do what it normally does
Building Optimization
	• Changed HVAC Controls/EMS change end use to HVAC Controls / EMS with Peak
	• New Measure: HVAC Controls / EMS without Peak
	• New Measure: Temperature Setback
		○ End Use = HVAC Controls Optimization without Peak Demand Reduction
	• New Measure: Programmable Thermostat
		○ End Use = HVAC Controls Optimization without Peak Demand Reduction
Compressed Air
	• Added Leak Survey &amp; Repair tab
	• Updated first line on Compressed Air RCx tab for Leak Survey &amp; Repair
PC Summary
	• Add Lauren Hoover and Dana Gordon to PC/BD dropdown
	• Removed Sam Cready from PC dropdown
	• Added clear study cost warning if LS&amp;R only project
	• Added reminder to input SP Approval Date
Export
	• Added rounding to the cost fields in the backend (2 decimal places)
	• Added actual kW to deemed kW field</t>
  </si>
  <si>
    <t>2.3.1</t>
  </si>
  <si>
    <t>●Corrected Custom Lighting data validation to allow integers from 0 to 8760.
It previously allowed negative numbers.</t>
  </si>
  <si>
    <t>Base Fixture Type</t>
  </si>
  <si>
    <t>Base Quantity</t>
  </si>
  <si>
    <t>●Updated Custom Lighting headers G16, M16 to specify "Base" in fixture type and quantity.</t>
  </si>
  <si>
    <t>●Updated Standard Lighting Controls Input Message to "Enter the total number of sensors or sq. ft. as specified in Quantity Type" and changed Data Validation to remove maximum cap on quantity.</t>
  </si>
  <si>
    <t>Payee Company's W-9 (Oct 2018 or later)</t>
  </si>
  <si>
    <t>●Changed language in Required Documents to specify the W-9 needs to be revision Oct 2018 or later.</t>
  </si>
  <si>
    <t>●Updated Custom Refrigeration kWh fields to show commas.</t>
  </si>
  <si>
    <t>Main, RCx</t>
  </si>
  <si>
    <t>✉  Draft Email</t>
  </si>
  <si>
    <r>
      <t xml:space="preserve">Submit this application online.
</t>
    </r>
    <r>
      <rPr>
        <b/>
        <sz val="12"/>
        <color theme="1"/>
        <rFont val="Wingdings 3"/>
        <family val="1"/>
        <charset val="2"/>
      </rPr>
      <t>$</t>
    </r>
  </si>
  <si>
    <r>
      <t>I understand and agree to comply with the Payment Terms and Conditions of the Evergy Business Energy Savings Program.</t>
    </r>
    <r>
      <rPr>
        <b/>
        <sz val="11.5"/>
        <color rgb="FFFF0000"/>
        <rFont val="Arial"/>
        <family val="2"/>
      </rPr>
      <t>*</t>
    </r>
  </si>
  <si>
    <t>This button will create a draft email. Please attach your application and supporting documentation and then hit send.</t>
  </si>
  <si>
    <t>Variable Name</t>
  </si>
  <si>
    <t>Payment Agreement Checkbox*</t>
  </si>
  <si>
    <t>Is the Site address the same as the Company address?</t>
  </si>
  <si>
    <t>C Corporation</t>
  </si>
  <si>
    <t>S Corporation</t>
  </si>
  <si>
    <t>Trust Estate</t>
  </si>
  <si>
    <t>Sole/Individual Proprietor</t>
  </si>
  <si>
    <t>●Updated VERSION</t>
  </si>
  <si>
    <t>Program Cycle</t>
  </si>
  <si>
    <t>Program Year</t>
  </si>
  <si>
    <t>Revision # within Program Year</t>
  </si>
  <si>
    <t>system</t>
  </si>
  <si>
    <t>Interior LED Linear Lamp Replacing 4ft T8, T12, or T5/T5HO Lamp</t>
  </si>
  <si>
    <t>Interior LED Linear Lamp Replacing 2ft T8, T12, or T5/T5HO Lamp</t>
  </si>
  <si>
    <t>Interior LED Linear Lamp Replacing 8ft T8 or T12 Lamp</t>
  </si>
  <si>
    <t>Interior LED Fixture Replacing 150-300W HID Fixture</t>
  </si>
  <si>
    <t>Interior LED Fixture Replacing 301-500W HID Fixture</t>
  </si>
  <si>
    <t>Interior LED Fixture Replacing 501-850W HID Fixture</t>
  </si>
  <si>
    <t>Interior LED Fixture Replacing &gt;850W HID Fixture</t>
  </si>
  <si>
    <t>Interior LED Retrofit Kit/Lamp Replacing 150-300W HID Fixture</t>
  </si>
  <si>
    <t>Interior LED Retrofit Kit/Lamp Replacing 301-500W HID Fixture</t>
  </si>
  <si>
    <t>Interior LED Retrofit Kit/Lamp Replacing 501-850W HID Fixture</t>
  </si>
  <si>
    <t>Interior LED Retrofit Kit/Lamp Replacing &gt;850W HID Fixture</t>
  </si>
  <si>
    <t>Exterior LED Replacing HID or Fluorescent Fixture &lt;210W</t>
  </si>
  <si>
    <t>Exterior LED Replacing HID or Fluorescent Fixture 211-300W</t>
  </si>
  <si>
    <t>Exterior LED Replacing HID or Fluorescent Fixture 301-500W</t>
  </si>
  <si>
    <t>Exterior LED Replacing HID or Fluorescent Fixture &gt;500W</t>
  </si>
  <si>
    <t>Parking Garage LED Fixture or Screw-Base LED Lamp Replacing HID or Fluorescent Fixture ≤130W</t>
  </si>
  <si>
    <t>Parking Garage LED Fixture or Screw-Base LED Lamp Replacing HID or Fluorescent Fixture 131-210W</t>
  </si>
  <si>
    <t>Parking Garage LED Fixture or Screw-Base LED Lamp Replacing HID or Fluorescent Fixture &gt;210W</t>
  </si>
  <si>
    <t>Interior T12/T8 4' 1-2 Lamp Fixture Replaced by LED Fixture</t>
  </si>
  <si>
    <t>Interior T12/T8 4' 3-6 Lamp Fixture Replaced by LED Fixture</t>
  </si>
  <si>
    <t>Interior T12/T8 8' 1-2 Lamp Fixture Replaced by LED Fixture</t>
  </si>
  <si>
    <t>Interior T12/T8/T5/T5HO 2' 1-4 Lamp OR Ubend 1-2 Lamp Fixture Replaced by LED Fixture</t>
  </si>
  <si>
    <t>Interior T5/T5HO 4' 1-2 Lamp Fixture Replaced by LED Fixture</t>
  </si>
  <si>
    <t>Interior T5/T5HO 4' 3-6 Lamp Fixture Replaced by LED Fixture</t>
  </si>
  <si>
    <t>Interior T12/T8 4' 1-2 Lamp Fixture Replaced by LED Retofit Kit</t>
  </si>
  <si>
    <t>Interior T12/T8 4' 3-6 Lamp Fixture Replaced by LED Retofit Kit</t>
  </si>
  <si>
    <t>Interior T12/T8 8' 1-2 Lamp Fixture Replaced by LED Retofit Kit</t>
  </si>
  <si>
    <t>Interior T12/T8/T5/T5HO 2' 1-4 Lamp OR Ubend 1-2 Lamp Fixture Replaced by LED Retrofit Kit</t>
  </si>
  <si>
    <t>Interior T5/T5HO 4' 1-2 Lamp Fixture Replaced by LED Retrofit Kit</t>
  </si>
  <si>
    <t>Interior T5/T5HO 4' 3-6 Lamp Fixture Replaced by LED Retrofit Kit</t>
  </si>
  <si>
    <t>LED Fixture</t>
  </si>
  <si>
    <t>LED Retrofit Kit</t>
  </si>
  <si>
    <t>LED Retrofit Kit/Lamp</t>
  </si>
  <si>
    <t>Exterior LED Fixture</t>
  </si>
  <si>
    <t>LED Parking Garage Fixture or Screw-Base LED Lamp (no LED Linear tubes)</t>
  </si>
  <si>
    <t>T5 4 ft (watts)</t>
  </si>
  <si>
    <t>Interior T12/T8 4' 1-2 Lamp Fixture</t>
  </si>
  <si>
    <t>Interior T12/T8 4' 3-6 Lamp Fixture</t>
  </si>
  <si>
    <t>Interior T12/T8 8' 1-2 Lamp Fixture</t>
  </si>
  <si>
    <t>Interior T5/T5HO 4' 1-2 Lamp Fixture</t>
  </si>
  <si>
    <t>Interior T5/T5HO 4' 3-6 Lamp Fixture</t>
  </si>
  <si>
    <t>150-300W HID Fixture</t>
  </si>
  <si>
    <t>301-500W HID Fixture</t>
  </si>
  <si>
    <t>501-850W HID Fixture</t>
  </si>
  <si>
    <t>&gt;850W HID Fixture</t>
  </si>
  <si>
    <t>HID or Fluorescent Fixture &lt;210W</t>
  </si>
  <si>
    <t>HID or Fluorescent Fixture 211-300W</t>
  </si>
  <si>
    <t>HID or Fluorescent Fixture 301-500W</t>
  </si>
  <si>
    <t>HID or Fluorescent Fixture &gt;500W</t>
  </si>
  <si>
    <t>HID or Fluorescent Fixture ≤130W</t>
  </si>
  <si>
    <t>HID or Fluorescent Fixture 131-210W</t>
  </si>
  <si>
    <t>HID or Fluorescent Fixture &gt;210W</t>
  </si>
  <si>
    <t>Commercial Ice Machines, 101-300 lb/day</t>
  </si>
  <si>
    <t>Commercial Ice Machines, 301-500 lb/day</t>
  </si>
  <si>
    <t>Commercial Ice Machines, 501-1000 lb/day</t>
  </si>
  <si>
    <t>Commercial Ice Machines, 1001-1500 lb/day</t>
  </si>
  <si>
    <t>Commercial Ice Machines, &gt;1500 lb/day</t>
  </si>
  <si>
    <t>Installation of a new high efficiency ice machine generating small ice cubes (2 oz or smaller).</t>
  </si>
  <si>
    <t>Equipment is listed on the Food Service Technology Center's Qualifying Appliance List or listed as ENERGY STAR-qualified.</t>
  </si>
  <si>
    <t>Minimum efficiency units compliant with California Appliance Standards (Title 20)</t>
  </si>
  <si>
    <t>VFD for HVAC Supply and Return Fans 1-5 HP</t>
  </si>
  <si>
    <t>VFD for HVAC Supply and Return Fans 6-15 HP</t>
  </si>
  <si>
    <t>VFD for HVAC Supply and Return Fans 16-25 HP</t>
  </si>
  <si>
    <t>VFD for HVAC Supply and Return Fans 26-50 HP</t>
  </si>
  <si>
    <t>VFD for HVAC Supply and Return Fans 51-75 HP</t>
  </si>
  <si>
    <t>VFD applied to HVAC fan motor that has a variable or reduced load</t>
  </si>
  <si>
    <t>Motor installed without a VFD or other method of control</t>
  </si>
  <si>
    <t>Evaporator Fan Controls for ECM Motors - Refrigeration Coolers &amp; Freezers- 16W</t>
  </si>
  <si>
    <t>Evaporator Fan Controls for ECM Motors - Refrigeration Coolers &amp; Freezers - 1/15 - 1/20HP</t>
  </si>
  <si>
    <t>Evaporator Fan Controls for ECM Motors - Refrigeration Coolers &amp; Freezers - 1/5HP</t>
  </si>
  <si>
    <t>Evaporator Fan Controls for ECM Motors - Refrigeration Coolers &amp; Freezers - 1/3HP</t>
  </si>
  <si>
    <t>Evaporator Fan Controls for ECM Motors - Refrigeration Coolers &amp; Freezers - 1/2HP</t>
  </si>
  <si>
    <t>Evaporator Fan Controls for ECM Motors - Refrigeration Coolers &amp; Freezers - 3/4HP</t>
  </si>
  <si>
    <t>Zero Energy Doors Low Temperature</t>
  </si>
  <si>
    <t>Zero Energy Doors Medium Temperature</t>
  </si>
  <si>
    <t>Zero Energy Doors High Temperature</t>
  </si>
  <si>
    <t>Automatic Door Closer for Walk-In Coolers</t>
  </si>
  <si>
    <t>Automatic Door Closer for Walk-In Freezers</t>
  </si>
  <si>
    <t>Anti-Sweat Heater Controls for Freezer Case, Low Heat Doors</t>
  </si>
  <si>
    <t>Anti-Sweat Heater Controls for Freezer Case, No Heat Doors</t>
  </si>
  <si>
    <t>Anti-Sweat Heater Controls for Freezer Case, Standard Doors</t>
  </si>
  <si>
    <t>Anti-Sweat Heater Controls for Refrigerated Case, Low or No Heat Doors</t>
  </si>
  <si>
    <t>Anti-Sweat Heater Controls for Refrigerated Case, Standard Door</t>
  </si>
  <si>
    <t>ECM Compressor and Condenser/Condensing Unit Fan Motor</t>
  </si>
  <si>
    <t>Strip Curtain - Energy Savings (kWh/sq ft)</t>
  </si>
  <si>
    <t>Installation of zero energy doors for refrigerated cases</t>
  </si>
  <si>
    <t>Installation of an automatic, hydraulic-type door closer on main walk-in cooler doors.</t>
  </si>
  <si>
    <t>Installation of an automatic, hydraulic-type door closer on main walk-in freezer doors.</t>
  </si>
  <si>
    <t>Install Anti-Sweat Heater Controls on refrigerated case door without heater controls</t>
  </si>
  <si>
    <t>Install an Electronically commutated motor (ECM) in place of existing shaded pole or split capacitor motors on condenser fans.</t>
  </si>
  <si>
    <t>Reach-in or walk-in cooler or freezer with continuous operating EC motor</t>
  </si>
  <si>
    <t>Standard reach-in refrigerated cooler or freezer with anti-sweat heaters on the glass surface of the doors.</t>
  </si>
  <si>
    <t>A walk in cooler without an automatic closure.</t>
  </si>
  <si>
    <t>A walk in freezer without an automatic closure.</t>
  </si>
  <si>
    <t>refrigerated display case with doors, not using anti-sweat heater controls.</t>
  </si>
  <si>
    <t>Shaded Pole (SP) or permanent split capacitor (PSC) condensing unit fan motor</t>
  </si>
  <si>
    <t>Zero Energy Doors Low Temperature Freezer (&lt;25 F)</t>
  </si>
  <si>
    <t>Zero Energy Doors Medium Temperature Cooler (25-40 F)</t>
  </si>
  <si>
    <t>Zero Energy Doors High Temperature Cooler (41-65 F)</t>
  </si>
  <si>
    <t>Interior T12/T8/T5/T5HO 2' 1-4 Lamp Fixture</t>
  </si>
  <si>
    <t>Interior T12/T8/T5/T5HO Ubend 1-2 Lamp Fixture</t>
  </si>
  <si>
    <t>LED Fixture Replacing 
U-bend | 1 to 2 Lamps</t>
  </si>
  <si>
    <t xml:space="preserve">LED Retrofit Kit Replacing 
U-bend | 1 to 2 Lamps </t>
  </si>
  <si>
    <t>LED Fixture Replacing 
4' T12/T8 | 1 to 2 Lamps</t>
  </si>
  <si>
    <t>LED Fixture Replacing 
4' T12/T8 | 3 to 6 Lamps</t>
  </si>
  <si>
    <t>LED Fixture Replacing 
4' T5/T5HO | 1 to 2 Lamps</t>
  </si>
  <si>
    <t>LED Fixture Replacing 
4' T5/T5HO | 3 to 6 Lamps</t>
  </si>
  <si>
    <t xml:space="preserve">LED Retrofit Kit Replacing 
4' T12/T8 | 1 to 2 Lamps </t>
  </si>
  <si>
    <t xml:space="preserve">LED Retrofit Kit Replacing 
4' T12/T8 | 3 to 6 Lamps </t>
  </si>
  <si>
    <t>LED Retrofit Kit Replacing 
4' T5/T5HO | 1 to 2 Lamps</t>
  </si>
  <si>
    <t>LED Retrofit Kit Replacing 
4' T5/T5HO | 3 to 6 Lamps</t>
  </si>
  <si>
    <t>VSD applied to a motor without a VSD</t>
  </si>
  <si>
    <t>Motor without a VSD</t>
  </si>
  <si>
    <t>32311217</t>
  </si>
  <si>
    <t>Main, NC</t>
  </si>
  <si>
    <t>Logan Markham</t>
  </si>
  <si>
    <t>816-206-7070</t>
  </si>
  <si>
    <t>LMarkham@trccompanies.com</t>
  </si>
  <si>
    <t>Randy Jameson</t>
  </si>
  <si>
    <t>Joan Nganga</t>
  </si>
  <si>
    <t>●Updated NC LPD to use incremental cost in CB test when baseline cost is provided.</t>
  </si>
  <si>
    <r>
      <t xml:space="preserve">The Site Contact is: </t>
    </r>
    <r>
      <rPr>
        <sz val="11"/>
        <color rgb="FFFF0000"/>
        <rFont val="Arial"/>
        <family val="2"/>
      </rPr>
      <t>*</t>
    </r>
  </si>
  <si>
    <t>The Site Contact is:</t>
  </si>
  <si>
    <t>Company Contact</t>
  </si>
  <si>
    <t>●Update M02S04F02, N02S03F20, X02S03F11 and dependent cells to include option for TA/Contractor Contact as well as Company Contact.</t>
  </si>
  <si>
    <t>Main, NC, RCx</t>
  </si>
  <si>
    <t>●Add project submission link for Jotform in M05-S02-1.</t>
  </si>
  <si>
    <t>●Update 'Template'!$H$18:$H$26 to count CB Ratios in Column AT instead of incentive field.</t>
  </si>
  <si>
    <t>●Correct formulas in 'Template'!C143:D144 to reference all measure types and measure count instead of incentive count. Three new variables were created for measure counts in 'Template'!H27:H29.</t>
  </si>
  <si>
    <t>●Updated formula for PROJSTATUS to count MEASTOTALALL instead of L29.</t>
  </si>
  <si>
    <t>●Updated table TAXENTITY to match list of options for Tax Entity in Captures projects' Payee section.</t>
  </si>
  <si>
    <t>●Updated PC, BD, Engineer name tables</t>
  </si>
  <si>
    <t>●Updated air-cooled chiller part-load rating to IPLV from EER.</t>
  </si>
  <si>
    <t>●Updated Versioning Guidelines in Changelog</t>
  </si>
  <si>
    <t>●Updated Custom demand factors and incentive rates</t>
  </si>
  <si>
    <t>●Updated existing Standard incentive Rates</t>
  </si>
  <si>
    <t>●Added new Standard measures</t>
  </si>
  <si>
    <t>●Updated TEMPLATE, TEMPLATE_N, TEMPLATE_RCx columns A:E &amp; PROGRESSSTATUS so that percent % aligns with required fields based on project input and submission status.</t>
  </si>
  <si>
    <t>●Removed asterisk from M02S04F01, M02S04F17 for TEMPLATE updates.</t>
  </si>
  <si>
    <t>●Three new variables were created for measure counts in 'Template_N'!H27:H30.</t>
  </si>
  <si>
    <t>●Updated conditional formatting of Invoice Date, Install Date fields in Project Review.</t>
  </si>
  <si>
    <t>●Updated 4 lamp replacement measure names to specify "Incand."</t>
  </si>
  <si>
    <t>●Added data validation to Cities list for NC field N02S03F03</t>
  </si>
  <si>
    <t>●Added new contact info sheet N01-S03 and updated all contact references in NC app.</t>
  </si>
  <si>
    <t>●Updated Expiration Date to 12/31/2022</t>
  </si>
  <si>
    <t>●Updated Trade Ally Resources links in Main, NC, and RCx apps.</t>
  </si>
  <si>
    <t>●Updated Payment sheets so that blanks do not display "0" value.</t>
  </si>
  <si>
    <t>●Updated Send Email links in each application.</t>
  </si>
  <si>
    <t>●Included IFERROR function to each section total % in template sheets.</t>
  </si>
  <si>
    <t>RCx TA Options</t>
  </si>
  <si>
    <t>ENERGY STAR Commercial Ice Machine, 101-300 lb/day</t>
  </si>
  <si>
    <t>ENERGY STAR Commercial Ice Machine, 301-500 lb/day</t>
  </si>
  <si>
    <t>ENERGY STAR Commercial Ice Machine, 501-1000 lb/day</t>
  </si>
  <si>
    <t>ENERGY STAR Commercial Ice Machine, 1001-1500 lb/day</t>
  </si>
  <si>
    <t>ENERGY STAR Commercial Ice Machine, &gt;1500 lb/day</t>
  </si>
  <si>
    <t>Ana Ruelas</t>
  </si>
  <si>
    <t>Nominal Incentive</t>
  </si>
  <si>
    <t>2.3.2</t>
  </si>
  <si>
    <t>● Added 1, 2 lamp 59W T8 fixture options to "LED Fixture/Retrofit Kit Replacing" measures.</t>
  </si>
  <si>
    <t>● Two new columns added to Standard measure details for Nominal Incentive and Caps to match kWh Incentive and Caps in Custom tabs.</t>
  </si>
  <si>
    <t>● Added conditional formatting to incentive fields to italicize whenever an incentive is capped or overridden. Message is now displayed above measures whenever any measures are capped due to cost.</t>
  </si>
  <si>
    <t>● Update Caps column in all Custom tabs to work with new modified incentive formatting.</t>
  </si>
  <si>
    <t>● Added missing conditional formatting for 'M03-S06'!AN18:AN37.</t>
  </si>
  <si>
    <t>● Updated Units columns for hidden Miscellaneous measure to remove "Missing!" error from blank measure.</t>
  </si>
  <si>
    <t>● Corrected kW formula in 'M04-S03'!$BB:$BB to not multiple by qty of units.</t>
  </si>
  <si>
    <t>● Corrected ENERGY STAR capitalization in Standard measures</t>
  </si>
  <si>
    <t>● Unlocked Heating Tons column in Details of Standard HVAC measure tabs</t>
  </si>
  <si>
    <t>● Removed Asterisk from always-filled State field in Building Info tabs so percent complete is 0% when applications are opened.</t>
  </si>
  <si>
    <t>● Added Ana to the PC dropdown list in Data Tables tab.</t>
  </si>
  <si>
    <t>Added missing measures summary to 'N03-S03-2b'!R12:AC14.</t>
  </si>
  <si>
    <t>Phases</t>
  </si>
  <si>
    <t>kVA Rating</t>
  </si>
  <si>
    <t>Load Factor</t>
  </si>
  <si>
    <t>kWh Losses</t>
  </si>
  <si>
    <t>New</t>
  </si>
  <si>
    <t>Low-Voltage Dry-Type Distribution Transformer</t>
  </si>
  <si>
    <t>Three-Phase</t>
  </si>
  <si>
    <t>Liquid-Immersed Distribution Transformer</t>
  </si>
  <si>
    <t>Medium-Voltage Dry-Type Distribution Transformer</t>
  </si>
  <si>
    <t>Single-Phase</t>
  </si>
  <si>
    <t>32311902</t>
  </si>
  <si>
    <t>32311904</t>
  </si>
  <si>
    <t>kVA</t>
  </si>
  <si>
    <t>Base Eff.</t>
  </si>
  <si>
    <t>New Eff.</t>
  </si>
  <si>
    <t>Electrical Phase Types</t>
  </si>
  <si>
    <t>32311903</t>
  </si>
  <si>
    <t>Transformer LF</t>
  </si>
  <si>
    <t>Medium-Voltage Dry-Type Distribution Transformers</t>
  </si>
  <si>
    <t>One-Phase</t>
  </si>
  <si>
    <t>1PH_Eff</t>
  </si>
  <si>
    <t>20-45 kV</t>
  </si>
  <si>
    <t>46-95 kV</t>
  </si>
  <si>
    <t>≥96 kV</t>
  </si>
  <si>
    <t>3PH_Eff</t>
  </si>
  <si>
    <t>20-45 kV2</t>
  </si>
  <si>
    <t>46-95 kV3</t>
  </si>
  <si>
    <t>≥96 kV4</t>
  </si>
  <si>
    <t>Liquid-Immersed Distribution Transformers</t>
  </si>
  <si>
    <t>Low-Voltage Dry-Type Distribution Transformers</t>
  </si>
  <si>
    <t>2.3.3</t>
  </si>
  <si>
    <t>●Changed Custom payback requirement from 1.5 to 1 year.</t>
  </si>
  <si>
    <t>●Added "Custom Lite" Transformers measure under Miscellaneous.
●Added column to table BUILDINGTYPE for transformer load factors.
●Create new tables TFBASELV, TFBASELI, TFBASEMV for baseline transformer efficiencies.</t>
  </si>
  <si>
    <t>●Corrected Standard Nominal Incentive fields in Details.
●Added Nominal Incentive and Caps columns in NC Standard sheets.
●Updated Standard HVAC Incentive formula to be consistent with other Standard Incentive sheets.</t>
  </si>
  <si>
    <t>●Update Location and Efficient Model field input messages.</t>
  </si>
  <si>
    <t>●Changed font for"Efficiency Details" in Standard HVAC and "Measure Cost" in all measure input tabs to improve readability. Added vertical borders in Standard HVAC.</t>
  </si>
  <si>
    <t>●Updated data validation in quantity fields to allow whole numbers.
●Corrected Standard HVAC efficiency data validation to allow efficiencies meeting baseline.</t>
  </si>
  <si>
    <t>Baldwin Park</t>
  </si>
  <si>
    <t>Big Lake</t>
  </si>
  <si>
    <t>Bronaugh</t>
  </si>
  <si>
    <t>Brownington</t>
  </si>
  <si>
    <t>Courtney</t>
  </si>
  <si>
    <t>Fleming</t>
  </si>
  <si>
    <t>Glenaire</t>
  </si>
  <si>
    <t>Lamar Heights</t>
  </si>
  <si>
    <t>Lewis and Clark Village</t>
  </si>
  <si>
    <t>Myrick</t>
  </si>
  <si>
    <t>Northmoor</t>
  </si>
  <si>
    <t>Oaks</t>
  </si>
  <si>
    <t>Oakwood</t>
  </si>
  <si>
    <t>River Bend</t>
  </si>
  <si>
    <t>Rochester</t>
  </si>
  <si>
    <t>Prairie Township</t>
  </si>
  <si>
    <t>Blackwood Township</t>
  </si>
  <si>
    <t>St. Clair</t>
  </si>
  <si>
    <t>IECC 2000</t>
  </si>
  <si>
    <r>
      <rPr>
        <sz val="6"/>
        <color theme="1"/>
        <rFont val="Calibri"/>
        <family val="2"/>
      </rPr>
      <t xml:space="preserve">(data.mo.gov "City Building Codes for Missouri" 10/28/2021)
(data.mo.gov "County Building Codes for Missouri" 8/11/2021)
</t>
    </r>
    <r>
      <rPr>
        <sz val="11"/>
        <color theme="1"/>
        <rFont val="Calibri"/>
        <family val="2"/>
      </rPr>
      <t xml:space="preserve">Codes by City/County </t>
    </r>
    <r>
      <rPr>
        <i/>
        <sz val="11"/>
        <color theme="1"/>
        <rFont val="Calibri"/>
        <family val="2"/>
      </rPr>
      <t>*Sort by City</t>
    </r>
  </si>
  <si>
    <t>Retrofit existing</t>
  </si>
  <si>
    <t>Replace in-life equip.</t>
  </si>
  <si>
    <t>New / No existing equip.</t>
  </si>
  <si>
    <t>Replace EoSL equip.</t>
  </si>
  <si>
    <t>Lighting Review 02/2022</t>
  </si>
  <si>
    <t>Calculated on trendline</t>
  </si>
  <si>
    <t>T8 - 4ft - 2 Lamp - 32W</t>
  </si>
  <si>
    <t>T8 - 5ft - 1 Lamp - 40W</t>
  </si>
  <si>
    <t>T8 - 5 ft - 1 Lamp</t>
  </si>
  <si>
    <t>LED - Other</t>
  </si>
  <si>
    <t>Other LED Luminaire</t>
  </si>
  <si>
    <t>COMPCUSTOMER</t>
  </si>
  <si>
    <t>COMPBUILD</t>
  </si>
  <si>
    <t>COMPMEASURE</t>
  </si>
  <si>
    <t>COMPPAY</t>
  </si>
  <si>
    <t>COMPSUMMARY</t>
  </si>
  <si>
    <t>Bonus Active</t>
  </si>
  <si>
    <t>Base Incentive</t>
  </si>
  <si>
    <t>2.3.4</t>
  </si>
  <si>
    <t>•Added column in Standard Motors and Drives to record actual hp (not reported to Captures).</t>
  </si>
  <si>
    <t>•Updated CUSTOMPROJECTTYPE for clarity.     
     -Swap table names PROGRAMTYPE, PROJECTTYPE
     -Update PROJECTTYPE
•Changed Custom measures Project Type input note to define 'EoSL'.
•Updated Cost Type fields according to Project Type and lock cells.</t>
  </si>
  <si>
    <t>•Added several missing cities/jurisdictions to CITYCOUNTCODES list. Updated codes in table to most recent codes from data.mo.gov.
•Fixed City and County Code fields in N05-S07 to display correct codes.
•Updated formula for NEWCONCODE to set the maximum of City, County, or 2012.</t>
  </si>
  <si>
    <t>•Update Standard 'Incentive per Unit' formulas to select incentive type.
•Add formatting to indicate bonus incentive.</t>
  </si>
  <si>
    <t>•Corrected NC Standard HVAC incremental cost calculation</t>
  </si>
  <si>
    <t>•Moved CITIES, CITYCOUNTYCODES, ENERGYCODES lists from 'LPD Tables!' to 'Data Tables!'.
•Removed duplicate CITY_X list from 'TEMPLATE_X!' and unnecessary or unused tables.</t>
  </si>
  <si>
    <t>•Changed Base and New "Units" in Custom and RCx measure Details to "Quantity".</t>
  </si>
  <si>
    <t>•Corrected EXPIRATION formula. Existing references to ACTIVE...[ , _N, _X]  result in #REF error in each app type.
•Add/Updated variables MEASTOTALALL[ , _N, _X]
•Updated PROJSTATUS[ , _N, _X] so that "Pre-Approval Required" will not display after completion is active.
•Updated EXPNOTICE[ , _N, _X] to an abbreviated formula.</t>
  </si>
  <si>
    <t>Lighting Updates
•Update T5, T8 fixture wattages - multiple length, wattage, quantity
•Remove 96W lamp options
•Added new dropdown option for "LED - Others" in CMLIGHTEFF</t>
  </si>
  <si>
    <t>•Update formulas CME...DESC so Measure Type dropdown works correctly with new Project Types.
•Corrected Standard HVAC Eff Notes formula. Wasn't populating field in Export beyond row 1.</t>
  </si>
  <si>
    <t>•Filled missing formulas in 'EXPORT_N!'AJ33:AX42</t>
  </si>
  <si>
    <t>•Eliminated requirement for 100,000 sq.ft. WBP eligibility in NC.</t>
  </si>
  <si>
    <t>•Corrected EXPORT_N! HVAC to reference correct Incremental Cost column. BI-&gt;BN</t>
  </si>
  <si>
    <t>•Corrected required formulas in 'TEMPLATE_N' N04S09F08-N04S09F10.</t>
  </si>
  <si>
    <t>•Corrected deemed kWh and kW formulas for Standard Air-Cooled Chillers.</t>
  </si>
  <si>
    <t xml:space="preserve">•Added missing Standard measure columns in details: Incremental Cost to Main app, Reporting Methodology to NC app. </t>
  </si>
  <si>
    <t>•Added additional incentive column for NC Prescriptive tables. 
•Renamed the two incentive columns for all prescriptive measures to 'Base Incentive' and 'Bonus Incentive'.
•Updated Standard 'Incentive per Unit' formulas to select incentive type.
•Added formatting to indicate bonus incentive.
•Corrected and updated formulas for Bonus Amount in 'Export'.</t>
  </si>
  <si>
    <t>•Corrected engineering check for CFM in LS&amp;R by moving CFM calc to individual leak entries.
•Updated leak kWh Savings formulas to reference new CFM cells.</t>
  </si>
  <si>
    <t>•Corrected formulas referencing ACTIVERCX_X - ('EXPORT_X'!C4,J4,O4 , 'TEMPLATE_X'!D129:D139. Provisional measure and required fields counts</t>
  </si>
  <si>
    <t>•Removed conditional formatting in X02-S04.</t>
  </si>
  <si>
    <t>•Implemented bonus structures from Main, NC into RCx</t>
  </si>
  <si>
    <t>•Updated formula for Project Notifications.
•Added new fields in templates, ACTIVEBONUS[ , _N, _X] and updated toolbar with bonus switch code. IM Tools v2.5.6.</t>
  </si>
  <si>
    <t>•Added bonus incentive amounts into applications.</t>
  </si>
  <si>
    <t>2.3.5</t>
  </si>
  <si>
    <t>•Unprotected named ranges in column 'C' of Template sheets.
•Corrected table ELECCB to align EUL years to benefits.</t>
  </si>
  <si>
    <t>Chuck Reno</t>
  </si>
  <si>
    <t>816-715-0163</t>
  </si>
  <si>
    <t>creno@trccompanies.com</t>
  </si>
  <si>
    <t>LED Lamp ≤9W Replacing CFL</t>
  </si>
  <si>
    <t>LED Lamp 10-15W Replacing CFL</t>
  </si>
  <si>
    <t>LED Lamp ≥16W Replacing CFL</t>
  </si>
  <si>
    <t>LED  ≤ 9 Watt Lamp Replacing CFL Lamp</t>
  </si>
  <si>
    <t>LED  10 - 15 Watt Lamp Replacing CFL Lamp</t>
  </si>
  <si>
    <t>LED ≥ 16 Watt Lamp Replacing CFL Lamp</t>
  </si>
  <si>
    <t>LED replacing CFL Lamp</t>
  </si>
  <si>
    <t>13W CFL Lamp</t>
  </si>
  <si>
    <t>21W CFL Lamp</t>
  </si>
  <si>
    <t>26W CFL Lamp</t>
  </si>
  <si>
    <t>Ext Lighting w/ Peak</t>
  </si>
  <si>
    <t>Halogen</t>
  </si>
  <si>
    <t>Evergy</t>
  </si>
  <si>
    <t>2.4.0</t>
  </si>
  <si>
    <t>Custom Caps and Status formulas:
•Updated Caps formulas for M04-S04 - M04-S09.
•Updated Status formulas for M04-S02, M04-S03 to check for savings after building type.</t>
  </si>
  <si>
    <t>•Updated cost cap conditional formatting for NC to match main app.</t>
  </si>
  <si>
    <t>•Added 'MASTER' sheet to be referenced by all Template sheets for common app fields.
•Updated sheet colors to indicate whether each is universal or part of a specific app type and re-arranged sheets to group by app type.
•Updated BUSDEVEL.</t>
  </si>
  <si>
    <t>•Renewed expiration date.
•Updated IM Tools to Evergy tools. Removed code for other programs and updated to reference 'Master' instead of 'Template' for all functions with backward compatibility.
•Removed bonus incentives.
•Updated base incentives.</t>
  </si>
  <si>
    <t>•Added in new HPWH measures.
•Updated HVAC measures to reference minimum eligible efficiency instead of baseline and set min values above TRM baseline efficiency.</t>
  </si>
  <si>
    <t>Rated Tons</t>
  </si>
  <si>
    <t>Equipment Manufacturer</t>
  </si>
  <si>
    <t>Equipment Model</t>
  </si>
  <si>
    <r>
      <t>Annual</t>
    </r>
    <r>
      <rPr>
        <sz val="9"/>
        <color theme="1" tint="0.24994659260841701"/>
        <rFont val="Arial"/>
        <family val="2"/>
      </rPr>
      <t xml:space="preserve"> </t>
    </r>
    <r>
      <rPr>
        <sz val="11"/>
        <color theme="1" tint="0.24994659260841701"/>
        <rFont val="Arial"/>
        <family val="2"/>
      </rPr>
      <t>Op</t>
    </r>
    <r>
      <rPr>
        <sz val="9"/>
        <color theme="1" tint="0.24994659260841701"/>
        <rFont val="Arial"/>
        <family val="2"/>
      </rPr>
      <t xml:space="preserve"> </t>
    </r>
    <r>
      <rPr>
        <sz val="11"/>
        <color theme="1" tint="0.24994659260841701"/>
        <rFont val="Arial"/>
        <family val="2"/>
      </rPr>
      <t>Hrs</t>
    </r>
    <r>
      <rPr>
        <sz val="9"/>
        <color theme="1" tint="0.24994659260841701"/>
        <rFont val="Arial"/>
        <family val="2"/>
      </rPr>
      <t xml:space="preserve"> </t>
    </r>
    <r>
      <rPr>
        <sz val="11"/>
        <color theme="1" tint="0.24994659260841701"/>
        <rFont val="Arial"/>
        <family val="2"/>
      </rPr>
      <t>Before</t>
    </r>
    <r>
      <rPr>
        <sz val="9"/>
        <color theme="1" tint="0.24994659260841701"/>
        <rFont val="Arial"/>
        <family val="2"/>
      </rPr>
      <t xml:space="preserve"> </t>
    </r>
    <r>
      <rPr>
        <sz val="11"/>
        <color theme="1" tint="0.24994659260841701"/>
        <rFont val="Arial"/>
        <family val="2"/>
      </rPr>
      <t>Install</t>
    </r>
  </si>
  <si>
    <t>Load Shift</t>
  </si>
  <si>
    <t>Transformers</t>
  </si>
  <si>
    <t>Base incentive</t>
  </si>
  <si>
    <t>IECC 2021</t>
  </si>
  <si>
    <t>SEER2</t>
  </si>
  <si>
    <t>EER2</t>
  </si>
  <si>
    <t>HSPF2</t>
  </si>
  <si>
    <t>2.4.1</t>
  </si>
  <si>
    <t>•Added 4 new columns to the applications to accommodate new Manufacturer field in several sheets and expand fields in other sheets.
•Updated Evergy Tools</t>
  </si>
  <si>
    <t>•Corrected Apply Online button formula and formatting.</t>
  </si>
  <si>
    <t>•Added new details column for Base Incentive and corrected Bonus incentive in EXPORT.</t>
  </si>
  <si>
    <t>•Added VRF measures to STDHVAC_N, NCHVACCODE{_PL, _FL}.</t>
  </si>
  <si>
    <t>•Corrected Incremental Cost formulas in M03-S05 and N03-S04.</t>
  </si>
  <si>
    <t>•Updated APP_TYPE to update automatically based on workbook 'TEMPLATE' sheets.</t>
  </si>
  <si>
    <t>•Cleared formatting in data tables indicating previous data changes.
•Added IECC 2021 to NC codes. Tables LPDWATT, ENERGYCODES, NCHVACCODE{_PL, _FL, _Other}.</t>
  </si>
  <si>
    <t>•Updated webpage links in Welcome tabs.</t>
  </si>
  <si>
    <t>Part Load Cooling Efficiency</t>
  </si>
  <si>
    <t>Other Efficiency</t>
  </si>
  <si>
    <t>2.4.2</t>
  </si>
  <si>
    <t>•Corrected #REF! errors in EXPORT! under Custom CAP, WHFS and TEMPLATE! Under Custom Lighting, CAP, WHFS.</t>
  </si>
  <si>
    <t>•Updated HPWH incentives</t>
  </si>
  <si>
    <t>Pre-Approval Incentive Threshold</t>
  </si>
  <si>
    <t>OR(AND(MEASTOTALCUSE = 0, INCENTOTAL &lt; INCPREAPPROVAL), ACTIVECOMPL = "Yes")</t>
  </si>
  <si>
    <t>2.4.3</t>
  </si>
  <si>
    <t>•Defined INCENTPREAPPROVAL for all references to pre-approval incentive limit.
•Updated Pre-Approval threshold to $15,000.00.</t>
  </si>
  <si>
    <t>Reighan Barajas</t>
  </si>
  <si>
    <t>Angela Blaize</t>
  </si>
  <si>
    <t>816-216-2786</t>
  </si>
  <si>
    <t>ablaize@trccompanies.com</t>
  </si>
  <si>
    <t>2.4.4</t>
  </si>
  <si>
    <t>•Corrected Standard Ice Machine measure numbers which contained duplicates of other measures.</t>
  </si>
  <si>
    <t>•Updated ACC savings to match TRM values.</t>
  </si>
  <si>
    <t>•Changed HVAC efficiencies data validation to allow values less than baseline. Format changed to General to display correct digits for base and proposed. Display ineligible status when baseline not met  for Part Load and Other efficiencies.</t>
  </si>
  <si>
    <t>•Updated IS and BD name lists.</t>
  </si>
  <si>
    <t>•Updated sq.ft data validation to allow values &gt; 0.</t>
  </si>
  <si>
    <t>Josh Leffert</t>
  </si>
  <si>
    <t>•Corrected data validation message in Baseline, Efficient Lighting costs. Updated formula to disallow fractions of a cent.
•Changed LPD area DV to require value &gt; 0.</t>
  </si>
  <si>
    <t>Mackenzie Grosko</t>
  </si>
  <si>
    <t>Elias Wirz</t>
  </si>
  <si>
    <t>Perry Boone</t>
  </si>
  <si>
    <t>Brett Bauma</t>
  </si>
  <si>
    <t>bbauma@trccompanies.com</t>
  </si>
  <si>
    <t>District of Columbia</t>
  </si>
  <si>
    <t>DC</t>
  </si>
  <si>
    <t>Puerto Rico</t>
  </si>
  <si>
    <t>PR</t>
  </si>
  <si>
    <t>U.S. Virgin Islands</t>
  </si>
  <si>
    <t>VI</t>
  </si>
  <si>
    <t>Unit Definition</t>
  </si>
  <si>
    <t>Measure Definition</t>
  </si>
  <si>
    <t>TRM Column:</t>
  </si>
  <si>
    <t>Multiple 4' diameter high speed fans of equivalent total diameter</t>
  </si>
  <si>
    <t>per sensor</t>
  </si>
  <si>
    <t>per unit</t>
  </si>
  <si>
    <t>UEF_Eff</t>
  </si>
  <si>
    <t>UEF_Base</t>
  </si>
  <si>
    <t>per HP</t>
  </si>
  <si>
    <t>per door</t>
  </si>
  <si>
    <t>per motor</t>
  </si>
  <si>
    <t>per sq. ft.</t>
  </si>
  <si>
    <t>High Volume Low Speed Fans (16-24ft Diameter)</t>
  </si>
  <si>
    <t>VSD Pumps (Chilled Water Pump)</t>
  </si>
  <si>
    <t>VSD Pumps (Hot Water Pump)</t>
  </si>
  <si>
    <t>VSD Fans (Cooling Tower Fan)</t>
  </si>
  <si>
    <t>per ton per SEER</t>
  </si>
  <si>
    <t>per ton per IEER</t>
  </si>
  <si>
    <t>per ton per IPLV (EER)</t>
  </si>
  <si>
    <t>per ton per IPLV (kW/ton)</t>
  </si>
  <si>
    <t>per ton</t>
  </si>
  <si>
    <t>per ft</t>
  </si>
  <si>
    <t>per hp</t>
  </si>
  <si>
    <t>Per hp</t>
  </si>
  <si>
    <t>HVLS fan from 16-24 ft in diameter</t>
  </si>
  <si>
    <t>EERee</t>
  </si>
  <si>
    <t>IPLVee (EER)</t>
  </si>
  <si>
    <t>IPLVee (kW/ton)</t>
  </si>
  <si>
    <t>EERbase</t>
  </si>
  <si>
    <t>IPLVbase (EER)</t>
  </si>
  <si>
    <t>IPLVbase (kW/ton)</t>
  </si>
  <si>
    <t>Base Efficiency 1</t>
  </si>
  <si>
    <t>Eff Unit 1</t>
  </si>
  <si>
    <t>Eff Unit 2</t>
  </si>
  <si>
    <t>Base Efficiency 2</t>
  </si>
  <si>
    <t>Eff Unit 3</t>
  </si>
  <si>
    <t>Base Efficiency 3</t>
  </si>
  <si>
    <t>EER (IPLV)</t>
  </si>
  <si>
    <t>kW/ton (IPLV)</t>
  </si>
  <si>
    <t>High Volume Low Speed Fan (16-24ft Diameter)</t>
  </si>
  <si>
    <t>Energy Star Residential Heat Pump Water Heater ≤ 55 gal, UEF ≥ 3.3</t>
  </si>
  <si>
    <t>Energy Star Heat Pump Water Heater ≤ 55 gal, UEF ≥ 3.3</t>
  </si>
  <si>
    <t>31110601</t>
  </si>
  <si>
    <t>31110602</t>
  </si>
  <si>
    <t>31110603</t>
  </si>
  <si>
    <t>31110604</t>
  </si>
  <si>
    <t>Guidehouse Analysis '2023 Updated kW Factors DRAFT_01.29.2024.xlsx'</t>
  </si>
  <si>
    <t>2.5.0</t>
  </si>
  <si>
    <t>Units Installed</t>
  </si>
  <si>
    <t>Quantity per Unit</t>
  </si>
  <si>
    <t>Min Unit</t>
  </si>
  <si>
    <t>Max Unit</t>
  </si>
  <si>
    <t>per lamp</t>
  </si>
  <si>
    <t>Retrofit Kit</t>
  </si>
  <si>
    <t>316-789-4109</t>
  </si>
  <si>
    <t>LED Lamps Replacing CFL</t>
  </si>
  <si>
    <t>Removed 4' T8 30W/36W options</t>
  </si>
  <si>
    <t>VSD Pump and Control (Chilled Water Pump)</t>
  </si>
  <si>
    <t>VSD Pump and Control (Hot Water Pump)</t>
  </si>
  <si>
    <t>VSD Fan and Control (Cooling Tower Fan)</t>
  </si>
  <si>
    <r>
      <t xml:space="preserve">Only the </t>
    </r>
    <r>
      <rPr>
        <b/>
        <sz val="11"/>
        <color theme="1"/>
        <rFont val="Calibri"/>
        <family val="2"/>
      </rPr>
      <t>Microsoft Excel desktop program</t>
    </r>
    <r>
      <rPr>
        <sz val="11"/>
        <color theme="1"/>
        <rFont val="Calibri"/>
        <family val="2"/>
      </rPr>
      <t xml:space="preserve"> should be used to open and modify this application.</t>
    </r>
  </si>
  <si>
    <t>Acknowledge</t>
  </si>
  <si>
    <t>Field1</t>
  </si>
  <si>
    <t>Field2</t>
  </si>
  <si>
    <t>Field3</t>
  </si>
  <si>
    <t>Field4</t>
  </si>
  <si>
    <t>PLC</t>
  </si>
  <si>
    <t>FLC</t>
  </si>
  <si>
    <t>PLH</t>
  </si>
  <si>
    <t>Tons-Heat</t>
  </si>
  <si>
    <t>FLH</t>
  </si>
  <si>
    <t>PLC, FLC, PLH, FLH</t>
  </si>
  <si>
    <t>PLC, FLC, PLH, FLH, Tons-Heat</t>
  </si>
  <si>
    <t>•Updated Standard measures.
 - Column color coding, STDHVAC columns arrangement and M03-S05 references, new measures added, updated existing measure values.</t>
  </si>
  <si>
    <t>•Updated NC Measures</t>
  </si>
  <si>
    <t>Updated Standard HVAC Base Notes and Eff Notes in EXPORT.</t>
  </si>
  <si>
    <t>•Reset Expiration Date
•Added new PC's and BD to app lists.
•Added missing territories to list for Company location.</t>
  </si>
  <si>
    <t>•Updated KC code in Data Tables.
•Updated years in CBData sheet.</t>
  </si>
  <si>
    <t>•Updated Custom inc. rates and CPDF's in ENDUSEALL.</t>
  </si>
  <si>
    <t>•Added Excel acknowledgement checkbox to instruction sheets.</t>
  </si>
  <si>
    <t>per ton per SEER2</t>
  </si>
  <si>
    <t>EER (FL)</t>
  </si>
  <si>
    <t>kW/ton (FL)</t>
  </si>
  <si>
    <t xml:space="preserve">By signature above, I hereby certify that this form includes the entire efficiency project scope and estimated total project cost including both materials and labor for this site. Details of this Program, including incentive levels and availability, are subject to change. Incentive Offer forms are valid for 30 days. Incentive Offer forms not returned within 30 days may not qualify for an incentive. The signed incentive Offer form must be delivered to Evergy Business Energy Savings Program Administrator, TRC (“Program Administrator”), as indicated in this Agreement before a project begins. An approved incentive Offer is not a guarantee of being awarded any incentive amount until final payment approval.
A Customer shall complete a project no later than 9 months from project approval (offer) by Program Administrator, or by December 31, 2024, whichever occurs earlier. Projects that are not completed within 9 months or by December 31, 2024 shall forfeit their position in the queue for program funds unless otherwise agreed by Evergy in its sole reasonable discretion based upon consideration of Customer’s completion of project milestones and/or construction activity to begin the project. </t>
  </si>
  <si>
    <t>Offer</t>
  </si>
  <si>
    <t>Completion</t>
  </si>
  <si>
    <t>2.5.1</t>
  </si>
  <si>
    <t>•Added 4 additional columns to applications.</t>
  </si>
  <si>
    <t>•Fixed error in Standard HVAC Status field.</t>
  </si>
  <si>
    <t>•Added DOE column to the Standard HVAC tables NCHVACCODE_...
•Changed table names to match Std HVAC sheet: [PLC, Other, Detail].
•Updated formulas in STDHVAC_N "Base Efficiency [1-3]" to display max of IECC or DOE.</t>
  </si>
  <si>
    <t>•Corrected Std HVAC calculation bugs in Eff PLCE, Deemed savings, Nominal Incentive.</t>
  </si>
  <si>
    <t>•Updated Standard HVAC Measure Name data validation to not allow change with populated tons or capacity fields.</t>
  </si>
  <si>
    <t>•Updated Standard HVAC Calculated kWh, kW formulas</t>
  </si>
  <si>
    <t>•Updated hotline phone number (FOOT2, [M,N,X]01-S02 image, 01-S03, 05-S03, 05-S04, 05-S05).</t>
  </si>
  <si>
    <t>•Fixed bug allowing bypass of Excel verification checkbox.
•Correct names and organization of objects in all sheets(e.g. Header, Navigation).</t>
  </si>
  <si>
    <t>Use this section if your equipment doesn't fit into a Standard measure.</t>
  </si>
  <si>
    <t>2.5.2</t>
  </si>
  <si>
    <t>•Updated Standard/Custom selection buttons.
•Made Custom sheets link to Custom in other categories.</t>
  </si>
  <si>
    <t>•Updated Calculated Savings formulas for Std HVAC to display error instead of message. EXPORT produces "" if error.  Added ErrorCheck count fields in sheets to display message in PC summary if errors.</t>
  </si>
  <si>
    <t>•Update Lighting Incentives</t>
  </si>
  <si>
    <t>•Added MO Identifier to header.</t>
  </si>
  <si>
    <t>v3.0.0</t>
  </si>
  <si>
    <t>Travis Jones</t>
  </si>
  <si>
    <t>Alberta</t>
  </si>
  <si>
    <t>AB</t>
  </si>
  <si>
    <t>British Columbia</t>
  </si>
  <si>
    <t>BC</t>
  </si>
  <si>
    <t>Manitoba</t>
  </si>
  <si>
    <t>MB</t>
  </si>
  <si>
    <t>New Brunswick</t>
  </si>
  <si>
    <t>NB</t>
  </si>
  <si>
    <t>Newfoundland and Labrador</t>
  </si>
  <si>
    <t>NL</t>
  </si>
  <si>
    <t>Northwest Territories</t>
  </si>
  <si>
    <t>NT</t>
  </si>
  <si>
    <t>Nova Scotia</t>
  </si>
  <si>
    <t>NS</t>
  </si>
  <si>
    <t>Nunavut</t>
  </si>
  <si>
    <t>NU</t>
  </si>
  <si>
    <t>Ontario</t>
  </si>
  <si>
    <t>ON</t>
  </si>
  <si>
    <t>Prince Edward Island</t>
  </si>
  <si>
    <t>PE</t>
  </si>
  <si>
    <t>Quebec</t>
  </si>
  <si>
    <t>QC</t>
  </si>
  <si>
    <t>Saskatchewan</t>
  </si>
  <si>
    <t>SK</t>
  </si>
  <si>
    <t>Yukon</t>
  </si>
  <si>
    <t>YT</t>
  </si>
  <si>
    <t>Based on Evergy Data provided 1/15/25 by Mark Leonard</t>
  </si>
  <si>
    <t>Removed Measures</t>
  </si>
  <si>
    <r>
      <t>Zip / Postal Code</t>
    </r>
    <r>
      <rPr>
        <sz val="11"/>
        <color rgb="FFFF0000"/>
        <rFont val="Arial"/>
        <family val="2"/>
      </rPr>
      <t>*</t>
    </r>
  </si>
  <si>
    <r>
      <t>State / Province</t>
    </r>
    <r>
      <rPr>
        <sz val="11"/>
        <color rgb="FFFF0000"/>
        <rFont val="Arial"/>
        <family val="2"/>
      </rPr>
      <t>*</t>
    </r>
  </si>
  <si>
    <t>per watt controlled</t>
  </si>
  <si>
    <t>Control system that meets the DLC networked lighting control specifications.</t>
  </si>
  <si>
    <t>LED lighting system with no existing or basic lighting controls.</t>
  </si>
  <si>
    <t>Annual Operating Hours</t>
  </si>
  <si>
    <t>Unit Type</t>
  </si>
  <si>
    <t>Kitchen Demand Ventillation Controls</t>
  </si>
  <si>
    <t>A control system that varies the exhaust rate of kitchen ventilation (exhaust and/or makeup air fans) based on the energy and effluent output from the cooking appliances</t>
  </si>
  <si>
    <t>kitchen ventilation that has constant speed ventilation motor</t>
  </si>
  <si>
    <t>ECM Motors Walk-In Coolers &amp; Freezers 16W</t>
  </si>
  <si>
    <t>ECM Motor with minimum efficiency of 66%</t>
  </si>
  <si>
    <t>Existing shaded-pole motor(s) with no fan control operating 8760 hours continuously in a refrigerated display case or fan coil unit of a walk-in cooling unit.</t>
  </si>
  <si>
    <t>Shaded-pole motor(s) with no fan control</t>
  </si>
  <si>
    <t>Brandon Hines</t>
  </si>
  <si>
    <t>Shannon Walker</t>
  </si>
  <si>
    <t>Berthonise Charles</t>
  </si>
  <si>
    <t>3.0.0</t>
  </si>
  <si>
    <t>41111701</t>
  </si>
  <si>
    <t>41111702</t>
  </si>
  <si>
    <t>ECM Motors Walk-In Coolers &amp; Freezers 1/15 hp</t>
  </si>
  <si>
    <t>PTAC</t>
  </si>
  <si>
    <t>PTHP</t>
  </si>
  <si>
    <t>IEERee</t>
  </si>
  <si>
    <t>SEERee</t>
  </si>
  <si>
    <t>IEERBase</t>
  </si>
  <si>
    <t>SEER2Base</t>
  </si>
  <si>
    <t>Retrofit and new construction installations of VRF systems. VRF systems should meet or exceed ASHRAE 90.1 minimum efficiency requirements for air source VRF systems</t>
  </si>
  <si>
    <t>Ducted split-system heat pump for non-residential buildings 25,000 square feet or fewer and is 3 floors or fewer. For non-residential buildings over 25,000 square feet or 4 floors or higher, the baseline equipment is assumed to be a standard-efficiency air cooled heat pump roof top unit (RTU) system</t>
  </si>
  <si>
    <r>
      <t>State/ Province</t>
    </r>
    <r>
      <rPr>
        <sz val="11"/>
        <color rgb="FFFF0000"/>
        <rFont val="Arial"/>
        <family val="2"/>
      </rPr>
      <t>*</t>
    </r>
  </si>
  <si>
    <t>Jane Parker</t>
  </si>
  <si>
    <t>JParker@trccompanies.com</t>
  </si>
  <si>
    <t>573-476-2857</t>
  </si>
  <si>
    <t>Wall-Mounted or Remote Occupancy Sensor</t>
  </si>
  <si>
    <t>Wall-Mounted or Remote Daylight Sensor</t>
  </si>
  <si>
    <t>42311218</t>
  </si>
  <si>
    <t>42311219</t>
  </si>
  <si>
    <t>VFD for HVAC Supply and Return Fans 1-5 hp</t>
  </si>
  <si>
    <t>VFD for HVAC Supply and Return Fans 6-15 hp</t>
  </si>
  <si>
    <t>VFD for HVAC Supply and Return Fans 16-25 hp</t>
  </si>
  <si>
    <t>VFD for HVAC Supply and Return Fans 26-50 hp</t>
  </si>
  <si>
    <t>VFD for HVAC Supply and Return Fans 51-75 hp</t>
  </si>
  <si>
    <t>EC Motors Evaporator Fan Cooler or Freezer 16W</t>
  </si>
  <si>
    <t>EC Motors Evaporator Fan Cooler or Freezer 1/15 hp (50W)</t>
  </si>
  <si>
    <t>Evaporator Fan Controls for EC Motors - Refrigeration Coolers &amp; Freezers- 16W</t>
  </si>
  <si>
    <t>Evaporator Fan Controls for EC Motors - Refrigeration Coolers &amp; Freezers - 1/20 - 1/15 hp</t>
  </si>
  <si>
    <t>Evaporator Fan Controls for EC Motors - Refrigeration Coolers &amp; Freezers - 1/5 - 1/4 hp</t>
  </si>
  <si>
    <t>Evaporator Fan Controls for EC Motors - Refrigeration Coolers &amp; Freezers - 1/3 hp</t>
  </si>
  <si>
    <t>Evaporator Fan Controls for EC Motors - Refrigeration Coolers &amp; Freezers - 1/2 hp</t>
  </si>
  <si>
    <t>Evaporator Fan Controls for EC Motors - Refrigeration Coolers &amp; Freezers - 3/4 hp</t>
  </si>
  <si>
    <t>Networked Lighting Controls from DLC Qualified Parts List</t>
  </si>
  <si>
    <t>Cloud-Based Optimization - Subscription-based or Paid-from-Savings</t>
  </si>
  <si>
    <t>• Set new expiration date: 9/30/25
•Updated personnel dropdown lists
•Added Canadian provinces to State/ Province dropdown and  edited entry field to reflect
•Updated CBDATA for 2025
•Hid Lighting Entry Tabs and removed links
•Updated exisiting standard measures and rates
  •Added Network Lighting controls and reconfigured Standard   Lighting tab for it
  •Removed Network Lighting Controls from Custom dropdown
  •Added Kitchen Demand Ventilation Controls
  •Added new ECM Walk In Cooler/ Freezer Measures
•Updated Custom Rates
•Remove “Bill Credit” from populating in the payee name section in the CSV
•Removed Transformers and Load Shift measure from Misc. tab
•Added callout notes for Networked lighting and HVAC to clarify entry
•Made all fields required entry for displaying incentive
•Added remote occupancy and daylight sensors to custom lighting controls
•Fixed PTAC/PTHP baseline to 10.2 EER
•Removed requirement for &lt;5 ton DX Unit EER entry
•Added option for AI HVAC Controls in Custom HVAC for submitting for review
•Updated link to Terms and Conditions for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</si>
</sst>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0.000"/>
    <numFmt numFmtId="170" formatCode="#,###\ &quot;kWh&quot;"/>
    <numFmt numFmtId="171" formatCode="[&lt;=9999999]###\-####;\(###\)\ ###\-####"/>
    <numFmt numFmtId="172" formatCode="0.0000"/>
    <numFmt numFmtId="173" formatCode="#,##0.0000"/>
    <numFmt numFmtId="174" formatCode="0.0000000000"/>
    <numFmt numFmtId="175" formatCode="&quot;$&quot;#,##0.0000"/>
    <numFmt numFmtId="176" formatCode="0.0"/>
    <numFmt numFmtId="177" formatCode="&quot;$&quot;#,##0.000_);[Red]\(&quot;$&quot;#,##0.000\)"/>
    <numFmt numFmtId="178" formatCode="0.000000"/>
    <numFmt numFmtId="179" formatCode="&quot;$&quot;#,##0.000"/>
    <numFmt numFmtId="180" formatCode="&quot;powering&quot;\ #,##0.0"/>
    <numFmt numFmtId="181" formatCode="_(&quot;$&quot;* #,##0.0000_);_(&quot;$&quot;* \(#,##0.0000\);_(&quot;$&quot;* &quot;-&quot;??_);_(@_)"/>
    <numFmt numFmtId="182" formatCode="_(* #,##0_);_(* \(#,##0\);_(* &quot;-&quot;??_);_(@_)"/>
    <numFmt numFmtId="183" formatCode="0.0000%"/>
    <numFmt numFmtId="184" formatCode="#,###\ &quot;W&quot;"/>
    <numFmt numFmtId="185" formatCode="#,##0\ &quot;W&quot;"/>
    <numFmt numFmtId="186" formatCode="#,##0.0"/>
    <numFmt numFmtId="187" formatCode="&quot;$&quot;#,##0.00000"/>
    <numFmt numFmtId="188" formatCode="_(* #,##0.0_);_(* \(#,##0.0\);_(* &quot;-&quot;??_);_(@_)"/>
    <numFmt numFmtId="189" formatCode="#,##0.0_);\(#,##0.0\)"/>
    <numFmt numFmtId="190" formatCode="_(* #,##0.0000_);_(* \(#,##0.0000\);_(* &quot;-&quot;??_);_(@_)"/>
  </numFmts>
  <fonts count="207">
    <font>
      <sz val="11"/>
      <color theme="1"/>
      <name val="Calibri"/>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font>
    <font>
      <sz val="11"/>
      <color theme="1"/>
      <name val="Calibri"/>
      <family val="2"/>
    </font>
    <font>
      <b/>
      <sz val="11"/>
      <color theme="1"/>
      <name val="Arial"/>
      <family val="2"/>
    </font>
    <font>
      <sz val="11"/>
      <color theme="1"/>
      <name val="Arial"/>
      <family val="2"/>
    </font>
    <font>
      <sz val="11"/>
      <color indexed="8"/>
      <name val="Calibri"/>
      <family val="2"/>
    </font>
    <font>
      <sz val="11"/>
      <name val="Arial"/>
      <family val="2"/>
    </font>
    <font>
      <b/>
      <sz val="11"/>
      <color theme="0"/>
      <name val="Arial"/>
      <family val="2"/>
    </font>
    <font>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1"/>
      <color theme="1"/>
      <name val="Calibri"/>
      <family val="2"/>
    </font>
    <font>
      <sz val="11"/>
      <color theme="1"/>
      <name val="Calibri"/>
      <family val="2"/>
    </font>
    <font>
      <b/>
      <sz val="11"/>
      <color rgb="FFFF0000"/>
      <name val="Calibri"/>
      <family val="2"/>
    </font>
    <font>
      <sz val="11"/>
      <name val="Calibri"/>
      <family val="2"/>
    </font>
    <font>
      <b/>
      <sz val="10"/>
      <name val="Arial"/>
      <family val="2"/>
    </font>
    <font>
      <sz val="11"/>
      <color theme="0" tint="-0.34998626667073579"/>
      <name val="Calibri"/>
      <family val="2"/>
    </font>
    <font>
      <b/>
      <sz val="11"/>
      <color rgb="FFFF0000"/>
      <name val="Arial"/>
      <family val="2"/>
    </font>
    <font>
      <sz val="11"/>
      <color theme="0"/>
      <name val="Arial"/>
      <family val="2"/>
    </font>
    <font>
      <b/>
      <sz val="16"/>
      <name val="Arial"/>
      <family val="2"/>
    </font>
    <font>
      <sz val="12"/>
      <color theme="1"/>
      <name val="Arial"/>
      <family val="2"/>
    </font>
    <font>
      <sz val="12"/>
      <color theme="0"/>
      <name val="Arial"/>
      <family val="2"/>
    </font>
    <font>
      <b/>
      <sz val="11"/>
      <color theme="1"/>
      <name val="Calibri Light"/>
      <family val="2"/>
    </font>
    <font>
      <sz val="11"/>
      <color theme="1"/>
      <name val="Calibri Light"/>
      <family val="2"/>
    </font>
    <font>
      <sz val="11"/>
      <color theme="4" tint="0.59999389629810485"/>
      <name val="Arial"/>
      <family val="2"/>
    </font>
    <font>
      <sz val="11"/>
      <color theme="1"/>
      <name val="Calibri"/>
      <family val="2"/>
    </font>
    <font>
      <b/>
      <sz val="12"/>
      <color theme="1"/>
      <name val="Arial"/>
      <family val="2"/>
    </font>
    <font>
      <sz val="10"/>
      <name val="Arial"/>
      <family val="2"/>
    </font>
    <font>
      <b/>
      <sz val="18"/>
      <color rgb="FFFF0000"/>
      <name val="Arial"/>
      <family val="2"/>
    </font>
    <font>
      <sz val="12"/>
      <name val="Arial"/>
      <family val="2"/>
    </font>
    <font>
      <sz val="11"/>
      <color theme="5"/>
      <name val="Calibri"/>
      <family val="2"/>
    </font>
    <font>
      <b/>
      <sz val="12"/>
      <name val="Arial"/>
      <family val="2"/>
    </font>
    <font>
      <sz val="10"/>
      <name val="Arial"/>
      <family val="2"/>
    </font>
    <font>
      <u/>
      <sz val="10"/>
      <color theme="10"/>
      <name val="Arial"/>
      <family val="2"/>
    </font>
    <font>
      <b/>
      <sz val="24"/>
      <color theme="0"/>
      <name val="Arial"/>
      <family val="2"/>
    </font>
    <font>
      <b/>
      <sz val="28"/>
      <color theme="0"/>
      <name val="Arial"/>
      <family val="2"/>
    </font>
    <font>
      <u/>
      <sz val="12"/>
      <color theme="10"/>
      <name val="Arial"/>
      <family val="2"/>
    </font>
    <font>
      <b/>
      <i/>
      <sz val="28"/>
      <color theme="6"/>
      <name val="Arial"/>
      <family val="2"/>
    </font>
    <font>
      <sz val="11"/>
      <color theme="1"/>
      <name val="Calibri"/>
      <family val="2"/>
    </font>
    <font>
      <sz val="14"/>
      <name val="Arial"/>
      <family val="2"/>
    </font>
    <font>
      <b/>
      <sz val="18"/>
      <name val="Arial"/>
      <family val="2"/>
    </font>
    <font>
      <sz val="16"/>
      <name val="Arial"/>
      <family val="2"/>
    </font>
    <font>
      <vertAlign val="superscript"/>
      <sz val="14"/>
      <name val="Arial"/>
      <family val="2"/>
    </font>
    <font>
      <sz val="13"/>
      <color theme="1"/>
      <name val="Arial"/>
      <family val="2"/>
    </font>
    <font>
      <vertAlign val="subscript"/>
      <sz val="13"/>
      <color theme="1"/>
      <name val="Arial"/>
      <family val="2"/>
    </font>
    <font>
      <b/>
      <sz val="22"/>
      <name val="Arial"/>
      <family val="2"/>
    </font>
    <font>
      <i/>
      <sz val="11"/>
      <color theme="1"/>
      <name val="Calibri"/>
      <family val="2"/>
    </font>
    <font>
      <sz val="10"/>
      <color indexed="12"/>
      <name val="Arial"/>
      <family val="2"/>
    </font>
    <font>
      <b/>
      <sz val="14"/>
      <color theme="1"/>
      <name val="Arial"/>
      <family val="2"/>
    </font>
    <font>
      <sz val="18"/>
      <color theme="1"/>
      <name val="Arial"/>
      <family val="2"/>
    </font>
    <font>
      <sz val="18"/>
      <name val="Arial"/>
      <family val="2"/>
    </font>
    <font>
      <b/>
      <sz val="24"/>
      <name val="Arial"/>
      <family val="2"/>
    </font>
    <font>
      <sz val="11"/>
      <color rgb="FF000000"/>
      <name val="Calibri"/>
      <family val="2"/>
    </font>
    <font>
      <sz val="12"/>
      <color theme="1"/>
      <name val="Times New Roman"/>
      <family val="1"/>
    </font>
    <font>
      <b/>
      <sz val="11"/>
      <color theme="0" tint="-0.499984740745262"/>
      <name val="Wingdings"/>
      <charset val="2"/>
    </font>
    <font>
      <b/>
      <sz val="11"/>
      <color theme="0" tint="-0.499984740745262"/>
      <name val="Arial"/>
      <family val="2"/>
    </font>
    <font>
      <b/>
      <sz val="20"/>
      <color rgb="FF1B6CB5"/>
      <name val="Arial"/>
      <family val="2"/>
    </font>
    <font>
      <sz val="11"/>
      <color theme="0" tint="-0.499984740745262"/>
      <name val="Wingdings"/>
      <charset val="2"/>
    </font>
    <font>
      <sz val="11"/>
      <color theme="0" tint="-0.499984740745262"/>
      <name val="Calibri"/>
      <family val="2"/>
      <charset val="2"/>
    </font>
    <font>
      <i/>
      <sz val="11"/>
      <color theme="1"/>
      <name val="Arial"/>
      <family val="2"/>
    </font>
    <font>
      <b/>
      <sz val="11"/>
      <color theme="1" tint="0.249977111117893"/>
      <name val="Arial"/>
      <family val="2"/>
    </font>
    <font>
      <b/>
      <sz val="16"/>
      <color theme="1" tint="0.249977111117893"/>
      <name val="Arial"/>
      <family val="2"/>
    </font>
    <font>
      <sz val="11"/>
      <color theme="1" tint="0.249977111117893"/>
      <name val="Arial"/>
      <family val="2"/>
    </font>
    <font>
      <sz val="16"/>
      <color theme="1" tint="0.249977111117893"/>
      <name val="Arial"/>
      <family val="2"/>
    </font>
    <font>
      <b/>
      <sz val="22"/>
      <color rgb="FF0E4F9C"/>
      <name val="Arial Narrow"/>
      <family val="2"/>
    </font>
    <font>
      <b/>
      <sz val="20"/>
      <color rgb="FF0E4F9C"/>
      <name val="Arial"/>
      <family val="2"/>
    </font>
    <font>
      <sz val="11"/>
      <color rgb="FF0E4F9C"/>
      <name val="Calibri"/>
      <family val="2"/>
    </font>
    <font>
      <b/>
      <sz val="12"/>
      <color theme="1" tint="0.249977111117893"/>
      <name val="Arial"/>
      <family val="2"/>
    </font>
    <font>
      <sz val="11"/>
      <color theme="1" tint="0.249977111117893"/>
      <name val="Calibri"/>
      <family val="2"/>
    </font>
    <font>
      <b/>
      <sz val="13"/>
      <color theme="1" tint="0.249977111117893"/>
      <name val="Arial"/>
      <family val="2"/>
    </font>
    <font>
      <sz val="11"/>
      <color rgb="FF0E4F9C"/>
      <name val="Arial"/>
      <family val="2"/>
    </font>
    <font>
      <b/>
      <sz val="16"/>
      <color theme="0"/>
      <name val="Arial"/>
      <family val="2"/>
    </font>
    <font>
      <b/>
      <sz val="11"/>
      <name val="Calibri"/>
      <family val="2"/>
    </font>
    <font>
      <b/>
      <sz val="11.5"/>
      <color theme="1" tint="0.249977111117893"/>
      <name val="Arial"/>
      <family val="2"/>
    </font>
    <font>
      <u/>
      <sz val="11"/>
      <color theme="10"/>
      <name val="Arial"/>
      <family val="2"/>
    </font>
    <font>
      <b/>
      <sz val="11"/>
      <name val="Arial"/>
      <family val="2"/>
    </font>
    <font>
      <sz val="11"/>
      <color rgb="FF1B6CB5"/>
      <name val="Arial"/>
      <family val="2"/>
    </font>
    <font>
      <b/>
      <sz val="11"/>
      <color theme="1" tint="0.249977111117893"/>
      <name val="Airal"/>
    </font>
    <font>
      <sz val="11"/>
      <color rgb="FFFF0000"/>
      <name val="Arial"/>
      <family val="2"/>
    </font>
    <font>
      <sz val="16"/>
      <color theme="0"/>
      <name val="Arial"/>
      <family val="2"/>
    </font>
    <font>
      <sz val="18"/>
      <color theme="0"/>
      <name val="Arial"/>
      <family val="2"/>
    </font>
    <font>
      <b/>
      <sz val="18"/>
      <color theme="1"/>
      <name val="Arial"/>
      <family val="2"/>
    </font>
    <font>
      <sz val="11"/>
      <color rgb="FF0000FF"/>
      <name val="Arial"/>
      <family val="2"/>
    </font>
    <font>
      <i/>
      <sz val="8"/>
      <name val="Arial"/>
      <family val="2"/>
    </font>
    <font>
      <sz val="11"/>
      <color theme="1"/>
      <name val="Script MT Bold"/>
      <family val="4"/>
    </font>
    <font>
      <sz val="11"/>
      <color rgb="FFD98C24"/>
      <name val="Arial"/>
      <family val="2"/>
    </font>
    <font>
      <sz val="10.5"/>
      <color theme="1"/>
      <name val="Arial"/>
      <family val="2"/>
    </font>
    <font>
      <sz val="8"/>
      <color theme="1"/>
      <name val="Arial"/>
      <family val="2"/>
      <charset val="204"/>
    </font>
    <font>
      <sz val="8"/>
      <color theme="1"/>
      <name val="Calibri"/>
      <family val="2"/>
    </font>
    <font>
      <u/>
      <sz val="12"/>
      <color theme="8"/>
      <name val="Arial"/>
      <family val="2"/>
    </font>
    <font>
      <b/>
      <sz val="13"/>
      <color rgb="FFFFFFFF"/>
      <name val="Arial"/>
      <family val="2"/>
    </font>
    <font>
      <sz val="10"/>
      <color theme="1"/>
      <name val="Arial"/>
      <family val="2"/>
    </font>
    <font>
      <sz val="11"/>
      <color theme="10"/>
      <name val="Arial"/>
      <family val="2"/>
    </font>
    <font>
      <b/>
      <sz val="16"/>
      <color theme="1"/>
      <name val="Arial"/>
      <family val="2"/>
    </font>
    <font>
      <b/>
      <sz val="12"/>
      <color rgb="FF0C4F9C"/>
      <name val="Arial"/>
      <family val="2"/>
    </font>
    <font>
      <b/>
      <sz val="20"/>
      <name val="Arial Narrow"/>
      <family val="2"/>
    </font>
    <font>
      <b/>
      <sz val="14"/>
      <color theme="0"/>
      <name val="Arial"/>
      <family val="2"/>
    </font>
    <font>
      <sz val="10"/>
      <color rgb="FFFF0000"/>
      <name val="Arial"/>
      <family val="2"/>
    </font>
    <font>
      <b/>
      <sz val="11"/>
      <color rgb="FFF27C0D"/>
      <name val="Arial"/>
      <family val="2"/>
    </font>
    <font>
      <sz val="11"/>
      <color theme="1" tint="0.24994659260841701"/>
      <name val="Arial"/>
      <family val="2"/>
    </font>
    <font>
      <b/>
      <sz val="11"/>
      <color theme="1" tint="0.24994659260841701"/>
      <name val="Arial"/>
      <family val="2"/>
    </font>
    <font>
      <b/>
      <u/>
      <sz val="11"/>
      <color theme="4" tint="-0.249977111117893"/>
      <name val="Arial"/>
      <family val="2"/>
    </font>
    <font>
      <b/>
      <sz val="11"/>
      <color theme="0" tint="-0.499984740745262"/>
      <name val="Arail"/>
    </font>
    <font>
      <b/>
      <u/>
      <sz val="11"/>
      <color theme="10"/>
      <name val="Arail"/>
    </font>
    <font>
      <sz val="11.5"/>
      <color theme="0"/>
      <name val="Arial"/>
      <family val="2"/>
    </font>
    <font>
      <sz val="11.5"/>
      <color indexed="9"/>
      <name val="Arial"/>
      <family val="2"/>
    </font>
    <font>
      <sz val="11"/>
      <name val="Airal"/>
    </font>
    <font>
      <b/>
      <sz val="11"/>
      <name val="Airal"/>
    </font>
    <font>
      <sz val="8"/>
      <name val="Arial"/>
      <family val="2"/>
    </font>
    <font>
      <b/>
      <sz val="11"/>
      <color theme="0"/>
      <name val="Calibri"/>
      <family val="2"/>
    </font>
    <font>
      <sz val="10.5"/>
      <color theme="1" tint="0.24994659260841701"/>
      <name val="Arial"/>
      <family val="2"/>
    </font>
    <font>
      <sz val="8"/>
      <color theme="1"/>
      <name val="Arial"/>
      <family val="2"/>
    </font>
    <font>
      <b/>
      <sz val="22"/>
      <color rgb="FF004E9A"/>
      <name val="Arial Narrow"/>
      <family val="2"/>
    </font>
    <font>
      <b/>
      <sz val="20"/>
      <color rgb="FF004E9A"/>
      <name val="Arial"/>
      <family val="2"/>
    </font>
    <font>
      <b/>
      <sz val="20"/>
      <color rgb="FF76BB40"/>
      <name val="Arial"/>
      <family val="2"/>
    </font>
    <font>
      <b/>
      <sz val="11"/>
      <color rgb="FF004E9A"/>
      <name val="Arial"/>
      <family val="2"/>
    </font>
    <font>
      <b/>
      <sz val="11"/>
      <color rgb="FF004E9A"/>
      <name val="Wingdings"/>
      <charset val="2"/>
    </font>
    <font>
      <b/>
      <sz val="11"/>
      <color rgb="FF76BB40"/>
      <name val="Arial"/>
      <family val="2"/>
    </font>
    <font>
      <sz val="11"/>
      <color rgb="FF76BB40"/>
      <name val="Wingdings"/>
      <charset val="2"/>
    </font>
    <font>
      <b/>
      <sz val="15"/>
      <color rgb="FFE8722D"/>
      <name val="Arial Narrow"/>
      <family val="2"/>
    </font>
    <font>
      <i/>
      <sz val="10"/>
      <name val="Arial"/>
      <family val="2"/>
    </font>
    <font>
      <b/>
      <i/>
      <sz val="11"/>
      <color theme="1"/>
      <name val="Calibri"/>
      <family val="2"/>
    </font>
    <font>
      <sz val="11"/>
      <color rgb="FFFF0000"/>
      <name val="Calibri"/>
      <family val="2"/>
    </font>
    <font>
      <sz val="10"/>
      <name val="Times New Roman"/>
      <family val="1"/>
    </font>
    <font>
      <sz val="9"/>
      <color theme="1" tint="0.24994659260841701"/>
      <name val="Arial"/>
      <family val="2"/>
    </font>
    <font>
      <sz val="10"/>
      <color theme="1" tint="0.24994659260841701"/>
      <name val="Arial"/>
      <family val="2"/>
    </font>
    <font>
      <i/>
      <sz val="10"/>
      <color theme="1" tint="0.249977111117893"/>
      <name val="Arial"/>
      <family val="2"/>
    </font>
    <font>
      <b/>
      <sz val="10"/>
      <color theme="1" tint="0.249977111117893"/>
      <name val="Arial"/>
      <family val="2"/>
    </font>
    <font>
      <b/>
      <sz val="18.5"/>
      <color theme="0"/>
      <name val="Arial"/>
      <family val="2"/>
    </font>
    <font>
      <sz val="8"/>
      <name val="Calibri"/>
      <family val="2"/>
    </font>
    <font>
      <sz val="11"/>
      <color rgb="FFFF0000"/>
      <name val="Calibri"/>
      <family val="2"/>
      <scheme val="minor"/>
    </font>
    <font>
      <sz val="9"/>
      <color indexed="81"/>
      <name val="Tahoma"/>
      <family val="2"/>
    </font>
    <font>
      <b/>
      <sz val="9"/>
      <color indexed="81"/>
      <name val="Tahom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u/>
      <sz val="11"/>
      <color theme="6"/>
      <name val="Calibri"/>
      <family val="2"/>
    </font>
    <font>
      <b/>
      <sz val="9"/>
      <color theme="1"/>
      <name val="Calibri"/>
      <family val="2"/>
      <scheme val="minor"/>
    </font>
    <font>
      <u/>
      <sz val="10"/>
      <color theme="4"/>
      <name val="Calibri"/>
      <family val="2"/>
      <scheme val="minor"/>
    </font>
    <font>
      <sz val="11"/>
      <color rgb="FF9C6500"/>
      <name val="Calibri"/>
      <family val="2"/>
      <scheme val="minor"/>
    </font>
    <font>
      <b/>
      <sz val="12"/>
      <color theme="4"/>
      <name val="Calibri"/>
      <family val="2"/>
      <scheme val="minor"/>
    </font>
    <font>
      <b/>
      <sz val="18"/>
      <color theme="3"/>
      <name val="Calibri Light"/>
      <family val="2"/>
      <scheme val="major"/>
    </font>
    <font>
      <b/>
      <sz val="10"/>
      <color theme="1"/>
      <name val="Calibri"/>
      <family val="2"/>
      <scheme val="minor"/>
    </font>
    <font>
      <sz val="8"/>
      <color rgb="FF000000"/>
      <name val="Segoe UI"/>
      <family val="2"/>
    </font>
    <font>
      <sz val="11"/>
      <name val="Calibri"/>
      <family val="2"/>
      <scheme val="minor"/>
    </font>
    <font>
      <b/>
      <sz val="15"/>
      <color rgb="FFFF0000"/>
      <name val="Arial"/>
      <family val="2"/>
    </font>
    <font>
      <b/>
      <sz val="26"/>
      <color rgb="FFFF0000"/>
      <name val="Arial"/>
      <family val="2"/>
    </font>
    <font>
      <sz val="11"/>
      <color theme="1"/>
      <name val="Calibri"/>
      <family val="2"/>
    </font>
    <font>
      <b/>
      <sz val="11"/>
      <name val="Calibri"/>
      <family val="2"/>
      <scheme val="minor"/>
    </font>
    <font>
      <vertAlign val="superscript"/>
      <sz val="11"/>
      <name val="Calibri"/>
      <family val="2"/>
    </font>
    <font>
      <b/>
      <sz val="12"/>
      <color theme="0"/>
      <name val="Arial"/>
      <family val="2"/>
    </font>
    <font>
      <sz val="12"/>
      <color theme="1"/>
      <name val="Calibri"/>
      <family val="2"/>
    </font>
    <font>
      <b/>
      <sz val="12"/>
      <color theme="1"/>
      <name val="Calibri"/>
      <family val="2"/>
    </font>
    <font>
      <b/>
      <sz val="12"/>
      <color theme="1"/>
      <name val="Wingdings 3"/>
      <family val="1"/>
      <charset val="2"/>
    </font>
    <font>
      <b/>
      <sz val="11.5"/>
      <color rgb="FFFF0000"/>
      <name val="Arial"/>
      <family val="2"/>
    </font>
    <font>
      <sz val="8"/>
      <color theme="1"/>
      <name val="Century Gothic"/>
      <family val="3"/>
    </font>
    <font>
      <sz val="11"/>
      <color theme="1" tint="0.24994659260841701"/>
      <name val="Calibri"/>
      <family val="2"/>
      <scheme val="minor"/>
    </font>
    <font>
      <sz val="11"/>
      <color theme="1" tint="0.249977111117893"/>
      <name val="Calibri"/>
      <family val="2"/>
      <scheme val="minor"/>
    </font>
    <font>
      <sz val="6"/>
      <color theme="1"/>
      <name val="Calibri"/>
      <family val="2"/>
    </font>
    <font>
      <sz val="11"/>
      <name val="Calibri"/>
      <family val="2"/>
      <scheme val="minor"/>
    </font>
    <font>
      <u/>
      <sz val="11"/>
      <color theme="10"/>
      <name val="Calibri"/>
      <family val="2"/>
      <scheme val="minor"/>
    </font>
    <font>
      <sz val="10"/>
      <color rgb="FF000000"/>
      <name val="Times New Roman"/>
      <family val="1"/>
    </font>
    <font>
      <b/>
      <u/>
      <sz val="11"/>
      <color theme="1"/>
      <name val="Calibri"/>
      <family val="2"/>
    </font>
    <font>
      <b/>
      <u/>
      <sz val="11"/>
      <color theme="10"/>
      <name val="Calibri"/>
      <family val="2"/>
    </font>
    <font>
      <i/>
      <sz val="11"/>
      <color rgb="FF5137FF"/>
      <name val="Calibri"/>
      <family val="2"/>
    </font>
    <font>
      <strike/>
      <sz val="11"/>
      <name val="Calibri"/>
      <family val="2"/>
    </font>
    <font>
      <strike/>
      <sz val="11"/>
      <color theme="1"/>
      <name val="Calibri"/>
      <family val="2"/>
    </font>
    <font>
      <strike/>
      <sz val="11"/>
      <color rgb="FF000000"/>
      <name val="Calibri"/>
      <family val="2"/>
    </font>
    <font>
      <i/>
      <strike/>
      <sz val="11"/>
      <color rgb="FF5137FF"/>
      <name val="Calibri"/>
      <family val="2"/>
    </font>
    <font>
      <strike/>
      <sz val="11"/>
      <name val="Calibri"/>
      <family val="2"/>
      <scheme val="minor"/>
    </font>
    <font>
      <strike/>
      <sz val="11"/>
      <color theme="9"/>
      <name val="Calibri"/>
      <family val="2"/>
    </font>
    <font>
      <sz val="11"/>
      <color theme="9"/>
      <name val="Calibri"/>
      <family val="2"/>
    </font>
    <font>
      <strike/>
      <sz val="11"/>
      <color theme="1"/>
      <name val="Calibri"/>
      <family val="2"/>
      <scheme val="minor"/>
    </font>
    <font>
      <sz val="11"/>
      <color theme="1"/>
      <name val="Calibri"/>
      <family val="2"/>
      <scheme val="minor"/>
    </font>
    <font>
      <sz val="11"/>
      <color theme="1"/>
      <name val="Calibri"/>
    </font>
    <font>
      <sz val="11"/>
      <color theme="1"/>
      <name val="Calibri"/>
      <scheme val="minor"/>
    </font>
  </fonts>
  <fills count="75">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EEBBF3"/>
        <bgColor indexed="64"/>
      </patternFill>
    </fill>
    <fill>
      <patternFill patternType="solid">
        <fgColor rgb="FFFFFF00"/>
        <bgColor indexed="64"/>
      </patternFill>
    </fill>
    <fill>
      <patternFill patternType="solid">
        <fgColor rgb="FF1B6CB5"/>
        <bgColor indexed="64"/>
      </patternFill>
    </fill>
    <fill>
      <patternFill patternType="solid">
        <fgColor rgb="FFD98C24"/>
        <bgColor indexed="64"/>
      </patternFill>
    </fill>
    <fill>
      <patternFill patternType="solid">
        <fgColor rgb="FFA7A6A7"/>
        <bgColor indexed="64"/>
      </patternFill>
    </fill>
    <fill>
      <gradientFill degree="270">
        <stop position="0">
          <color theme="0"/>
        </stop>
        <stop position="1">
          <color theme="0" tint="-5.0965910824915313E-2"/>
        </stop>
      </gradientFill>
    </fill>
    <fill>
      <patternFill patternType="solid">
        <fgColor theme="9"/>
        <bgColor indexed="64"/>
      </patternFill>
    </fill>
    <fill>
      <patternFill patternType="solid">
        <fgColor theme="6" tint="0.59996337778862885"/>
        <bgColor indexed="64"/>
      </patternFill>
    </fill>
    <fill>
      <patternFill patternType="lightUp">
        <fgColor theme="0" tint="-0.24994659260841701"/>
        <bgColor indexed="65"/>
      </patternFill>
    </fill>
    <fill>
      <patternFill patternType="darkUp">
        <fgColor theme="0" tint="-0.14996795556505021"/>
        <bgColor indexed="65"/>
      </patternFill>
    </fill>
    <fill>
      <patternFill patternType="solid">
        <fgColor rgb="FFEBEBED"/>
        <bgColor indexed="64"/>
      </patternFill>
    </fill>
    <fill>
      <patternFill patternType="lightUp">
        <fgColor theme="1"/>
        <bgColor auto="1"/>
      </patternFill>
    </fill>
    <fill>
      <patternFill patternType="solid">
        <fgColor theme="6"/>
        <bgColor indexed="64"/>
      </patternFill>
    </fill>
    <fill>
      <patternFill patternType="solid">
        <fgColor rgb="FFFF9FA1"/>
        <bgColor indexed="64"/>
      </patternFill>
    </fill>
    <fill>
      <patternFill patternType="solid">
        <fgColor rgb="FFBADD8B"/>
        <bgColor indexed="64"/>
      </patternFill>
    </fill>
    <fill>
      <patternFill patternType="solid">
        <fgColor theme="8" tint="0.59999389629810485"/>
        <bgColor indexed="64"/>
      </patternFill>
    </fill>
    <fill>
      <patternFill patternType="solid">
        <fgColor theme="5" tint="0.59999389629810485"/>
        <bgColor indexed="64"/>
      </patternFill>
    </fill>
    <fill>
      <patternFill patternType="darkUp">
        <fgColor theme="0" tint="-0.14996795556505021"/>
        <bgColor rgb="FFA7A6A7"/>
      </patternFill>
    </fill>
    <fill>
      <patternFill patternType="solid">
        <fgColor theme="4" tint="0.39997558519241921"/>
        <bgColor indexed="64"/>
      </patternFill>
    </fill>
    <fill>
      <patternFill patternType="lightUp">
        <fgColor theme="1"/>
        <bgColor theme="4" tint="0.39997558519241921"/>
      </patternFill>
    </fill>
    <fill>
      <patternFill patternType="solid">
        <fgColor rgb="FF003353"/>
        <bgColor indexed="64"/>
      </patternFill>
    </fill>
    <fill>
      <patternFill patternType="solid">
        <fgColor rgb="FF004E9A"/>
        <bgColor indexed="64"/>
      </patternFill>
    </fill>
    <fill>
      <patternFill patternType="solid">
        <fgColor rgb="FF317CC0"/>
        <bgColor indexed="64"/>
      </patternFill>
    </fill>
    <fill>
      <patternFill patternType="solid">
        <fgColor rgb="FF76BB40"/>
        <bgColor indexed="64"/>
      </patternFill>
    </fill>
    <fill>
      <gradientFill degree="270">
        <stop position="0">
          <color theme="0"/>
        </stop>
        <stop position="1">
          <color rgb="FF76BB40"/>
        </stop>
      </gradient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5"/>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8" tint="0.39997558519241921"/>
        <bgColor indexed="64"/>
      </patternFill>
    </fill>
    <fill>
      <patternFill patternType="solid">
        <fgColor rgb="FF70AD47"/>
        <bgColor indexed="64"/>
      </patternFill>
    </fill>
    <fill>
      <patternFill patternType="solid">
        <fgColor theme="1" tint="0.499984740745262"/>
        <bgColor indexed="64"/>
      </patternFill>
    </fill>
  </fills>
  <borders count="21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34998626667073579"/>
      </right>
      <top/>
      <bottom/>
      <diagonal/>
    </border>
    <border>
      <left/>
      <right/>
      <top style="thin">
        <color indexed="64"/>
      </top>
      <bottom/>
      <diagonal/>
    </border>
    <border>
      <left/>
      <right/>
      <top/>
      <bottom style="thin">
        <color indexed="64"/>
      </bottom>
      <diagonal/>
    </border>
    <border>
      <left style="thin">
        <color auto="1"/>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diagonal/>
    </border>
    <border>
      <left style="medium">
        <color theme="0"/>
      </left>
      <right/>
      <top/>
      <bottom style="medium">
        <color theme="0"/>
      </bottom>
      <diagonal/>
    </border>
    <border>
      <left/>
      <right/>
      <top/>
      <bottom style="thin">
        <color rgb="FFA7A6A7"/>
      </bottom>
      <diagonal/>
    </border>
    <border>
      <left/>
      <right/>
      <top style="medium">
        <color rgb="FF0D509D"/>
      </top>
      <bottom/>
      <diagonal/>
    </border>
    <border>
      <left/>
      <right/>
      <top style="thin">
        <color rgb="FFA7A6A7"/>
      </top>
      <bottom/>
      <diagonal/>
    </border>
    <border>
      <left style="thin">
        <color rgb="FF0D509D"/>
      </left>
      <right/>
      <top style="thin">
        <color rgb="FF0D509D"/>
      </top>
      <bottom/>
      <diagonal/>
    </border>
    <border>
      <left/>
      <right/>
      <top style="thin">
        <color rgb="FF0D509D"/>
      </top>
      <bottom/>
      <diagonal/>
    </border>
    <border>
      <left/>
      <right style="thin">
        <color rgb="FF0D509D"/>
      </right>
      <top style="thin">
        <color rgb="FF0D509D"/>
      </top>
      <bottom/>
      <diagonal/>
    </border>
    <border>
      <left style="thin">
        <color rgb="FF0D509D"/>
      </left>
      <right/>
      <top/>
      <bottom/>
      <diagonal/>
    </border>
    <border>
      <left/>
      <right style="thin">
        <color rgb="FF0D509D"/>
      </right>
      <top/>
      <bottom/>
      <diagonal/>
    </border>
    <border>
      <left style="thin">
        <color rgb="FF0D509D"/>
      </left>
      <right/>
      <top/>
      <bottom style="thin">
        <color rgb="FF0D509D"/>
      </bottom>
      <diagonal/>
    </border>
    <border>
      <left/>
      <right/>
      <top/>
      <bottom style="thin">
        <color rgb="FF0D509D"/>
      </bottom>
      <diagonal/>
    </border>
    <border>
      <left/>
      <right style="thin">
        <color rgb="FF0D509D"/>
      </right>
      <top/>
      <bottom style="thin">
        <color rgb="FF0D509D"/>
      </bottom>
      <diagonal/>
    </border>
    <border>
      <left/>
      <right/>
      <top/>
      <bottom style="medium">
        <color theme="0" tint="-0.14996795556505021"/>
      </bottom>
      <diagonal/>
    </border>
    <border>
      <left/>
      <right/>
      <top style="medium">
        <color theme="0" tint="-0.14996795556505021"/>
      </top>
      <bottom/>
      <diagonal/>
    </border>
    <border>
      <left style="medium">
        <color theme="0" tint="-0.34998626667073579"/>
      </left>
      <right/>
      <top style="medium">
        <color theme="0" tint="-0.34998626667073579"/>
      </top>
      <bottom style="medium">
        <color theme="0" tint="-0.14996795556505021"/>
      </bottom>
      <diagonal/>
    </border>
    <border>
      <left/>
      <right/>
      <top style="medium">
        <color theme="0" tint="-0.34998626667073579"/>
      </top>
      <bottom style="medium">
        <color theme="0" tint="-0.14996795556505021"/>
      </bottom>
      <diagonal/>
    </border>
    <border>
      <left/>
      <right style="medium">
        <color theme="0" tint="-0.14996795556505021"/>
      </right>
      <top style="medium">
        <color theme="0" tint="-0.34998626667073579"/>
      </top>
      <bottom style="medium">
        <color theme="0" tint="-0.14996795556505021"/>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14996795556505021"/>
      </right>
      <top style="medium">
        <color theme="0" tint="-0.34998626667073579"/>
      </top>
      <bottom/>
      <diagonal/>
    </border>
    <border>
      <left style="medium">
        <color theme="0" tint="-0.34998626667073579"/>
      </left>
      <right/>
      <top/>
      <bottom/>
      <diagonal/>
    </border>
    <border>
      <left/>
      <right style="medium">
        <color theme="0" tint="-0.14996795556505021"/>
      </right>
      <top/>
      <bottom/>
      <diagonal/>
    </border>
    <border>
      <left style="medium">
        <color theme="0" tint="-0.34998626667073579"/>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medium">
        <color theme="0" tint="-0.34998626667073579"/>
      </left>
      <right style="medium">
        <color theme="0" tint="-0.14996795556505021"/>
      </right>
      <top style="medium">
        <color theme="0" tint="-0.34998626667073579"/>
      </top>
      <bottom style="medium">
        <color theme="0" tint="-0.1499679555650502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dotted">
        <color theme="0" tint="-0.14996795556505021"/>
      </bottom>
      <diagonal/>
    </border>
    <border>
      <left/>
      <right style="thin">
        <color theme="0" tint="-0.34998626667073579"/>
      </right>
      <top/>
      <bottom style="dotted">
        <color theme="0" tint="-0.14996795556505021"/>
      </bottom>
      <diagonal/>
    </border>
    <border>
      <left style="thin">
        <color theme="0" tint="-0.34998626667073579"/>
      </left>
      <right/>
      <top style="dotted">
        <color theme="0" tint="-0.14996795556505021"/>
      </top>
      <bottom style="dotted">
        <color theme="0" tint="-0.14996795556505021"/>
      </bottom>
      <diagonal/>
    </border>
    <border>
      <left/>
      <right/>
      <top style="dotted">
        <color theme="0" tint="-0.14996795556505021"/>
      </top>
      <bottom style="dotted">
        <color theme="0" tint="-0.14996795556505021"/>
      </bottom>
      <diagonal/>
    </border>
    <border>
      <left/>
      <right style="thin">
        <color theme="0" tint="-0.34998626667073579"/>
      </right>
      <top style="dotted">
        <color theme="0" tint="-0.14996795556505021"/>
      </top>
      <bottom style="dotted">
        <color theme="0" tint="-0.14996795556505021"/>
      </bottom>
      <diagonal/>
    </border>
    <border>
      <left/>
      <right/>
      <top style="dotted">
        <color theme="0" tint="-0.14996795556505021"/>
      </top>
      <bottom/>
      <diagonal/>
    </border>
    <border>
      <left/>
      <right style="thin">
        <color theme="0" tint="-0.34998626667073579"/>
      </right>
      <top style="dotted">
        <color theme="0" tint="-0.1499679555650502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bottom style="medium">
        <color indexed="64"/>
      </bottom>
      <diagonal/>
    </border>
    <border>
      <left/>
      <right/>
      <top/>
      <bottom style="medium">
        <color theme="0" tint="-0.14993743705557422"/>
      </bottom>
      <diagonal/>
    </border>
    <border>
      <left/>
      <right/>
      <top style="medium">
        <color theme="0" tint="-0.14993743705557422"/>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medium">
        <color indexed="64"/>
      </top>
      <bottom style="thin">
        <color theme="0" tint="-0.499984740745262"/>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style="thin">
        <color rgb="FF0C4F9C"/>
      </left>
      <right/>
      <top/>
      <bottom/>
      <diagonal/>
    </border>
    <border>
      <left/>
      <right style="thin">
        <color rgb="FF0C4F9C"/>
      </right>
      <top/>
      <bottom/>
      <diagonal/>
    </border>
    <border>
      <left style="thin">
        <color rgb="FF0C4F9C"/>
      </left>
      <right/>
      <top/>
      <bottom style="thin">
        <color rgb="FF0C4F9C"/>
      </bottom>
      <diagonal/>
    </border>
    <border>
      <left/>
      <right/>
      <top/>
      <bottom style="thin">
        <color rgb="FF0C4F9C"/>
      </bottom>
      <diagonal/>
    </border>
    <border>
      <left/>
      <right style="thin">
        <color rgb="FF0C4F9C"/>
      </right>
      <top/>
      <bottom style="thin">
        <color rgb="FF0C4F9C"/>
      </bottom>
      <diagonal/>
    </border>
    <border>
      <left style="thin">
        <color rgb="FF0C4F9C"/>
      </left>
      <right/>
      <top style="thin">
        <color rgb="FF0C4F9C"/>
      </top>
      <bottom/>
      <diagonal/>
    </border>
    <border>
      <left/>
      <right/>
      <top style="thin">
        <color rgb="FF0C4F9C"/>
      </top>
      <bottom/>
      <diagonal/>
    </border>
    <border>
      <left/>
      <right style="thin">
        <color rgb="FF0C4F9C"/>
      </right>
      <top style="thin">
        <color rgb="FF0C4F9C"/>
      </top>
      <bottom/>
      <diagonal/>
    </border>
    <border>
      <left style="thin">
        <color rgb="FF0C4F9C"/>
      </left>
      <right/>
      <top style="thin">
        <color rgb="FF0C4F9C"/>
      </top>
      <bottom style="thin">
        <color rgb="FF00334E"/>
      </bottom>
      <diagonal/>
    </border>
    <border>
      <left/>
      <right/>
      <top style="thin">
        <color rgb="FF0C4F9C"/>
      </top>
      <bottom style="thin">
        <color rgb="FF00334E"/>
      </bottom>
      <diagonal/>
    </border>
    <border>
      <left/>
      <right style="thin">
        <color rgb="FF0C4F9C"/>
      </right>
      <top style="thin">
        <color rgb="FF0C4F9C"/>
      </top>
      <bottom style="thin">
        <color rgb="FF00334E"/>
      </bottom>
      <diagonal/>
    </border>
    <border>
      <left style="thin">
        <color rgb="FF0C4F9C"/>
      </left>
      <right style="thin">
        <color rgb="FF0C4F9C"/>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medium">
        <color theme="0"/>
      </top>
      <bottom/>
      <diagonal/>
    </border>
    <border>
      <left style="thin">
        <color theme="0" tint="-0.34998626667073579"/>
      </left>
      <right style="thin">
        <color theme="0" tint="-0.499984740745262"/>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medium">
        <color auto="1"/>
      </bottom>
      <diagonal/>
    </border>
    <border>
      <left/>
      <right/>
      <top style="medium">
        <color indexed="64"/>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0" tint="-0.499984740745262"/>
      </top>
      <bottom style="thin">
        <color theme="0" tint="-0.499984740745262"/>
      </bottom>
      <diagonal/>
    </border>
    <border>
      <left style="thin">
        <color theme="0" tint="-0.34998626667073579"/>
      </left>
      <right style="thin">
        <color theme="0" tint="-0.499984740745262"/>
      </right>
      <top/>
      <bottom style="thin">
        <color theme="0" tint="-0.34998626667073579"/>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thin">
        <color theme="4" tint="0.39997558519241921"/>
      </left>
      <right/>
      <top style="thin">
        <color theme="4" tint="0.39997558519241921"/>
      </top>
      <bottom/>
      <diagonal/>
    </border>
    <border>
      <left style="thin">
        <color rgb="FF76BB40"/>
      </left>
      <right/>
      <top style="thin">
        <color rgb="FF76BB40"/>
      </top>
      <bottom/>
      <diagonal/>
    </border>
    <border>
      <left/>
      <right/>
      <top style="thin">
        <color rgb="FF76BB40"/>
      </top>
      <bottom/>
      <diagonal/>
    </border>
    <border>
      <left/>
      <right style="thin">
        <color rgb="FF76BB40"/>
      </right>
      <top style="thin">
        <color rgb="FF76BB40"/>
      </top>
      <bottom/>
      <diagonal/>
    </border>
    <border>
      <left style="thin">
        <color rgb="FF76BB40"/>
      </left>
      <right/>
      <top/>
      <bottom style="thin">
        <color rgb="FF76BB40"/>
      </bottom>
      <diagonal/>
    </border>
    <border>
      <left/>
      <right/>
      <top/>
      <bottom style="thin">
        <color rgb="FF76BB40"/>
      </bottom>
      <diagonal/>
    </border>
    <border>
      <left/>
      <right style="thin">
        <color rgb="FF76BB40"/>
      </right>
      <top/>
      <bottom style="thin">
        <color rgb="FF76BB40"/>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theme="0" tint="-0.499984740745262"/>
      </left>
      <right style="thin">
        <color theme="0" tint="-0.34998626667073579"/>
      </right>
      <top style="medium">
        <color indexed="64"/>
      </top>
      <bottom style="thin">
        <color theme="0" tint="-0.34998626667073579"/>
      </bottom>
      <diagonal/>
    </border>
    <border>
      <left style="thin">
        <color theme="0" tint="-0.34998626667073579"/>
      </left>
      <right style="medium">
        <color theme="0" tint="-0.499984740745262"/>
      </right>
      <top style="medium">
        <color indexed="64"/>
      </top>
      <bottom style="thin">
        <color theme="0" tint="-0.34998626667073579"/>
      </bottom>
      <diagonal/>
    </border>
    <border>
      <left style="medium">
        <color theme="0" tint="-0.499984740745262"/>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499984740745262"/>
      </right>
      <top style="thin">
        <color theme="0" tint="-0.34998626667073579"/>
      </top>
      <bottom style="thin">
        <color theme="0" tint="-0.34998626667073579"/>
      </bottom>
      <diagonal/>
    </border>
    <border>
      <left style="medium">
        <color theme="0" tint="-0.499984740745262"/>
      </left>
      <right style="thin">
        <color theme="0" tint="-0.499984740745262"/>
      </right>
      <top style="medium">
        <color indexed="64"/>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medium">
        <color indexed="64"/>
      </top>
      <bottom style="thin">
        <color theme="0" tint="-0.499984740745262"/>
      </bottom>
      <diagonal/>
    </border>
    <border>
      <left style="thin">
        <color theme="0" tint="-0.499984740745262"/>
      </left>
      <right style="medium">
        <color theme="0" tint="-0.499984740745262"/>
      </right>
      <top style="medium">
        <color indexed="64"/>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34998626667073579"/>
      </right>
      <top/>
      <bottom style="thin">
        <color theme="0" tint="-0.34998626667073579"/>
      </bottom>
      <diagonal/>
    </border>
    <border>
      <left style="thin">
        <color theme="0" tint="-0.34998626667073579"/>
      </left>
      <right style="medium">
        <color theme="0" tint="-0.499984740745262"/>
      </right>
      <top/>
      <bottom style="thin">
        <color theme="0" tint="-0.34998626667073579"/>
      </bottom>
      <diagonal/>
    </border>
    <border>
      <left/>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style="medium">
        <color theme="0"/>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right style="thin">
        <color theme="4" tint="0.39997558519241921"/>
      </right>
      <top style="thin">
        <color theme="4" tint="0.39997558519241921"/>
      </top>
      <bottom style="thin">
        <color theme="4" tint="0.39997558519241921"/>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499984740745262"/>
      </left>
      <right/>
      <top/>
      <bottom/>
      <diagonal/>
    </border>
    <border>
      <left/>
      <right style="thin">
        <color theme="0" tint="-0.499984740745262"/>
      </right>
      <top/>
      <bottom/>
      <diagonal/>
    </border>
    <border>
      <left/>
      <right style="medium">
        <color theme="0" tint="-0.499984740745262"/>
      </right>
      <top style="thin">
        <color theme="0" tint="-0.499984740745262"/>
      </top>
      <bottom/>
      <diagonal/>
    </border>
    <border>
      <left/>
      <right style="medium">
        <color theme="0" tint="-0.499984740745262"/>
      </right>
      <top/>
      <bottom style="thin">
        <color theme="0" tint="-0.499984740745262"/>
      </bottom>
      <diagonal/>
    </border>
    <border>
      <left style="medium">
        <color theme="0" tint="-0.499984740745262"/>
      </left>
      <right/>
      <top style="thin">
        <color theme="0" tint="-0.499984740745262"/>
      </top>
      <bottom/>
      <diagonal/>
    </border>
    <border>
      <left style="medium">
        <color theme="0" tint="-0.499984740745262"/>
      </left>
      <right/>
      <top/>
      <bottom style="thin">
        <color theme="0" tint="-0.499984740745262"/>
      </bottom>
      <diagonal/>
    </border>
    <border>
      <left/>
      <right style="medium">
        <color theme="0" tint="-0.499984740745262"/>
      </right>
      <top style="thin">
        <color theme="0" tint="-0.34998626667073579"/>
      </top>
      <bottom/>
      <diagonal/>
    </border>
    <border>
      <left/>
      <right style="medium">
        <color theme="0" tint="-0.499984740745262"/>
      </right>
      <top/>
      <bottom style="thin">
        <color theme="0" tint="-0.34998626667073579"/>
      </bottom>
      <diagonal/>
    </border>
    <border>
      <left style="medium">
        <color theme="0" tint="-0.499984740745262"/>
      </left>
      <right/>
      <top style="thin">
        <color theme="0" tint="-0.34998626667073579"/>
      </top>
      <bottom/>
      <diagonal/>
    </border>
    <border>
      <left style="medium">
        <color theme="0" tint="-0.499984740745262"/>
      </left>
      <right/>
      <top/>
      <bottom style="thin">
        <color theme="0" tint="-0.34998626667073579"/>
      </bottom>
      <diagonal/>
    </border>
    <border>
      <left style="medium">
        <color theme="0" tint="-0.499984740745262"/>
      </left>
      <right style="thin">
        <color theme="0" tint="-0.34998626667073579"/>
      </right>
      <top/>
      <bottom/>
      <diagonal/>
    </border>
    <border>
      <left style="thin">
        <color theme="0" tint="-0.34998626667073579"/>
      </left>
      <right style="thin">
        <color theme="0" tint="-0.34998626667073579"/>
      </right>
      <top/>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style="medium">
        <color theme="0" tint="-0.499984740745262"/>
      </left>
      <right/>
      <top style="medium">
        <color indexed="64"/>
      </top>
      <bottom/>
      <diagonal/>
    </border>
    <border>
      <left style="thin">
        <color theme="0" tint="-0.34998626667073579"/>
      </left>
      <right style="medium">
        <color theme="0" tint="-0.499984740745262"/>
      </right>
      <top style="medium">
        <color indexed="64"/>
      </top>
      <bottom/>
      <diagonal/>
    </border>
    <border>
      <left style="medium">
        <color theme="0" tint="-0.34998626667073579"/>
      </left>
      <right style="thin">
        <color theme="0" tint="-0.34998626667073579"/>
      </right>
      <top/>
      <bottom style="thin">
        <color theme="0" tint="-0.3499862666707357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n">
        <color theme="0" tint="-0.499984740745262"/>
      </left>
      <right/>
      <top style="medium">
        <color indexed="64"/>
      </top>
      <bottom/>
      <diagonal/>
    </border>
    <border>
      <left/>
      <right style="thin">
        <color theme="0" tint="-0.499984740745262"/>
      </right>
      <top style="medium">
        <color indexed="64"/>
      </top>
      <bottom/>
      <diagonal/>
    </border>
    <border>
      <left style="medium">
        <color theme="0" tint="-0.499984740745262"/>
      </left>
      <right style="thin">
        <color theme="0" tint="-0.34998626667073579"/>
      </right>
      <top style="thin">
        <color theme="0" tint="-0.34998626667073579"/>
      </top>
      <bottom/>
      <diagonal/>
    </border>
    <border>
      <left/>
      <right style="medium">
        <color theme="0" tint="-0.499984740745262"/>
      </right>
      <top style="medium">
        <color indexed="64"/>
      </top>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style="thin">
        <color rgb="FF76BB40"/>
      </left>
      <right/>
      <top/>
      <bottom/>
      <diagonal/>
    </border>
    <border>
      <left/>
      <right style="thin">
        <color rgb="FF76BB40"/>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theme="0" tint="-0.499984740745262"/>
      </right>
      <top style="medium">
        <color indexed="64"/>
      </top>
      <bottom/>
      <diagonal/>
    </border>
    <border>
      <left style="medium">
        <color theme="0" tint="-0.499984740745262"/>
      </left>
      <right style="medium">
        <color theme="0" tint="-0.499984740745262"/>
      </right>
      <top style="medium">
        <color indexed="64"/>
      </top>
      <bottom/>
      <diagonal/>
    </border>
    <border>
      <left style="medium">
        <color theme="0" tint="-0.499984740745262"/>
      </left>
      <right style="thin">
        <color theme="0" tint="-0.499984740745262"/>
      </right>
      <top style="medium">
        <color indexed="64"/>
      </top>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indexed="64"/>
      </top>
      <bottom/>
      <diagonal/>
    </border>
    <border>
      <left/>
      <right style="thin">
        <color theme="4" tint="0.39997558519241921"/>
      </right>
      <top/>
      <bottom style="thin">
        <color theme="4" tint="0.39997558519241921"/>
      </bottom>
      <diagonal/>
    </border>
    <border>
      <left style="medium">
        <color theme="0" tint="-0.499984740745262"/>
      </left>
      <right style="medium">
        <color theme="0" tint="-0.499984740745262"/>
      </right>
      <top style="medium">
        <color indexed="64"/>
      </top>
      <bottom style="thin">
        <color theme="0" tint="-0.34998626667073579"/>
      </bottom>
      <diagonal/>
    </border>
    <border>
      <left style="medium">
        <color theme="0" tint="-0.499984740745262"/>
      </left>
      <right style="medium">
        <color theme="0" tint="-0.499984740745262"/>
      </right>
      <top style="thin">
        <color theme="0" tint="-0.34998626667073579"/>
      </top>
      <bottom style="thin">
        <color theme="0" tint="-0.34998626667073579"/>
      </bottom>
      <diagonal/>
    </border>
    <border>
      <left/>
      <right style="medium">
        <color theme="0" tint="-0.499984740745262"/>
      </right>
      <top/>
      <bottom/>
      <diagonal/>
    </border>
    <border>
      <left style="medium">
        <color theme="0" tint="-0.499984740745262"/>
      </left>
      <right/>
      <top/>
      <bottom/>
      <diagonal/>
    </border>
    <border>
      <left style="thin">
        <color theme="0" tint="-0.499984740745262"/>
      </left>
      <right/>
      <top style="medium">
        <color indexed="64"/>
      </top>
      <bottom style="thin">
        <color theme="0" tint="-0.499984740745262"/>
      </bottom>
      <diagonal/>
    </border>
    <border>
      <left/>
      <right/>
      <top style="medium">
        <color indexed="64"/>
      </top>
      <bottom style="thin">
        <color theme="0" tint="-0.499984740745262"/>
      </bottom>
      <diagonal/>
    </border>
    <border>
      <left/>
      <right style="medium">
        <color theme="0" tint="-0.499984740745262"/>
      </right>
      <top style="medium">
        <color indexed="64"/>
      </top>
      <bottom style="thin">
        <color theme="0" tint="-0.499984740745262"/>
      </bottom>
      <diagonal/>
    </border>
    <border>
      <left style="medium">
        <color theme="0" tint="-0.499984740745262"/>
      </left>
      <right style="thin">
        <color theme="0" tint="-0.34998626667073579"/>
      </right>
      <top style="medium">
        <color indexed="64"/>
      </top>
      <bottom/>
      <diagonal/>
    </border>
    <border>
      <left style="thin">
        <color theme="0" tint="-0.34998626667073579"/>
      </left>
      <right style="medium">
        <color theme="0" tint="-0.499984740745262"/>
      </right>
      <top style="thin">
        <color theme="0" tint="-0.34998626667073579"/>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98">
    <xf numFmtId="0" fontId="0" fillId="0" borderId="0"/>
    <xf numFmtId="0" fontId="20" fillId="0" borderId="0" applyNumberFormat="0" applyFill="0" applyBorder="0" applyAlignment="0" applyProtection="0"/>
    <xf numFmtId="0" fontId="21" fillId="0" borderId="0" applyNumberFormat="0" applyAlignment="0" applyProtection="0"/>
    <xf numFmtId="9" fontId="24" fillId="0" borderId="0" applyFont="0" applyFill="0" applyBorder="0" applyAlignment="0" applyProtection="0"/>
    <xf numFmtId="0" fontId="21" fillId="0" borderId="0" applyNumberFormat="0" applyAlignment="0" applyProtection="0"/>
    <xf numFmtId="0" fontId="27" fillId="0" borderId="0"/>
    <xf numFmtId="9" fontId="21" fillId="0" borderId="0" applyFont="0" applyFill="0" applyBorder="0" applyAlignment="0" applyProtection="0"/>
    <xf numFmtId="0" fontId="47" fillId="0" borderId="0"/>
    <xf numFmtId="0" fontId="21" fillId="0" borderId="0"/>
    <xf numFmtId="0" fontId="52" fillId="0" borderId="0"/>
    <xf numFmtId="0" fontId="53" fillId="0" borderId="0" applyNumberFormat="0" applyFill="0" applyBorder="0" applyAlignment="0" applyProtection="0"/>
    <xf numFmtId="44" fontId="47" fillId="0" borderId="0" applyFont="0" applyFill="0" applyBorder="0" applyAlignment="0" applyProtection="0"/>
    <xf numFmtId="43" fontId="47" fillId="0" borderId="0" applyFont="0" applyFill="0" applyBorder="0" applyAlignment="0" applyProtection="0"/>
    <xf numFmtId="44" fontId="21" fillId="0" borderId="0" applyFont="0" applyFill="0" applyBorder="0" applyAlignment="0" applyProtection="0"/>
    <xf numFmtId="0" fontId="47" fillId="0" borderId="0"/>
    <xf numFmtId="43" fontId="21" fillId="0" borderId="0" applyFont="0" applyFill="0" applyBorder="0" applyAlignment="0" applyProtection="0"/>
    <xf numFmtId="0" fontId="153" fillId="0" borderId="170" applyNumberFormat="0" applyFill="0" applyAlignment="0" applyProtection="0"/>
    <xf numFmtId="0" fontId="154" fillId="0" borderId="171" applyNumberFormat="0" applyFill="0" applyAlignment="0" applyProtection="0"/>
    <xf numFmtId="0" fontId="155" fillId="0" borderId="172" applyNumberFormat="0" applyFill="0" applyAlignment="0" applyProtection="0"/>
    <xf numFmtId="0" fontId="155" fillId="0" borderId="0" applyNumberFormat="0" applyFill="0" applyBorder="0" applyAlignment="0" applyProtection="0"/>
    <xf numFmtId="0" fontId="156" fillId="41" borderId="0" applyNumberFormat="0" applyBorder="0" applyAlignment="0" applyProtection="0"/>
    <xf numFmtId="0" fontId="157" fillId="42" borderId="0" applyNumberFormat="0" applyBorder="0" applyAlignment="0" applyProtection="0"/>
    <xf numFmtId="0" fontId="158" fillId="44" borderId="173" applyNumberFormat="0" applyAlignment="0" applyProtection="0"/>
    <xf numFmtId="0" fontId="159" fillId="45" borderId="174" applyNumberFormat="0" applyAlignment="0" applyProtection="0"/>
    <xf numFmtId="0" fontId="160" fillId="45" borderId="173" applyNumberFormat="0" applyAlignment="0" applyProtection="0"/>
    <xf numFmtId="0" fontId="161" fillId="0" borderId="175" applyNumberFormat="0" applyFill="0" applyAlignment="0" applyProtection="0"/>
    <xf numFmtId="0" fontId="162" fillId="46" borderId="176" applyNumberFormat="0" applyAlignment="0" applyProtection="0"/>
    <xf numFmtId="0" fontId="150" fillId="0" borderId="0" applyNumberFormat="0" applyFill="0" applyBorder="0" applyAlignment="0" applyProtection="0"/>
    <xf numFmtId="0" fontId="163" fillId="0" borderId="0" applyNumberFormat="0" applyFill="0" applyBorder="0" applyAlignment="0" applyProtection="0"/>
    <xf numFmtId="0" fontId="164" fillId="0" borderId="178" applyNumberFormat="0" applyFill="0" applyAlignment="0" applyProtection="0"/>
    <xf numFmtId="0" fontId="165" fillId="48"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65" fillId="52"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65" fillId="56" borderId="0" applyNumberFormat="0" applyBorder="0" applyAlignment="0" applyProtection="0"/>
    <xf numFmtId="0" fontId="19" fillId="57" borderId="0" applyNumberFormat="0" applyBorder="0" applyAlignment="0" applyProtection="0"/>
    <xf numFmtId="0" fontId="165" fillId="59" borderId="0" applyNumberFormat="0" applyBorder="0" applyAlignment="0" applyProtection="0"/>
    <xf numFmtId="0" fontId="19" fillId="60" borderId="0" applyNumberFormat="0" applyBorder="0" applyAlignment="0" applyProtection="0"/>
    <xf numFmtId="0" fontId="19" fillId="61" borderId="0" applyNumberFormat="0" applyBorder="0" applyAlignment="0" applyProtection="0"/>
    <xf numFmtId="0" fontId="165" fillId="63" borderId="0" applyNumberFormat="0" applyBorder="0" applyAlignment="0" applyProtection="0"/>
    <xf numFmtId="0" fontId="19" fillId="64" borderId="0" applyNumberFormat="0" applyBorder="0" applyAlignment="0" applyProtection="0"/>
    <xf numFmtId="0" fontId="19" fillId="65" borderId="0" applyNumberFormat="0" applyBorder="0" applyAlignment="0" applyProtection="0"/>
    <xf numFmtId="0" fontId="165" fillId="67" borderId="0" applyNumberFormat="0" applyBorder="0" applyAlignment="0" applyProtection="0"/>
    <xf numFmtId="0" fontId="19" fillId="68" borderId="0" applyNumberFormat="0" applyBorder="0" applyAlignment="0" applyProtection="0"/>
    <xf numFmtId="0" fontId="19" fillId="69" borderId="0" applyNumberFormat="0" applyBorder="0" applyAlignment="0" applyProtection="0"/>
    <xf numFmtId="0" fontId="19" fillId="0" borderId="0"/>
    <xf numFmtId="0" fontId="19" fillId="39" borderId="0" applyNumberFormat="0" applyBorder="0" applyAlignment="0" applyProtection="0"/>
    <xf numFmtId="0" fontId="165" fillId="51" borderId="0" applyNumberFormat="0" applyBorder="0" applyAlignment="0" applyProtection="0"/>
    <xf numFmtId="0" fontId="165" fillId="55" borderId="0" applyNumberFormat="0" applyBorder="0" applyAlignment="0" applyProtection="0"/>
    <xf numFmtId="0" fontId="165" fillId="58" borderId="0" applyNumberFormat="0" applyBorder="0" applyAlignment="0" applyProtection="0"/>
    <xf numFmtId="0" fontId="165" fillId="62" borderId="0" applyNumberFormat="0" applyBorder="0" applyAlignment="0" applyProtection="0"/>
    <xf numFmtId="0" fontId="165" fillId="66" borderId="0" applyNumberFormat="0" applyBorder="0" applyAlignment="0" applyProtection="0"/>
    <xf numFmtId="0" fontId="165" fillId="70" borderId="0" applyNumberFormat="0" applyBorder="0" applyAlignment="0" applyProtection="0"/>
    <xf numFmtId="0" fontId="166" fillId="0" borderId="179" applyNumberFormat="0" applyFont="0" applyProtection="0">
      <alignment wrapText="1"/>
    </xf>
    <xf numFmtId="0" fontId="167" fillId="0" borderId="0" applyNumberFormat="0" applyFill="0" applyBorder="0" applyAlignment="0" applyProtection="0">
      <alignment vertical="top"/>
      <protection locked="0"/>
    </xf>
    <xf numFmtId="0" fontId="166" fillId="0" borderId="0" applyNumberFormat="0" applyFill="0" applyBorder="0" applyAlignment="0" applyProtection="0"/>
    <xf numFmtId="0" fontId="166" fillId="0" borderId="0" applyNumberFormat="0" applyProtection="0">
      <alignment vertical="top" wrapText="1"/>
    </xf>
    <xf numFmtId="0" fontId="166" fillId="0" borderId="180" applyNumberFormat="0" applyProtection="0">
      <alignment vertical="top" wrapText="1"/>
    </xf>
    <xf numFmtId="0" fontId="168" fillId="0" borderId="170" applyNumberFormat="0" applyProtection="0">
      <alignment wrapText="1"/>
    </xf>
    <xf numFmtId="0" fontId="168" fillId="0" borderId="181" applyNumberFormat="0" applyProtection="0">
      <alignment horizontal="left" wrapText="1"/>
    </xf>
    <xf numFmtId="0" fontId="169" fillId="0" borderId="0" applyNumberFormat="0" applyFill="0" applyBorder="0" applyAlignment="0" applyProtection="0">
      <alignment vertical="top"/>
      <protection locked="0"/>
    </xf>
    <xf numFmtId="0" fontId="170" fillId="43" borderId="0" applyNumberFormat="0" applyBorder="0" applyAlignment="0" applyProtection="0"/>
    <xf numFmtId="0" fontId="47" fillId="0" borderId="0"/>
    <xf numFmtId="0" fontId="19" fillId="47" borderId="177" applyNumberFormat="0" applyFont="0" applyAlignment="0" applyProtection="0"/>
    <xf numFmtId="0" fontId="168" fillId="0" borderId="182" applyNumberFormat="0" applyProtection="0">
      <alignment wrapText="1"/>
    </xf>
    <xf numFmtId="0" fontId="166" fillId="0" borderId="183" applyNumberFormat="0" applyFont="0" applyFill="0" applyProtection="0">
      <alignment wrapText="1"/>
    </xf>
    <xf numFmtId="0" fontId="168" fillId="0" borderId="184" applyNumberFormat="0" applyFill="0" applyProtection="0">
      <alignment wrapText="1"/>
    </xf>
    <xf numFmtId="0" fontId="171" fillId="0" borderId="0" applyNumberFormat="0" applyProtection="0">
      <alignment horizontal="left"/>
    </xf>
    <xf numFmtId="0" fontId="172" fillId="0" borderId="0" applyNumberFormat="0" applyFill="0" applyBorder="0" applyAlignment="0" applyProtection="0"/>
    <xf numFmtId="0" fontId="9" fillId="0" borderId="0"/>
    <xf numFmtId="0" fontId="47" fillId="0" borderId="0"/>
    <xf numFmtId="0" fontId="6" fillId="3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7"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0" borderId="0"/>
    <xf numFmtId="0" fontId="6" fillId="39" borderId="0" applyNumberFormat="0" applyBorder="0" applyAlignment="0" applyProtection="0"/>
    <xf numFmtId="0" fontId="6" fillId="47" borderId="177" applyNumberFormat="0" applyFont="0" applyAlignment="0" applyProtection="0"/>
    <xf numFmtId="0" fontId="6" fillId="0" borderId="0"/>
    <xf numFmtId="0" fontId="5" fillId="0" borderId="0"/>
    <xf numFmtId="44" fontId="5" fillId="0" borderId="0" applyFont="0" applyFill="0" applyBorder="0" applyAlignment="0" applyProtection="0"/>
    <xf numFmtId="0" fontId="191" fillId="0" borderId="0" applyNumberForma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192" fillId="0" borderId="0"/>
    <xf numFmtId="0" fontId="43" fillId="0" borderId="0"/>
    <xf numFmtId="0" fontId="5" fillId="0" borderId="0"/>
  </cellStyleXfs>
  <cellXfs count="1547">
    <xf numFmtId="0" fontId="0" fillId="0" borderId="0" xfId="0"/>
    <xf numFmtId="0" fontId="0" fillId="0" borderId="0" xfId="0" applyAlignment="1">
      <alignment wrapText="1"/>
    </xf>
    <xf numFmtId="0" fontId="29" fillId="0" borderId="0" xfId="0" applyFont="1"/>
    <xf numFmtId="0" fontId="29" fillId="0" borderId="0" xfId="0" applyFont="1" applyAlignment="1">
      <alignment horizontal="center"/>
    </xf>
    <xf numFmtId="14" fontId="30" fillId="0" borderId="1" xfId="0" applyNumberFormat="1" applyFont="1" applyBorder="1" applyAlignment="1">
      <alignment horizontal="center"/>
    </xf>
    <xf numFmtId="0" fontId="30" fillId="0" borderId="1" xfId="0" applyFont="1" applyBorder="1" applyAlignment="1">
      <alignment horizontal="center" wrapText="1"/>
    </xf>
    <xf numFmtId="49" fontId="30" fillId="0" borderId="1" xfId="0" applyNumberFormat="1" applyFont="1" applyBorder="1" applyAlignment="1">
      <alignment horizontal="left" wrapText="1"/>
    </xf>
    <xf numFmtId="0" fontId="30" fillId="0" borderId="1" xfId="0" applyFont="1" applyBorder="1" applyAlignment="1">
      <alignment horizontal="left" vertical="center" wrapText="1"/>
    </xf>
    <xf numFmtId="0" fontId="30" fillId="0" borderId="0" xfId="0" applyFont="1"/>
    <xf numFmtId="10" fontId="0" fillId="0" borderId="0" xfId="6" applyNumberFormat="1" applyFont="1"/>
    <xf numFmtId="169" fontId="0" fillId="0" borderId="0" xfId="0" applyNumberFormat="1"/>
    <xf numFmtId="0" fontId="32" fillId="0" borderId="0" xfId="0" applyFont="1"/>
    <xf numFmtId="0" fontId="0" fillId="0" borderId="1" xfId="0" applyBorder="1"/>
    <xf numFmtId="171" fontId="0" fillId="0" borderId="0" xfId="0" applyNumberFormat="1"/>
    <xf numFmtId="2" fontId="0" fillId="0" borderId="0" xfId="0" applyNumberFormat="1"/>
    <xf numFmtId="0" fontId="0" fillId="0" borderId="0" xfId="0" applyAlignment="1">
      <alignment horizontal="right"/>
    </xf>
    <xf numFmtId="165" fontId="0" fillId="0" borderId="0" xfId="0" applyNumberFormat="1" applyAlignment="1">
      <alignment horizontal="left"/>
    </xf>
    <xf numFmtId="0" fontId="33" fillId="0" borderId="0" xfId="0" applyFont="1" applyAlignment="1">
      <alignment horizontal="left"/>
    </xf>
    <xf numFmtId="0" fontId="0" fillId="0" borderId="0" xfId="0" applyAlignment="1">
      <alignment horizontal="left"/>
    </xf>
    <xf numFmtId="49" fontId="0" fillId="0" borderId="0" xfId="0" applyNumberFormat="1"/>
    <xf numFmtId="0" fontId="36" fillId="0" borderId="0" xfId="0" applyFont="1"/>
    <xf numFmtId="169" fontId="36" fillId="0" borderId="0" xfId="0" applyNumberFormat="1" applyFont="1"/>
    <xf numFmtId="0" fontId="23" fillId="0" borderId="0" xfId="0" applyFont="1"/>
    <xf numFmtId="0" fontId="42" fillId="0" borderId="0" xfId="5" applyFont="1" applyAlignment="1">
      <alignment wrapText="1"/>
    </xf>
    <xf numFmtId="0" fontId="21" fillId="0" borderId="0" xfId="0" applyFont="1"/>
    <xf numFmtId="49" fontId="21" fillId="0" borderId="0" xfId="0" applyNumberFormat="1" applyFont="1"/>
    <xf numFmtId="0" fontId="43" fillId="0" borderId="0" xfId="5" applyFont="1" applyAlignment="1">
      <alignment wrapText="1"/>
    </xf>
    <xf numFmtId="0" fontId="31" fillId="0" borderId="0" xfId="0" applyFont="1"/>
    <xf numFmtId="49" fontId="31" fillId="0" borderId="0" xfId="5" applyNumberFormat="1" applyFont="1" applyAlignment="1">
      <alignment wrapText="1"/>
    </xf>
    <xf numFmtId="0" fontId="31" fillId="0" borderId="0" xfId="5" applyFont="1" applyAlignment="1">
      <alignment wrapText="1"/>
    </xf>
    <xf numFmtId="0" fontId="0" fillId="0" borderId="11" xfId="0" applyBorder="1"/>
    <xf numFmtId="1" fontId="0" fillId="0" borderId="0" xfId="0" applyNumberFormat="1"/>
    <xf numFmtId="176" fontId="0" fillId="0" borderId="0" xfId="0" applyNumberFormat="1"/>
    <xf numFmtId="0" fontId="0" fillId="0" borderId="12" xfId="0" applyBorder="1"/>
    <xf numFmtId="0" fontId="0" fillId="0" borderId="14" xfId="0" applyBorder="1"/>
    <xf numFmtId="0" fontId="0" fillId="0" borderId="5" xfId="0" applyBorder="1"/>
    <xf numFmtId="0" fontId="0" fillId="15" borderId="0" xfId="0" applyFill="1"/>
    <xf numFmtId="172" fontId="0" fillId="0" borderId="0" xfId="0" applyNumberFormat="1"/>
    <xf numFmtId="0" fontId="0" fillId="0" borderId="0" xfId="0" quotePrefix="1"/>
    <xf numFmtId="49" fontId="32" fillId="0" borderId="0" xfId="0" applyNumberFormat="1" applyFont="1"/>
    <xf numFmtId="0" fontId="48" fillId="0" borderId="0" xfId="0" applyFont="1" applyAlignment="1">
      <alignment wrapText="1"/>
    </xf>
    <xf numFmtId="177" fontId="0" fillId="0" borderId="0" xfId="0" applyNumberFormat="1"/>
    <xf numFmtId="0" fontId="33" fillId="0" borderId="0" xfId="0" applyFont="1"/>
    <xf numFmtId="49" fontId="34" fillId="0" borderId="0" xfId="0" applyNumberFormat="1" applyFont="1"/>
    <xf numFmtId="0" fontId="34" fillId="0" borderId="0" xfId="0" applyFont="1"/>
    <xf numFmtId="49" fontId="34" fillId="0" borderId="0" xfId="0" applyNumberFormat="1" applyFont="1" applyAlignment="1">
      <alignment wrapText="1"/>
    </xf>
    <xf numFmtId="0" fontId="0" fillId="0" borderId="10" xfId="0" applyBorder="1"/>
    <xf numFmtId="0" fontId="40" fillId="0" borderId="0" xfId="0" applyFont="1"/>
    <xf numFmtId="0" fontId="40" fillId="0" borderId="0" xfId="0" applyFont="1" applyAlignment="1">
      <alignment horizontal="center"/>
    </xf>
    <xf numFmtId="167" fontId="0" fillId="0" borderId="0" xfId="0" applyNumberFormat="1"/>
    <xf numFmtId="0" fontId="0" fillId="0" borderId="13" xfId="0" applyBorder="1"/>
    <xf numFmtId="0" fontId="0" fillId="0" borderId="3" xfId="0" applyBorder="1"/>
    <xf numFmtId="0" fontId="23" fillId="0" borderId="0" xfId="0" applyFont="1" applyAlignment="1">
      <alignment horizontal="center"/>
    </xf>
    <xf numFmtId="0" fontId="56" fillId="0" borderId="0" xfId="1" applyFont="1" applyBorder="1" applyAlignment="1">
      <alignment horizontal="center"/>
    </xf>
    <xf numFmtId="0" fontId="22" fillId="0" borderId="0" xfId="0" applyFont="1"/>
    <xf numFmtId="0" fontId="23" fillId="0" borderId="4" xfId="0" applyFont="1" applyBorder="1"/>
    <xf numFmtId="0" fontId="40" fillId="0" borderId="0" xfId="0" applyFont="1" applyAlignment="1">
      <alignment horizontal="center" vertical="center" wrapText="1"/>
    </xf>
    <xf numFmtId="0" fontId="58" fillId="0" borderId="0" xfId="0" applyFont="1"/>
    <xf numFmtId="0" fontId="0" fillId="13" borderId="0" xfId="0" applyFill="1"/>
    <xf numFmtId="0" fontId="55" fillId="0" borderId="0" xfId="0" applyFont="1" applyAlignment="1">
      <alignment vertical="center"/>
    </xf>
    <xf numFmtId="0" fontId="57" fillId="0" borderId="0" xfId="0" applyFont="1" applyAlignment="1">
      <alignment vertical="center" wrapText="1"/>
    </xf>
    <xf numFmtId="0" fontId="55" fillId="0" borderId="4" xfId="0" applyFont="1" applyBorder="1" applyAlignment="1">
      <alignment vertical="center"/>
    </xf>
    <xf numFmtId="0" fontId="46" fillId="0" borderId="0" xfId="0" applyFont="1" applyAlignment="1">
      <alignment horizontal="left"/>
    </xf>
    <xf numFmtId="0" fontId="46" fillId="0" borderId="0" xfId="0" applyFont="1"/>
    <xf numFmtId="0" fontId="49" fillId="0" borderId="0" xfId="0" applyFont="1" applyAlignment="1">
      <alignment horizontal="left"/>
    </xf>
    <xf numFmtId="0" fontId="51" fillId="0" borderId="0" xfId="0" applyFont="1" applyAlignment="1">
      <alignment horizontal="left" indent="1"/>
    </xf>
    <xf numFmtId="0" fontId="25" fillId="0" borderId="0" xfId="0" applyFont="1"/>
    <xf numFmtId="0" fontId="51" fillId="0" borderId="0" xfId="0" applyFont="1"/>
    <xf numFmtId="0" fontId="0" fillId="9" borderId="0" xfId="0" applyFill="1"/>
    <xf numFmtId="0" fontId="66" fillId="0" borderId="0" xfId="0" applyFont="1"/>
    <xf numFmtId="0" fontId="47" fillId="0" borderId="0" xfId="14"/>
    <xf numFmtId="181" fontId="47" fillId="0" borderId="0" xfId="13" applyNumberFormat="1" applyFont="1" applyBorder="1"/>
    <xf numFmtId="9" fontId="0" fillId="0" borderId="0" xfId="6" applyFont="1"/>
    <xf numFmtId="2" fontId="63" fillId="0" borderId="0" xfId="0" applyNumberFormat="1" applyFont="1" applyAlignment="1">
      <alignment vertical="center" wrapText="1"/>
    </xf>
    <xf numFmtId="2" fontId="63" fillId="0" borderId="0" xfId="0" applyNumberFormat="1" applyFont="1" applyAlignment="1">
      <alignment vertical="center"/>
    </xf>
    <xf numFmtId="0" fontId="69" fillId="0" borderId="0" xfId="0" applyFont="1"/>
    <xf numFmtId="0" fontId="69" fillId="0" borderId="22" xfId="0" applyFont="1" applyBorder="1"/>
    <xf numFmtId="0" fontId="72" fillId="0" borderId="0" xfId="0" applyFont="1" applyAlignment="1">
      <alignment vertical="center"/>
    </xf>
    <xf numFmtId="0" fontId="73" fillId="0" borderId="0" xfId="0" applyFont="1" applyAlignment="1">
      <alignment vertical="center"/>
    </xf>
    <xf numFmtId="0" fontId="0" fillId="14" borderId="0" xfId="0" applyFill="1"/>
    <xf numFmtId="0" fontId="0" fillId="4" borderId="0" xfId="0" applyFill="1"/>
    <xf numFmtId="0" fontId="0" fillId="0" borderId="33" xfId="0" applyBorder="1"/>
    <xf numFmtId="0" fontId="0" fillId="4" borderId="33" xfId="0" applyFill="1" applyBorder="1"/>
    <xf numFmtId="0" fontId="76" fillId="0" borderId="0" xfId="0" applyFont="1" applyAlignment="1">
      <alignment vertical="center"/>
    </xf>
    <xf numFmtId="0" fontId="79" fillId="0" borderId="0" xfId="0" applyFont="1"/>
    <xf numFmtId="0" fontId="80" fillId="0" borderId="0" xfId="0" applyFont="1" applyAlignment="1">
      <alignment vertical="top"/>
    </xf>
    <xf numFmtId="0" fontId="80" fillId="0" borderId="0" xfId="0" applyFont="1" applyAlignment="1">
      <alignment horizontal="center" vertical="top" wrapText="1"/>
    </xf>
    <xf numFmtId="0" fontId="83" fillId="0" borderId="0" xfId="0" applyFont="1" applyAlignment="1">
      <alignment horizontal="center"/>
    </xf>
    <xf numFmtId="0" fontId="86" fillId="0" borderId="0" xfId="0" applyFont="1"/>
    <xf numFmtId="0" fontId="85" fillId="0" borderId="0" xfId="0" applyFont="1" applyAlignment="1">
      <alignment vertical="center"/>
    </xf>
    <xf numFmtId="0" fontId="81" fillId="0" borderId="0" xfId="0" applyFont="1" applyAlignment="1">
      <alignment vertical="center"/>
    </xf>
    <xf numFmtId="0" fontId="87" fillId="0" borderId="0" xfId="1" applyFont="1" applyAlignment="1">
      <alignment horizontal="center" vertical="center" wrapText="1"/>
    </xf>
    <xf numFmtId="0" fontId="88" fillId="0" borderId="0" xfId="0" applyFont="1"/>
    <xf numFmtId="0" fontId="82" fillId="0" borderId="0" xfId="0" applyFont="1"/>
    <xf numFmtId="0" fontId="82" fillId="0" borderId="0" xfId="0" applyFont="1" applyAlignment="1">
      <alignment horizontal="left"/>
    </xf>
    <xf numFmtId="0" fontId="82" fillId="0" borderId="0" xfId="0" applyFont="1" applyAlignment="1">
      <alignment horizontal="left" vertical="top" wrapText="1"/>
    </xf>
    <xf numFmtId="1" fontId="23" fillId="0" borderId="0" xfId="0" applyNumberFormat="1" applyFont="1" applyAlignment="1">
      <alignment horizontal="center"/>
    </xf>
    <xf numFmtId="49" fontId="23" fillId="0" borderId="53" xfId="0" applyNumberFormat="1" applyFont="1" applyBorder="1" applyAlignment="1" applyProtection="1">
      <alignment horizontal="center"/>
      <protection locked="0"/>
    </xf>
    <xf numFmtId="0" fontId="88" fillId="0" borderId="0" xfId="0" applyFont="1" applyAlignment="1">
      <alignment horizontal="left"/>
    </xf>
    <xf numFmtId="0" fontId="82" fillId="0" borderId="57" xfId="0" applyFont="1" applyBorder="1"/>
    <xf numFmtId="0" fontId="82" fillId="0" borderId="9" xfId="0" applyFont="1" applyBorder="1"/>
    <xf numFmtId="0" fontId="0" fillId="0" borderId="9" xfId="0" applyBorder="1"/>
    <xf numFmtId="0" fontId="0" fillId="0" borderId="57" xfId="0" applyBorder="1"/>
    <xf numFmtId="0" fontId="82" fillId="0" borderId="58" xfId="0" applyFont="1" applyBorder="1"/>
    <xf numFmtId="0" fontId="82" fillId="0" borderId="59" xfId="0" applyFont="1" applyBorder="1"/>
    <xf numFmtId="0" fontId="82" fillId="0" borderId="60" xfId="0" applyFont="1" applyBorder="1"/>
    <xf numFmtId="0" fontId="85" fillId="0" borderId="0" xfId="0" applyFont="1" applyAlignment="1">
      <alignment horizontal="center" vertical="center"/>
    </xf>
    <xf numFmtId="0" fontId="23" fillId="0" borderId="70" xfId="0" applyFont="1" applyBorder="1" applyAlignment="1">
      <alignment horizontal="center"/>
    </xf>
    <xf numFmtId="0" fontId="0" fillId="0" borderId="0" xfId="0" applyAlignment="1">
      <alignment horizontal="right" wrapText="1"/>
    </xf>
    <xf numFmtId="0" fontId="0" fillId="15" borderId="0" xfId="0" quotePrefix="1" applyFill="1"/>
    <xf numFmtId="0" fontId="85" fillId="0" borderId="34" xfId="0" applyFont="1" applyBorder="1" applyAlignment="1">
      <alignment vertical="center"/>
    </xf>
    <xf numFmtId="0" fontId="86" fillId="0" borderId="34" xfId="0" applyFont="1" applyBorder="1"/>
    <xf numFmtId="0" fontId="0" fillId="0" borderId="34" xfId="0" applyBorder="1"/>
    <xf numFmtId="0" fontId="90" fillId="0" borderId="0" xfId="0" applyFont="1"/>
    <xf numFmtId="1" fontId="23" fillId="0" borderId="0" xfId="0" applyNumberFormat="1" applyFont="1"/>
    <xf numFmtId="172" fontId="23" fillId="0" borderId="0" xfId="0" applyNumberFormat="1" applyFont="1"/>
    <xf numFmtId="0" fontId="23" fillId="0" borderId="0" xfId="0" applyFont="1" applyAlignment="1">
      <alignment horizontal="right"/>
    </xf>
    <xf numFmtId="0" fontId="23" fillId="0" borderId="1" xfId="0" applyFont="1" applyBorder="1" applyAlignment="1">
      <alignment horizontal="center"/>
    </xf>
    <xf numFmtId="0" fontId="23" fillId="0" borderId="4" xfId="0" applyFont="1" applyBorder="1" applyAlignment="1">
      <alignment horizontal="right"/>
    </xf>
    <xf numFmtId="0" fontId="23" fillId="0" borderId="11" xfId="0" applyFont="1" applyBorder="1" applyAlignment="1">
      <alignment horizontal="center"/>
    </xf>
    <xf numFmtId="170" fontId="96" fillId="0" borderId="0" xfId="0" applyNumberFormat="1" applyFont="1"/>
    <xf numFmtId="0" fontId="23" fillId="0" borderId="0" xfId="0" applyFont="1" applyProtection="1">
      <protection hidden="1"/>
    </xf>
    <xf numFmtId="0" fontId="23" fillId="0" borderId="13" xfId="0" applyFont="1" applyBorder="1"/>
    <xf numFmtId="0" fontId="23" fillId="0" borderId="10" xfId="0" applyFont="1" applyBorder="1"/>
    <xf numFmtId="0" fontId="23" fillId="0" borderId="3" xfId="0" applyFont="1" applyBorder="1"/>
    <xf numFmtId="0" fontId="23" fillId="0" borderId="12" xfId="0" applyFont="1" applyBorder="1"/>
    <xf numFmtId="0" fontId="60" fillId="22" borderId="0" xfId="0" applyFont="1" applyFill="1" applyAlignment="1">
      <alignment vertical="center" wrapText="1"/>
    </xf>
    <xf numFmtId="0" fontId="95" fillId="22" borderId="0" xfId="0" applyFont="1" applyFill="1" applyAlignment="1">
      <alignment vertical="top" wrapText="1"/>
    </xf>
    <xf numFmtId="0" fontId="25" fillId="22" borderId="0" xfId="0" applyFont="1" applyFill="1" applyAlignment="1">
      <alignment horizontal="left" vertical="top" wrapText="1"/>
    </xf>
    <xf numFmtId="0" fontId="25" fillId="22" borderId="0" xfId="0" applyFont="1" applyFill="1" applyAlignment="1">
      <alignment vertical="top" wrapText="1"/>
    </xf>
    <xf numFmtId="171" fontId="25" fillId="22" borderId="0" xfId="0" applyNumberFormat="1" applyFont="1" applyFill="1" applyAlignment="1">
      <alignment horizontal="left" vertical="top" wrapText="1"/>
    </xf>
    <xf numFmtId="171" fontId="25" fillId="22" borderId="0" xfId="0" applyNumberFormat="1" applyFont="1" applyFill="1" applyAlignment="1">
      <alignment vertical="top" wrapText="1"/>
    </xf>
    <xf numFmtId="0" fontId="23" fillId="0" borderId="0" xfId="0" applyFont="1" applyAlignment="1">
      <alignment horizontal="left" vertical="top"/>
    </xf>
    <xf numFmtId="0" fontId="101" fillId="22" borderId="0" xfId="0" applyFont="1" applyFill="1" applyAlignment="1">
      <alignment vertical="center" wrapText="1"/>
    </xf>
    <xf numFmtId="0" fontId="22" fillId="22" borderId="0" xfId="0" applyFont="1" applyFill="1" applyAlignment="1">
      <alignment vertical="top"/>
    </xf>
    <xf numFmtId="0" fontId="23" fillId="22" borderId="0" xfId="0" applyFont="1" applyFill="1" applyAlignment="1">
      <alignment horizontal="left" vertical="top"/>
    </xf>
    <xf numFmtId="0" fontId="22" fillId="22" borderId="0" xfId="0" applyFont="1" applyFill="1" applyAlignment="1">
      <alignment horizontal="left" vertical="top"/>
    </xf>
    <xf numFmtId="0" fontId="25" fillId="22" borderId="0" xfId="0" applyFont="1" applyFill="1" applyAlignment="1">
      <alignment vertical="top"/>
    </xf>
    <xf numFmtId="171" fontId="23" fillId="22" borderId="0" xfId="0" applyNumberFormat="1" applyFont="1" applyFill="1" applyAlignment="1">
      <alignment horizontal="left" vertical="top"/>
    </xf>
    <xf numFmtId="171" fontId="23" fillId="22" borderId="0" xfId="0" applyNumberFormat="1" applyFont="1" applyFill="1" applyAlignment="1">
      <alignment vertical="top"/>
    </xf>
    <xf numFmtId="0" fontId="23" fillId="22" borderId="0" xfId="0" applyFont="1" applyFill="1" applyAlignment="1">
      <alignment vertical="top"/>
    </xf>
    <xf numFmtId="0" fontId="95" fillId="22" borderId="0" xfId="0" applyFont="1" applyFill="1" applyAlignment="1">
      <alignment vertical="top"/>
    </xf>
    <xf numFmtId="0" fontId="95" fillId="22" borderId="0" xfId="0" applyFont="1" applyFill="1" applyAlignment="1">
      <alignment horizontal="left" vertical="top"/>
    </xf>
    <xf numFmtId="0" fontId="101" fillId="22" borderId="0" xfId="0" applyFont="1" applyFill="1" applyAlignment="1">
      <alignment vertical="top"/>
    </xf>
    <xf numFmtId="0" fontId="103" fillId="22" borderId="0" xfId="2" applyFont="1" applyFill="1" applyAlignment="1" applyProtection="1">
      <alignment vertical="center" wrapText="1"/>
    </xf>
    <xf numFmtId="14" fontId="23" fillId="22" borderId="0" xfId="2" applyNumberFormat="1" applyFont="1" applyFill="1" applyAlignment="1" applyProtection="1">
      <alignment vertical="top"/>
    </xf>
    <xf numFmtId="0" fontId="0" fillId="22" borderId="0" xfId="0" applyFill="1"/>
    <xf numFmtId="0" fontId="23" fillId="22" borderId="0" xfId="0" applyFont="1" applyFill="1" applyAlignment="1">
      <alignment vertical="top" wrapText="1"/>
    </xf>
    <xf numFmtId="0" fontId="69" fillId="22" borderId="0" xfId="0" applyFont="1" applyFill="1" applyAlignment="1">
      <alignment vertical="center"/>
    </xf>
    <xf numFmtId="0" fontId="101" fillId="22" borderId="0" xfId="0" applyFont="1" applyFill="1"/>
    <xf numFmtId="0" fontId="106" fillId="0" borderId="0" xfId="0" applyFont="1" applyAlignment="1">
      <alignment vertical="top" wrapText="1"/>
    </xf>
    <xf numFmtId="0" fontId="23" fillId="0" borderId="14" xfId="0" applyFont="1" applyBorder="1"/>
    <xf numFmtId="0" fontId="23" fillId="0" borderId="11" xfId="0" applyFont="1" applyBorder="1"/>
    <xf numFmtId="0" fontId="23" fillId="0" borderId="5" xfId="0" applyFont="1" applyBorder="1"/>
    <xf numFmtId="0" fontId="23" fillId="22" borderId="0" xfId="0" applyFont="1" applyFill="1" applyAlignment="1">
      <alignment horizontal="left" vertical="top" wrapText="1"/>
    </xf>
    <xf numFmtId="0" fontId="0" fillId="0" borderId="4" xfId="0" applyBorder="1"/>
    <xf numFmtId="0" fontId="69" fillId="0" borderId="0" xfId="0" applyFont="1" applyAlignment="1">
      <alignment vertical="center"/>
    </xf>
    <xf numFmtId="0" fontId="102" fillId="22" borderId="0" xfId="0" applyFont="1" applyFill="1" applyAlignment="1">
      <alignment vertical="center" wrapText="1"/>
    </xf>
    <xf numFmtId="0" fontId="23" fillId="22" borderId="0" xfId="0" applyFont="1" applyFill="1"/>
    <xf numFmtId="0" fontId="25" fillId="22" borderId="0" xfId="0" applyFont="1" applyFill="1"/>
    <xf numFmtId="0" fontId="23" fillId="0" borderId="0" xfId="0" applyFont="1" applyAlignment="1">
      <alignment vertical="top" wrapText="1"/>
    </xf>
    <xf numFmtId="0" fontId="69" fillId="0" borderId="0" xfId="0" applyFont="1" applyAlignment="1">
      <alignment wrapText="1"/>
    </xf>
    <xf numFmtId="0" fontId="23" fillId="22" borderId="0" xfId="4" applyFont="1" applyFill="1" applyProtection="1"/>
    <xf numFmtId="0" fontId="23" fillId="22" borderId="0" xfId="4" applyFont="1" applyFill="1" applyAlignment="1" applyProtection="1">
      <alignment vertical="top" wrapText="1"/>
    </xf>
    <xf numFmtId="0" fontId="107" fillId="0" borderId="11" xfId="2" applyFont="1" applyBorder="1" applyAlignment="1" applyProtection="1">
      <alignment horizontal="left"/>
    </xf>
    <xf numFmtId="0" fontId="108" fillId="0" borderId="11" xfId="2" applyFont="1" applyBorder="1" applyProtection="1"/>
    <xf numFmtId="0" fontId="23" fillId="0" borderId="83" xfId="0" applyFont="1" applyBorder="1"/>
    <xf numFmtId="0" fontId="23" fillId="0" borderId="84" xfId="0" applyFont="1" applyBorder="1"/>
    <xf numFmtId="0" fontId="23" fillId="0" borderId="83" xfId="0" applyFont="1" applyBorder="1" applyAlignment="1">
      <alignment horizontal="right"/>
    </xf>
    <xf numFmtId="0" fontId="0" fillId="0" borderId="83" xfId="0" applyBorder="1"/>
    <xf numFmtId="0" fontId="23" fillId="0" borderId="85" xfId="0" applyFont="1" applyBorder="1"/>
    <xf numFmtId="0" fontId="23" fillId="0" borderId="87" xfId="0" applyFont="1" applyBorder="1"/>
    <xf numFmtId="0" fontId="0" fillId="0" borderId="84" xfId="0" applyBorder="1"/>
    <xf numFmtId="0" fontId="23" fillId="0" borderId="85" xfId="0" applyFont="1" applyBorder="1" applyAlignment="1">
      <alignment horizontal="right"/>
    </xf>
    <xf numFmtId="0" fontId="0" fillId="0" borderId="94" xfId="0" applyBorder="1"/>
    <xf numFmtId="0" fontId="0" fillId="23" borderId="0" xfId="0" applyFill="1" applyAlignment="1">
      <alignment wrapText="1"/>
    </xf>
    <xf numFmtId="0" fontId="0" fillId="23" borderId="0" xfId="0" applyFill="1"/>
    <xf numFmtId="0" fontId="0" fillId="18" borderId="0" xfId="0" applyFill="1" applyAlignment="1">
      <alignment wrapText="1"/>
    </xf>
    <xf numFmtId="0" fontId="0" fillId="24" borderId="0" xfId="0" applyFill="1" applyAlignment="1">
      <alignment wrapText="1"/>
    </xf>
    <xf numFmtId="172" fontId="0" fillId="24" borderId="0" xfId="0" applyNumberFormat="1" applyFill="1" applyAlignment="1">
      <alignment wrapText="1"/>
    </xf>
    <xf numFmtId="3" fontId="0" fillId="18" borderId="0" xfId="0" applyNumberFormat="1" applyFill="1" applyAlignment="1">
      <alignment wrapText="1"/>
    </xf>
    <xf numFmtId="2" fontId="23" fillId="0" borderId="1" xfId="0" applyNumberFormat="1" applyFont="1" applyBorder="1" applyAlignment="1">
      <alignment horizontal="center"/>
    </xf>
    <xf numFmtId="0" fontId="56" fillId="0" borderId="0" xfId="1" applyFont="1" applyBorder="1" applyAlignment="1">
      <alignment horizontal="left"/>
    </xf>
    <xf numFmtId="0" fontId="40" fillId="0" borderId="0" xfId="0" applyFont="1" applyAlignment="1">
      <alignment vertical="center" wrapText="1"/>
    </xf>
    <xf numFmtId="0" fontId="114" fillId="0" borderId="0" xfId="0" applyFont="1" applyAlignment="1">
      <alignment vertical="top" wrapText="1"/>
    </xf>
    <xf numFmtId="0" fontId="65" fillId="0" borderId="0" xfId="0" applyFont="1" applyAlignment="1">
      <alignment vertical="center"/>
    </xf>
    <xf numFmtId="0" fontId="20" fillId="0" borderId="0" xfId="1"/>
    <xf numFmtId="0" fontId="47" fillId="0" borderId="0" xfId="14" applyAlignment="1">
      <alignment horizontal="left"/>
    </xf>
    <xf numFmtId="0" fontId="35" fillId="0" borderId="1" xfId="14" applyFont="1" applyBorder="1" applyAlignment="1">
      <alignment horizontal="center"/>
    </xf>
    <xf numFmtId="0" fontId="35" fillId="0" borderId="1" xfId="14" applyFont="1" applyBorder="1" applyAlignment="1">
      <alignment horizontal="center" wrapText="1"/>
    </xf>
    <xf numFmtId="10" fontId="0" fillId="0" borderId="1" xfId="6" applyNumberFormat="1" applyFont="1" applyBorder="1"/>
    <xf numFmtId="0" fontId="47" fillId="0" borderId="1" xfId="14" applyBorder="1" applyAlignment="1">
      <alignment horizontal="right"/>
    </xf>
    <xf numFmtId="177" fontId="47" fillId="0" borderId="1" xfId="14" applyNumberFormat="1" applyBorder="1"/>
    <xf numFmtId="175" fontId="0" fillId="0" borderId="0" xfId="0" applyNumberFormat="1"/>
    <xf numFmtId="0" fontId="0" fillId="29" borderId="0" xfId="0" applyFill="1"/>
    <xf numFmtId="0" fontId="34" fillId="30" borderId="0" xfId="0" applyFont="1" applyFill="1"/>
    <xf numFmtId="0" fontId="34" fillId="30" borderId="0" xfId="0" quotePrefix="1" applyFont="1" applyFill="1"/>
    <xf numFmtId="0" fontId="34" fillId="31" borderId="0" xfId="0" applyFont="1" applyFill="1"/>
    <xf numFmtId="183" fontId="0" fillId="0" borderId="0" xfId="6" applyNumberFormat="1" applyFont="1"/>
    <xf numFmtId="0" fontId="88" fillId="4" borderId="0" xfId="0" applyFont="1" applyFill="1"/>
    <xf numFmtId="0" fontId="82" fillId="4" borderId="0" xfId="0" applyFont="1" applyFill="1" applyAlignment="1">
      <alignment horizontal="left"/>
    </xf>
    <xf numFmtId="0" fontId="23" fillId="0" borderId="0" xfId="0" applyFont="1" applyAlignment="1">
      <alignment horizontal="left" vertical="top" wrapText="1"/>
    </xf>
    <xf numFmtId="0" fontId="0" fillId="0" borderId="0" xfId="0" applyProtection="1">
      <protection locked="0"/>
    </xf>
    <xf numFmtId="167" fontId="84" fillId="0" borderId="34" xfId="0" applyNumberFormat="1" applyFont="1" applyBorder="1"/>
    <xf numFmtId="2" fontId="0" fillId="18" borderId="0" xfId="0" applyNumberFormat="1" applyFill="1" applyAlignment="1">
      <alignment wrapText="1"/>
    </xf>
    <xf numFmtId="2" fontId="34" fillId="30" borderId="0" xfId="0" applyNumberFormat="1" applyFont="1" applyFill="1"/>
    <xf numFmtId="2" fontId="0" fillId="15" borderId="0" xfId="0" applyNumberFormat="1" applyFill="1"/>
    <xf numFmtId="2" fontId="0" fillId="29" borderId="0" xfId="0" applyNumberFormat="1" applyFill="1"/>
    <xf numFmtId="1" fontId="0" fillId="18" borderId="0" xfId="0" applyNumberFormat="1" applyFill="1" applyAlignment="1">
      <alignment wrapText="1"/>
    </xf>
    <xf numFmtId="1" fontId="34" fillId="30" borderId="0" xfId="0" applyNumberFormat="1" applyFont="1" applyFill="1"/>
    <xf numFmtId="1" fontId="0" fillId="29" borderId="0" xfId="0" applyNumberFormat="1" applyFill="1"/>
    <xf numFmtId="1" fontId="0" fillId="15" borderId="0" xfId="0" applyNumberFormat="1" applyFill="1"/>
    <xf numFmtId="169" fontId="0" fillId="18" borderId="0" xfId="0" applyNumberFormat="1" applyFill="1" applyAlignment="1">
      <alignment wrapText="1"/>
    </xf>
    <xf numFmtId="169" fontId="34" fillId="30" borderId="0" xfId="0" applyNumberFormat="1" applyFont="1" applyFill="1"/>
    <xf numFmtId="169" fontId="0" fillId="15" borderId="0" xfId="0" applyNumberFormat="1" applyFill="1"/>
    <xf numFmtId="172" fontId="0" fillId="18" borderId="0" xfId="0" applyNumberFormat="1" applyFill="1" applyAlignment="1">
      <alignment wrapText="1"/>
    </xf>
    <xf numFmtId="172" fontId="34" fillId="30" borderId="0" xfId="0" applyNumberFormat="1" applyFont="1" applyFill="1"/>
    <xf numFmtId="172" fontId="0" fillId="15" borderId="0" xfId="0" applyNumberFormat="1" applyFill="1"/>
    <xf numFmtId="169" fontId="0" fillId="29" borderId="0" xfId="0" applyNumberFormat="1" applyFill="1"/>
    <xf numFmtId="172" fontId="0" fillId="29" borderId="0" xfId="0" applyNumberFormat="1" applyFill="1"/>
    <xf numFmtId="49" fontId="72" fillId="0" borderId="0" xfId="0" applyNumberFormat="1" applyFont="1" applyAlignment="1">
      <alignment horizontal="right" vertical="center"/>
    </xf>
    <xf numFmtId="0" fontId="82" fillId="0" borderId="0" xfId="0" applyFont="1" applyAlignment="1">
      <alignment vertical="top" wrapText="1"/>
    </xf>
    <xf numFmtId="0" fontId="0" fillId="0" borderId="0" xfId="0" applyAlignment="1">
      <alignment shrinkToFit="1"/>
    </xf>
    <xf numFmtId="0" fontId="23" fillId="0" borderId="0" xfId="0" applyFont="1" applyAlignment="1">
      <alignment shrinkToFit="1"/>
    </xf>
    <xf numFmtId="0" fontId="20" fillId="30" borderId="0" xfId="1" applyNumberFormat="1" applyFill="1"/>
    <xf numFmtId="0" fontId="20" fillId="30" borderId="0" xfId="1" applyNumberFormat="1" applyFill="1" applyAlignment="1">
      <alignment horizontal="left" vertical="top"/>
    </xf>
    <xf numFmtId="0" fontId="20" fillId="15" borderId="0" xfId="1" applyNumberFormat="1" applyFill="1"/>
    <xf numFmtId="0" fontId="0" fillId="0" borderId="112" xfId="0" applyBorder="1"/>
    <xf numFmtId="14" fontId="0" fillId="0" borderId="0" xfId="0" applyNumberFormat="1"/>
    <xf numFmtId="0" fontId="0" fillId="0" borderId="117" xfId="0" applyBorder="1"/>
    <xf numFmtId="0" fontId="0" fillId="32" borderId="0" xfId="0" applyFill="1"/>
    <xf numFmtId="0" fontId="38" fillId="32" borderId="0" xfId="0" applyFont="1" applyFill="1"/>
    <xf numFmtId="0" fontId="44" fillId="32" borderId="0" xfId="0" applyFont="1" applyFill="1" applyAlignment="1">
      <alignment horizontal="right" vertical="top"/>
    </xf>
    <xf numFmtId="0" fontId="38" fillId="32" borderId="0" xfId="0" applyFont="1" applyFill="1" applyAlignment="1">
      <alignment wrapText="1"/>
    </xf>
    <xf numFmtId="0" fontId="38" fillId="32" borderId="0" xfId="0" applyFont="1" applyFill="1" applyAlignment="1">
      <alignment horizontal="center"/>
    </xf>
    <xf numFmtId="0" fontId="125" fillId="32" borderId="0" xfId="0" applyFont="1" applyFill="1" applyAlignment="1">
      <alignment horizontal="right"/>
    </xf>
    <xf numFmtId="0" fontId="71" fillId="33" borderId="25" xfId="0" applyFont="1" applyFill="1" applyBorder="1" applyAlignment="1">
      <alignment vertical="center"/>
    </xf>
    <xf numFmtId="0" fontId="54" fillId="33" borderId="26" xfId="0" applyFont="1" applyFill="1" applyBorder="1" applyAlignment="1">
      <alignment vertical="center"/>
    </xf>
    <xf numFmtId="0" fontId="55" fillId="33" borderId="26" xfId="0" applyFont="1" applyFill="1" applyBorder="1" applyAlignment="1">
      <alignment vertical="center"/>
    </xf>
    <xf numFmtId="0" fontId="55" fillId="33" borderId="27" xfId="0" applyFont="1" applyFill="1" applyBorder="1" applyAlignment="1">
      <alignment vertical="center"/>
    </xf>
    <xf numFmtId="0" fontId="71" fillId="33" borderId="28" xfId="0" applyFont="1" applyFill="1" applyBorder="1" applyAlignment="1">
      <alignment vertical="center"/>
    </xf>
    <xf numFmtId="0" fontId="55" fillId="33" borderId="29" xfId="0" applyFont="1" applyFill="1" applyBorder="1" applyAlignment="1">
      <alignment vertical="center"/>
    </xf>
    <xf numFmtId="0" fontId="71" fillId="33" borderId="30" xfId="0" applyFont="1" applyFill="1" applyBorder="1" applyAlignment="1">
      <alignment vertical="center"/>
    </xf>
    <xf numFmtId="0" fontId="54" fillId="33" borderId="31" xfId="0" applyFont="1" applyFill="1" applyBorder="1" applyAlignment="1">
      <alignment vertical="center"/>
    </xf>
    <xf numFmtId="0" fontId="55" fillId="33" borderId="31" xfId="0" applyFont="1" applyFill="1" applyBorder="1" applyAlignment="1">
      <alignment vertical="center"/>
    </xf>
    <xf numFmtId="0" fontId="55" fillId="33" borderId="32" xfId="0" applyFont="1" applyFill="1" applyBorder="1" applyAlignment="1">
      <alignment vertical="center"/>
    </xf>
    <xf numFmtId="0" fontId="26" fillId="34" borderId="20" xfId="0" applyFont="1" applyFill="1" applyBorder="1"/>
    <xf numFmtId="0" fontId="26" fillId="34" borderId="21" xfId="0" applyFont="1" applyFill="1" applyBorder="1"/>
    <xf numFmtId="0" fontId="38" fillId="32" borderId="0" xfId="0" applyFont="1" applyFill="1" applyAlignment="1">
      <alignment horizontal="right" vertical="top"/>
    </xf>
    <xf numFmtId="0" fontId="38" fillId="32" borderId="0" xfId="0" applyFont="1" applyFill="1" applyAlignment="1">
      <alignment horizontal="right"/>
    </xf>
    <xf numFmtId="0" fontId="124" fillId="32" borderId="0" xfId="0" applyFont="1" applyFill="1" applyAlignment="1">
      <alignment horizontal="right"/>
    </xf>
    <xf numFmtId="0" fontId="23" fillId="32" borderId="0" xfId="0" applyFont="1" applyFill="1"/>
    <xf numFmtId="0" fontId="99" fillId="32" borderId="0" xfId="0" applyFont="1" applyFill="1" applyAlignment="1">
      <alignment vertical="center"/>
    </xf>
    <xf numFmtId="0" fontId="20" fillId="0" borderId="0" xfId="1" applyBorder="1" applyAlignment="1">
      <alignment horizontal="left"/>
    </xf>
    <xf numFmtId="0" fontId="0" fillId="0" borderId="59" xfId="0" applyBorder="1"/>
    <xf numFmtId="0" fontId="111" fillId="0" borderId="0" xfId="0" applyFont="1" applyAlignment="1">
      <alignment vertical="top" wrapText="1"/>
    </xf>
    <xf numFmtId="0" fontId="25" fillId="22" borderId="0" xfId="0" applyFont="1" applyFill="1" applyAlignment="1">
      <alignment wrapText="1"/>
    </xf>
    <xf numFmtId="0" fontId="23" fillId="22" borderId="0" xfId="4" applyFont="1" applyFill="1" applyAlignment="1" applyProtection="1">
      <alignment vertical="center" wrapText="1"/>
    </xf>
    <xf numFmtId="0" fontId="23" fillId="22" borderId="0" xfId="4" applyFont="1" applyFill="1" applyAlignment="1" applyProtection="1">
      <alignment vertical="center"/>
    </xf>
    <xf numFmtId="0" fontId="23" fillId="22" borderId="0" xfId="0" applyFont="1" applyFill="1" applyAlignment="1">
      <alignment horizontal="right" vertical="top" wrapText="1"/>
    </xf>
    <xf numFmtId="0" fontId="0" fillId="22" borderId="0" xfId="0" applyFill="1" applyAlignment="1">
      <alignment horizontal="right"/>
    </xf>
    <xf numFmtId="0" fontId="34" fillId="0" borderId="0" xfId="0" applyFont="1" applyAlignment="1">
      <alignment horizontal="left"/>
    </xf>
    <xf numFmtId="0" fontId="34" fillId="0" borderId="0" xfId="0" quotePrefix="1" applyFont="1"/>
    <xf numFmtId="0" fontId="34" fillId="0" borderId="0" xfId="0" applyFont="1" applyAlignment="1">
      <alignment horizontal="center"/>
    </xf>
    <xf numFmtId="14" fontId="34" fillId="0" borderId="0" xfId="0" applyNumberFormat="1" applyFont="1" applyAlignment="1">
      <alignment horizontal="center"/>
    </xf>
    <xf numFmtId="0" fontId="92" fillId="0" borderId="0" xfId="0" applyFont="1" applyAlignment="1">
      <alignment horizontal="center" vertical="center"/>
    </xf>
    <xf numFmtId="167" fontId="92" fillId="0" borderId="0" xfId="0" applyNumberFormat="1" applyFont="1" applyAlignment="1">
      <alignment horizontal="center" vertical="center"/>
    </xf>
    <xf numFmtId="167" fontId="34" fillId="0" borderId="0" xfId="0" applyNumberFormat="1" applyFont="1"/>
    <xf numFmtId="3" fontId="34" fillId="0" borderId="0" xfId="13" applyNumberFormat="1" applyFont="1" applyFill="1" applyBorder="1" applyAlignment="1">
      <alignment horizontal="left"/>
    </xf>
    <xf numFmtId="3" fontId="34" fillId="0" borderId="0" xfId="13" applyNumberFormat="1" applyFont="1" applyFill="1" applyBorder="1" applyAlignment="1">
      <alignment horizontal="center"/>
    </xf>
    <xf numFmtId="0" fontId="34" fillId="0" borderId="0" xfId="0" applyFont="1" applyAlignment="1">
      <alignment horizontal="left" wrapText="1"/>
    </xf>
    <xf numFmtId="167" fontId="34" fillId="0" borderId="0" xfId="0" applyNumberFormat="1" applyFont="1" applyAlignment="1">
      <alignment horizontal="right"/>
    </xf>
    <xf numFmtId="0" fontId="143" fillId="0" borderId="0" xfId="0" applyFont="1" applyAlignment="1">
      <alignment horizontal="left" vertical="top"/>
    </xf>
    <xf numFmtId="0" fontId="0" fillId="0" borderId="0" xfId="0" applyAlignment="1">
      <alignment horizontal="left" vertical="top"/>
    </xf>
    <xf numFmtId="0" fontId="0" fillId="0" borderId="0" xfId="0" quotePrefix="1" applyAlignment="1">
      <alignment horizontal="left" vertical="top"/>
    </xf>
    <xf numFmtId="0" fontId="0" fillId="0" borderId="147" xfId="0" applyBorder="1" applyAlignment="1">
      <alignment horizontal="left" vertical="top"/>
    </xf>
    <xf numFmtId="0" fontId="0" fillId="0" borderId="0" xfId="0" applyAlignment="1">
      <alignment horizontal="center"/>
    </xf>
    <xf numFmtId="0" fontId="0" fillId="0" borderId="112" xfId="0" applyBorder="1" applyAlignment="1">
      <alignment horizontal="left" vertical="top"/>
    </xf>
    <xf numFmtId="1" fontId="0" fillId="0" borderId="112" xfId="0" applyNumberFormat="1" applyBorder="1"/>
    <xf numFmtId="0" fontId="0" fillId="0" borderId="116" xfId="0" applyBorder="1" applyAlignment="1">
      <alignment horizontal="left" vertical="top"/>
    </xf>
    <xf numFmtId="0" fontId="0" fillId="0" borderId="117" xfId="0" applyBorder="1" applyAlignment="1">
      <alignment horizontal="left" vertical="top"/>
    </xf>
    <xf numFmtId="0" fontId="0" fillId="0" borderId="112" xfId="0" quotePrefix="1" applyBorder="1" applyAlignment="1">
      <alignment horizontal="left" vertical="top"/>
    </xf>
    <xf numFmtId="0" fontId="143" fillId="0" borderId="112" xfId="0" applyFont="1" applyBorder="1" applyAlignment="1">
      <alignment horizontal="left" vertical="top"/>
    </xf>
    <xf numFmtId="0" fontId="143" fillId="38" borderId="112" xfId="0" applyFont="1" applyFill="1" applyBorder="1" applyAlignment="1">
      <alignment horizontal="left" vertical="top"/>
    </xf>
    <xf numFmtId="0" fontId="34" fillId="0" borderId="112" xfId="0" applyFont="1" applyBorder="1" applyAlignment="1">
      <alignment horizontal="left" vertical="top"/>
    </xf>
    <xf numFmtId="0" fontId="0" fillId="0" borderId="147" xfId="0" quotePrefix="1" applyBorder="1" applyAlignment="1">
      <alignment horizontal="left" vertical="top"/>
    </xf>
    <xf numFmtId="167" fontId="72" fillId="0" borderId="0" xfId="0" applyNumberFormat="1" applyFont="1" applyAlignment="1">
      <alignment horizontal="right" vertical="center"/>
    </xf>
    <xf numFmtId="167" fontId="32" fillId="0" borderId="0" xfId="0" applyNumberFormat="1" applyFont="1" applyAlignment="1">
      <alignment horizontal="right" vertical="center"/>
    </xf>
    <xf numFmtId="0" fontId="92" fillId="0" borderId="8" xfId="0" applyFont="1" applyBorder="1" applyAlignment="1">
      <alignment horizontal="center" vertical="center"/>
    </xf>
    <xf numFmtId="1" fontId="0" fillId="0" borderId="0" xfId="0" applyNumberFormat="1" applyAlignment="1">
      <alignment horizontal="center"/>
    </xf>
    <xf numFmtId="0" fontId="82" fillId="0" borderId="0" xfId="0" applyFont="1" applyAlignment="1">
      <alignment horizontal="center" vertical="top" wrapText="1"/>
    </xf>
    <xf numFmtId="0" fontId="146" fillId="0" borderId="0" xfId="0" applyFont="1" applyAlignment="1">
      <alignment vertical="top" wrapText="1"/>
    </xf>
    <xf numFmtId="0" fontId="146" fillId="0" borderId="0" xfId="0" applyFont="1" applyAlignment="1">
      <alignment wrapText="1"/>
    </xf>
    <xf numFmtId="0" fontId="146" fillId="0" borderId="0" xfId="0" applyFont="1" applyAlignment="1">
      <alignment vertical="center" wrapText="1"/>
    </xf>
    <xf numFmtId="0" fontId="82" fillId="0" borderId="0" xfId="0" applyFont="1" applyAlignment="1">
      <alignment wrapText="1"/>
    </xf>
    <xf numFmtId="0" fontId="0" fillId="0" borderId="86" xfId="0" applyBorder="1"/>
    <xf numFmtId="0" fontId="126" fillId="0" borderId="0" xfId="0" applyFont="1" applyAlignment="1">
      <alignment vertical="center" wrapText="1"/>
    </xf>
    <xf numFmtId="0" fontId="143" fillId="0" borderId="117" xfId="0" applyFont="1" applyBorder="1" applyAlignment="1">
      <alignment horizontal="left" vertical="top"/>
    </xf>
    <xf numFmtId="49" fontId="129" fillId="37" borderId="116" xfId="0" applyNumberFormat="1" applyFont="1" applyFill="1" applyBorder="1"/>
    <xf numFmtId="0" fontId="129" fillId="37" borderId="116" xfId="0" applyFont="1" applyFill="1" applyBorder="1"/>
    <xf numFmtId="49" fontId="0" fillId="38" borderId="117" xfId="0" applyNumberFormat="1" applyFill="1" applyBorder="1"/>
    <xf numFmtId="0" fontId="0" fillId="38" borderId="117" xfId="0" applyFill="1" applyBorder="1"/>
    <xf numFmtId="172" fontId="23" fillId="0" borderId="0" xfId="0" applyNumberFormat="1" applyFont="1" applyAlignment="1">
      <alignment shrinkToFit="1"/>
    </xf>
    <xf numFmtId="0" fontId="133" fillId="0" borderId="0" xfId="0" applyFont="1" applyAlignment="1">
      <alignment vertical="center"/>
    </xf>
    <xf numFmtId="0" fontId="54" fillId="33" borderId="0" xfId="0" applyFont="1" applyFill="1" applyAlignment="1">
      <alignment vertical="center"/>
    </xf>
    <xf numFmtId="0" fontId="55" fillId="33" borderId="0" xfId="0" applyFont="1" applyFill="1" applyAlignment="1">
      <alignment vertical="center"/>
    </xf>
    <xf numFmtId="180" fontId="63" fillId="0" borderId="0" xfId="0" applyNumberFormat="1" applyFont="1" applyAlignment="1">
      <alignment vertical="center" wrapText="1"/>
    </xf>
    <xf numFmtId="0" fontId="63" fillId="0" borderId="0" xfId="0" applyFont="1" applyAlignment="1">
      <alignment vertical="center" wrapText="1"/>
    </xf>
    <xf numFmtId="0" fontId="63" fillId="0" borderId="0" xfId="0" applyFont="1" applyAlignment="1">
      <alignment vertical="center"/>
    </xf>
    <xf numFmtId="167" fontId="0" fillId="0" borderId="0" xfId="0" applyNumberFormat="1" applyAlignment="1">
      <alignment horizontal="left"/>
    </xf>
    <xf numFmtId="9" fontId="0" fillId="0" borderId="0" xfId="6" applyFont="1" applyAlignment="1">
      <alignment horizontal="left"/>
    </xf>
    <xf numFmtId="9" fontId="0" fillId="0" borderId="0" xfId="0" applyNumberFormat="1" applyAlignment="1">
      <alignment horizontal="left"/>
    </xf>
    <xf numFmtId="179" fontId="0" fillId="0" borderId="0" xfId="0" applyNumberFormat="1" applyAlignment="1">
      <alignment horizontal="left"/>
    </xf>
    <xf numFmtId="167" fontId="0" fillId="0" borderId="0" xfId="13" applyNumberFormat="1" applyFont="1" applyAlignment="1">
      <alignment horizontal="left"/>
    </xf>
    <xf numFmtId="3" fontId="0" fillId="0" borderId="0" xfId="0" applyNumberFormat="1" applyAlignment="1">
      <alignment horizontal="left"/>
    </xf>
    <xf numFmtId="0" fontId="173" fillId="0" borderId="182" xfId="66" applyFont="1">
      <alignment wrapText="1"/>
    </xf>
    <xf numFmtId="0" fontId="34" fillId="0" borderId="0" xfId="0" applyFont="1" applyAlignment="1">
      <alignment horizontal="left" vertical="top"/>
    </xf>
    <xf numFmtId="0" fontId="0" fillId="3" borderId="1" xfId="0" applyFill="1" applyBorder="1" applyAlignment="1" applyProtection="1">
      <alignment horizontal="center"/>
      <protection locked="0"/>
    </xf>
    <xf numFmtId="0" fontId="30" fillId="0" borderId="1" xfId="0" applyFont="1" applyBorder="1" applyAlignment="1">
      <alignment horizontal="left" vertical="top" wrapText="1"/>
    </xf>
    <xf numFmtId="0" fontId="30" fillId="0" borderId="1" xfId="0" applyFont="1" applyBorder="1" applyAlignment="1">
      <alignment horizontal="left" wrapText="1"/>
    </xf>
    <xf numFmtId="0" fontId="17" fillId="0" borderId="112" xfId="0" quotePrefix="1" applyFont="1" applyBorder="1" applyAlignment="1">
      <alignment horizontal="left" vertical="top"/>
    </xf>
    <xf numFmtId="0" fontId="176" fillId="0" borderId="0" xfId="0" applyFont="1"/>
    <xf numFmtId="164" fontId="23" fillId="0" borderId="0" xfId="0" applyNumberFormat="1" applyFont="1" applyAlignment="1">
      <alignment horizontal="right" vertical="center"/>
    </xf>
    <xf numFmtId="0" fontId="119" fillId="0" borderId="0" xfId="0" applyFont="1" applyAlignment="1" applyProtection="1">
      <alignment horizontal="center" wrapText="1"/>
      <protection locked="0"/>
    </xf>
    <xf numFmtId="0" fontId="23" fillId="0" borderId="0" xfId="0" applyFont="1" applyAlignment="1">
      <alignment horizontal="center" shrinkToFit="1"/>
    </xf>
    <xf numFmtId="0" fontId="0" fillId="0" borderId="0" xfId="0" applyAlignment="1">
      <alignment horizontal="center" shrinkToFit="1"/>
    </xf>
    <xf numFmtId="1" fontId="25" fillId="0" borderId="0" xfId="0" applyNumberFormat="1" applyFont="1" applyAlignment="1">
      <alignment horizontal="center" shrinkToFit="1"/>
    </xf>
    <xf numFmtId="167" fontId="25" fillId="0" borderId="0" xfId="0" applyNumberFormat="1" applyFont="1" applyAlignment="1">
      <alignment horizontal="center" shrinkToFit="1"/>
    </xf>
    <xf numFmtId="0" fontId="0" fillId="0" borderId="0" xfId="0" applyAlignment="1" applyProtection="1">
      <alignment horizontal="center"/>
      <protection locked="0"/>
    </xf>
    <xf numFmtId="3" fontId="175" fillId="0" borderId="0" xfId="13" applyNumberFormat="1" applyFont="1" applyFill="1" applyBorder="1" applyAlignment="1">
      <alignment horizontal="center"/>
    </xf>
    <xf numFmtId="0" fontId="15" fillId="0" borderId="112" xfId="0" applyFont="1" applyBorder="1" applyAlignment="1">
      <alignment horizontal="left" vertical="top"/>
    </xf>
    <xf numFmtId="0" fontId="35" fillId="0" borderId="0" xfId="14" applyFont="1"/>
    <xf numFmtId="0" fontId="117" fillId="0" borderId="0" xfId="14" applyFont="1"/>
    <xf numFmtId="0" fontId="47" fillId="0" borderId="1" xfId="14" applyBorder="1" applyAlignment="1">
      <alignment wrapText="1"/>
    </xf>
    <xf numFmtId="178" fontId="47" fillId="0" borderId="1" xfId="14" applyNumberFormat="1" applyBorder="1"/>
    <xf numFmtId="172" fontId="47" fillId="0" borderId="1" xfId="14" applyNumberFormat="1" applyBorder="1"/>
    <xf numFmtId="179" fontId="47" fillId="0" borderId="1" xfId="14" applyNumberFormat="1" applyBorder="1"/>
    <xf numFmtId="0" fontId="47" fillId="0" borderId="0" xfId="14" applyAlignment="1">
      <alignment wrapText="1"/>
    </xf>
    <xf numFmtId="179" fontId="67" fillId="0" borderId="0" xfId="14" applyNumberFormat="1" applyFont="1"/>
    <xf numFmtId="172" fontId="67" fillId="0" borderId="0" xfId="14" applyNumberFormat="1" applyFont="1"/>
    <xf numFmtId="0" fontId="35" fillId="0" borderId="1" xfId="14" applyFont="1" applyBorder="1"/>
    <xf numFmtId="0" fontId="35" fillId="0" borderId="5" xfId="14" applyFont="1" applyBorder="1" applyAlignment="1">
      <alignment horizontal="center"/>
    </xf>
    <xf numFmtId="0" fontId="35" fillId="0" borderId="8" xfId="14" applyFont="1" applyBorder="1" applyAlignment="1">
      <alignment horizontal="center"/>
    </xf>
    <xf numFmtId="0" fontId="35" fillId="0" borderId="14" xfId="14" applyFont="1" applyBorder="1" applyAlignment="1">
      <alignment horizontal="center"/>
    </xf>
    <xf numFmtId="1" fontId="47" fillId="0" borderId="1" xfId="14" applyNumberFormat="1" applyBorder="1" applyAlignment="1">
      <alignment horizontal="center"/>
    </xf>
    <xf numFmtId="187" fontId="47" fillId="0" borderId="1" xfId="14" applyNumberFormat="1" applyBorder="1" applyAlignment="1">
      <alignment horizontal="center"/>
    </xf>
    <xf numFmtId="167" fontId="47" fillId="0" borderId="1" xfId="14" applyNumberFormat="1" applyBorder="1" applyAlignment="1">
      <alignment horizontal="center"/>
    </xf>
    <xf numFmtId="187" fontId="47" fillId="0" borderId="1" xfId="14" applyNumberFormat="1" applyBorder="1"/>
    <xf numFmtId="175" fontId="47" fillId="0" borderId="1" xfId="14" applyNumberFormat="1" applyBorder="1"/>
    <xf numFmtId="0" fontId="47" fillId="0" borderId="2" xfId="14" applyBorder="1" applyAlignment="1">
      <alignment horizontal="center"/>
    </xf>
    <xf numFmtId="175" fontId="47" fillId="0" borderId="1" xfId="14" applyNumberFormat="1" applyBorder="1" applyAlignment="1">
      <alignment horizontal="center"/>
    </xf>
    <xf numFmtId="167" fontId="47" fillId="0" borderId="15" xfId="14" applyNumberFormat="1" applyBorder="1" applyAlignment="1">
      <alignment horizontal="center"/>
    </xf>
    <xf numFmtId="177" fontId="35" fillId="0" borderId="1" xfId="14" applyNumberFormat="1" applyFont="1" applyBorder="1"/>
    <xf numFmtId="0" fontId="14" fillId="0" borderId="112" xfId="0" applyFont="1" applyBorder="1"/>
    <xf numFmtId="0" fontId="14" fillId="0" borderId="117" xfId="0" applyFont="1" applyBorder="1"/>
    <xf numFmtId="0" fontId="179" fillId="0" borderId="8" xfId="0" applyFont="1" applyBorder="1" applyAlignment="1">
      <alignment horizontal="center" vertical="center"/>
    </xf>
    <xf numFmtId="0" fontId="13" fillId="0" borderId="112" xfId="0" applyFont="1" applyBorder="1" applyAlignment="1">
      <alignment horizontal="left" vertical="top"/>
    </xf>
    <xf numFmtId="0" fontId="0" fillId="0" borderId="117" xfId="0" quotePrefix="1" applyBorder="1" applyAlignment="1">
      <alignment horizontal="left" vertical="top"/>
    </xf>
    <xf numFmtId="0" fontId="34" fillId="38" borderId="112" xfId="0" applyFont="1" applyFill="1" applyBorder="1" applyAlignment="1">
      <alignment horizontal="left" vertical="top"/>
    </xf>
    <xf numFmtId="0" fontId="13" fillId="0" borderId="112" xfId="0" quotePrefix="1" applyFont="1" applyBorder="1" applyAlignment="1">
      <alignment horizontal="left" vertical="top"/>
    </xf>
    <xf numFmtId="0" fontId="16" fillId="0" borderId="112" xfId="0" applyFont="1" applyBorder="1"/>
    <xf numFmtId="0" fontId="12" fillId="0" borderId="112" xfId="0" applyFont="1" applyBorder="1" applyAlignment="1">
      <alignment horizontal="left" vertical="top"/>
    </xf>
    <xf numFmtId="0" fontId="143" fillId="38" borderId="117" xfId="0" applyFont="1" applyFill="1" applyBorder="1" applyAlignment="1">
      <alignment horizontal="left" vertical="top"/>
    </xf>
    <xf numFmtId="0" fontId="133" fillId="0" borderId="34" xfId="0" applyFont="1" applyBorder="1" applyAlignment="1">
      <alignment vertical="center"/>
    </xf>
    <xf numFmtId="0" fontId="91" fillId="0" borderId="0" xfId="1" applyFont="1" applyFill="1" applyAlignment="1" applyProtection="1">
      <alignment vertical="center"/>
      <protection locked="0" hidden="1"/>
    </xf>
    <xf numFmtId="0" fontId="182" fillId="0" borderId="0" xfId="0" applyFont="1" applyAlignment="1">
      <alignment wrapText="1"/>
    </xf>
    <xf numFmtId="14" fontId="30" fillId="0" borderId="1" xfId="0" applyNumberFormat="1" applyFont="1" applyBorder="1" applyAlignment="1">
      <alignment horizontal="center" vertical="top"/>
    </xf>
    <xf numFmtId="0" fontId="30" fillId="0" borderId="1" xfId="0" applyFont="1" applyBorder="1" applyAlignment="1">
      <alignment horizontal="center" vertical="top" wrapText="1"/>
    </xf>
    <xf numFmtId="49" fontId="30" fillId="0" borderId="1" xfId="0" applyNumberFormat="1" applyFont="1" applyBorder="1" applyAlignment="1">
      <alignment horizontal="left" vertical="top" wrapText="1"/>
    </xf>
    <xf numFmtId="0" fontId="11" fillId="0" borderId="112" xfId="0" applyFont="1" applyBorder="1"/>
    <xf numFmtId="0" fontId="186" fillId="0" borderId="1" xfId="0" applyFont="1" applyBorder="1" applyAlignment="1">
      <alignment horizontal="left" wrapText="1"/>
    </xf>
    <xf numFmtId="0" fontId="82" fillId="0" borderId="0" xfId="0" applyFont="1" applyAlignment="1">
      <alignment vertical="top"/>
    </xf>
    <xf numFmtId="0" fontId="23" fillId="22" borderId="0" xfId="2" applyFont="1" applyFill="1" applyAlignment="1" applyProtection="1">
      <alignment vertical="top"/>
      <protection hidden="1"/>
    </xf>
    <xf numFmtId="0" fontId="104" fillId="22" borderId="0" xfId="2" applyFont="1" applyFill="1" applyAlignment="1" applyProtection="1">
      <alignment vertical="top"/>
      <protection hidden="1"/>
    </xf>
    <xf numFmtId="0" fontId="10" fillId="0" borderId="112" xfId="0" applyFont="1" applyBorder="1" applyAlignment="1">
      <alignment horizontal="left" vertical="top"/>
    </xf>
    <xf numFmtId="0" fontId="10" fillId="0" borderId="112" xfId="0" quotePrefix="1" applyFont="1" applyBorder="1" applyAlignment="1">
      <alignment horizontal="left" vertical="top"/>
    </xf>
    <xf numFmtId="172" fontId="0" fillId="0" borderId="0" xfId="0" applyNumberFormat="1" applyAlignment="1">
      <alignment horizontal="center" shrinkToFit="1"/>
    </xf>
    <xf numFmtId="0" fontId="74" fillId="0" borderId="0" xfId="0" applyFont="1" applyAlignment="1">
      <alignment horizontal="center" vertical="center" wrapText="1"/>
    </xf>
    <xf numFmtId="0" fontId="37" fillId="0" borderId="0" xfId="0" applyFont="1" applyAlignment="1">
      <alignment wrapText="1"/>
    </xf>
    <xf numFmtId="49" fontId="129" fillId="37" borderId="115" xfId="0" applyNumberFormat="1" applyFont="1" applyFill="1" applyBorder="1"/>
    <xf numFmtId="0" fontId="129" fillId="37" borderId="203" xfId="0" applyFont="1" applyFill="1" applyBorder="1"/>
    <xf numFmtId="0" fontId="0" fillId="0" borderId="0" xfId="0" applyAlignment="1">
      <alignment horizontal="center" wrapText="1"/>
    </xf>
    <xf numFmtId="10" fontId="164" fillId="0" borderId="0" xfId="0" applyNumberFormat="1" applyFont="1"/>
    <xf numFmtId="10" fontId="8" fillId="0" borderId="0" xfId="6" applyNumberFormat="1" applyFont="1"/>
    <xf numFmtId="10" fontId="0" fillId="0" borderId="0" xfId="0" applyNumberFormat="1"/>
    <xf numFmtId="10" fontId="8" fillId="0" borderId="0" xfId="0" applyNumberFormat="1" applyFont="1"/>
    <xf numFmtId="49" fontId="0" fillId="40" borderId="1" xfId="0" applyNumberFormat="1" applyFill="1" applyBorder="1"/>
    <xf numFmtId="0" fontId="129" fillId="72" borderId="1" xfId="0" applyFont="1" applyFill="1" applyBorder="1"/>
    <xf numFmtId="0" fontId="7" fillId="0" borderId="0" xfId="0" applyFont="1"/>
    <xf numFmtId="0" fontId="0" fillId="3" borderId="1" xfId="0" applyFill="1" applyBorder="1" applyAlignment="1">
      <alignment horizontal="right"/>
    </xf>
    <xf numFmtId="0" fontId="0" fillId="2" borderId="1" xfId="0" applyFill="1" applyBorder="1"/>
    <xf numFmtId="0" fontId="0" fillId="8" borderId="1" xfId="0" applyFill="1" applyBorder="1"/>
    <xf numFmtId="0" fontId="0" fillId="0" borderId="1" xfId="0" applyBorder="1" applyAlignment="1">
      <alignment horizontal="left"/>
    </xf>
    <xf numFmtId="169" fontId="0" fillId="0" borderId="1" xfId="0" applyNumberFormat="1" applyBorder="1"/>
    <xf numFmtId="14" fontId="0" fillId="0" borderId="1" xfId="0" applyNumberFormat="1" applyBorder="1" applyAlignment="1">
      <alignment horizontal="left"/>
    </xf>
    <xf numFmtId="0" fontId="0" fillId="3" borderId="1" xfId="0" applyFill="1" applyBorder="1"/>
    <xf numFmtId="0" fontId="0" fillId="3" borderId="2" xfId="0" applyFill="1" applyBorder="1"/>
    <xf numFmtId="0" fontId="0" fillId="9" borderId="1" xfId="0" applyFill="1" applyBorder="1"/>
    <xf numFmtId="0" fontId="0" fillId="2" borderId="6" xfId="0" applyFill="1" applyBorder="1" applyAlignment="1">
      <alignment horizontal="right"/>
    </xf>
    <xf numFmtId="0" fontId="0" fillId="2" borderId="3" xfId="0" applyFill="1" applyBorder="1"/>
    <xf numFmtId="0" fontId="20" fillId="9" borderId="1" xfId="1" applyFill="1" applyBorder="1" applyProtection="1"/>
    <xf numFmtId="1" fontId="0" fillId="0" borderId="1" xfId="0" applyNumberFormat="1" applyBorder="1"/>
    <xf numFmtId="172" fontId="0" fillId="0" borderId="1" xfId="0" applyNumberFormat="1" applyBorder="1"/>
    <xf numFmtId="167" fontId="0" fillId="0" borderId="1" xfId="0" applyNumberFormat="1" applyBorder="1"/>
    <xf numFmtId="0" fontId="0" fillId="2" borderId="7" xfId="0" applyFill="1" applyBorder="1" applyAlignment="1">
      <alignment horizontal="right"/>
    </xf>
    <xf numFmtId="0" fontId="0" fillId="2" borderId="4" xfId="0" applyFill="1" applyBorder="1"/>
    <xf numFmtId="0" fontId="0" fillId="2" borderId="5" xfId="0" applyFill="1" applyBorder="1"/>
    <xf numFmtId="0" fontId="0" fillId="7" borderId="1" xfId="0" applyFill="1" applyBorder="1"/>
    <xf numFmtId="1" fontId="0" fillId="10" borderId="1" xfId="0" applyNumberFormat="1" applyFill="1" applyBorder="1"/>
    <xf numFmtId="172" fontId="0" fillId="10" borderId="1" xfId="0" applyNumberFormat="1" applyFill="1" applyBorder="1"/>
    <xf numFmtId="167" fontId="0" fillId="10" borderId="1" xfId="0" applyNumberFormat="1" applyFill="1" applyBorder="1"/>
    <xf numFmtId="2" fontId="0" fillId="10" borderId="1" xfId="0" applyNumberFormat="1" applyFill="1" applyBorder="1"/>
    <xf numFmtId="0" fontId="50" fillId="0" borderId="0" xfId="0" applyFont="1" applyAlignment="1">
      <alignment horizontal="right"/>
    </xf>
    <xf numFmtId="0" fontId="31" fillId="0" borderId="11" xfId="0" applyFont="1" applyBorder="1"/>
    <xf numFmtId="9" fontId="31" fillId="0" borderId="0" xfId="6" applyFont="1" applyFill="1" applyProtection="1"/>
    <xf numFmtId="0" fontId="0" fillId="2" borderId="0" xfId="0" applyFill="1"/>
    <xf numFmtId="0" fontId="50" fillId="0" borderId="0" xfId="0" applyFont="1"/>
    <xf numFmtId="0" fontId="0" fillId="2" borderId="8" xfId="0" applyFill="1" applyBorder="1" applyAlignment="1">
      <alignment horizontal="right"/>
    </xf>
    <xf numFmtId="0" fontId="0" fillId="2" borderId="4" xfId="0" applyFill="1" applyBorder="1" applyAlignment="1">
      <alignment wrapText="1"/>
    </xf>
    <xf numFmtId="0" fontId="0" fillId="2" borderId="6" xfId="0" applyFill="1" applyBorder="1"/>
    <xf numFmtId="0" fontId="0" fillId="2" borderId="7" xfId="0" applyFill="1" applyBorder="1"/>
    <xf numFmtId="0" fontId="0" fillId="10" borderId="1" xfId="0" applyFill="1" applyBorder="1"/>
    <xf numFmtId="0" fontId="0" fillId="2" borderId="7" xfId="0" applyFill="1" applyBorder="1" applyAlignment="1">
      <alignment wrapText="1"/>
    </xf>
    <xf numFmtId="0" fontId="0" fillId="2" borderId="8" xfId="0" applyFill="1" applyBorder="1" applyAlignment="1">
      <alignment wrapText="1"/>
    </xf>
    <xf numFmtId="0" fontId="0" fillId="2" borderId="0" xfId="0" applyFill="1" applyProtection="1">
      <protection locked="0"/>
    </xf>
    <xf numFmtId="190" fontId="0" fillId="0" borderId="0" xfId="15" applyNumberFormat="1" applyFont="1" applyFill="1" applyBorder="1" applyAlignment="1"/>
    <xf numFmtId="0" fontId="92" fillId="71" borderId="0" xfId="0" applyFont="1" applyFill="1" applyAlignment="1">
      <alignment horizontal="center" vertical="center"/>
    </xf>
    <xf numFmtId="0" fontId="179" fillId="71" borderId="8" xfId="0" applyFont="1" applyFill="1" applyBorder="1" applyAlignment="1">
      <alignment horizontal="center" vertical="center"/>
    </xf>
    <xf numFmtId="167" fontId="132" fillId="0" borderId="0" xfId="0" applyNumberFormat="1" applyFont="1"/>
    <xf numFmtId="0" fontId="80" fillId="0" borderId="33" xfId="0" applyFont="1" applyBorder="1" applyAlignment="1">
      <alignment vertical="top"/>
    </xf>
    <xf numFmtId="0" fontId="0" fillId="0" borderId="71" xfId="0" applyBorder="1"/>
    <xf numFmtId="0" fontId="0" fillId="4" borderId="71" xfId="0" applyFill="1" applyBorder="1"/>
    <xf numFmtId="167" fontId="84" fillId="0" borderId="0" xfId="0" applyNumberFormat="1" applyFont="1"/>
    <xf numFmtId="0" fontId="193" fillId="0" borderId="0" xfId="0" applyFont="1"/>
    <xf numFmtId="0" fontId="177" fillId="0" borderId="0" xfId="0" applyFont="1" applyAlignment="1">
      <alignment horizontal="center" vertical="center"/>
    </xf>
    <xf numFmtId="167" fontId="132" fillId="0" borderId="34" xfId="0" applyNumberFormat="1" applyFont="1" applyBorder="1"/>
    <xf numFmtId="0" fontId="49" fillId="0" borderId="0" xfId="0" applyFont="1" applyAlignment="1">
      <alignment vertical="top" wrapText="1"/>
    </xf>
    <xf numFmtId="190" fontId="21" fillId="0" borderId="0" xfId="15" applyNumberFormat="1" applyFont="1" applyFill="1" applyBorder="1" applyAlignment="1"/>
    <xf numFmtId="0" fontId="175" fillId="0" borderId="0" xfId="0" applyFont="1"/>
    <xf numFmtId="0" fontId="5" fillId="0" borderId="112" xfId="0" applyFont="1" applyBorder="1" applyAlignment="1">
      <alignment horizontal="left" vertical="top"/>
    </xf>
    <xf numFmtId="49" fontId="190" fillId="0" borderId="0" xfId="0" applyNumberFormat="1" applyFont="1"/>
    <xf numFmtId="0" fontId="190" fillId="0" borderId="0" xfId="0" applyFont="1"/>
    <xf numFmtId="0" fontId="45" fillId="0" borderId="0" xfId="0" applyFont="1"/>
    <xf numFmtId="49" fontId="45" fillId="0" borderId="0" xfId="0" applyNumberFormat="1" applyFont="1"/>
    <xf numFmtId="0" fontId="18" fillId="0" borderId="0" xfId="0" applyFont="1"/>
    <xf numFmtId="0" fontId="178" fillId="0" borderId="0" xfId="0" applyFont="1"/>
    <xf numFmtId="49" fontId="178" fillId="0" borderId="0" xfId="0" applyNumberFormat="1" applyFont="1"/>
    <xf numFmtId="49" fontId="142" fillId="0" borderId="0" xfId="0" applyNumberFormat="1" applyFont="1" applyAlignment="1">
      <alignment horizontal="left"/>
    </xf>
    <xf numFmtId="0" fontId="4" fillId="0" borderId="0" xfId="0" applyFont="1"/>
    <xf numFmtId="9" fontId="21" fillId="0" borderId="0" xfId="6" applyFont="1" applyFill="1"/>
    <xf numFmtId="49" fontId="175" fillId="0" borderId="0" xfId="0" applyNumberFormat="1" applyFont="1"/>
    <xf numFmtId="49" fontId="34" fillId="38" borderId="117" xfId="0" applyNumberFormat="1" applyFont="1" applyFill="1" applyBorder="1"/>
    <xf numFmtId="0" fontId="34" fillId="0" borderId="112" xfId="0" applyFont="1" applyBorder="1" applyAlignment="1">
      <alignment horizontal="left"/>
    </xf>
    <xf numFmtId="14" fontId="30" fillId="0" borderId="6" xfId="0" applyNumberFormat="1" applyFont="1" applyBorder="1" applyAlignment="1">
      <alignment horizontal="center" vertical="top"/>
    </xf>
    <xf numFmtId="0" fontId="30" fillId="0" borderId="6" xfId="0" applyFont="1" applyBorder="1" applyAlignment="1">
      <alignment horizontal="center" vertical="top" wrapText="1"/>
    </xf>
    <xf numFmtId="49" fontId="30" fillId="0" borderId="213" xfId="0" applyNumberFormat="1" applyFont="1" applyBorder="1" applyAlignment="1">
      <alignment horizontal="left" vertical="top" wrapText="1"/>
    </xf>
    <xf numFmtId="0" fontId="30" fillId="0" borderId="214" xfId="0" applyFont="1" applyBorder="1" applyAlignment="1">
      <alignment horizontal="left" wrapText="1"/>
    </xf>
    <xf numFmtId="49" fontId="30" fillId="0" borderId="7" xfId="0" applyNumberFormat="1" applyFont="1" applyBorder="1" applyAlignment="1">
      <alignment horizontal="left" vertical="top" wrapText="1"/>
    </xf>
    <xf numFmtId="49" fontId="30" fillId="0" borderId="6" xfId="0" applyNumberFormat="1" applyFont="1" applyBorder="1" applyAlignment="1">
      <alignment horizontal="left" vertical="top" wrapText="1"/>
    </xf>
    <xf numFmtId="14" fontId="30" fillId="0" borderId="213" xfId="0" applyNumberFormat="1" applyFont="1" applyBorder="1" applyAlignment="1">
      <alignment horizontal="center" vertical="top"/>
    </xf>
    <xf numFmtId="0" fontId="30" fillId="0" borderId="213" xfId="0" applyFont="1" applyBorder="1" applyAlignment="1">
      <alignment horizontal="center" vertical="top" wrapText="1"/>
    </xf>
    <xf numFmtId="49" fontId="30" fillId="0" borderId="213" xfId="0" applyNumberFormat="1" applyFont="1" applyBorder="1" applyAlignment="1">
      <alignment horizontal="center" vertical="top" wrapText="1"/>
    </xf>
    <xf numFmtId="0" fontId="30" fillId="0" borderId="6" xfId="0" applyFont="1" applyBorder="1" applyAlignment="1">
      <alignment horizontal="left" wrapText="1"/>
    </xf>
    <xf numFmtId="0" fontId="30" fillId="0" borderId="6" xfId="0" applyFont="1" applyBorder="1" applyAlignment="1">
      <alignment horizontal="left" vertical="top" wrapText="1"/>
    </xf>
    <xf numFmtId="49" fontId="30" fillId="0" borderId="214" xfId="0" applyNumberFormat="1" applyFont="1" applyBorder="1" applyAlignment="1">
      <alignment horizontal="left" vertical="top" wrapText="1"/>
    </xf>
    <xf numFmtId="0" fontId="30" fillId="0" borderId="213" xfId="0" applyFont="1" applyBorder="1" applyAlignment="1">
      <alignment horizontal="left" wrapText="1"/>
    </xf>
    <xf numFmtId="14" fontId="30" fillId="0" borderId="214" xfId="0" applyNumberFormat="1" applyFont="1" applyBorder="1" applyAlignment="1">
      <alignment horizontal="center" vertical="top"/>
    </xf>
    <xf numFmtId="0" fontId="30" fillId="0" borderId="214" xfId="0" applyFont="1" applyBorder="1" applyAlignment="1">
      <alignment horizontal="center" vertical="top" wrapText="1"/>
    </xf>
    <xf numFmtId="49" fontId="30" fillId="0" borderId="214" xfId="0" applyNumberFormat="1" applyFont="1" applyBorder="1" applyAlignment="1">
      <alignment horizontal="center" vertical="top" wrapText="1"/>
    </xf>
    <xf numFmtId="0" fontId="20" fillId="0" borderId="0" xfId="1" applyFill="1"/>
    <xf numFmtId="0" fontId="66" fillId="0" borderId="0" xfId="0" applyFont="1" applyAlignment="1">
      <alignment horizontal="center"/>
    </xf>
    <xf numFmtId="0" fontId="0" fillId="73" borderId="0" xfId="0" applyFill="1"/>
    <xf numFmtId="0" fontId="92" fillId="35" borderId="0" xfId="0" applyFont="1" applyFill="1" applyAlignment="1">
      <alignment horizontal="center" vertical="center"/>
    </xf>
    <xf numFmtId="167" fontId="92" fillId="35" borderId="0" xfId="0" applyNumberFormat="1" applyFont="1" applyFill="1" applyAlignment="1">
      <alignment horizontal="center" vertical="center"/>
    </xf>
    <xf numFmtId="0" fontId="92" fillId="35" borderId="8" xfId="0" applyFont="1" applyFill="1" applyBorder="1" applyAlignment="1">
      <alignment horizontal="center" vertical="center"/>
    </xf>
    <xf numFmtId="0" fontId="179" fillId="35" borderId="8" xfId="0" applyFont="1" applyFill="1" applyBorder="1" applyAlignment="1">
      <alignment horizontal="center" vertical="center"/>
    </xf>
    <xf numFmtId="0" fontId="30" fillId="0" borderId="6" xfId="0" applyFont="1" applyBorder="1" applyAlignment="1">
      <alignment horizontal="left" vertical="center" wrapText="1"/>
    </xf>
    <xf numFmtId="0" fontId="30" fillId="0" borderId="214" xfId="0" applyFont="1" applyBorder="1" applyAlignment="1">
      <alignment horizontal="left" vertical="center" wrapText="1"/>
    </xf>
    <xf numFmtId="0" fontId="0" fillId="0" borderId="0" xfId="0" applyAlignment="1">
      <alignment vertical="top" wrapText="1"/>
    </xf>
    <xf numFmtId="0" fontId="0" fillId="74" borderId="0" xfId="0" applyFill="1"/>
    <xf numFmtId="0" fontId="30" fillId="0" borderId="216" xfId="0" applyFont="1" applyBorder="1" applyAlignment="1">
      <alignment horizontal="left" vertical="center" wrapText="1"/>
    </xf>
    <xf numFmtId="49" fontId="30" fillId="0" borderId="1" xfId="0" applyNumberFormat="1" applyFont="1" applyBorder="1" applyAlignment="1">
      <alignment vertical="top" wrapText="1"/>
    </xf>
    <xf numFmtId="0" fontId="194" fillId="0" borderId="0" xfId="1" applyFont="1" applyFill="1"/>
    <xf numFmtId="174" fontId="72" fillId="0" borderId="0" xfId="0" quotePrefix="1" applyNumberFormat="1" applyFont="1" applyAlignment="1">
      <alignment horizontal="right" vertical="center"/>
    </xf>
    <xf numFmtId="167" fontId="72" fillId="0" borderId="0" xfId="0" quotePrefix="1" applyNumberFormat="1" applyFont="1" applyAlignment="1">
      <alignment horizontal="right" vertical="center"/>
    </xf>
    <xf numFmtId="0" fontId="175" fillId="0" borderId="0" xfId="0" applyFont="1" applyAlignment="1">
      <alignment horizontal="left"/>
    </xf>
    <xf numFmtId="176" fontId="34" fillId="0" borderId="0" xfId="0" quotePrefix="1" applyNumberFormat="1" applyFont="1"/>
    <xf numFmtId="167" fontId="34" fillId="0" borderId="0" xfId="0" applyNumberFormat="1" applyFont="1" applyAlignment="1">
      <alignment horizontal="left"/>
    </xf>
    <xf numFmtId="190" fontId="34" fillId="0" borderId="0" xfId="15" applyNumberFormat="1" applyFont="1" applyFill="1" applyBorder="1" applyAlignment="1"/>
    <xf numFmtId="0" fontId="34" fillId="0" borderId="0" xfId="6" applyNumberFormat="1" applyFont="1" applyFill="1" applyBorder="1" applyAlignment="1">
      <alignment horizontal="center"/>
    </xf>
    <xf numFmtId="0" fontId="175" fillId="0" borderId="0" xfId="0" quotePrefix="1" applyFont="1"/>
    <xf numFmtId="167" fontId="175" fillId="0" borderId="0" xfId="0" applyNumberFormat="1" applyFont="1"/>
    <xf numFmtId="176" fontId="34" fillId="0" borderId="0" xfId="0" applyNumberFormat="1" applyFont="1"/>
    <xf numFmtId="169" fontId="34" fillId="0" borderId="0" xfId="0" applyNumberFormat="1" applyFont="1" applyAlignment="1">
      <alignment horizontal="center"/>
    </xf>
    <xf numFmtId="169" fontId="34" fillId="0" borderId="0" xfId="0" applyNumberFormat="1" applyFont="1" applyAlignment="1">
      <alignment horizontal="left"/>
    </xf>
    <xf numFmtId="2" fontId="34" fillId="0" borderId="0" xfId="0" applyNumberFormat="1" applyFont="1" applyAlignment="1">
      <alignment horizontal="left"/>
    </xf>
    <xf numFmtId="169" fontId="0" fillId="0" borderId="0" xfId="0" applyNumberFormat="1" applyAlignment="1">
      <alignment horizontal="center"/>
    </xf>
    <xf numFmtId="169" fontId="0" fillId="0" borderId="0" xfId="0" applyNumberFormat="1" applyAlignment="1">
      <alignment horizontal="left"/>
    </xf>
    <xf numFmtId="169" fontId="195" fillId="0" borderId="0" xfId="0" applyNumberFormat="1" applyFont="1" applyAlignment="1">
      <alignment horizontal="left"/>
    </xf>
    <xf numFmtId="176" fontId="175" fillId="0" borderId="0" xfId="0" applyNumberFormat="1" applyFont="1"/>
    <xf numFmtId="2" fontId="175" fillId="0" borderId="0" xfId="0" applyNumberFormat="1" applyFont="1" applyAlignment="1">
      <alignment horizontal="left"/>
    </xf>
    <xf numFmtId="169" fontId="175" fillId="0" borderId="0" xfId="0" applyNumberFormat="1" applyFont="1" applyAlignment="1">
      <alignment horizontal="left"/>
    </xf>
    <xf numFmtId="0" fontId="175" fillId="0" borderId="0" xfId="0" applyFont="1" applyAlignment="1">
      <alignment horizontal="left" wrapText="1"/>
    </xf>
    <xf numFmtId="176" fontId="175" fillId="0" borderId="0" xfId="0" quotePrefix="1" applyNumberFormat="1" applyFont="1"/>
    <xf numFmtId="0" fontId="175" fillId="0" borderId="0" xfId="0" applyFont="1" applyAlignment="1">
      <alignment horizontal="center"/>
    </xf>
    <xf numFmtId="176" fontId="175" fillId="0" borderId="0" xfId="0" applyNumberFormat="1" applyFont="1" applyAlignment="1">
      <alignment horizontal="center"/>
    </xf>
    <xf numFmtId="167" fontId="175" fillId="0" borderId="0" xfId="13" applyNumberFormat="1" applyFont="1" applyFill="1" applyAlignment="1">
      <alignment horizontal="right"/>
    </xf>
    <xf numFmtId="190" fontId="175" fillId="0" borderId="0" xfId="15" applyNumberFormat="1" applyFont="1" applyFill="1" applyBorder="1" applyAlignment="1"/>
    <xf numFmtId="3" fontId="175" fillId="0" borderId="0" xfId="13" applyNumberFormat="1" applyFont="1" applyFill="1" applyAlignment="1">
      <alignment horizontal="center"/>
    </xf>
    <xf numFmtId="0" fontId="3" fillId="0" borderId="112" xfId="0" applyFont="1" applyBorder="1"/>
    <xf numFmtId="0" fontId="5" fillId="0" borderId="112" xfId="0" applyFont="1" applyBorder="1"/>
    <xf numFmtId="0" fontId="13" fillId="0" borderId="112" xfId="0" applyFont="1" applyBorder="1"/>
    <xf numFmtId="1" fontId="0" fillId="0" borderId="117" xfId="0" applyNumberFormat="1" applyBorder="1"/>
    <xf numFmtId="0" fontId="0" fillId="0" borderId="111" xfId="0" applyBorder="1"/>
    <xf numFmtId="0" fontId="14" fillId="0" borderId="112" xfId="0" applyFont="1" applyBorder="1" applyAlignment="1">
      <alignment horizontal="left" vertical="top"/>
    </xf>
    <xf numFmtId="0" fontId="23" fillId="13" borderId="70" xfId="0" applyFont="1" applyFill="1" applyBorder="1" applyAlignment="1">
      <alignment horizontal="center"/>
    </xf>
    <xf numFmtId="167" fontId="72" fillId="13" borderId="0" xfId="0" quotePrefix="1" applyNumberFormat="1" applyFont="1" applyFill="1" applyAlignment="1">
      <alignment horizontal="right" vertical="center"/>
    </xf>
    <xf numFmtId="167" fontId="0" fillId="13" borderId="0" xfId="0" applyNumberFormat="1" applyFill="1" applyAlignment="1">
      <alignment horizontal="left"/>
    </xf>
    <xf numFmtId="0" fontId="196" fillId="0" borderId="0" xfId="0" applyFont="1" applyAlignment="1">
      <alignment horizontal="left"/>
    </xf>
    <xf numFmtId="0" fontId="197" fillId="0" borderId="0" xfId="0" applyFont="1"/>
    <xf numFmtId="0" fontId="198" fillId="0" borderId="0" xfId="0" applyFont="1"/>
    <xf numFmtId="0" fontId="197" fillId="0" borderId="0" xfId="0" quotePrefix="1" applyFont="1"/>
    <xf numFmtId="167" fontId="197" fillId="13" borderId="0" xfId="0" applyNumberFormat="1" applyFont="1" applyFill="1"/>
    <xf numFmtId="167" fontId="197" fillId="0" borderId="0" xfId="0" quotePrefix="1" applyNumberFormat="1" applyFont="1"/>
    <xf numFmtId="167" fontId="197" fillId="0" borderId="0" xfId="0" applyNumberFormat="1" applyFont="1"/>
    <xf numFmtId="190" fontId="197" fillId="0" borderId="0" xfId="15" applyNumberFormat="1" applyFont="1" applyFill="1" applyBorder="1" applyAlignment="1"/>
    <xf numFmtId="0" fontId="197" fillId="0" borderId="0" xfId="0" applyFont="1" applyAlignment="1">
      <alignment horizontal="center"/>
    </xf>
    <xf numFmtId="14" fontId="197" fillId="0" borderId="0" xfId="0" applyNumberFormat="1" applyFont="1"/>
    <xf numFmtId="1" fontId="197" fillId="0" borderId="0" xfId="0" applyNumberFormat="1" applyFont="1" applyAlignment="1">
      <alignment horizontal="center"/>
    </xf>
    <xf numFmtId="0" fontId="197" fillId="0" borderId="0" xfId="0" applyFont="1" applyAlignment="1">
      <alignment wrapText="1"/>
    </xf>
    <xf numFmtId="1" fontId="197" fillId="0" borderId="0" xfId="0" applyNumberFormat="1" applyFont="1"/>
    <xf numFmtId="1" fontId="196" fillId="0" borderId="0" xfId="0" applyNumberFormat="1" applyFont="1"/>
    <xf numFmtId="1" fontId="197" fillId="0" borderId="112" xfId="0" applyNumberFormat="1" applyFont="1" applyBorder="1"/>
    <xf numFmtId="0" fontId="196" fillId="0" borderId="0" xfId="0" applyFont="1"/>
    <xf numFmtId="14" fontId="196" fillId="0" borderId="0" xfId="0" applyNumberFormat="1" applyFont="1"/>
    <xf numFmtId="1" fontId="196" fillId="0" borderId="0" xfId="0" applyNumberFormat="1" applyFont="1" applyAlignment="1">
      <alignment horizontal="center"/>
    </xf>
    <xf numFmtId="0" fontId="196" fillId="0" borderId="0" xfId="0" applyFont="1" applyAlignment="1">
      <alignment horizontal="center"/>
    </xf>
    <xf numFmtId="0" fontId="196" fillId="0" borderId="0" xfId="0" applyFont="1" applyAlignment="1">
      <alignment wrapText="1"/>
    </xf>
    <xf numFmtId="0" fontId="199" fillId="0" borderId="0" xfId="0" applyFont="1"/>
    <xf numFmtId="0" fontId="197" fillId="0" borderId="112" xfId="0" applyFont="1" applyBorder="1"/>
    <xf numFmtId="176" fontId="197" fillId="0" borderId="0" xfId="0" applyNumberFormat="1" applyFont="1"/>
    <xf numFmtId="0" fontId="196" fillId="0" borderId="112" xfId="0" applyFont="1" applyBorder="1"/>
    <xf numFmtId="0" fontId="198" fillId="0" borderId="0" xfId="0" applyFont="1" applyAlignment="1">
      <alignment vertical="center"/>
    </xf>
    <xf numFmtId="0" fontId="200" fillId="0" borderId="0" xfId="0" applyFont="1" applyAlignment="1">
      <alignment horizontal="left"/>
    </xf>
    <xf numFmtId="0" fontId="196" fillId="0" borderId="0" xfId="0" applyFont="1" applyAlignment="1">
      <alignment vertical="center"/>
    </xf>
    <xf numFmtId="0" fontId="196" fillId="0" borderId="0" xfId="0" quotePrefix="1" applyFont="1"/>
    <xf numFmtId="167" fontId="196" fillId="0" borderId="0" xfId="0" applyNumberFormat="1" applyFont="1"/>
    <xf numFmtId="167" fontId="196" fillId="0" borderId="0" xfId="0" applyNumberFormat="1" applyFont="1" applyAlignment="1">
      <alignment horizontal="right"/>
    </xf>
    <xf numFmtId="14" fontId="196" fillId="0" borderId="0" xfId="0" applyNumberFormat="1" applyFont="1" applyAlignment="1">
      <alignment horizontal="center"/>
    </xf>
    <xf numFmtId="0" fontId="201" fillId="0" borderId="0" xfId="0" applyFont="1"/>
    <xf numFmtId="3" fontId="142" fillId="0" borderId="0" xfId="13" applyNumberFormat="1" applyFont="1" applyFill="1" applyBorder="1" applyAlignment="1">
      <alignment horizontal="left"/>
    </xf>
    <xf numFmtId="0" fontId="142" fillId="0" borderId="0" xfId="0" applyFont="1" applyAlignment="1">
      <alignment horizontal="left"/>
    </xf>
    <xf numFmtId="0" fontId="150" fillId="0" borderId="0" xfId="0" applyFont="1" applyAlignment="1">
      <alignment horizontal="left"/>
    </xf>
    <xf numFmtId="0" fontId="197" fillId="0" borderId="0" xfId="0" applyFont="1" applyAlignment="1">
      <alignment horizontal="left" vertical="top"/>
    </xf>
    <xf numFmtId="0" fontId="34" fillId="0" borderId="0" xfId="0" applyFont="1" applyAlignment="1">
      <alignment vertical="center"/>
    </xf>
    <xf numFmtId="0" fontId="202" fillId="0" borderId="0" xfId="0" applyFont="1"/>
    <xf numFmtId="0" fontId="0" fillId="0" borderId="2" xfId="0" applyBorder="1"/>
    <xf numFmtId="190" fontId="175" fillId="0" borderId="0" xfId="15" applyNumberFormat="1" applyFont="1" applyFill="1" applyAlignment="1"/>
    <xf numFmtId="1" fontId="175" fillId="0" borderId="0" xfId="0" applyNumberFormat="1" applyFont="1" applyAlignment="1">
      <alignment horizontal="left"/>
    </xf>
    <xf numFmtId="14" fontId="175" fillId="0" borderId="0" xfId="0" applyNumberFormat="1" applyFont="1" applyAlignment="1">
      <alignment horizontal="center"/>
    </xf>
    <xf numFmtId="49" fontId="196" fillId="0" borderId="0" xfId="0" applyNumberFormat="1" applyFont="1" applyAlignment="1">
      <alignment horizontal="left"/>
    </xf>
    <xf numFmtId="49" fontId="197" fillId="0" borderId="0" xfId="0" applyNumberFormat="1" applyFont="1"/>
    <xf numFmtId="0" fontId="197" fillId="0" borderId="0" xfId="0" applyFont="1" applyAlignment="1">
      <alignment vertical="center"/>
    </xf>
    <xf numFmtId="0" fontId="203" fillId="0" borderId="0" xfId="0" applyFont="1"/>
    <xf numFmtId="9" fontId="197" fillId="0" borderId="0" xfId="6" applyFont="1" applyFill="1"/>
    <xf numFmtId="167" fontId="175" fillId="0" borderId="0" xfId="0" applyNumberFormat="1" applyFont="1" applyAlignment="1">
      <alignment horizontal="right"/>
    </xf>
    <xf numFmtId="0" fontId="0" fillId="0" borderId="0" xfId="0" applyAlignment="1">
      <alignment vertical="center"/>
    </xf>
    <xf numFmtId="0" fontId="204" fillId="0" borderId="0" xfId="0" applyFont="1"/>
    <xf numFmtId="9" fontId="0" fillId="0" borderId="0" xfId="6" applyFont="1" applyFill="1"/>
    <xf numFmtId="0" fontId="3" fillId="0" borderId="0" xfId="0" applyFont="1"/>
    <xf numFmtId="49" fontId="34" fillId="0" borderId="118" xfId="0" applyNumberFormat="1" applyFont="1" applyBorder="1"/>
    <xf numFmtId="49" fontId="205" fillId="0" borderId="0" xfId="0" applyNumberFormat="1" applyFont="1"/>
    <xf numFmtId="0" fontId="205" fillId="0" borderId="0" xfId="0" applyFont="1"/>
    <xf numFmtId="0" fontId="206" fillId="0" borderId="0" xfId="0" applyFont="1"/>
    <xf numFmtId="49" fontId="30" fillId="0" borderId="6" xfId="0" applyNumberFormat="1" applyFont="1" applyBorder="1" applyAlignment="1">
      <alignment horizontal="left" vertical="top" wrapText="1"/>
    </xf>
    <xf numFmtId="49" fontId="30" fillId="0" borderId="8" xfId="0" applyNumberFormat="1" applyFont="1" applyBorder="1" applyAlignment="1">
      <alignment horizontal="left" vertical="top" wrapText="1"/>
    </xf>
    <xf numFmtId="14" fontId="30" fillId="0" borderId="6" xfId="0" applyNumberFormat="1" applyFont="1" applyBorder="1" applyAlignment="1">
      <alignment horizontal="center" vertical="top"/>
    </xf>
    <xf numFmtId="14" fontId="30" fillId="0" borderId="7" xfId="0" applyNumberFormat="1" applyFont="1" applyBorder="1" applyAlignment="1">
      <alignment horizontal="center" vertical="top"/>
    </xf>
    <xf numFmtId="14" fontId="30" fillId="0" borderId="8" xfId="0" applyNumberFormat="1" applyFont="1" applyBorder="1" applyAlignment="1">
      <alignment horizontal="center" vertical="top"/>
    </xf>
    <xf numFmtId="0" fontId="30" fillId="0" borderId="6" xfId="0" applyFont="1" applyBorder="1" applyAlignment="1">
      <alignment horizontal="center" vertical="top" wrapText="1"/>
    </xf>
    <xf numFmtId="0" fontId="30" fillId="0" borderId="7" xfId="0" applyFont="1" applyBorder="1" applyAlignment="1">
      <alignment horizontal="center" vertical="top" wrapText="1"/>
    </xf>
    <xf numFmtId="0" fontId="30" fillId="0" borderId="8" xfId="0" applyFont="1" applyBorder="1" applyAlignment="1">
      <alignment horizontal="center" vertical="top" wrapText="1"/>
    </xf>
    <xf numFmtId="49" fontId="30" fillId="0" borderId="6" xfId="0" applyNumberFormat="1" applyFont="1" applyBorder="1" applyAlignment="1">
      <alignment horizontal="center" vertical="top" wrapText="1"/>
    </xf>
    <xf numFmtId="49" fontId="30" fillId="0" borderId="7" xfId="0" applyNumberFormat="1" applyFont="1" applyBorder="1" applyAlignment="1">
      <alignment horizontal="center" vertical="top" wrapText="1"/>
    </xf>
    <xf numFmtId="49" fontId="30" fillId="0" borderId="8" xfId="0" applyNumberFormat="1" applyFont="1" applyBorder="1" applyAlignment="1">
      <alignment horizontal="center" vertical="top" wrapText="1"/>
    </xf>
    <xf numFmtId="49" fontId="30" fillId="0" borderId="7" xfId="0" applyNumberFormat="1" applyFont="1" applyBorder="1" applyAlignment="1">
      <alignment horizontal="left" vertical="top" wrapText="1"/>
    </xf>
    <xf numFmtId="49" fontId="30" fillId="0" borderId="215" xfId="0" applyNumberFormat="1" applyFont="1" applyBorder="1" applyAlignment="1">
      <alignment horizontal="left" vertical="top" wrapText="1"/>
    </xf>
    <xf numFmtId="14" fontId="30" fillId="0" borderId="213" xfId="0" applyNumberFormat="1" applyFont="1" applyBorder="1" applyAlignment="1">
      <alignment horizontal="center" vertical="top"/>
    </xf>
    <xf numFmtId="14" fontId="30" fillId="0" borderId="215" xfId="0" applyNumberFormat="1" applyFont="1" applyBorder="1" applyAlignment="1">
      <alignment horizontal="center" vertical="top"/>
    </xf>
    <xf numFmtId="0" fontId="30" fillId="0" borderId="213" xfId="0" applyFont="1" applyBorder="1" applyAlignment="1">
      <alignment horizontal="center" vertical="top" wrapText="1"/>
    </xf>
    <xf numFmtId="0" fontId="30" fillId="0" borderId="215" xfId="0" applyFont="1" applyBorder="1" applyAlignment="1">
      <alignment horizontal="center" vertical="top" wrapText="1"/>
    </xf>
    <xf numFmtId="49" fontId="30" fillId="0" borderId="213" xfId="0" applyNumberFormat="1" applyFont="1" applyBorder="1" applyAlignment="1">
      <alignment horizontal="center" vertical="top" wrapText="1"/>
    </xf>
    <xf numFmtId="49" fontId="30" fillId="0" borderId="215" xfId="0" applyNumberFormat="1" applyFont="1" applyBorder="1" applyAlignment="1">
      <alignment horizontal="center" vertical="top" wrapText="1"/>
    </xf>
    <xf numFmtId="49" fontId="30" fillId="0" borderId="213" xfId="0" applyNumberFormat="1" applyFont="1" applyBorder="1" applyAlignment="1">
      <alignment horizontal="left" vertical="top" wrapText="1"/>
    </xf>
    <xf numFmtId="49" fontId="30" fillId="0" borderId="1" xfId="0" applyNumberFormat="1" applyFont="1" applyBorder="1" applyAlignment="1">
      <alignment horizontal="left" vertical="top" wrapText="1"/>
    </xf>
    <xf numFmtId="0" fontId="28" fillId="0" borderId="0" xfId="0" applyFont="1" applyAlignment="1">
      <alignment horizontal="center" vertical="center"/>
    </xf>
    <xf numFmtId="49" fontId="30" fillId="0" borderId="214" xfId="0" applyNumberFormat="1" applyFont="1" applyBorder="1" applyAlignment="1">
      <alignment horizontal="left" vertical="top" wrapText="1"/>
    </xf>
    <xf numFmtId="0" fontId="0" fillId="0" borderId="0" xfId="0" applyAlignment="1">
      <alignment horizontal="center"/>
    </xf>
    <xf numFmtId="0" fontId="0" fillId="0" borderId="0" xfId="0" applyAlignment="1">
      <alignment horizontal="center" wrapText="1"/>
    </xf>
    <xf numFmtId="0" fontId="31" fillId="0" borderId="0" xfId="0" applyFont="1" applyAlignment="1">
      <alignment horizontal="center" wrapText="1"/>
    </xf>
    <xf numFmtId="172" fontId="35" fillId="0" borderId="1" xfId="14" applyNumberFormat="1" applyFont="1" applyBorder="1" applyAlignment="1">
      <alignment horizontal="center"/>
    </xf>
    <xf numFmtId="0" fontId="35" fillId="0" borderId="1" xfId="14" applyFont="1" applyBorder="1" applyAlignment="1">
      <alignment horizontal="center"/>
    </xf>
    <xf numFmtId="0" fontId="135" fillId="0" borderId="0" xfId="0" applyFont="1" applyAlignment="1">
      <alignment horizontal="right" wrapText="1"/>
    </xf>
    <xf numFmtId="0" fontId="41" fillId="32" borderId="0" xfId="0" applyFont="1" applyFill="1" applyAlignment="1">
      <alignment horizontal="center" vertical="top" wrapText="1"/>
    </xf>
    <xf numFmtId="165" fontId="23" fillId="0" borderId="0" xfId="0" applyNumberFormat="1" applyFont="1" applyAlignment="1">
      <alignment horizontal="left"/>
    </xf>
    <xf numFmtId="0" fontId="23" fillId="0" borderId="0" xfId="0" applyFont="1" applyAlignment="1">
      <alignment horizontal="left"/>
    </xf>
    <xf numFmtId="0" fontId="98" fillId="0" borderId="0" xfId="0" applyFont="1" applyAlignment="1">
      <alignment horizontal="left"/>
    </xf>
    <xf numFmtId="0" fontId="78" fillId="4" borderId="0" xfId="1" applyFont="1" applyFill="1" applyBorder="1" applyAlignment="1" applyProtection="1">
      <alignment horizontal="center" vertical="center" wrapText="1"/>
      <protection hidden="1"/>
    </xf>
    <xf numFmtId="0" fontId="20" fillId="4" borderId="0" xfId="1" applyFill="1" applyBorder="1" applyAlignment="1" applyProtection="1">
      <alignment horizontal="center" vertical="center" wrapText="1"/>
      <protection hidden="1"/>
    </xf>
    <xf numFmtId="0" fontId="20" fillId="4" borderId="33" xfId="1" applyFill="1" applyBorder="1" applyAlignment="1" applyProtection="1">
      <alignment horizontal="center" vertical="center" wrapText="1"/>
      <protection hidden="1"/>
    </xf>
    <xf numFmtId="0" fontId="137" fillId="17" borderId="34" xfId="1" applyFont="1" applyFill="1" applyBorder="1" applyAlignment="1" applyProtection="1">
      <alignment horizontal="center" vertical="center" wrapText="1"/>
      <protection hidden="1"/>
    </xf>
    <xf numFmtId="0" fontId="137" fillId="17" borderId="0" xfId="1" applyFont="1" applyFill="1" applyBorder="1" applyAlignment="1" applyProtection="1">
      <alignment horizontal="center" vertical="center" wrapText="1"/>
      <protection hidden="1"/>
    </xf>
    <xf numFmtId="0" fontId="137" fillId="17" borderId="33" xfId="1" applyFont="1" applyFill="1" applyBorder="1" applyAlignment="1" applyProtection="1">
      <alignment horizontal="center" vertical="center" wrapText="1"/>
      <protection hidden="1"/>
    </xf>
    <xf numFmtId="0" fontId="122" fillId="4" borderId="0" xfId="1" applyFont="1" applyFill="1" applyBorder="1" applyAlignment="1" applyProtection="1">
      <alignment horizontal="center" vertical="center" wrapText="1"/>
      <protection hidden="1"/>
    </xf>
    <xf numFmtId="0" fontId="123" fillId="4" borderId="0" xfId="1" applyFont="1" applyFill="1" applyBorder="1" applyAlignment="1" applyProtection="1">
      <alignment horizontal="center" vertical="center" wrapText="1"/>
      <protection hidden="1"/>
    </xf>
    <xf numFmtId="0" fontId="123" fillId="4" borderId="33" xfId="1" applyFont="1" applyFill="1" applyBorder="1" applyAlignment="1" applyProtection="1">
      <alignment horizontal="center" vertical="center" wrapText="1"/>
      <protection hidden="1"/>
    </xf>
    <xf numFmtId="0" fontId="118" fillId="4" borderId="0" xfId="1" applyFont="1" applyFill="1" applyBorder="1" applyAlignment="1" applyProtection="1">
      <alignment horizontal="center" vertical="center" wrapText="1"/>
      <protection hidden="1"/>
    </xf>
    <xf numFmtId="0" fontId="118" fillId="4" borderId="33" xfId="1" applyFont="1" applyFill="1" applyBorder="1" applyAlignment="1" applyProtection="1">
      <alignment horizontal="center" vertical="center" wrapText="1"/>
      <protection hidden="1"/>
    </xf>
    <xf numFmtId="0" fontId="37" fillId="0" borderId="0" xfId="0" applyFont="1" applyAlignment="1">
      <alignment horizontal="center" vertical="center" wrapText="1"/>
    </xf>
    <xf numFmtId="0" fontId="37" fillId="0" borderId="33" xfId="0" applyFont="1" applyBorder="1" applyAlignment="1">
      <alignment horizontal="center" vertical="center" wrapText="1"/>
    </xf>
    <xf numFmtId="0" fontId="0" fillId="0" borderId="0" xfId="0" applyAlignment="1">
      <alignment horizontal="left" vertical="top" wrapText="1"/>
    </xf>
    <xf numFmtId="0" fontId="133" fillId="0" borderId="0" xfId="0" applyFont="1" applyAlignment="1">
      <alignment horizontal="center" vertical="center"/>
    </xf>
    <xf numFmtId="0" fontId="123" fillId="4" borderId="71" xfId="1" applyFont="1" applyFill="1" applyBorder="1" applyAlignment="1" applyProtection="1">
      <alignment horizontal="center" vertical="center" wrapText="1"/>
      <protection hidden="1"/>
    </xf>
    <xf numFmtId="0" fontId="137" fillId="17" borderId="71" xfId="1" applyFont="1" applyFill="1" applyBorder="1" applyAlignment="1" applyProtection="1">
      <alignment horizontal="center" vertical="center" wrapText="1"/>
      <protection hidden="1"/>
    </xf>
    <xf numFmtId="0" fontId="118" fillId="4" borderId="71" xfId="1" applyFont="1" applyFill="1" applyBorder="1" applyAlignment="1" applyProtection="1">
      <alignment horizontal="center" vertical="center" wrapText="1"/>
      <protection hidden="1"/>
    </xf>
    <xf numFmtId="0" fontId="37" fillId="0" borderId="71" xfId="0" applyFont="1" applyBorder="1" applyAlignment="1">
      <alignment horizontal="center" vertical="center" wrapText="1"/>
    </xf>
    <xf numFmtId="0" fontId="113" fillId="0" borderId="0" xfId="0" applyFont="1" applyAlignment="1">
      <alignment horizontal="center"/>
    </xf>
    <xf numFmtId="0" fontId="49" fillId="0" borderId="0" xfId="0" applyFont="1" applyAlignment="1">
      <alignment horizontal="center" vertical="center" wrapText="1"/>
    </xf>
    <xf numFmtId="0" fontId="80" fillId="0" borderId="33" xfId="0" applyFont="1" applyBorder="1" applyAlignment="1">
      <alignment horizontal="center" vertical="center"/>
    </xf>
    <xf numFmtId="0" fontId="80" fillId="0" borderId="0" xfId="0" applyFont="1" applyAlignment="1">
      <alignment horizontal="center" vertical="top"/>
    </xf>
    <xf numFmtId="9" fontId="132" fillId="0" borderId="0" xfId="0" applyNumberFormat="1" applyFont="1" applyAlignment="1">
      <alignment horizontal="center" vertical="center"/>
    </xf>
    <xf numFmtId="0" fontId="133" fillId="0" borderId="34" xfId="0" applyFont="1" applyBorder="1" applyAlignment="1">
      <alignment horizontal="center" vertical="center"/>
    </xf>
    <xf numFmtId="0" fontId="80" fillId="0" borderId="33" xfId="0" applyFont="1" applyBorder="1" applyAlignment="1">
      <alignment horizontal="center" vertical="top"/>
    </xf>
    <xf numFmtId="0" fontId="82" fillId="2" borderId="45" xfId="0" applyFont="1" applyFill="1" applyBorder="1" applyAlignment="1">
      <alignment horizontal="left" vertical="center" wrapText="1"/>
    </xf>
    <xf numFmtId="0" fontId="82" fillId="2" borderId="46" xfId="0" applyFont="1" applyFill="1" applyBorder="1" applyAlignment="1">
      <alignment horizontal="left" vertical="center" wrapText="1"/>
    </xf>
    <xf numFmtId="0" fontId="82" fillId="2" borderId="47" xfId="0" applyFont="1" applyFill="1" applyBorder="1" applyAlignment="1">
      <alignment horizontal="left" vertical="center" wrapText="1"/>
    </xf>
    <xf numFmtId="0" fontId="82" fillId="2" borderId="48" xfId="0" applyFont="1" applyFill="1" applyBorder="1" applyAlignment="1">
      <alignment horizontal="left" vertical="center" wrapText="1"/>
    </xf>
    <xf numFmtId="0" fontId="82" fillId="2" borderId="0" xfId="0" applyFont="1" applyFill="1" applyAlignment="1">
      <alignment horizontal="left" vertical="center" wrapText="1"/>
    </xf>
    <xf numFmtId="0" fontId="82" fillId="2" borderId="49" xfId="0" applyFont="1" applyFill="1" applyBorder="1" applyAlignment="1">
      <alignment horizontal="left" vertical="center" wrapText="1"/>
    </xf>
    <xf numFmtId="0" fontId="82" fillId="2" borderId="50" xfId="0" applyFont="1" applyFill="1" applyBorder="1" applyAlignment="1">
      <alignment horizontal="left" vertical="center" wrapText="1"/>
    </xf>
    <xf numFmtId="0" fontId="82" fillId="2" borderId="51" xfId="0" applyFont="1" applyFill="1" applyBorder="1" applyAlignment="1">
      <alignment horizontal="left" vertical="center" wrapText="1"/>
    </xf>
    <xf numFmtId="0" fontId="82" fillId="2" borderId="52" xfId="0" applyFont="1" applyFill="1" applyBorder="1" applyAlignment="1">
      <alignment horizontal="left" vertical="center" wrapText="1"/>
    </xf>
    <xf numFmtId="0" fontId="89" fillId="0" borderId="0" xfId="0" applyFont="1" applyAlignment="1">
      <alignment horizontal="left" vertical="center"/>
    </xf>
    <xf numFmtId="0" fontId="82" fillId="2" borderId="45" xfId="0" applyFont="1" applyFill="1" applyBorder="1" applyAlignment="1">
      <alignment horizontal="left" wrapText="1"/>
    </xf>
    <xf numFmtId="0" fontId="82" fillId="2" borderId="46" xfId="0" applyFont="1" applyFill="1" applyBorder="1" applyAlignment="1">
      <alignment horizontal="left" wrapText="1"/>
    </xf>
    <xf numFmtId="0" fontId="82" fillId="2" borderId="47" xfId="0" applyFont="1" applyFill="1" applyBorder="1" applyAlignment="1">
      <alignment horizontal="left" wrapText="1"/>
    </xf>
    <xf numFmtId="0" fontId="82" fillId="2" borderId="48" xfId="0" applyFont="1" applyFill="1" applyBorder="1" applyAlignment="1">
      <alignment horizontal="left" wrapText="1"/>
    </xf>
    <xf numFmtId="0" fontId="82" fillId="2" borderId="0" xfId="0" applyFont="1" applyFill="1" applyAlignment="1">
      <alignment horizontal="left" wrapText="1"/>
    </xf>
    <xf numFmtId="0" fontId="82" fillId="2" borderId="49" xfId="0" applyFont="1" applyFill="1" applyBorder="1" applyAlignment="1">
      <alignment horizontal="left" wrapText="1"/>
    </xf>
    <xf numFmtId="0" fontId="82" fillId="2" borderId="50" xfId="0" applyFont="1" applyFill="1" applyBorder="1" applyAlignment="1">
      <alignment horizontal="left" wrapText="1"/>
    </xf>
    <xf numFmtId="0" fontId="82" fillId="2" borderId="51" xfId="0" applyFont="1" applyFill="1" applyBorder="1" applyAlignment="1">
      <alignment horizontal="left" wrapText="1"/>
    </xf>
    <xf numFmtId="0" fontId="82" fillId="2" borderId="52" xfId="0" applyFont="1" applyFill="1" applyBorder="1" applyAlignment="1">
      <alignment horizontal="left" wrapText="1"/>
    </xf>
    <xf numFmtId="167" fontId="132" fillId="0" borderId="34" xfId="0" applyNumberFormat="1" applyFont="1" applyBorder="1" applyAlignment="1">
      <alignment horizontal="center"/>
    </xf>
    <xf numFmtId="167" fontId="132" fillId="0" borderId="0" xfId="0" applyNumberFormat="1" applyFont="1" applyAlignment="1">
      <alignment horizontal="center"/>
    </xf>
    <xf numFmtId="0" fontId="82" fillId="0" borderId="0" xfId="0" applyFont="1" applyAlignment="1">
      <alignment horizontal="left"/>
    </xf>
    <xf numFmtId="0" fontId="82" fillId="0" borderId="35" xfId="0" applyFont="1" applyBorder="1" applyAlignment="1" applyProtection="1">
      <alignment horizontal="left"/>
      <protection locked="0"/>
    </xf>
    <xf numFmtId="0" fontId="82" fillId="0" borderId="36" xfId="0" applyFont="1" applyBorder="1" applyAlignment="1" applyProtection="1">
      <alignment horizontal="left"/>
      <protection locked="0"/>
    </xf>
    <xf numFmtId="0" fontId="82" fillId="0" borderId="37" xfId="0" applyFont="1" applyBorder="1" applyAlignment="1" applyProtection="1">
      <alignment horizontal="left"/>
      <protection locked="0"/>
    </xf>
    <xf numFmtId="14" fontId="82" fillId="0" borderId="35" xfId="0" applyNumberFormat="1" applyFont="1" applyBorder="1" applyAlignment="1" applyProtection="1">
      <alignment horizontal="left"/>
      <protection locked="0"/>
    </xf>
    <xf numFmtId="14" fontId="82" fillId="0" borderId="36" xfId="0" applyNumberFormat="1" applyFont="1" applyBorder="1" applyAlignment="1" applyProtection="1">
      <alignment horizontal="left"/>
      <protection locked="0"/>
    </xf>
    <xf numFmtId="14" fontId="82" fillId="0" borderId="37" xfId="0" applyNumberFormat="1" applyFont="1" applyBorder="1" applyAlignment="1" applyProtection="1">
      <alignment horizontal="left"/>
      <protection locked="0"/>
    </xf>
    <xf numFmtId="0" fontId="20" fillId="0" borderId="35" xfId="1" applyBorder="1" applyAlignment="1" applyProtection="1">
      <alignment horizontal="left"/>
      <protection locked="0"/>
    </xf>
    <xf numFmtId="171" fontId="82" fillId="0" borderId="35" xfId="0" applyNumberFormat="1" applyFont="1" applyBorder="1" applyAlignment="1" applyProtection="1">
      <alignment horizontal="left"/>
      <protection locked="0"/>
    </xf>
    <xf numFmtId="171" fontId="82" fillId="0" borderId="36" xfId="0" applyNumberFormat="1" applyFont="1" applyBorder="1" applyAlignment="1" applyProtection="1">
      <alignment horizontal="left"/>
      <protection locked="0"/>
    </xf>
    <xf numFmtId="171" fontId="82" fillId="0" borderId="37" xfId="0" applyNumberFormat="1" applyFont="1" applyBorder="1" applyAlignment="1" applyProtection="1">
      <alignment horizontal="left"/>
      <protection locked="0"/>
    </xf>
    <xf numFmtId="0" fontId="82" fillId="0" borderId="0" xfId="0" applyFont="1" applyAlignment="1">
      <alignment horizontal="left" vertical="center"/>
    </xf>
    <xf numFmtId="167" fontId="84" fillId="0" borderId="34" xfId="0" applyNumberFormat="1" applyFont="1" applyBorder="1" applyAlignment="1">
      <alignment horizontal="center"/>
    </xf>
    <xf numFmtId="167" fontId="84" fillId="0" borderId="0" xfId="0" applyNumberFormat="1" applyFont="1" applyAlignment="1">
      <alignment horizontal="center"/>
    </xf>
    <xf numFmtId="0" fontId="82" fillId="0" borderId="0" xfId="0" applyFont="1" applyAlignment="1">
      <alignment horizontal="center" vertical="top"/>
    </xf>
    <xf numFmtId="0" fontId="82" fillId="0" borderId="0" xfId="0" applyFont="1" applyAlignment="1">
      <alignment horizontal="right"/>
    </xf>
    <xf numFmtId="0" fontId="82" fillId="0" borderId="35" xfId="0" applyFont="1" applyBorder="1" applyAlignment="1" applyProtection="1">
      <alignment horizontal="center"/>
      <protection locked="0"/>
    </xf>
    <xf numFmtId="0" fontId="82" fillId="0" borderId="36" xfId="0" applyFont="1" applyBorder="1" applyAlignment="1" applyProtection="1">
      <alignment horizontal="center"/>
      <protection locked="0"/>
    </xf>
    <xf numFmtId="0" fontId="82" fillId="0" borderId="37" xfId="0" applyFont="1" applyBorder="1" applyAlignment="1" applyProtection="1">
      <alignment horizontal="center"/>
      <protection locked="0"/>
    </xf>
    <xf numFmtId="0" fontId="82" fillId="0" borderId="35" xfId="0" applyFont="1" applyBorder="1" applyAlignment="1" applyProtection="1">
      <alignment horizontal="center"/>
      <protection locked="0" hidden="1"/>
    </xf>
    <xf numFmtId="0" fontId="82" fillId="0" borderId="36" xfId="0" applyFont="1" applyBorder="1" applyAlignment="1" applyProtection="1">
      <alignment horizontal="center"/>
      <protection locked="0" hidden="1"/>
    </xf>
    <xf numFmtId="0" fontId="82" fillId="0" borderId="37" xfId="0" applyFont="1" applyBorder="1" applyAlignment="1" applyProtection="1">
      <alignment horizontal="center"/>
      <protection locked="0" hidden="1"/>
    </xf>
    <xf numFmtId="0" fontId="82" fillId="0" borderId="0" xfId="0" applyFont="1" applyAlignment="1">
      <alignment horizontal="center" wrapText="1"/>
    </xf>
    <xf numFmtId="166" fontId="82" fillId="0" borderId="35" xfId="0" applyNumberFormat="1" applyFont="1" applyBorder="1" applyAlignment="1" applyProtection="1">
      <alignment horizontal="left"/>
      <protection locked="0"/>
    </xf>
    <xf numFmtId="166" fontId="82" fillId="0" borderId="36" xfId="0" applyNumberFormat="1" applyFont="1" applyBorder="1" applyAlignment="1" applyProtection="1">
      <alignment horizontal="left"/>
      <protection locked="0"/>
    </xf>
    <xf numFmtId="166" fontId="82" fillId="0" borderId="37" xfId="0" applyNumberFormat="1" applyFont="1" applyBorder="1" applyAlignment="1" applyProtection="1">
      <alignment horizontal="left"/>
      <protection locked="0"/>
    </xf>
    <xf numFmtId="0" fontId="82" fillId="0" borderId="35" xfId="0" applyFont="1" applyBorder="1" applyAlignment="1" applyProtection="1">
      <alignment horizontal="left"/>
      <protection locked="0" hidden="1"/>
    </xf>
    <xf numFmtId="0" fontId="82" fillId="0" borderId="36" xfId="0" applyFont="1" applyBorder="1" applyAlignment="1" applyProtection="1">
      <alignment horizontal="left"/>
      <protection locked="0" hidden="1"/>
    </xf>
    <xf numFmtId="0" fontId="82" fillId="0" borderId="37" xfId="0" applyFont="1" applyBorder="1" applyAlignment="1" applyProtection="1">
      <alignment horizontal="left"/>
      <protection locked="0" hidden="1"/>
    </xf>
    <xf numFmtId="0" fontId="82" fillId="0" borderId="35" xfId="0" applyFont="1" applyBorder="1" applyAlignment="1">
      <alignment horizontal="left"/>
    </xf>
    <xf numFmtId="0" fontId="82" fillId="0" borderId="36" xfId="0" applyFont="1" applyBorder="1" applyAlignment="1">
      <alignment horizontal="left"/>
    </xf>
    <xf numFmtId="0" fontId="82" fillId="0" borderId="37" xfId="0" applyFont="1" applyBorder="1" applyAlignment="1">
      <alignment horizontal="left"/>
    </xf>
    <xf numFmtId="0" fontId="82" fillId="0" borderId="38" xfId="0" applyFont="1" applyBorder="1" applyAlignment="1" applyProtection="1">
      <alignment horizontal="left" vertical="top" wrapText="1"/>
      <protection locked="0"/>
    </xf>
    <xf numFmtId="0" fontId="82" fillId="0" borderId="39" xfId="0" applyFont="1" applyBorder="1" applyAlignment="1" applyProtection="1">
      <alignment horizontal="left" vertical="top" wrapText="1"/>
      <protection locked="0"/>
    </xf>
    <xf numFmtId="0" fontId="82" fillId="0" borderId="40" xfId="0" applyFont="1" applyBorder="1" applyAlignment="1" applyProtection="1">
      <alignment horizontal="left" vertical="top" wrapText="1"/>
      <protection locked="0"/>
    </xf>
    <xf numFmtId="0" fontId="82" fillId="0" borderId="41" xfId="0" applyFont="1" applyBorder="1" applyAlignment="1" applyProtection="1">
      <alignment horizontal="left" vertical="top" wrapText="1"/>
      <protection locked="0"/>
    </xf>
    <xf numFmtId="0" fontId="82" fillId="0" borderId="0" xfId="0" applyFont="1" applyAlignment="1" applyProtection="1">
      <alignment horizontal="left" vertical="top" wrapText="1"/>
      <protection locked="0"/>
    </xf>
    <xf numFmtId="0" fontId="82" fillId="0" borderId="42" xfId="0" applyFont="1" applyBorder="1" applyAlignment="1" applyProtection="1">
      <alignment horizontal="left" vertical="top" wrapText="1"/>
      <protection locked="0"/>
    </xf>
    <xf numFmtId="0" fontId="82" fillId="0" borderId="43" xfId="0" applyFont="1" applyBorder="1" applyAlignment="1" applyProtection="1">
      <alignment horizontal="left" vertical="top" wrapText="1"/>
      <protection locked="0"/>
    </xf>
    <xf numFmtId="0" fontId="82" fillId="0" borderId="33" xfId="0" applyFont="1" applyBorder="1" applyAlignment="1" applyProtection="1">
      <alignment horizontal="left" vertical="top" wrapText="1"/>
      <protection locked="0"/>
    </xf>
    <xf numFmtId="0" fontId="82" fillId="0" borderId="44" xfId="0" applyFont="1" applyBorder="1" applyAlignment="1" applyProtection="1">
      <alignment horizontal="left" vertical="top" wrapText="1"/>
      <protection locked="0"/>
    </xf>
    <xf numFmtId="3" fontId="82" fillId="0" borderId="35" xfId="0" applyNumberFormat="1" applyFont="1" applyBorder="1" applyAlignment="1" applyProtection="1">
      <alignment horizontal="left"/>
      <protection locked="0"/>
    </xf>
    <xf numFmtId="3" fontId="82" fillId="0" borderId="36" xfId="0" applyNumberFormat="1" applyFont="1" applyBorder="1" applyAlignment="1" applyProtection="1">
      <alignment horizontal="left"/>
      <protection locked="0"/>
    </xf>
    <xf numFmtId="3" fontId="82" fillId="0" borderId="37" xfId="0" applyNumberFormat="1" applyFont="1" applyBorder="1" applyAlignment="1" applyProtection="1">
      <alignment horizontal="left"/>
      <protection locked="0"/>
    </xf>
    <xf numFmtId="175" fontId="82" fillId="5" borderId="35" xfId="0" applyNumberFormat="1" applyFont="1" applyFill="1" applyBorder="1" applyAlignment="1" applyProtection="1">
      <alignment horizontal="left"/>
      <protection locked="0" hidden="1"/>
    </xf>
    <xf numFmtId="175" fontId="82" fillId="5" borderId="36" xfId="0" applyNumberFormat="1" applyFont="1" applyFill="1" applyBorder="1" applyAlignment="1" applyProtection="1">
      <alignment horizontal="left"/>
      <protection locked="0" hidden="1"/>
    </xf>
    <xf numFmtId="175" fontId="82" fillId="5" borderId="37" xfId="0" applyNumberFormat="1" applyFont="1" applyFill="1" applyBorder="1" applyAlignment="1" applyProtection="1">
      <alignment horizontal="left"/>
      <protection locked="0" hidden="1"/>
    </xf>
    <xf numFmtId="171" fontId="82" fillId="0" borderId="35" xfId="0" applyNumberFormat="1" applyFont="1" applyBorder="1" applyAlignment="1" applyProtection="1">
      <alignment horizontal="left"/>
      <protection locked="0" hidden="1"/>
    </xf>
    <xf numFmtId="171" fontId="82" fillId="0" borderId="36" xfId="0" applyNumberFormat="1" applyFont="1" applyBorder="1" applyAlignment="1" applyProtection="1">
      <alignment horizontal="left"/>
      <protection locked="0" hidden="1"/>
    </xf>
    <xf numFmtId="171" fontId="82" fillId="0" borderId="37" xfId="0" applyNumberFormat="1" applyFont="1" applyBorder="1" applyAlignment="1" applyProtection="1">
      <alignment horizontal="left"/>
      <protection locked="0" hidden="1"/>
    </xf>
    <xf numFmtId="0" fontId="20" fillId="0" borderId="35" xfId="1" applyFill="1" applyBorder="1" applyAlignment="1" applyProtection="1">
      <alignment horizontal="left"/>
      <protection locked="0" hidden="1"/>
    </xf>
    <xf numFmtId="0" fontId="82" fillId="5" borderId="35" xfId="0" applyFont="1" applyFill="1" applyBorder="1" applyAlignment="1" applyProtection="1">
      <alignment horizontal="left"/>
      <protection hidden="1"/>
    </xf>
    <xf numFmtId="0" fontId="82" fillId="5" borderId="36" xfId="0" applyFont="1" applyFill="1" applyBorder="1" applyAlignment="1" applyProtection="1">
      <alignment horizontal="left"/>
      <protection hidden="1"/>
    </xf>
    <xf numFmtId="0" fontId="82" fillId="5" borderId="37" xfId="0" applyFont="1" applyFill="1" applyBorder="1" applyAlignment="1" applyProtection="1">
      <alignment horizontal="left"/>
      <protection hidden="1"/>
    </xf>
    <xf numFmtId="0" fontId="82" fillId="4" borderId="35" xfId="0" applyFont="1" applyFill="1" applyBorder="1" applyAlignment="1" applyProtection="1">
      <alignment horizontal="left"/>
      <protection locked="0"/>
    </xf>
    <xf numFmtId="0" fontId="82" fillId="4" borderId="36" xfId="0" applyFont="1" applyFill="1" applyBorder="1" applyAlignment="1" applyProtection="1">
      <alignment horizontal="left"/>
      <protection locked="0"/>
    </xf>
    <xf numFmtId="0" fontId="82" fillId="4" borderId="37" xfId="0" applyFont="1" applyFill="1" applyBorder="1" applyAlignment="1" applyProtection="1">
      <alignment horizontal="left"/>
      <protection locked="0"/>
    </xf>
    <xf numFmtId="0" fontId="82" fillId="4" borderId="0" xfId="0" applyFont="1" applyFill="1" applyAlignment="1">
      <alignment horizontal="left"/>
    </xf>
    <xf numFmtId="0" fontId="93" fillId="0" borderId="0" xfId="1" applyFont="1" applyAlignment="1">
      <alignment horizontal="center" vertical="center" wrapText="1"/>
    </xf>
    <xf numFmtId="0" fontId="119" fillId="0" borderId="106" xfId="0" applyFont="1" applyBorder="1" applyAlignment="1" applyProtection="1">
      <alignment horizontal="center" wrapText="1"/>
      <protection locked="0"/>
    </xf>
    <xf numFmtId="0" fontId="119" fillId="0" borderId="107" xfId="0" applyFont="1" applyBorder="1" applyAlignment="1" applyProtection="1">
      <alignment horizontal="center" wrapText="1"/>
      <protection locked="0"/>
    </xf>
    <xf numFmtId="0" fontId="119" fillId="0" borderId="108" xfId="0" applyFont="1" applyBorder="1" applyAlignment="1" applyProtection="1">
      <alignment horizontal="center" wrapText="1"/>
      <protection locked="0"/>
    </xf>
    <xf numFmtId="0" fontId="119" fillId="0" borderId="103" xfId="0" applyFont="1" applyBorder="1" applyAlignment="1" applyProtection="1">
      <alignment horizontal="center" wrapText="1"/>
      <protection locked="0"/>
    </xf>
    <xf numFmtId="0" fontId="119" fillId="0" borderId="104" xfId="0" applyFont="1" applyBorder="1" applyAlignment="1" applyProtection="1">
      <alignment horizontal="center" wrapText="1"/>
      <protection locked="0"/>
    </xf>
    <xf numFmtId="0" fontId="119" fillId="0" borderId="105" xfId="0" applyFont="1" applyBorder="1" applyAlignment="1" applyProtection="1">
      <alignment horizontal="center" wrapText="1"/>
      <protection locked="0"/>
    </xf>
    <xf numFmtId="0" fontId="119" fillId="0" borderId="152" xfId="0" applyFont="1" applyBorder="1" applyAlignment="1" applyProtection="1">
      <alignment horizontal="center" wrapText="1"/>
      <protection locked="0"/>
    </xf>
    <xf numFmtId="0" fontId="119" fillId="0" borderId="0" xfId="0" applyFont="1" applyAlignment="1" applyProtection="1">
      <alignment horizontal="center" wrapText="1"/>
      <protection locked="0"/>
    </xf>
    <xf numFmtId="0" fontId="119" fillId="0" borderId="153" xfId="0" applyFont="1" applyBorder="1" applyAlignment="1" applyProtection="1">
      <alignment horizontal="center" wrapText="1"/>
      <protection locked="0"/>
    </xf>
    <xf numFmtId="167" fontId="84" fillId="0" borderId="72" xfId="0" applyNumberFormat="1" applyFont="1" applyBorder="1" applyAlignment="1">
      <alignment horizontal="center"/>
    </xf>
    <xf numFmtId="0" fontId="119" fillId="0" borderId="0" xfId="0" applyFont="1" applyAlignment="1">
      <alignment horizontal="center" wrapText="1"/>
    </xf>
    <xf numFmtId="0" fontId="119" fillId="0" borderId="70" xfId="0" applyFont="1" applyBorder="1" applyAlignment="1">
      <alignment horizontal="center" wrapText="1"/>
    </xf>
    <xf numFmtId="0" fontId="119" fillId="0" borderId="185" xfId="0" applyFont="1" applyBorder="1" applyAlignment="1" applyProtection="1">
      <alignment horizontal="center" wrapText="1"/>
      <protection locked="0"/>
    </xf>
    <xf numFmtId="0" fontId="119" fillId="0" borderId="102" xfId="0" applyFont="1" applyBorder="1" applyAlignment="1" applyProtection="1">
      <alignment horizontal="center" wrapText="1"/>
      <protection locked="0"/>
    </xf>
    <xf numFmtId="0" fontId="119" fillId="0" borderId="186" xfId="0" applyFont="1" applyBorder="1" applyAlignment="1" applyProtection="1">
      <alignment horizontal="center" wrapText="1"/>
      <protection locked="0"/>
    </xf>
    <xf numFmtId="0" fontId="119" fillId="0" borderId="109" xfId="0" applyFont="1" applyBorder="1" applyAlignment="1" applyProtection="1">
      <alignment horizontal="center" wrapText="1"/>
      <protection locked="0"/>
    </xf>
    <xf numFmtId="0" fontId="119" fillId="0" borderId="113" xfId="0" applyFont="1" applyBorder="1" applyAlignment="1" applyProtection="1">
      <alignment horizontal="center" wrapText="1"/>
      <protection locked="0"/>
    </xf>
    <xf numFmtId="0" fontId="119" fillId="0" borderId="110" xfId="0" applyFont="1" applyBorder="1" applyAlignment="1" applyProtection="1">
      <alignment horizontal="center" wrapText="1"/>
      <protection locked="0"/>
    </xf>
    <xf numFmtId="184" fontId="119" fillId="0" borderId="149" xfId="0" applyNumberFormat="1" applyFont="1" applyBorder="1" applyAlignment="1" applyProtection="1">
      <alignment horizontal="center" shrinkToFit="1"/>
      <protection locked="0" hidden="1"/>
    </xf>
    <xf numFmtId="184" fontId="119" fillId="0" borderId="198" xfId="0" applyNumberFormat="1" applyFont="1" applyBorder="1" applyAlignment="1" applyProtection="1">
      <alignment horizontal="center" shrinkToFit="1"/>
      <protection locked="0" hidden="1"/>
    </xf>
    <xf numFmtId="184" fontId="119" fillId="0" borderId="136" xfId="0" applyNumberFormat="1" applyFont="1" applyBorder="1" applyAlignment="1" applyProtection="1">
      <alignment horizontal="center" shrinkToFit="1"/>
      <protection locked="0" hidden="1"/>
    </xf>
    <xf numFmtId="184" fontId="119" fillId="0" borderId="199" xfId="0" applyNumberFormat="1" applyFont="1" applyBorder="1" applyAlignment="1" applyProtection="1">
      <alignment horizontal="center" shrinkToFit="1"/>
      <protection locked="0" hidden="1"/>
    </xf>
    <xf numFmtId="167" fontId="0" fillId="0" borderId="74" xfId="13" applyNumberFormat="1" applyFont="1" applyBorder="1" applyAlignment="1" applyProtection="1">
      <alignment horizontal="center"/>
      <protection locked="0"/>
    </xf>
    <xf numFmtId="0" fontId="25" fillId="0" borderId="59" xfId="0" applyFont="1" applyBorder="1" applyAlignment="1">
      <alignment horizontal="center" wrapText="1"/>
    </xf>
    <xf numFmtId="0" fontId="25" fillId="0" borderId="101" xfId="0" applyFont="1" applyBorder="1" applyAlignment="1">
      <alignment horizontal="center" wrapText="1"/>
    </xf>
    <xf numFmtId="0" fontId="145" fillId="0" borderId="106" xfId="0" applyFont="1" applyBorder="1" applyAlignment="1" applyProtection="1">
      <alignment horizontal="center" wrapText="1"/>
      <protection locked="0"/>
    </xf>
    <xf numFmtId="0" fontId="145" fillId="0" borderId="107" xfId="0" applyFont="1" applyBorder="1" applyAlignment="1" applyProtection="1">
      <alignment horizontal="center" wrapText="1"/>
      <protection locked="0"/>
    </xf>
    <xf numFmtId="0" fontId="145" fillId="0" borderId="108" xfId="0" applyFont="1" applyBorder="1" applyAlignment="1" applyProtection="1">
      <alignment horizontal="center" wrapText="1"/>
      <protection locked="0"/>
    </xf>
    <xf numFmtId="0" fontId="145" fillId="0" borderId="103" xfId="0" applyFont="1" applyBorder="1" applyAlignment="1" applyProtection="1">
      <alignment horizontal="center" wrapText="1"/>
      <protection locked="0"/>
    </xf>
    <xf numFmtId="0" fontId="145" fillId="0" borderId="104" xfId="0" applyFont="1" applyBorder="1" applyAlignment="1" applyProtection="1">
      <alignment horizontal="center" wrapText="1"/>
      <protection locked="0"/>
    </xf>
    <xf numFmtId="0" fontId="145" fillId="0" borderId="105" xfId="0" applyFont="1" applyBorder="1" applyAlignment="1" applyProtection="1">
      <alignment horizontal="center" wrapText="1"/>
      <protection locked="0"/>
    </xf>
    <xf numFmtId="0" fontId="145" fillId="0" borderId="109" xfId="0" applyFont="1" applyBorder="1" applyAlignment="1" applyProtection="1">
      <alignment horizontal="center" wrapText="1"/>
      <protection locked="0"/>
    </xf>
    <xf numFmtId="0" fontId="145" fillId="0" borderId="113" xfId="0" applyFont="1" applyBorder="1" applyAlignment="1" applyProtection="1">
      <alignment horizontal="center" wrapText="1"/>
      <protection locked="0"/>
    </xf>
    <xf numFmtId="172" fontId="23" fillId="0" borderId="69" xfId="0" applyNumberFormat="1" applyFont="1" applyBorder="1" applyAlignment="1">
      <alignment horizontal="center" shrinkToFit="1"/>
    </xf>
    <xf numFmtId="172" fontId="23" fillId="0" borderId="68" xfId="0" applyNumberFormat="1" applyFont="1" applyBorder="1" applyAlignment="1">
      <alignment horizontal="center" shrinkToFit="1"/>
    </xf>
    <xf numFmtId="167" fontId="23" fillId="0" borderId="69" xfId="0" applyNumberFormat="1" applyFont="1" applyBorder="1" applyAlignment="1">
      <alignment horizontal="center" shrinkToFit="1"/>
    </xf>
    <xf numFmtId="167" fontId="23" fillId="0" borderId="68" xfId="0" applyNumberFormat="1" applyFont="1" applyBorder="1" applyAlignment="1">
      <alignment horizontal="center" shrinkToFit="1"/>
    </xf>
    <xf numFmtId="0" fontId="23" fillId="0" borderId="69" xfId="0" applyFont="1" applyBorder="1" applyAlignment="1">
      <alignment horizontal="center"/>
    </xf>
    <xf numFmtId="0" fontId="23" fillId="0" borderId="68" xfId="0" applyFont="1" applyBorder="1" applyAlignment="1">
      <alignment horizontal="center"/>
    </xf>
    <xf numFmtId="0" fontId="23" fillId="0" borderId="0" xfId="0" applyFont="1" applyAlignment="1">
      <alignment horizontal="center" wrapText="1"/>
    </xf>
    <xf numFmtId="0" fontId="23" fillId="0" borderId="70" xfId="0" applyFont="1" applyBorder="1" applyAlignment="1">
      <alignment horizontal="center" wrapText="1"/>
    </xf>
    <xf numFmtId="0" fontId="23" fillId="0" borderId="69" xfId="0" applyFont="1" applyBorder="1" applyAlignment="1">
      <alignment horizontal="center" wrapText="1"/>
    </xf>
    <xf numFmtId="0" fontId="23" fillId="0" borderId="68" xfId="0" applyFont="1" applyBorder="1" applyAlignment="1">
      <alignment horizontal="center" wrapText="1"/>
    </xf>
    <xf numFmtId="0" fontId="25" fillId="0" borderId="0" xfId="0" applyFont="1" applyAlignment="1">
      <alignment horizontal="center" wrapText="1"/>
    </xf>
    <xf numFmtId="0" fontId="25" fillId="0" borderId="70" xfId="0" applyFont="1" applyBorder="1" applyAlignment="1">
      <alignment horizontal="center" wrapText="1"/>
    </xf>
    <xf numFmtId="0" fontId="80" fillId="0" borderId="0" xfId="0" applyFont="1" applyAlignment="1">
      <alignment horizontal="center" vertical="top" wrapText="1"/>
    </xf>
    <xf numFmtId="0" fontId="23" fillId="0" borderId="0" xfId="0" applyFont="1" applyAlignment="1">
      <alignment horizontal="center"/>
    </xf>
    <xf numFmtId="167" fontId="0" fillId="0" borderId="68" xfId="0" applyNumberFormat="1" applyBorder="1" applyAlignment="1">
      <alignment horizontal="center" shrinkToFit="1"/>
    </xf>
    <xf numFmtId="1" fontId="0" fillId="0" borderId="68" xfId="0" applyNumberFormat="1" applyBorder="1" applyAlignment="1">
      <alignment horizontal="center" shrinkToFit="1"/>
    </xf>
    <xf numFmtId="172" fontId="0" fillId="0" borderId="68" xfId="0" applyNumberFormat="1" applyBorder="1" applyAlignment="1">
      <alignment horizontal="center" shrinkToFit="1"/>
    </xf>
    <xf numFmtId="0" fontId="119" fillId="0" borderId="69" xfId="0" applyFont="1" applyBorder="1" applyAlignment="1" applyProtection="1">
      <alignment horizontal="center"/>
      <protection locked="0"/>
    </xf>
    <xf numFmtId="0" fontId="119" fillId="0" borderId="68" xfId="0" applyFont="1" applyBorder="1" applyAlignment="1" applyProtection="1">
      <alignment horizontal="center"/>
      <protection locked="0"/>
    </xf>
    <xf numFmtId="167" fontId="119" fillId="0" borderId="133" xfId="0" applyNumberFormat="1" applyFont="1" applyBorder="1" applyAlignment="1" applyProtection="1">
      <alignment horizontal="center" shrinkToFit="1"/>
      <protection locked="0"/>
    </xf>
    <xf numFmtId="167" fontId="119" fillId="0" borderId="68" xfId="0" applyNumberFormat="1" applyFont="1" applyBorder="1" applyAlignment="1" applyProtection="1">
      <alignment horizontal="center" shrinkToFit="1"/>
      <protection locked="0"/>
    </xf>
    <xf numFmtId="167" fontId="119" fillId="0" borderId="136" xfId="0" applyNumberFormat="1" applyFont="1" applyBorder="1" applyAlignment="1" applyProtection="1">
      <alignment horizontal="center" shrinkToFit="1"/>
      <protection locked="0"/>
    </xf>
    <xf numFmtId="0" fontId="119" fillId="0" borderId="106" xfId="0" applyFont="1" applyBorder="1" applyAlignment="1" applyProtection="1">
      <alignment horizontal="center"/>
      <protection locked="0"/>
    </xf>
    <xf numFmtId="0" fontId="119" fillId="0" borderId="108" xfId="0" applyFont="1" applyBorder="1" applyAlignment="1" applyProtection="1">
      <alignment horizontal="center"/>
      <protection locked="0"/>
    </xf>
    <xf numFmtId="0" fontId="119" fillId="0" borderId="103" xfId="0" applyFont="1" applyBorder="1" applyAlignment="1" applyProtection="1">
      <alignment horizontal="center"/>
      <protection locked="0"/>
    </xf>
    <xf numFmtId="0" fontId="119" fillId="0" borderId="105" xfId="0" applyFont="1" applyBorder="1" applyAlignment="1" applyProtection="1">
      <alignment horizontal="center"/>
      <protection locked="0"/>
    </xf>
    <xf numFmtId="167" fontId="119" fillId="0" borderId="156" xfId="0" applyNumberFormat="1" applyFont="1" applyBorder="1" applyAlignment="1" applyProtection="1">
      <alignment horizontal="center" shrinkToFit="1"/>
      <protection locked="0"/>
    </xf>
    <xf numFmtId="167" fontId="119" fillId="0" borderId="108" xfId="0" applyNumberFormat="1" applyFont="1" applyBorder="1" applyAlignment="1" applyProtection="1">
      <alignment horizontal="center" shrinkToFit="1"/>
      <protection locked="0"/>
    </xf>
    <xf numFmtId="167" fontId="119" fillId="0" borderId="157" xfId="0" applyNumberFormat="1" applyFont="1" applyBorder="1" applyAlignment="1" applyProtection="1">
      <alignment horizontal="center" shrinkToFit="1"/>
      <protection locked="0"/>
    </xf>
    <xf numFmtId="167" fontId="119" fillId="0" borderId="105" xfId="0" applyNumberFormat="1" applyFont="1" applyBorder="1" applyAlignment="1" applyProtection="1">
      <alignment horizontal="center" shrinkToFit="1"/>
      <protection locked="0"/>
    </xf>
    <xf numFmtId="167" fontId="119" fillId="0" borderId="106" xfId="0" applyNumberFormat="1" applyFont="1" applyBorder="1" applyAlignment="1" applyProtection="1">
      <alignment horizontal="center" shrinkToFit="1"/>
      <protection locked="0"/>
    </xf>
    <xf numFmtId="167" fontId="119" fillId="0" borderId="154" xfId="0" applyNumberFormat="1" applyFont="1" applyBorder="1" applyAlignment="1" applyProtection="1">
      <alignment horizontal="center" shrinkToFit="1"/>
      <protection locked="0"/>
    </xf>
    <xf numFmtId="167" fontId="119" fillId="0" borderId="103" xfId="0" applyNumberFormat="1" applyFont="1" applyBorder="1" applyAlignment="1" applyProtection="1">
      <alignment horizontal="center" shrinkToFit="1"/>
      <protection locked="0"/>
    </xf>
    <xf numFmtId="167" fontId="119" fillId="0" borderId="155" xfId="0" applyNumberFormat="1" applyFont="1" applyBorder="1" applyAlignment="1" applyProtection="1">
      <alignment horizontal="center" shrinkToFit="1"/>
      <protection locked="0"/>
    </xf>
    <xf numFmtId="0" fontId="119" fillId="0" borderId="154" xfId="0" applyFont="1" applyBorder="1" applyAlignment="1" applyProtection="1">
      <alignment horizontal="center" wrapText="1"/>
      <protection locked="0"/>
    </xf>
    <xf numFmtId="0" fontId="119" fillId="0" borderId="155" xfId="0" applyFont="1" applyBorder="1" applyAlignment="1" applyProtection="1">
      <alignment horizontal="center" wrapText="1"/>
      <protection locked="0"/>
    </xf>
    <xf numFmtId="185" fontId="119" fillId="0" borderId="199" xfId="0" applyNumberFormat="1" applyFont="1" applyBorder="1" applyAlignment="1" applyProtection="1">
      <alignment horizontal="center" shrinkToFit="1"/>
      <protection locked="0" hidden="1"/>
    </xf>
    <xf numFmtId="185" fontId="119" fillId="0" borderId="133" xfId="0" applyNumberFormat="1" applyFont="1" applyBorder="1" applyAlignment="1" applyProtection="1">
      <alignment horizontal="center" shrinkToFit="1"/>
      <protection locked="0" hidden="1"/>
    </xf>
    <xf numFmtId="0" fontId="119" fillId="0" borderId="69" xfId="0" applyFont="1" applyBorder="1" applyAlignment="1" applyProtection="1">
      <alignment horizontal="center" shrinkToFit="1"/>
      <protection locked="0"/>
    </xf>
    <xf numFmtId="0" fontId="119" fillId="0" borderId="68" xfId="0" applyFont="1" applyBorder="1" applyAlignment="1" applyProtection="1">
      <alignment horizontal="center" shrinkToFit="1"/>
      <protection locked="0"/>
    </xf>
    <xf numFmtId="167" fontId="119" fillId="0" borderId="148" xfId="0" applyNumberFormat="1" applyFont="1" applyBorder="1" applyAlignment="1" applyProtection="1">
      <alignment horizontal="center" shrinkToFit="1"/>
      <protection locked="0"/>
    </xf>
    <xf numFmtId="167" fontId="119" fillId="0" borderId="69" xfId="0" applyNumberFormat="1" applyFont="1" applyBorder="1" applyAlignment="1" applyProtection="1">
      <alignment horizontal="center" shrinkToFit="1"/>
      <protection locked="0"/>
    </xf>
    <xf numFmtId="167" fontId="119" fillId="0" borderId="149" xfId="0" applyNumberFormat="1" applyFont="1" applyBorder="1" applyAlignment="1" applyProtection="1">
      <alignment horizontal="center" shrinkToFit="1"/>
      <protection locked="0"/>
    </xf>
    <xf numFmtId="0" fontId="119" fillId="0" borderId="106" xfId="0" applyFont="1" applyBorder="1" applyAlignment="1" applyProtection="1">
      <alignment horizontal="center" shrinkToFit="1"/>
      <protection locked="0"/>
    </xf>
    <xf numFmtId="0" fontId="119" fillId="0" borderId="108" xfId="0" applyFont="1" applyBorder="1" applyAlignment="1" applyProtection="1">
      <alignment horizontal="center" shrinkToFit="1"/>
      <protection locked="0"/>
    </xf>
    <xf numFmtId="0" fontId="119" fillId="0" borderId="103" xfId="0" applyFont="1" applyBorder="1" applyAlignment="1" applyProtection="1">
      <alignment horizontal="center" shrinkToFit="1"/>
      <protection locked="0"/>
    </xf>
    <xf numFmtId="0" fontId="119" fillId="0" borderId="105" xfId="0" applyFont="1" applyBorder="1" applyAlignment="1" applyProtection="1">
      <alignment horizontal="center" shrinkToFit="1"/>
      <protection locked="0"/>
    </xf>
    <xf numFmtId="167" fontId="120" fillId="11" borderId="156" xfId="0" applyNumberFormat="1" applyFont="1" applyFill="1" applyBorder="1" applyAlignment="1">
      <alignment horizontal="center" shrinkToFit="1"/>
    </xf>
    <xf numFmtId="167" fontId="120" fillId="11" borderId="108" xfId="0" applyNumberFormat="1" applyFont="1" applyFill="1" applyBorder="1" applyAlignment="1">
      <alignment horizontal="center" shrinkToFit="1"/>
    </xf>
    <xf numFmtId="167" fontId="120" fillId="11" borderId="157" xfId="0" applyNumberFormat="1" applyFont="1" applyFill="1" applyBorder="1" applyAlignment="1">
      <alignment horizontal="center" shrinkToFit="1"/>
    </xf>
    <xf numFmtId="167" fontId="120" fillId="11" borderId="105" xfId="0" applyNumberFormat="1" applyFont="1" applyFill="1" applyBorder="1" applyAlignment="1">
      <alignment horizontal="center" shrinkToFit="1"/>
    </xf>
    <xf numFmtId="170" fontId="120" fillId="11" borderId="69" xfId="0" applyNumberFormat="1" applyFont="1" applyFill="1" applyBorder="1" applyAlignment="1">
      <alignment horizontal="center" shrinkToFit="1"/>
    </xf>
    <xf numFmtId="170" fontId="120" fillId="11" borderId="68" xfId="0" applyNumberFormat="1" applyFont="1" applyFill="1" applyBorder="1" applyAlignment="1">
      <alignment horizontal="center" shrinkToFit="1"/>
    </xf>
    <xf numFmtId="167" fontId="120" fillId="11" borderId="106" xfId="0" applyNumberFormat="1" applyFont="1" applyFill="1" applyBorder="1" applyAlignment="1">
      <alignment horizontal="center" wrapText="1"/>
    </xf>
    <xf numFmtId="167" fontId="120" fillId="11" borderId="107" xfId="0" applyNumberFormat="1" applyFont="1" applyFill="1" applyBorder="1" applyAlignment="1">
      <alignment horizontal="center" wrapText="1"/>
    </xf>
    <xf numFmtId="167" fontId="120" fillId="11" borderId="108" xfId="0" applyNumberFormat="1" applyFont="1" applyFill="1" applyBorder="1" applyAlignment="1">
      <alignment horizontal="center" wrapText="1"/>
    </xf>
    <xf numFmtId="167" fontId="120" fillId="11" borderId="103" xfId="0" applyNumberFormat="1" applyFont="1" applyFill="1" applyBorder="1" applyAlignment="1">
      <alignment horizontal="center" wrapText="1"/>
    </xf>
    <xf numFmtId="167" fontId="120" fillId="11" borderId="104" xfId="0" applyNumberFormat="1" applyFont="1" applyFill="1" applyBorder="1" applyAlignment="1">
      <alignment horizontal="center" wrapText="1"/>
    </xf>
    <xf numFmtId="167" fontId="120" fillId="11" borderId="105" xfId="0" applyNumberFormat="1" applyFont="1" applyFill="1" applyBorder="1" applyAlignment="1">
      <alignment horizontal="center" wrapText="1"/>
    </xf>
    <xf numFmtId="0" fontId="119" fillId="0" borderId="68" xfId="0" applyFont="1" applyBorder="1" applyAlignment="1" applyProtection="1">
      <alignment horizontal="center" wrapText="1"/>
      <protection locked="0"/>
    </xf>
    <xf numFmtId="164" fontId="23" fillId="0" borderId="0" xfId="0" applyNumberFormat="1" applyFont="1" applyAlignment="1">
      <alignment horizontal="right" vertical="center"/>
    </xf>
    <xf numFmtId="184" fontId="119" fillId="0" borderId="195" xfId="0" applyNumberFormat="1" applyFont="1" applyBorder="1" applyAlignment="1" applyProtection="1">
      <alignment horizontal="center" shrinkToFit="1"/>
      <protection locked="0" hidden="1"/>
    </xf>
    <xf numFmtId="184" fontId="119" fillId="0" borderId="196" xfId="0" applyNumberFormat="1" applyFont="1" applyBorder="1" applyAlignment="1" applyProtection="1">
      <alignment horizontal="center" shrinkToFit="1"/>
      <protection locked="0" hidden="1"/>
    </xf>
    <xf numFmtId="185" fontId="119" fillId="0" borderId="196" xfId="0" applyNumberFormat="1" applyFont="1" applyBorder="1" applyAlignment="1" applyProtection="1">
      <alignment horizontal="center" shrinkToFit="1"/>
      <protection locked="0" hidden="1"/>
    </xf>
    <xf numFmtId="185" fontId="119" fillId="0" borderId="197" xfId="0" applyNumberFormat="1" applyFont="1" applyBorder="1" applyAlignment="1" applyProtection="1">
      <alignment horizontal="center" shrinkToFit="1"/>
      <protection locked="0" hidden="1"/>
    </xf>
    <xf numFmtId="185" fontId="119" fillId="0" borderId="198" xfId="0" applyNumberFormat="1" applyFont="1" applyBorder="1" applyAlignment="1" applyProtection="1">
      <alignment horizontal="center" shrinkToFit="1"/>
      <protection locked="0" hidden="1"/>
    </xf>
    <xf numFmtId="185" fontId="119" fillId="0" borderId="148" xfId="0" applyNumberFormat="1" applyFont="1" applyBorder="1" applyAlignment="1" applyProtection="1">
      <alignment horizontal="center" shrinkToFit="1"/>
      <protection locked="0" hidden="1"/>
    </xf>
    <xf numFmtId="0" fontId="119" fillId="0" borderId="69" xfId="0" applyFont="1" applyBorder="1" applyAlignment="1" applyProtection="1">
      <alignment horizontal="center" wrapText="1"/>
      <protection locked="0"/>
    </xf>
    <xf numFmtId="0" fontId="187" fillId="0" borderId="0" xfId="0" applyFont="1" applyAlignment="1">
      <alignment horizontal="center" vertical="center" wrapText="1"/>
    </xf>
    <xf numFmtId="0" fontId="135" fillId="17" borderId="34" xfId="0" applyFont="1" applyFill="1" applyBorder="1" applyAlignment="1" applyProtection="1">
      <alignment horizontal="center" vertical="center" wrapText="1"/>
      <protection hidden="1"/>
    </xf>
    <xf numFmtId="0" fontId="136" fillId="17" borderId="34" xfId="0" applyFont="1" applyFill="1" applyBorder="1" applyAlignment="1" applyProtection="1">
      <alignment horizontal="center" vertical="center" wrapText="1"/>
      <protection hidden="1"/>
    </xf>
    <xf numFmtId="0" fontId="136" fillId="17" borderId="0" xfId="0" applyFont="1" applyFill="1" applyAlignment="1" applyProtection="1">
      <alignment horizontal="center" vertical="center" wrapText="1"/>
      <protection hidden="1"/>
    </xf>
    <xf numFmtId="0" fontId="97" fillId="36" borderId="34" xfId="1" applyFont="1" applyFill="1" applyBorder="1" applyAlignment="1" applyProtection="1">
      <alignment horizontal="center" vertical="center" wrapText="1"/>
      <protection hidden="1"/>
    </xf>
    <xf numFmtId="0" fontId="97" fillId="36" borderId="0" xfId="1" applyFont="1" applyFill="1" applyBorder="1" applyAlignment="1" applyProtection="1">
      <alignment horizontal="center" vertical="center" wrapText="1"/>
      <protection hidden="1"/>
    </xf>
    <xf numFmtId="170" fontId="139" fillId="0" borderId="0" xfId="0" applyNumberFormat="1" applyFont="1" applyAlignment="1">
      <alignment horizontal="center"/>
    </xf>
    <xf numFmtId="167" fontId="139" fillId="0" borderId="0" xfId="0" applyNumberFormat="1" applyFont="1" applyAlignment="1">
      <alignment horizontal="center"/>
    </xf>
    <xf numFmtId="167" fontId="120" fillId="11" borderId="148" xfId="0" applyNumberFormat="1" applyFont="1" applyFill="1" applyBorder="1" applyAlignment="1">
      <alignment horizontal="center" shrinkToFit="1"/>
    </xf>
    <xf numFmtId="167" fontId="120" fillId="11" borderId="69" xfId="0" applyNumberFormat="1" applyFont="1" applyFill="1" applyBorder="1" applyAlignment="1">
      <alignment horizontal="center" shrinkToFit="1"/>
    </xf>
    <xf numFmtId="167" fontId="120" fillId="11" borderId="133" xfId="0" applyNumberFormat="1" applyFont="1" applyFill="1" applyBorder="1" applyAlignment="1">
      <alignment horizontal="center" shrinkToFit="1"/>
    </xf>
    <xf numFmtId="167" fontId="120" fillId="11" borderId="68" xfId="0" applyNumberFormat="1" applyFont="1" applyFill="1" applyBorder="1" applyAlignment="1">
      <alignment horizontal="center" shrinkToFit="1"/>
    </xf>
    <xf numFmtId="167" fontId="120" fillId="11" borderId="69" xfId="0" applyNumberFormat="1" applyFont="1" applyFill="1" applyBorder="1" applyAlignment="1">
      <alignment horizontal="center" wrapText="1"/>
    </xf>
    <xf numFmtId="167" fontId="120" fillId="11" borderId="68" xfId="0" applyNumberFormat="1" applyFont="1" applyFill="1" applyBorder="1" applyAlignment="1">
      <alignment horizontal="center" wrapText="1"/>
    </xf>
    <xf numFmtId="1" fontId="25" fillId="0" borderId="73" xfId="0" applyNumberFormat="1" applyFont="1" applyBorder="1" applyAlignment="1">
      <alignment horizontal="center" shrinkToFit="1"/>
    </xf>
    <xf numFmtId="1" fontId="25" fillId="0" borderId="74" xfId="0" applyNumberFormat="1" applyFont="1" applyBorder="1" applyAlignment="1">
      <alignment horizontal="center" shrinkToFit="1"/>
    </xf>
    <xf numFmtId="167" fontId="25" fillId="0" borderId="73" xfId="0" applyNumberFormat="1" applyFont="1" applyBorder="1" applyAlignment="1">
      <alignment horizontal="center" shrinkToFit="1"/>
    </xf>
    <xf numFmtId="167" fontId="25" fillId="0" borderId="74" xfId="0" applyNumberFormat="1" applyFont="1" applyBorder="1" applyAlignment="1">
      <alignment horizontal="center" shrinkToFit="1"/>
    </xf>
    <xf numFmtId="0" fontId="0" fillId="0" borderId="74" xfId="0" applyBorder="1" applyAlignment="1">
      <alignment horizontal="center"/>
    </xf>
    <xf numFmtId="0" fontId="111" fillId="0" borderId="0" xfId="0" applyFont="1" applyAlignment="1">
      <alignment horizontal="center" wrapText="1"/>
    </xf>
    <xf numFmtId="0" fontId="111" fillId="0" borderId="70" xfId="0" applyFont="1" applyBorder="1" applyAlignment="1">
      <alignment horizontal="center" wrapText="1"/>
    </xf>
    <xf numFmtId="1" fontId="23" fillId="0" borderId="73" xfId="0" applyNumberFormat="1" applyFont="1" applyBorder="1" applyAlignment="1">
      <alignment horizontal="center"/>
    </xf>
    <xf numFmtId="1" fontId="23" fillId="0" borderId="74" xfId="0" applyNumberFormat="1" applyFont="1" applyBorder="1" applyAlignment="1">
      <alignment horizontal="center"/>
    </xf>
    <xf numFmtId="0" fontId="0" fillId="0" borderId="74" xfId="0" applyBorder="1" applyAlignment="1" applyProtection="1">
      <alignment horizontal="center"/>
      <protection locked="0"/>
    </xf>
    <xf numFmtId="44" fontId="23" fillId="0" borderId="69" xfId="13" applyFont="1" applyFill="1" applyBorder="1" applyAlignment="1">
      <alignment horizontal="center"/>
    </xf>
    <xf numFmtId="44" fontId="23" fillId="0" borderId="68" xfId="13" applyFont="1" applyFill="1" applyBorder="1" applyAlignment="1">
      <alignment horizontal="center"/>
    </xf>
    <xf numFmtId="0" fontId="37" fillId="0" borderId="0" xfId="0" applyFont="1" applyAlignment="1">
      <alignment horizontal="center" wrapText="1"/>
    </xf>
    <xf numFmtId="0" fontId="0" fillId="21" borderId="73" xfId="0" applyFill="1" applyBorder="1" applyAlignment="1">
      <alignment horizontal="center"/>
    </xf>
    <xf numFmtId="0" fontId="0" fillId="21" borderId="74" xfId="0" applyFill="1" applyBorder="1" applyAlignment="1">
      <alignment horizontal="center"/>
    </xf>
    <xf numFmtId="0" fontId="23" fillId="0" borderId="73" xfId="0" applyFont="1" applyBorder="1" applyAlignment="1">
      <alignment horizontal="center"/>
    </xf>
    <xf numFmtId="0" fontId="23" fillId="0" borderId="74" xfId="0" applyFont="1" applyBorder="1" applyAlignment="1">
      <alignment horizontal="center"/>
    </xf>
    <xf numFmtId="0" fontId="23" fillId="0" borderId="73" xfId="0" applyFont="1" applyBorder="1" applyAlignment="1">
      <alignment horizontal="center" wrapText="1"/>
    </xf>
    <xf numFmtId="0" fontId="23" fillId="0" borderId="74" xfId="0" applyFont="1" applyBorder="1" applyAlignment="1">
      <alignment horizontal="center" wrapText="1"/>
    </xf>
    <xf numFmtId="172" fontId="23" fillId="0" borderId="73" xfId="0" applyNumberFormat="1" applyFont="1" applyBorder="1" applyAlignment="1">
      <alignment horizontal="center" shrinkToFit="1"/>
    </xf>
    <xf numFmtId="172" fontId="23" fillId="0" borderId="74" xfId="0" applyNumberFormat="1" applyFont="1" applyBorder="1" applyAlignment="1">
      <alignment horizontal="center" shrinkToFit="1"/>
    </xf>
    <xf numFmtId="172" fontId="0" fillId="0" borderId="73" xfId="0" applyNumberFormat="1" applyBorder="1" applyAlignment="1">
      <alignment horizontal="center" shrinkToFit="1"/>
    </xf>
    <xf numFmtId="172" fontId="0" fillId="0" borderId="74" xfId="0" applyNumberFormat="1" applyBorder="1" applyAlignment="1">
      <alignment horizontal="center" shrinkToFit="1"/>
    </xf>
    <xf numFmtId="0" fontId="23" fillId="0" borderId="114" xfId="0" applyFont="1" applyBorder="1" applyAlignment="1">
      <alignment horizontal="center"/>
    </xf>
    <xf numFmtId="0" fontId="23" fillId="0" borderId="99" xfId="0" applyFont="1" applyBorder="1" applyAlignment="1">
      <alignment horizontal="center"/>
    </xf>
    <xf numFmtId="0" fontId="0" fillId="0" borderId="73" xfId="0" applyBorder="1" applyAlignment="1">
      <alignment horizontal="center" shrinkToFit="1"/>
    </xf>
    <xf numFmtId="0" fontId="0" fillId="0" borderId="74" xfId="0" applyBorder="1" applyAlignment="1">
      <alignment horizontal="center" shrinkToFit="1"/>
    </xf>
    <xf numFmtId="167" fontId="23" fillId="0" borderId="73" xfId="0" applyNumberFormat="1" applyFont="1" applyBorder="1" applyAlignment="1">
      <alignment horizontal="center" shrinkToFit="1"/>
    </xf>
    <xf numFmtId="167" fontId="23" fillId="0" borderId="74" xfId="0" applyNumberFormat="1" applyFont="1" applyBorder="1" applyAlignment="1">
      <alignment horizontal="center" shrinkToFit="1"/>
    </xf>
    <xf numFmtId="184" fontId="119" fillId="0" borderId="69" xfId="0" applyNumberFormat="1" applyFont="1" applyBorder="1" applyAlignment="1" applyProtection="1">
      <alignment horizontal="center" shrinkToFit="1"/>
      <protection locked="0"/>
    </xf>
    <xf numFmtId="184" fontId="119" fillId="0" borderId="68" xfId="0" applyNumberFormat="1" applyFont="1" applyBorder="1" applyAlignment="1" applyProtection="1">
      <alignment horizontal="center" shrinkToFit="1"/>
      <protection locked="0"/>
    </xf>
    <xf numFmtId="3" fontId="119" fillId="11" borderId="109" xfId="0" applyNumberFormat="1" applyFont="1" applyFill="1" applyBorder="1" applyAlignment="1" applyProtection="1">
      <alignment horizontal="center" wrapText="1" shrinkToFit="1"/>
      <protection hidden="1"/>
    </xf>
    <xf numFmtId="3" fontId="119" fillId="11" borderId="113" xfId="0" applyNumberFormat="1" applyFont="1" applyFill="1" applyBorder="1" applyAlignment="1" applyProtection="1">
      <alignment horizontal="center" wrapText="1" shrinkToFit="1"/>
      <protection hidden="1"/>
    </xf>
    <xf numFmtId="3" fontId="119" fillId="11" borderId="110" xfId="0" applyNumberFormat="1" applyFont="1" applyFill="1" applyBorder="1" applyAlignment="1" applyProtection="1">
      <alignment horizontal="center" wrapText="1" shrinkToFit="1"/>
      <protection hidden="1"/>
    </xf>
    <xf numFmtId="0" fontId="97" fillId="0" borderId="34" xfId="1" applyFont="1" applyFill="1" applyBorder="1" applyAlignment="1" applyProtection="1">
      <alignment horizontal="center" vertical="center" wrapText="1"/>
      <protection hidden="1"/>
    </xf>
    <xf numFmtId="0" fontId="97" fillId="0" borderId="0" xfId="1" applyFont="1" applyFill="1" applyBorder="1" applyAlignment="1" applyProtection="1">
      <alignment horizontal="center" vertical="center" wrapText="1"/>
      <protection hidden="1"/>
    </xf>
    <xf numFmtId="3" fontId="119" fillId="11" borderId="208" xfId="0" applyNumberFormat="1" applyFont="1" applyFill="1" applyBorder="1" applyAlignment="1" applyProtection="1">
      <alignment horizontal="center" wrapText="1" shrinkToFit="1"/>
      <protection hidden="1"/>
    </xf>
    <xf numFmtId="3" fontId="119" fillId="11" borderId="209" xfId="0" applyNumberFormat="1" applyFont="1" applyFill="1" applyBorder="1" applyAlignment="1" applyProtection="1">
      <alignment horizontal="center" wrapText="1" shrinkToFit="1"/>
      <protection hidden="1"/>
    </xf>
    <xf numFmtId="3" fontId="119" fillId="11" borderId="134" xfId="0" applyNumberFormat="1" applyFont="1" applyFill="1" applyBorder="1" applyAlignment="1" applyProtection="1">
      <alignment horizontal="center" wrapText="1" shrinkToFit="1"/>
      <protection hidden="1"/>
    </xf>
    <xf numFmtId="167" fontId="0" fillId="0" borderId="74" xfId="0" applyNumberFormat="1" applyBorder="1" applyAlignment="1" applyProtection="1">
      <alignment horizontal="center"/>
      <protection locked="0"/>
    </xf>
    <xf numFmtId="0" fontId="119" fillId="11" borderId="68" xfId="0" applyFont="1" applyFill="1" applyBorder="1" applyAlignment="1">
      <alignment horizontal="center"/>
    </xf>
    <xf numFmtId="0" fontId="119" fillId="11" borderId="69" xfId="0" applyFont="1" applyFill="1" applyBorder="1" applyAlignment="1">
      <alignment horizontal="center"/>
    </xf>
    <xf numFmtId="0" fontId="0" fillId="21" borderId="75" xfId="0" applyFill="1" applyBorder="1" applyAlignment="1">
      <alignment horizontal="center"/>
    </xf>
    <xf numFmtId="0" fontId="0" fillId="21" borderId="68" xfId="0" applyFill="1" applyBorder="1" applyAlignment="1">
      <alignment horizontal="center"/>
    </xf>
    <xf numFmtId="44" fontId="23" fillId="0" borderId="194" xfId="13" applyFont="1" applyFill="1" applyBorder="1" applyAlignment="1">
      <alignment horizontal="center"/>
    </xf>
    <xf numFmtId="167" fontId="23" fillId="0" borderId="57" xfId="0" applyNumberFormat="1" applyFont="1" applyBorder="1" applyAlignment="1">
      <alignment horizontal="center" shrinkToFit="1"/>
    </xf>
    <xf numFmtId="167" fontId="23" fillId="0" borderId="58" xfId="0" applyNumberFormat="1" applyFont="1" applyBorder="1" applyAlignment="1">
      <alignment horizontal="center" shrinkToFit="1"/>
    </xf>
    <xf numFmtId="167" fontId="120" fillId="11" borderId="110" xfId="0" applyNumberFormat="1" applyFont="1" applyFill="1" applyBorder="1" applyAlignment="1">
      <alignment horizontal="center" shrinkToFit="1"/>
    </xf>
    <xf numFmtId="0" fontId="135" fillId="17" borderId="0" xfId="0" applyFont="1" applyFill="1" applyAlignment="1" applyProtection="1">
      <alignment horizontal="center" vertical="center" wrapText="1"/>
      <protection hidden="1"/>
    </xf>
    <xf numFmtId="0" fontId="135" fillId="0" borderId="0" xfId="0" applyFont="1" applyAlignment="1" applyProtection="1">
      <alignment horizontal="center" vertical="center" wrapText="1"/>
      <protection hidden="1"/>
    </xf>
    <xf numFmtId="0" fontId="136" fillId="0" borderId="0" xfId="0" applyFont="1" applyAlignment="1" applyProtection="1">
      <alignment horizontal="center" vertical="center" wrapText="1"/>
      <protection hidden="1"/>
    </xf>
    <xf numFmtId="172" fontId="0" fillId="13" borderId="68" xfId="0" applyNumberFormat="1" applyFill="1" applyBorder="1" applyAlignment="1">
      <alignment horizontal="center" shrinkToFit="1"/>
    </xf>
    <xf numFmtId="169" fontId="25" fillId="0" borderId="73" xfId="0" applyNumberFormat="1" applyFont="1" applyBorder="1" applyAlignment="1" applyProtection="1">
      <alignment horizontal="center" shrinkToFit="1"/>
      <protection hidden="1"/>
    </xf>
    <xf numFmtId="169" fontId="25" fillId="0" borderId="74" xfId="0" applyNumberFormat="1" applyFont="1" applyBorder="1" applyAlignment="1" applyProtection="1">
      <alignment horizontal="center" shrinkToFit="1"/>
      <protection hidden="1"/>
    </xf>
    <xf numFmtId="0" fontId="23" fillId="0" borderId="69" xfId="0" applyFont="1" applyBorder="1" applyAlignment="1">
      <alignment horizontal="center" shrinkToFit="1"/>
    </xf>
    <xf numFmtId="0" fontId="23" fillId="0" borderId="68" xfId="0" applyFont="1" applyBorder="1" applyAlignment="1">
      <alignment horizontal="center" shrinkToFit="1"/>
    </xf>
    <xf numFmtId="167" fontId="25" fillId="0" borderId="58" xfId="0" applyNumberFormat="1" applyFont="1" applyBorder="1" applyAlignment="1">
      <alignment horizontal="center" shrinkToFit="1"/>
    </xf>
    <xf numFmtId="167" fontId="25" fillId="0" borderId="125" xfId="0" applyNumberFormat="1" applyFont="1" applyBorder="1" applyAlignment="1">
      <alignment horizontal="center" shrinkToFit="1"/>
    </xf>
    <xf numFmtId="0" fontId="23" fillId="0" borderId="69" xfId="0" applyFont="1" applyBorder="1" applyAlignment="1">
      <alignment horizontal="center" wrapText="1" shrinkToFit="1"/>
    </xf>
    <xf numFmtId="0" fontId="23" fillId="0" borderId="68" xfId="0" applyFont="1" applyBorder="1" applyAlignment="1">
      <alignment horizontal="center" wrapText="1" shrinkToFit="1"/>
    </xf>
    <xf numFmtId="172" fontId="0" fillId="0" borderId="69" xfId="0" applyNumberFormat="1" applyBorder="1" applyAlignment="1">
      <alignment horizontal="center" shrinkToFit="1"/>
    </xf>
    <xf numFmtId="169" fontId="23" fillId="0" borderId="191" xfId="0" applyNumberFormat="1" applyFont="1" applyBorder="1" applyAlignment="1" applyProtection="1">
      <alignment horizontal="center"/>
      <protection locked="0" hidden="1"/>
    </xf>
    <xf numFmtId="169" fontId="23" fillId="0" borderId="189" xfId="0" applyNumberFormat="1" applyFont="1" applyBorder="1" applyAlignment="1" applyProtection="1">
      <alignment horizontal="center"/>
      <protection locked="0" hidden="1"/>
    </xf>
    <xf numFmtId="0" fontId="0" fillId="0" borderId="126" xfId="0" applyBorder="1" applyAlignment="1">
      <alignment horizontal="center"/>
    </xf>
    <xf numFmtId="0" fontId="119" fillId="11" borderId="156" xfId="0" applyFont="1" applyFill="1" applyBorder="1" applyAlignment="1" applyProtection="1">
      <alignment horizontal="center" wrapText="1"/>
      <protection hidden="1"/>
    </xf>
    <xf numFmtId="0" fontId="119" fillId="11" borderId="108" xfId="0" applyFont="1" applyFill="1" applyBorder="1" applyAlignment="1" applyProtection="1">
      <alignment horizontal="center" wrapText="1"/>
      <protection hidden="1"/>
    </xf>
    <xf numFmtId="0" fontId="119" fillId="11" borderId="157" xfId="0" applyFont="1" applyFill="1" applyBorder="1" applyAlignment="1" applyProtection="1">
      <alignment horizontal="center" wrapText="1"/>
      <protection hidden="1"/>
    </xf>
    <xf numFmtId="0" fontId="119" fillId="11" borderId="105" xfId="0" applyFont="1" applyFill="1" applyBorder="1" applyAlignment="1" applyProtection="1">
      <alignment horizontal="center" wrapText="1"/>
      <protection hidden="1"/>
    </xf>
    <xf numFmtId="169" fontId="119" fillId="11" borderId="106" xfId="0" applyNumberFormat="1" applyFont="1" applyFill="1" applyBorder="1" applyAlignment="1" applyProtection="1">
      <alignment horizontal="center" shrinkToFit="1"/>
      <protection hidden="1"/>
    </xf>
    <xf numFmtId="169" fontId="119" fillId="11" borderId="108" xfId="0" applyNumberFormat="1" applyFont="1" applyFill="1" applyBorder="1" applyAlignment="1" applyProtection="1">
      <alignment horizontal="center" shrinkToFit="1"/>
      <protection hidden="1"/>
    </xf>
    <xf numFmtId="169" fontId="119" fillId="11" borderId="103" xfId="0" applyNumberFormat="1" applyFont="1" applyFill="1" applyBorder="1" applyAlignment="1" applyProtection="1">
      <alignment horizontal="center" shrinkToFit="1"/>
      <protection hidden="1"/>
    </xf>
    <xf numFmtId="169" fontId="119" fillId="11" borderId="105" xfId="0" applyNumberFormat="1" applyFont="1" applyFill="1" applyBorder="1" applyAlignment="1" applyProtection="1">
      <alignment horizontal="center" shrinkToFit="1"/>
      <protection hidden="1"/>
    </xf>
    <xf numFmtId="169" fontId="119" fillId="0" borderId="109" xfId="0" applyNumberFormat="1" applyFont="1" applyBorder="1" applyAlignment="1" applyProtection="1">
      <alignment horizontal="center" shrinkToFit="1"/>
      <protection locked="0"/>
    </xf>
    <xf numFmtId="169" fontId="119" fillId="0" borderId="201" xfId="0" applyNumberFormat="1" applyFont="1" applyBorder="1" applyAlignment="1" applyProtection="1">
      <alignment horizontal="center" shrinkToFit="1"/>
      <protection locked="0"/>
    </xf>
    <xf numFmtId="0" fontId="119" fillId="11" borderId="200" xfId="0" applyFont="1" applyFill="1" applyBorder="1" applyAlignment="1" applyProtection="1">
      <alignment horizontal="center" wrapText="1"/>
      <protection hidden="1"/>
    </xf>
    <xf numFmtId="0" fontId="119" fillId="11" borderId="110" xfId="0" applyFont="1" applyFill="1" applyBorder="1" applyAlignment="1" applyProtection="1">
      <alignment horizontal="center" wrapText="1"/>
      <protection hidden="1"/>
    </xf>
    <xf numFmtId="169" fontId="119" fillId="11" borderId="109" xfId="0" applyNumberFormat="1" applyFont="1" applyFill="1" applyBorder="1" applyAlignment="1" applyProtection="1">
      <alignment horizontal="center" shrinkToFit="1"/>
      <protection hidden="1"/>
    </xf>
    <xf numFmtId="169" fontId="119" fillId="11" borderId="110" xfId="0" applyNumberFormat="1" applyFont="1" applyFill="1" applyBorder="1" applyAlignment="1" applyProtection="1">
      <alignment horizontal="center" shrinkToFit="1"/>
      <protection hidden="1"/>
    </xf>
    <xf numFmtId="169" fontId="119" fillId="0" borderId="106" xfId="0" applyNumberFormat="1" applyFont="1" applyBorder="1" applyAlignment="1" applyProtection="1">
      <alignment horizontal="center" shrinkToFit="1"/>
      <protection locked="0" hidden="1"/>
    </xf>
    <xf numFmtId="169" fontId="119" fillId="0" borderId="154" xfId="0" applyNumberFormat="1" applyFont="1" applyBorder="1" applyAlignment="1" applyProtection="1">
      <alignment horizontal="center" shrinkToFit="1"/>
      <protection locked="0" hidden="1"/>
    </xf>
    <xf numFmtId="169" fontId="119" fillId="0" borderId="103" xfId="0" applyNumberFormat="1" applyFont="1" applyBorder="1" applyAlignment="1" applyProtection="1">
      <alignment horizontal="center" shrinkToFit="1"/>
      <protection locked="0" hidden="1"/>
    </xf>
    <xf numFmtId="169" fontId="119" fillId="0" borderId="155" xfId="0" applyNumberFormat="1" applyFont="1" applyBorder="1" applyAlignment="1" applyProtection="1">
      <alignment horizontal="center" shrinkToFit="1"/>
      <protection locked="0" hidden="1"/>
    </xf>
    <xf numFmtId="186" fontId="119" fillId="0" borderId="110" xfId="0" applyNumberFormat="1" applyFont="1" applyBorder="1" applyAlignment="1" applyProtection="1">
      <alignment horizontal="center" shrinkToFit="1"/>
      <protection locked="0"/>
    </xf>
    <xf numFmtId="186" fontId="119" fillId="0" borderId="68" xfId="0" applyNumberFormat="1" applyFont="1" applyBorder="1" applyAlignment="1" applyProtection="1">
      <alignment horizontal="center" shrinkToFit="1"/>
      <protection locked="0"/>
    </xf>
    <xf numFmtId="0" fontId="119" fillId="11" borderId="113" xfId="0" applyFont="1" applyFill="1" applyBorder="1" applyAlignment="1">
      <alignment horizontal="center" wrapText="1" shrinkToFit="1"/>
    </xf>
    <xf numFmtId="0" fontId="119" fillId="11" borderId="110" xfId="0" applyFont="1" applyFill="1" applyBorder="1" applyAlignment="1">
      <alignment horizontal="center" wrapText="1" shrinkToFit="1"/>
    </xf>
    <xf numFmtId="167" fontId="120" fillId="11" borderId="106" xfId="0" applyNumberFormat="1" applyFont="1" applyFill="1" applyBorder="1" applyAlignment="1">
      <alignment horizontal="center" shrinkToFit="1"/>
    </xf>
    <xf numFmtId="167" fontId="120" fillId="11" borderId="103" xfId="0" applyNumberFormat="1" applyFont="1" applyFill="1" applyBorder="1" applyAlignment="1">
      <alignment horizontal="center" shrinkToFit="1"/>
    </xf>
    <xf numFmtId="0" fontId="131" fillId="0" borderId="69" xfId="0" applyFont="1" applyBorder="1" applyAlignment="1">
      <alignment horizontal="center" wrapText="1"/>
    </xf>
    <xf numFmtId="0" fontId="131" fillId="0" borderId="68" xfId="0" applyFont="1" applyBorder="1" applyAlignment="1">
      <alignment horizontal="center" wrapText="1"/>
    </xf>
    <xf numFmtId="0" fontId="25" fillId="0" borderId="190" xfId="0" applyFont="1" applyBorder="1" applyAlignment="1" applyProtection="1">
      <alignment horizontal="center" wrapText="1" shrinkToFit="1"/>
      <protection hidden="1"/>
    </xf>
    <xf numFmtId="0" fontId="25" fillId="0" borderId="169" xfId="0" applyFont="1" applyBorder="1" applyAlignment="1" applyProtection="1">
      <alignment horizontal="center" wrapText="1" shrinkToFit="1"/>
      <protection hidden="1"/>
    </xf>
    <xf numFmtId="2" fontId="23" fillId="0" borderId="69" xfId="0" applyNumberFormat="1" applyFont="1" applyBorder="1" applyAlignment="1" applyProtection="1">
      <alignment horizontal="center" shrinkToFit="1"/>
      <protection locked="0"/>
    </xf>
    <xf numFmtId="2" fontId="23" fillId="0" borderId="68" xfId="0" applyNumberFormat="1" applyFont="1" applyBorder="1" applyAlignment="1" applyProtection="1">
      <alignment horizontal="center" shrinkToFit="1"/>
      <protection locked="0"/>
    </xf>
    <xf numFmtId="0" fontId="130" fillId="0" borderId="70" xfId="0" applyFont="1" applyBorder="1" applyAlignment="1">
      <alignment horizontal="center" shrinkToFit="1"/>
    </xf>
    <xf numFmtId="0" fontId="130" fillId="0" borderId="70" xfId="0" applyFont="1" applyBorder="1" applyAlignment="1">
      <alignment horizontal="center"/>
    </xf>
    <xf numFmtId="186" fontId="119" fillId="0" borderId="105" xfId="0" applyNumberFormat="1" applyFont="1" applyBorder="1" applyAlignment="1" applyProtection="1">
      <alignment horizontal="center" shrinkToFit="1"/>
      <protection locked="0"/>
    </xf>
    <xf numFmtId="186" fontId="119" fillId="0" borderId="69" xfId="0" applyNumberFormat="1" applyFont="1" applyBorder="1" applyAlignment="1" applyProtection="1">
      <alignment horizontal="center" shrinkToFit="1"/>
      <protection locked="0"/>
    </xf>
    <xf numFmtId="0" fontId="0" fillId="21" borderId="69" xfId="0" applyFill="1" applyBorder="1" applyAlignment="1">
      <alignment horizontal="center"/>
    </xf>
    <xf numFmtId="0" fontId="135" fillId="0" borderId="34" xfId="0" applyFont="1" applyBorder="1" applyAlignment="1" applyProtection="1">
      <alignment horizontal="center" vertical="center" wrapText="1"/>
      <protection hidden="1"/>
    </xf>
    <xf numFmtId="0" fontId="136" fillId="0" borderId="34" xfId="0" applyFont="1" applyBorder="1" applyAlignment="1" applyProtection="1">
      <alignment horizontal="center" vertical="center" wrapText="1"/>
      <protection hidden="1"/>
    </xf>
    <xf numFmtId="0" fontId="2" fillId="0" borderId="109" xfId="0" applyFont="1" applyBorder="1" applyAlignment="1" applyProtection="1">
      <alignment horizontal="center"/>
      <protection locked="0"/>
    </xf>
    <xf numFmtId="0" fontId="23" fillId="0" borderId="113" xfId="0" applyFont="1" applyBorder="1" applyAlignment="1" applyProtection="1">
      <alignment horizontal="center"/>
      <protection locked="0"/>
    </xf>
    <xf numFmtId="0" fontId="23" fillId="0" borderId="201" xfId="0" applyFont="1" applyBorder="1" applyAlignment="1" applyProtection="1">
      <alignment horizontal="center"/>
      <protection locked="0"/>
    </xf>
    <xf numFmtId="0" fontId="23" fillId="0" borderId="109" xfId="0" applyFont="1" applyBorder="1" applyAlignment="1" applyProtection="1">
      <alignment horizontal="center"/>
      <protection locked="0"/>
    </xf>
    <xf numFmtId="0" fontId="187" fillId="0" borderId="0" xfId="0" applyFont="1" applyAlignment="1">
      <alignment horizontal="center"/>
    </xf>
    <xf numFmtId="0" fontId="119" fillId="11" borderId="104" xfId="0" applyFont="1" applyFill="1" applyBorder="1" applyAlignment="1">
      <alignment horizontal="center" wrapText="1" shrinkToFit="1"/>
    </xf>
    <xf numFmtId="0" fontId="119" fillId="11" borderId="105" xfId="0" applyFont="1" applyFill="1" applyBorder="1" applyAlignment="1">
      <alignment horizontal="center" wrapText="1" shrinkToFit="1"/>
    </xf>
    <xf numFmtId="0" fontId="2" fillId="0" borderId="208" xfId="0" applyFont="1" applyBorder="1" applyAlignment="1" applyProtection="1">
      <alignment horizontal="center"/>
      <protection locked="0"/>
    </xf>
    <xf numFmtId="0" fontId="23" fillId="0" borderId="209" xfId="0" applyFont="1" applyBorder="1" applyAlignment="1" applyProtection="1">
      <alignment horizontal="center"/>
      <protection locked="0"/>
    </xf>
    <xf numFmtId="0" fontId="23" fillId="0" borderId="210" xfId="0" applyFont="1" applyBorder="1" applyAlignment="1" applyProtection="1">
      <alignment horizontal="center"/>
      <protection locked="0"/>
    </xf>
    <xf numFmtId="0" fontId="119" fillId="0" borderId="185" xfId="0" applyFont="1" applyBorder="1" applyAlignment="1" applyProtection="1">
      <alignment horizontal="center" shrinkToFit="1"/>
      <protection locked="0"/>
    </xf>
    <xf numFmtId="0" fontId="119" fillId="0" borderId="186" xfId="0" applyFont="1" applyBorder="1" applyAlignment="1" applyProtection="1">
      <alignment horizontal="center" shrinkToFit="1"/>
      <protection locked="0"/>
    </xf>
    <xf numFmtId="0" fontId="119" fillId="11" borderId="185" xfId="0" applyFont="1" applyFill="1" applyBorder="1" applyAlignment="1">
      <alignment horizontal="center"/>
    </xf>
    <xf numFmtId="0" fontId="119" fillId="11" borderId="102" xfId="0" applyFont="1" applyFill="1" applyBorder="1" applyAlignment="1">
      <alignment horizontal="center"/>
    </xf>
    <xf numFmtId="0" fontId="119" fillId="11" borderId="186" xfId="0" applyFont="1" applyFill="1" applyBorder="1" applyAlignment="1">
      <alignment horizontal="center"/>
    </xf>
    <xf numFmtId="0" fontId="119" fillId="11" borderId="103" xfId="0" applyFont="1" applyFill="1" applyBorder="1" applyAlignment="1">
      <alignment horizontal="center"/>
    </xf>
    <xf numFmtId="0" fontId="119" fillId="11" borderId="104" xfId="0" applyFont="1" applyFill="1" applyBorder="1" applyAlignment="1">
      <alignment horizontal="center"/>
    </xf>
    <xf numFmtId="0" fontId="119" fillId="11" borderId="105" xfId="0" applyFont="1" applyFill="1" applyBorder="1" applyAlignment="1">
      <alignment horizontal="center"/>
    </xf>
    <xf numFmtId="0" fontId="119" fillId="11" borderId="106" xfId="0" applyFont="1" applyFill="1" applyBorder="1" applyAlignment="1">
      <alignment horizontal="center"/>
    </xf>
    <xf numFmtId="0" fontId="119" fillId="11" borderId="107" xfId="0" applyFont="1" applyFill="1" applyBorder="1" applyAlignment="1">
      <alignment horizontal="center"/>
    </xf>
    <xf numFmtId="0" fontId="119" fillId="11" borderId="108" xfId="0" applyFont="1" applyFill="1" applyBorder="1" applyAlignment="1">
      <alignment horizontal="center"/>
    </xf>
    <xf numFmtId="0" fontId="111" fillId="0" borderId="69" xfId="0" applyFont="1" applyBorder="1" applyAlignment="1">
      <alignment horizontal="center" wrapText="1" shrinkToFit="1"/>
    </xf>
    <xf numFmtId="0" fontId="111" fillId="0" borderId="68" xfId="0" applyFont="1" applyBorder="1" applyAlignment="1">
      <alignment horizontal="center" wrapText="1" shrinkToFit="1"/>
    </xf>
    <xf numFmtId="167" fontId="119" fillId="0" borderId="132" xfId="0" applyNumberFormat="1" applyFont="1" applyBorder="1" applyAlignment="1" applyProtection="1">
      <alignment horizontal="center" shrinkToFit="1"/>
      <protection locked="0"/>
    </xf>
    <xf numFmtId="167" fontId="119" fillId="0" borderId="75" xfId="0" applyNumberFormat="1" applyFont="1" applyBorder="1" applyAlignment="1" applyProtection="1">
      <alignment horizontal="center" shrinkToFit="1"/>
      <protection locked="0"/>
    </xf>
    <xf numFmtId="167" fontId="120" fillId="11" borderId="134" xfId="0" applyNumberFormat="1" applyFont="1" applyFill="1" applyBorder="1" applyAlignment="1">
      <alignment horizontal="center" shrinkToFit="1"/>
    </xf>
    <xf numFmtId="167" fontId="120" fillId="11" borderId="75" xfId="0" applyNumberFormat="1" applyFont="1" applyFill="1" applyBorder="1" applyAlignment="1">
      <alignment horizontal="center" shrinkToFit="1"/>
    </xf>
    <xf numFmtId="170" fontId="120" fillId="11" borderId="75" xfId="0" applyNumberFormat="1" applyFont="1" applyFill="1" applyBorder="1" applyAlignment="1">
      <alignment horizontal="center" shrinkToFit="1"/>
    </xf>
    <xf numFmtId="167" fontId="120" fillId="11" borderId="185" xfId="0" applyNumberFormat="1" applyFont="1" applyFill="1" applyBorder="1" applyAlignment="1">
      <alignment horizontal="center" wrapText="1"/>
    </xf>
    <xf numFmtId="167" fontId="120" fillId="11" borderId="102" xfId="0" applyNumberFormat="1" applyFont="1" applyFill="1" applyBorder="1" applyAlignment="1">
      <alignment horizontal="center" wrapText="1"/>
    </xf>
    <xf numFmtId="167" fontId="120" fillId="11" borderId="186" xfId="0" applyNumberFormat="1" applyFont="1" applyFill="1" applyBorder="1" applyAlignment="1">
      <alignment horizontal="center" wrapText="1"/>
    </xf>
    <xf numFmtId="167" fontId="119" fillId="0" borderId="135" xfId="0" applyNumberFormat="1" applyFont="1" applyBorder="1" applyAlignment="1" applyProtection="1">
      <alignment horizontal="center" shrinkToFit="1"/>
      <protection locked="0"/>
    </xf>
    <xf numFmtId="1" fontId="23" fillId="0" borderId="69" xfId="0" applyNumberFormat="1" applyFont="1" applyBorder="1" applyAlignment="1">
      <alignment horizontal="center" shrinkToFit="1"/>
    </xf>
    <xf numFmtId="1" fontId="23" fillId="0" borderId="68" xfId="0" applyNumberFormat="1" applyFont="1" applyBorder="1" applyAlignment="1">
      <alignment horizontal="center" shrinkToFit="1"/>
    </xf>
    <xf numFmtId="167" fontId="25" fillId="0" borderId="100" xfId="0" applyNumberFormat="1" applyFont="1" applyBorder="1" applyAlignment="1">
      <alignment horizontal="center" shrinkToFit="1"/>
    </xf>
    <xf numFmtId="0" fontId="25" fillId="0" borderId="100" xfId="0" applyFont="1" applyBorder="1" applyAlignment="1">
      <alignment horizontal="center"/>
    </xf>
    <xf numFmtId="0" fontId="25" fillId="0" borderId="73" xfId="0" applyFont="1" applyBorder="1" applyAlignment="1">
      <alignment horizontal="center"/>
    </xf>
    <xf numFmtId="0" fontId="25" fillId="0" borderId="100" xfId="0" applyFont="1" applyBorder="1" applyAlignment="1">
      <alignment horizontal="center" wrapText="1"/>
    </xf>
    <xf numFmtId="0" fontId="25" fillId="0" borderId="73" xfId="0" applyFont="1" applyBorder="1" applyAlignment="1">
      <alignment horizontal="center" wrapText="1"/>
    </xf>
    <xf numFmtId="167" fontId="25" fillId="0" borderId="100" xfId="0" applyNumberFormat="1" applyFont="1" applyBorder="1" applyAlignment="1" applyProtection="1">
      <alignment horizontal="center" shrinkToFit="1"/>
      <protection locked="0"/>
    </xf>
    <xf numFmtId="167" fontId="25" fillId="0" borderId="73" xfId="0" applyNumberFormat="1" applyFont="1" applyBorder="1" applyAlignment="1" applyProtection="1">
      <alignment horizontal="center" shrinkToFit="1"/>
      <protection locked="0"/>
    </xf>
    <xf numFmtId="172" fontId="25" fillId="0" borderId="74" xfId="0" applyNumberFormat="1" applyFont="1" applyBorder="1" applyAlignment="1">
      <alignment horizontal="center" shrinkToFit="1"/>
    </xf>
    <xf numFmtId="172" fontId="25" fillId="0" borderId="100" xfId="0" applyNumberFormat="1" applyFont="1" applyBorder="1" applyAlignment="1">
      <alignment horizontal="center" shrinkToFit="1"/>
    </xf>
    <xf numFmtId="172" fontId="25" fillId="0" borderId="73" xfId="0" applyNumberFormat="1" applyFont="1" applyBorder="1" applyAlignment="1">
      <alignment horizontal="center" shrinkToFit="1"/>
    </xf>
    <xf numFmtId="2" fontId="25" fillId="0" borderId="100" xfId="0" applyNumberFormat="1" applyFont="1" applyBorder="1" applyAlignment="1">
      <alignment horizontal="center"/>
    </xf>
    <xf numFmtId="2" fontId="25" fillId="0" borderId="73" xfId="0" applyNumberFormat="1" applyFont="1" applyBorder="1" applyAlignment="1">
      <alignment horizontal="center"/>
    </xf>
    <xf numFmtId="0" fontId="25" fillId="0" borderId="100" xfId="0" applyFont="1" applyBorder="1" applyAlignment="1">
      <alignment horizontal="center" shrinkToFit="1"/>
    </xf>
    <xf numFmtId="0" fontId="25" fillId="0" borderId="73" xfId="0" applyFont="1" applyBorder="1" applyAlignment="1">
      <alignment horizontal="center" shrinkToFit="1"/>
    </xf>
    <xf numFmtId="0" fontId="25" fillId="0" borderId="100" xfId="0" applyFont="1" applyBorder="1" applyAlignment="1" applyProtection="1">
      <alignment horizontal="center"/>
      <protection locked="0" hidden="1"/>
    </xf>
    <xf numFmtId="0" fontId="25" fillId="0" borderId="73" xfId="0" applyFont="1" applyBorder="1" applyAlignment="1" applyProtection="1">
      <alignment horizontal="center"/>
      <protection locked="0" hidden="1"/>
    </xf>
    <xf numFmtId="0" fontId="25" fillId="0" borderId="100" xfId="0" applyFont="1" applyBorder="1" applyAlignment="1" applyProtection="1">
      <alignment horizontal="center" wrapText="1"/>
      <protection locked="0" hidden="1"/>
    </xf>
    <xf numFmtId="0" fontId="25" fillId="0" borderId="73" xfId="0" applyFont="1" applyBorder="1" applyAlignment="1" applyProtection="1">
      <alignment horizontal="center" wrapText="1"/>
      <protection locked="0" hidden="1"/>
    </xf>
    <xf numFmtId="167" fontId="25" fillId="0" borderId="74" xfId="0" applyNumberFormat="1" applyFont="1" applyBorder="1" applyAlignment="1" applyProtection="1">
      <alignment horizontal="center" shrinkToFit="1"/>
      <protection locked="0"/>
    </xf>
    <xf numFmtId="2" fontId="25" fillId="0" borderId="74" xfId="0" applyNumberFormat="1" applyFont="1" applyBorder="1" applyAlignment="1">
      <alignment horizontal="center"/>
    </xf>
    <xf numFmtId="0" fontId="25" fillId="0" borderId="74" xfId="0" applyFont="1" applyBorder="1" applyAlignment="1">
      <alignment horizontal="center" wrapText="1"/>
    </xf>
    <xf numFmtId="0" fontId="25" fillId="0" borderId="74" xfId="0" applyFont="1" applyBorder="1" applyAlignment="1">
      <alignment horizontal="center" shrinkToFit="1"/>
    </xf>
    <xf numFmtId="0" fontId="25" fillId="0" borderId="74" xfId="0" applyFont="1" applyBorder="1" applyAlignment="1" applyProtection="1">
      <alignment horizontal="center"/>
      <protection locked="0" hidden="1"/>
    </xf>
    <xf numFmtId="0" fontId="25" fillId="0" borderId="74" xfId="0" applyFont="1" applyBorder="1" applyAlignment="1" applyProtection="1">
      <alignment horizontal="center" wrapText="1"/>
      <protection locked="0" hidden="1"/>
    </xf>
    <xf numFmtId="0" fontId="25" fillId="0" borderId="74" xfId="0" applyFont="1" applyBorder="1" applyAlignment="1">
      <alignment horizontal="center"/>
    </xf>
    <xf numFmtId="0" fontId="119" fillId="0" borderId="54" xfId="0" applyFont="1" applyBorder="1" applyAlignment="1" applyProtection="1">
      <alignment horizontal="center" wrapText="1"/>
      <protection locked="0"/>
    </xf>
    <xf numFmtId="0" fontId="119" fillId="0" borderId="55" xfId="0" applyFont="1" applyBorder="1" applyAlignment="1" applyProtection="1">
      <alignment horizontal="center" wrapText="1"/>
      <protection locked="0"/>
    </xf>
    <xf numFmtId="0" fontId="119" fillId="0" borderId="56" xfId="0" applyFont="1" applyBorder="1" applyAlignment="1" applyProtection="1">
      <alignment horizontal="center" wrapText="1"/>
      <protection locked="0"/>
    </xf>
    <xf numFmtId="0" fontId="119" fillId="0" borderId="58" xfId="0" applyFont="1" applyBorder="1" applyAlignment="1" applyProtection="1">
      <alignment horizontal="center" wrapText="1"/>
      <protection locked="0"/>
    </xf>
    <xf numFmtId="0" fontId="119" fillId="0" borderId="59" xfId="0" applyFont="1" applyBorder="1" applyAlignment="1" applyProtection="1">
      <alignment horizontal="center" wrapText="1"/>
      <protection locked="0"/>
    </xf>
    <xf numFmtId="0" fontId="119" fillId="0" borderId="60" xfId="0" applyFont="1" applyBorder="1" applyAlignment="1" applyProtection="1">
      <alignment horizontal="center" wrapText="1"/>
      <protection locked="0"/>
    </xf>
    <xf numFmtId="0" fontId="119" fillId="0" borderId="150" xfId="0" applyFont="1" applyBorder="1" applyAlignment="1" applyProtection="1">
      <alignment horizontal="center" wrapText="1"/>
      <protection locked="0"/>
    </xf>
    <xf numFmtId="0" fontId="119" fillId="0" borderId="151" xfId="0" applyFont="1" applyBorder="1" applyAlignment="1" applyProtection="1">
      <alignment horizontal="center" wrapText="1"/>
      <protection locked="0"/>
    </xf>
    <xf numFmtId="167" fontId="120" fillId="11" borderId="73" xfId="0" applyNumberFormat="1" applyFont="1" applyFill="1" applyBorder="1" applyAlignment="1">
      <alignment horizontal="center" wrapText="1"/>
    </xf>
    <xf numFmtId="167" fontId="120" fillId="11" borderId="74" xfId="0" applyNumberFormat="1" applyFont="1" applyFill="1" applyBorder="1" applyAlignment="1">
      <alignment horizontal="center" wrapText="1"/>
    </xf>
    <xf numFmtId="167" fontId="119" fillId="0" borderId="130" xfId="0" applyNumberFormat="1" applyFont="1" applyBorder="1" applyAlignment="1" applyProtection="1">
      <alignment horizontal="center" shrinkToFit="1"/>
      <protection locked="0"/>
    </xf>
    <xf numFmtId="167" fontId="119" fillId="0" borderId="74" xfId="0" applyNumberFormat="1" applyFont="1" applyBorder="1" applyAlignment="1" applyProtection="1">
      <alignment horizontal="center" shrinkToFit="1"/>
      <protection locked="0"/>
    </xf>
    <xf numFmtId="167" fontId="119" fillId="0" borderId="131" xfId="0" applyNumberFormat="1" applyFont="1" applyBorder="1" applyAlignment="1" applyProtection="1">
      <alignment horizontal="center" shrinkToFit="1"/>
      <protection locked="0"/>
    </xf>
    <xf numFmtId="167" fontId="120" fillId="11" borderId="126" xfId="0" applyNumberFormat="1" applyFont="1" applyFill="1" applyBorder="1" applyAlignment="1">
      <alignment horizontal="center" shrinkToFit="1"/>
    </xf>
    <xf numFmtId="167" fontId="120" fillId="11" borderId="74" xfId="0" applyNumberFormat="1" applyFont="1" applyFill="1" applyBorder="1" applyAlignment="1">
      <alignment horizontal="center" shrinkToFit="1"/>
    </xf>
    <xf numFmtId="170" fontId="120" fillId="11" borderId="54" xfId="0" applyNumberFormat="1" applyFont="1" applyFill="1" applyBorder="1" applyAlignment="1">
      <alignment horizontal="center" shrinkToFit="1"/>
    </xf>
    <xf numFmtId="170" fontId="120" fillId="11" borderId="55" xfId="0" applyNumberFormat="1" applyFont="1" applyFill="1" applyBorder="1" applyAlignment="1">
      <alignment horizontal="center" shrinkToFit="1"/>
    </xf>
    <xf numFmtId="170" fontId="120" fillId="11" borderId="56" xfId="0" applyNumberFormat="1" applyFont="1" applyFill="1" applyBorder="1" applyAlignment="1">
      <alignment horizontal="center" shrinkToFit="1"/>
    </xf>
    <xf numFmtId="170" fontId="120" fillId="11" borderId="58" xfId="0" applyNumberFormat="1" applyFont="1" applyFill="1" applyBorder="1" applyAlignment="1">
      <alignment horizontal="center" shrinkToFit="1"/>
    </xf>
    <xf numFmtId="170" fontId="120" fillId="11" borderId="59" xfId="0" applyNumberFormat="1" applyFont="1" applyFill="1" applyBorder="1" applyAlignment="1">
      <alignment horizontal="center" shrinkToFit="1"/>
    </xf>
    <xf numFmtId="170" fontId="120" fillId="11" borderId="60" xfId="0" applyNumberFormat="1" applyFont="1" applyFill="1" applyBorder="1" applyAlignment="1">
      <alignment horizontal="center" shrinkToFit="1"/>
    </xf>
    <xf numFmtId="184" fontId="119" fillId="0" borderId="74" xfId="0" applyNumberFormat="1" applyFont="1" applyBorder="1" applyAlignment="1" applyProtection="1">
      <alignment horizontal="center" shrinkToFit="1"/>
      <protection locked="0"/>
    </xf>
    <xf numFmtId="184" fontId="119" fillId="0" borderId="125" xfId="0" applyNumberFormat="1" applyFont="1" applyBorder="1" applyAlignment="1" applyProtection="1">
      <alignment horizontal="center" shrinkToFit="1"/>
      <protection locked="0"/>
    </xf>
    <xf numFmtId="3" fontId="119" fillId="0" borderId="74" xfId="0" applyNumberFormat="1" applyFont="1" applyBorder="1" applyAlignment="1" applyProtection="1">
      <alignment horizontal="center" shrinkToFit="1"/>
      <protection locked="0"/>
    </xf>
    <xf numFmtId="0" fontId="119" fillId="0" borderId="137" xfId="0" applyFont="1" applyBorder="1" applyAlignment="1" applyProtection="1">
      <alignment horizontal="center" wrapText="1"/>
      <protection locked="0"/>
    </xf>
    <xf numFmtId="0" fontId="119" fillId="0" borderId="73" xfId="0" applyFont="1" applyBorder="1" applyAlignment="1" applyProtection="1">
      <alignment horizontal="center" wrapText="1"/>
      <protection locked="0"/>
    </xf>
    <xf numFmtId="0" fontId="119" fillId="0" borderId="130" xfId="0" applyFont="1" applyBorder="1" applyAlignment="1" applyProtection="1">
      <alignment horizontal="center" wrapText="1"/>
      <protection locked="0"/>
    </xf>
    <xf numFmtId="0" fontId="119" fillId="0" borderId="74" xfId="0" applyFont="1" applyBorder="1" applyAlignment="1" applyProtection="1">
      <alignment horizontal="center" wrapText="1"/>
      <protection locked="0"/>
    </xf>
    <xf numFmtId="3" fontId="119" fillId="0" borderId="73" xfId="0" applyNumberFormat="1" applyFont="1" applyBorder="1" applyAlignment="1" applyProtection="1">
      <alignment horizontal="center" shrinkToFit="1"/>
      <protection locked="0"/>
    </xf>
    <xf numFmtId="184" fontId="119" fillId="0" borderId="74" xfId="0" applyNumberFormat="1" applyFont="1" applyBorder="1" applyAlignment="1" applyProtection="1">
      <alignment horizontal="center" shrinkToFit="1"/>
      <protection locked="0" hidden="1"/>
    </xf>
    <xf numFmtId="167" fontId="119" fillId="0" borderId="137" xfId="0" applyNumberFormat="1" applyFont="1" applyBorder="1" applyAlignment="1" applyProtection="1">
      <alignment horizontal="center" shrinkToFit="1"/>
      <protection locked="0"/>
    </xf>
    <xf numFmtId="167" fontId="119" fillId="0" borderId="73" xfId="0" applyNumberFormat="1" applyFont="1" applyBorder="1" applyAlignment="1" applyProtection="1">
      <alignment horizontal="center" shrinkToFit="1"/>
      <protection locked="0"/>
    </xf>
    <xf numFmtId="0" fontId="119" fillId="0" borderId="125" xfId="0" applyFont="1" applyBorder="1" applyAlignment="1" applyProtection="1">
      <alignment horizontal="center" wrapText="1"/>
      <protection locked="0"/>
    </xf>
    <xf numFmtId="184" fontId="119" fillId="0" borderId="73" xfId="0" applyNumberFormat="1" applyFont="1" applyBorder="1" applyAlignment="1" applyProtection="1">
      <alignment horizontal="center" shrinkToFit="1"/>
      <protection locked="0"/>
    </xf>
    <xf numFmtId="184" fontId="119" fillId="0" borderId="58" xfId="0" applyNumberFormat="1" applyFont="1" applyBorder="1" applyAlignment="1" applyProtection="1">
      <alignment horizontal="center" shrinkToFit="1"/>
      <protection locked="0"/>
    </xf>
    <xf numFmtId="0" fontId="119" fillId="0" borderId="158" xfId="0" applyFont="1" applyBorder="1" applyAlignment="1" applyProtection="1">
      <alignment horizontal="center" wrapText="1"/>
      <protection locked="0"/>
    </xf>
    <xf numFmtId="0" fontId="119" fillId="0" borderId="159" xfId="0" applyFont="1" applyBorder="1" applyAlignment="1" applyProtection="1">
      <alignment horizontal="center" wrapText="1"/>
      <protection locked="0"/>
    </xf>
    <xf numFmtId="0" fontId="119" fillId="0" borderId="160" xfId="0" applyFont="1" applyBorder="1" applyAlignment="1" applyProtection="1">
      <alignment horizontal="center" wrapText="1"/>
      <protection locked="0"/>
    </xf>
    <xf numFmtId="0" fontId="119" fillId="0" borderId="161" xfId="0" applyFont="1" applyBorder="1" applyAlignment="1" applyProtection="1">
      <alignment horizontal="center" wrapText="1"/>
      <protection locked="0"/>
    </xf>
    <xf numFmtId="0" fontId="119" fillId="0" borderId="59" xfId="0" applyFont="1" applyBorder="1" applyAlignment="1">
      <alignment horizontal="center" wrapText="1"/>
    </xf>
    <xf numFmtId="0" fontId="119" fillId="0" borderId="101" xfId="0" applyFont="1" applyBorder="1" applyAlignment="1">
      <alignment horizontal="center" wrapText="1"/>
    </xf>
    <xf numFmtId="3" fontId="119" fillId="0" borderId="54" xfId="0" applyNumberFormat="1" applyFont="1" applyBorder="1" applyAlignment="1" applyProtection="1">
      <alignment horizontal="center" shrinkToFit="1"/>
      <protection locked="0"/>
    </xf>
    <xf numFmtId="3" fontId="119" fillId="0" borderId="56" xfId="0" applyNumberFormat="1" applyFont="1" applyBorder="1" applyAlignment="1" applyProtection="1">
      <alignment horizontal="center" shrinkToFit="1"/>
      <protection locked="0"/>
    </xf>
    <xf numFmtId="3" fontId="119" fillId="0" borderId="58" xfId="0" applyNumberFormat="1" applyFont="1" applyBorder="1" applyAlignment="1" applyProtection="1">
      <alignment horizontal="center" shrinkToFit="1"/>
      <protection locked="0"/>
    </xf>
    <xf numFmtId="3" fontId="119" fillId="0" borderId="60" xfId="0" applyNumberFormat="1" applyFont="1" applyBorder="1" applyAlignment="1" applyProtection="1">
      <alignment horizontal="center" shrinkToFit="1"/>
      <protection locked="0"/>
    </xf>
    <xf numFmtId="170" fontId="120" fillId="11" borderId="73" xfId="0" applyNumberFormat="1" applyFont="1" applyFill="1" applyBorder="1" applyAlignment="1">
      <alignment horizontal="center" shrinkToFit="1"/>
    </xf>
    <xf numFmtId="170" fontId="120" fillId="11" borderId="74" xfId="0" applyNumberFormat="1" applyFont="1" applyFill="1" applyBorder="1" applyAlignment="1">
      <alignment horizontal="center" shrinkToFit="1"/>
    </xf>
    <xf numFmtId="0" fontId="80" fillId="0" borderId="0" xfId="0" applyFont="1" applyAlignment="1">
      <alignment horizontal="center" vertical="top" shrinkToFit="1"/>
    </xf>
    <xf numFmtId="167" fontId="119" fillId="0" borderId="138" xfId="0" applyNumberFormat="1" applyFont="1" applyBorder="1" applyAlignment="1" applyProtection="1">
      <alignment horizontal="center" shrinkToFit="1"/>
      <protection locked="0"/>
    </xf>
    <xf numFmtId="184" fontId="119" fillId="0" borderId="54" xfId="0" applyNumberFormat="1" applyFont="1" applyBorder="1" applyAlignment="1" applyProtection="1">
      <alignment horizontal="center" shrinkToFit="1"/>
      <protection locked="0"/>
    </xf>
    <xf numFmtId="184" fontId="119" fillId="0" borderId="158" xfId="0" applyNumberFormat="1" applyFont="1" applyBorder="1" applyAlignment="1" applyProtection="1">
      <alignment horizontal="center" shrinkToFit="1"/>
      <protection locked="0"/>
    </xf>
    <xf numFmtId="184" fontId="119" fillId="0" borderId="159" xfId="0" applyNumberFormat="1" applyFont="1" applyBorder="1" applyAlignment="1" applyProtection="1">
      <alignment horizontal="center" shrinkToFit="1"/>
      <protection locked="0"/>
    </xf>
    <xf numFmtId="3" fontId="119" fillId="0" borderId="73" xfId="0" applyNumberFormat="1" applyFont="1" applyBorder="1" applyAlignment="1" applyProtection="1">
      <alignment horizontal="center" wrapText="1"/>
      <protection locked="0"/>
    </xf>
    <xf numFmtId="3" fontId="119" fillId="0" borderId="138" xfId="0" applyNumberFormat="1" applyFont="1" applyBorder="1" applyAlignment="1" applyProtection="1">
      <alignment horizontal="center" wrapText="1"/>
      <protection locked="0"/>
    </xf>
    <xf numFmtId="3" fontId="119" fillId="0" borderId="74" xfId="0" applyNumberFormat="1" applyFont="1" applyBorder="1" applyAlignment="1" applyProtection="1">
      <alignment horizontal="center" wrapText="1"/>
      <protection locked="0"/>
    </xf>
    <xf numFmtId="3" fontId="119" fillId="0" borderId="131" xfId="0" applyNumberFormat="1" applyFont="1" applyBorder="1" applyAlignment="1" applyProtection="1">
      <alignment horizontal="center" wrapText="1"/>
      <protection locked="0"/>
    </xf>
    <xf numFmtId="0" fontId="119" fillId="0" borderId="126" xfId="0" applyFont="1" applyBorder="1" applyAlignment="1" applyProtection="1">
      <alignment horizontal="center" wrapText="1"/>
      <protection locked="0"/>
    </xf>
    <xf numFmtId="167" fontId="119" fillId="0" borderId="160" xfId="0" applyNumberFormat="1" applyFont="1" applyBorder="1" applyAlignment="1" applyProtection="1">
      <alignment horizontal="center" shrinkToFit="1"/>
      <protection locked="0"/>
    </xf>
    <xf numFmtId="167" fontId="119" fillId="0" borderId="56" xfId="0" applyNumberFormat="1" applyFont="1" applyBorder="1" applyAlignment="1" applyProtection="1">
      <alignment horizontal="center" shrinkToFit="1"/>
      <protection locked="0"/>
    </xf>
    <xf numFmtId="167" fontId="119" fillId="0" borderId="161" xfId="0" applyNumberFormat="1" applyFont="1" applyBorder="1" applyAlignment="1" applyProtection="1">
      <alignment horizontal="center" shrinkToFit="1"/>
      <protection locked="0"/>
    </xf>
    <xf numFmtId="167" fontId="119" fillId="0" borderId="60" xfId="0" applyNumberFormat="1" applyFont="1" applyBorder="1" applyAlignment="1" applyProtection="1">
      <alignment horizontal="center" shrinkToFit="1"/>
      <protection locked="0"/>
    </xf>
    <xf numFmtId="167" fontId="119" fillId="0" borderId="54" xfId="0" applyNumberFormat="1" applyFont="1" applyBorder="1" applyAlignment="1" applyProtection="1">
      <alignment horizontal="center" shrinkToFit="1"/>
      <protection locked="0"/>
    </xf>
    <xf numFmtId="167" fontId="119" fillId="0" borderId="158" xfId="0" applyNumberFormat="1" applyFont="1" applyBorder="1" applyAlignment="1" applyProtection="1">
      <alignment horizontal="center" shrinkToFit="1"/>
      <protection locked="0"/>
    </xf>
    <xf numFmtId="167" fontId="119" fillId="0" borderId="58" xfId="0" applyNumberFormat="1" applyFont="1" applyBorder="1" applyAlignment="1" applyProtection="1">
      <alignment horizontal="center" shrinkToFit="1"/>
      <protection locked="0"/>
    </xf>
    <xf numFmtId="167" fontId="119" fillId="0" borderId="159" xfId="0" applyNumberFormat="1" applyFont="1" applyBorder="1" applyAlignment="1" applyProtection="1">
      <alignment horizontal="center" shrinkToFit="1"/>
      <protection locked="0"/>
    </xf>
    <xf numFmtId="3" fontId="119" fillId="0" borderId="54" xfId="0" applyNumberFormat="1" applyFont="1" applyBorder="1" applyAlignment="1" applyProtection="1">
      <alignment horizontal="center" wrapText="1"/>
      <protection locked="0"/>
    </xf>
    <xf numFmtId="3" fontId="119" fillId="0" borderId="158" xfId="0" applyNumberFormat="1" applyFont="1" applyBorder="1" applyAlignment="1" applyProtection="1">
      <alignment horizontal="center" wrapText="1"/>
      <protection locked="0"/>
    </xf>
    <xf numFmtId="3" fontId="119" fillId="0" borderId="58" xfId="0" applyNumberFormat="1" applyFont="1" applyBorder="1" applyAlignment="1" applyProtection="1">
      <alignment horizontal="center" wrapText="1"/>
      <protection locked="0"/>
    </xf>
    <xf numFmtId="3" fontId="119" fillId="0" borderId="159" xfId="0" applyNumberFormat="1" applyFont="1" applyBorder="1" applyAlignment="1" applyProtection="1">
      <alignment horizontal="center" wrapText="1"/>
      <protection locked="0"/>
    </xf>
    <xf numFmtId="167" fontId="120" fillId="11" borderId="60" xfId="0" applyNumberFormat="1" applyFont="1" applyFill="1" applyBorder="1" applyAlignment="1">
      <alignment horizontal="center" shrinkToFit="1"/>
    </xf>
    <xf numFmtId="167" fontId="120" fillId="11" borderId="73" xfId="0" applyNumberFormat="1" applyFont="1" applyFill="1" applyBorder="1" applyAlignment="1">
      <alignment horizontal="center" shrinkToFit="1"/>
    </xf>
    <xf numFmtId="9" fontId="84" fillId="0" borderId="0" xfId="0" applyNumberFormat="1" applyFont="1" applyAlignment="1">
      <alignment horizontal="center" vertical="center"/>
    </xf>
    <xf numFmtId="0" fontId="119" fillId="0" borderId="128" xfId="0" applyFont="1" applyBorder="1" applyAlignment="1" applyProtection="1">
      <alignment horizontal="center" wrapText="1"/>
      <protection locked="0"/>
    </xf>
    <xf numFmtId="0" fontId="119" fillId="0" borderId="127" xfId="0" applyFont="1" applyBorder="1" applyAlignment="1" applyProtection="1">
      <alignment horizontal="center" wrapText="1"/>
      <protection locked="0"/>
    </xf>
    <xf numFmtId="167" fontId="119" fillId="0" borderId="74" xfId="0" applyNumberFormat="1" applyFont="1" applyBorder="1" applyAlignment="1" applyProtection="1">
      <alignment horizontal="center" shrinkToFit="1"/>
      <protection locked="0" hidden="1"/>
    </xf>
    <xf numFmtId="167" fontId="119" fillId="0" borderId="131" xfId="0" applyNumberFormat="1" applyFont="1" applyBorder="1" applyAlignment="1" applyProtection="1">
      <alignment horizontal="center" shrinkToFit="1"/>
      <protection locked="0" hidden="1"/>
    </xf>
    <xf numFmtId="167" fontId="120" fillId="11" borderId="54" xfId="0" applyNumberFormat="1" applyFont="1" applyFill="1" applyBorder="1" applyAlignment="1">
      <alignment horizontal="center" wrapText="1"/>
    </xf>
    <xf numFmtId="167" fontId="120" fillId="11" borderId="55" xfId="0" applyNumberFormat="1" applyFont="1" applyFill="1" applyBorder="1" applyAlignment="1">
      <alignment horizontal="center" wrapText="1"/>
    </xf>
    <xf numFmtId="167" fontId="120" fillId="11" borderId="56" xfId="0" applyNumberFormat="1" applyFont="1" applyFill="1" applyBorder="1" applyAlignment="1">
      <alignment horizontal="center" wrapText="1"/>
    </xf>
    <xf numFmtId="167" fontId="120" fillId="11" borderId="58" xfId="0" applyNumberFormat="1" applyFont="1" applyFill="1" applyBorder="1" applyAlignment="1">
      <alignment horizontal="center" wrapText="1"/>
    </xf>
    <xf numFmtId="167" fontId="120" fillId="11" borderId="59" xfId="0" applyNumberFormat="1" applyFont="1" applyFill="1" applyBorder="1" applyAlignment="1">
      <alignment horizontal="center" wrapText="1"/>
    </xf>
    <xf numFmtId="167" fontId="120" fillId="11" borderId="60" xfId="0" applyNumberFormat="1" applyFont="1" applyFill="1" applyBorder="1" applyAlignment="1">
      <alignment horizontal="center" wrapText="1"/>
    </xf>
    <xf numFmtId="3" fontId="119" fillId="11" borderId="74" xfId="0" applyNumberFormat="1" applyFont="1" applyFill="1" applyBorder="1" applyAlignment="1" applyProtection="1">
      <alignment horizontal="center" shrinkToFit="1"/>
      <protection hidden="1"/>
    </xf>
    <xf numFmtId="0" fontId="119" fillId="0" borderId="131" xfId="0" applyFont="1" applyBorder="1" applyAlignment="1" applyProtection="1">
      <alignment horizontal="center" wrapText="1"/>
      <protection locked="0"/>
    </xf>
    <xf numFmtId="167" fontId="119" fillId="0" borderId="128" xfId="0" applyNumberFormat="1" applyFont="1" applyBorder="1" applyAlignment="1" applyProtection="1">
      <alignment horizontal="center" shrinkToFit="1"/>
      <protection locked="0"/>
    </xf>
    <xf numFmtId="167" fontId="119" fillId="0" borderId="127" xfId="0" applyNumberFormat="1" applyFont="1" applyBorder="1" applyAlignment="1" applyProtection="1">
      <alignment horizontal="center" shrinkToFit="1"/>
      <protection locked="0"/>
    </xf>
    <xf numFmtId="167" fontId="119" fillId="0" borderId="127" xfId="0" applyNumberFormat="1" applyFont="1" applyBorder="1" applyAlignment="1" applyProtection="1">
      <alignment horizontal="center" shrinkToFit="1"/>
      <protection locked="0" hidden="1"/>
    </xf>
    <xf numFmtId="167" fontId="119" fillId="0" borderId="129" xfId="0" applyNumberFormat="1" applyFont="1" applyBorder="1" applyAlignment="1" applyProtection="1">
      <alignment horizontal="center" shrinkToFit="1"/>
      <protection locked="0" hidden="1"/>
    </xf>
    <xf numFmtId="172" fontId="25" fillId="0" borderId="73" xfId="0" applyNumberFormat="1" applyFont="1" applyBorder="1" applyAlignment="1" applyProtection="1">
      <alignment horizontal="center"/>
      <protection locked="0"/>
    </xf>
    <xf numFmtId="172" fontId="25" fillId="0" borderId="74" xfId="0" applyNumberFormat="1" applyFont="1" applyBorder="1" applyAlignment="1" applyProtection="1">
      <alignment horizontal="center"/>
      <protection locked="0"/>
    </xf>
    <xf numFmtId="3" fontId="119" fillId="0" borderId="127" xfId="0" applyNumberFormat="1" applyFont="1" applyBorder="1" applyAlignment="1" applyProtection="1">
      <alignment horizontal="center" shrinkToFit="1"/>
      <protection locked="0"/>
    </xf>
    <xf numFmtId="0" fontId="119" fillId="0" borderId="57" xfId="0" applyFont="1" applyBorder="1" applyAlignment="1" applyProtection="1">
      <alignment horizontal="center" wrapText="1"/>
      <protection locked="0"/>
    </xf>
    <xf numFmtId="0" fontId="119" fillId="0" borderId="166" xfId="0" applyFont="1" applyBorder="1" applyAlignment="1" applyProtection="1">
      <alignment horizontal="center" wrapText="1"/>
      <protection locked="0"/>
    </xf>
    <xf numFmtId="3" fontId="119" fillId="11" borderId="73" xfId="0" applyNumberFormat="1" applyFont="1" applyFill="1" applyBorder="1" applyAlignment="1" applyProtection="1">
      <alignment horizontal="center" shrinkToFit="1"/>
      <protection hidden="1"/>
    </xf>
    <xf numFmtId="0" fontId="119" fillId="0" borderId="129" xfId="0" applyFont="1" applyBorder="1" applyAlignment="1" applyProtection="1">
      <alignment horizontal="center" wrapText="1"/>
      <protection locked="0"/>
    </xf>
    <xf numFmtId="184" fontId="119" fillId="0" borderId="127" xfId="0" applyNumberFormat="1" applyFont="1" applyBorder="1" applyAlignment="1" applyProtection="1">
      <alignment horizontal="center" shrinkToFit="1"/>
      <protection locked="0"/>
    </xf>
    <xf numFmtId="0" fontId="119" fillId="0" borderId="164" xfId="0" applyFont="1" applyBorder="1" applyAlignment="1" applyProtection="1">
      <alignment horizontal="center" wrapText="1"/>
      <protection locked="0"/>
    </xf>
    <xf numFmtId="0" fontId="119" fillId="0" borderId="211" xfId="0" applyFont="1" applyBorder="1" applyAlignment="1" applyProtection="1">
      <alignment horizontal="center" wrapText="1"/>
      <protection locked="0"/>
    </xf>
    <xf numFmtId="0" fontId="119" fillId="0" borderId="165" xfId="0" applyFont="1" applyBorder="1" applyAlignment="1" applyProtection="1">
      <alignment horizontal="center" wrapText="1"/>
      <protection locked="0"/>
    </xf>
    <xf numFmtId="0" fontId="119" fillId="0" borderId="187" xfId="0" applyFont="1" applyBorder="1" applyAlignment="1" applyProtection="1">
      <alignment horizontal="center" wrapText="1"/>
      <protection locked="0"/>
    </xf>
    <xf numFmtId="0" fontId="119" fillId="0" borderId="100" xfId="0" applyFont="1" applyBorder="1" applyAlignment="1" applyProtection="1">
      <alignment horizontal="center" wrapText="1"/>
      <protection locked="0"/>
    </xf>
    <xf numFmtId="2" fontId="25" fillId="0" borderId="100" xfId="0" applyNumberFormat="1" applyFont="1" applyBorder="1" applyAlignment="1">
      <alignment horizontal="center" wrapText="1" shrinkToFit="1"/>
    </xf>
    <xf numFmtId="2" fontId="25" fillId="0" borderId="73" xfId="0" applyNumberFormat="1" applyFont="1" applyBorder="1" applyAlignment="1">
      <alignment horizontal="center" wrapText="1" shrinkToFit="1"/>
    </xf>
    <xf numFmtId="0" fontId="25" fillId="0" borderId="73" xfId="0" applyFont="1" applyBorder="1" applyAlignment="1" applyProtection="1">
      <alignment horizontal="center"/>
      <protection locked="0"/>
    </xf>
    <xf numFmtId="0" fontId="25" fillId="0" borderId="74" xfId="0" applyFont="1" applyBorder="1" applyAlignment="1" applyProtection="1">
      <alignment horizontal="center"/>
      <protection locked="0"/>
    </xf>
    <xf numFmtId="182" fontId="119" fillId="0" borderId="54" xfId="15" applyNumberFormat="1" applyFont="1" applyBorder="1" applyAlignment="1" applyProtection="1">
      <alignment horizontal="center" wrapText="1"/>
      <protection locked="0"/>
    </xf>
    <xf numFmtId="182" fontId="119" fillId="0" borderId="55" xfId="15" applyNumberFormat="1" applyFont="1" applyBorder="1" applyAlignment="1" applyProtection="1">
      <alignment horizontal="center" wrapText="1"/>
      <protection locked="0"/>
    </xf>
    <xf numFmtId="182" fontId="119" fillId="0" borderId="158" xfId="15" applyNumberFormat="1" applyFont="1" applyBorder="1" applyAlignment="1" applyProtection="1">
      <alignment horizontal="center" wrapText="1"/>
      <protection locked="0"/>
    </xf>
    <xf numFmtId="182" fontId="119" fillId="0" borderId="58" xfId="15" applyNumberFormat="1" applyFont="1" applyBorder="1" applyAlignment="1" applyProtection="1">
      <alignment horizontal="center" wrapText="1"/>
      <protection locked="0"/>
    </xf>
    <xf numFmtId="182" fontId="119" fillId="0" borderId="59" xfId="15" applyNumberFormat="1" applyFont="1" applyBorder="1" applyAlignment="1" applyProtection="1">
      <alignment horizontal="center" wrapText="1"/>
      <protection locked="0"/>
    </xf>
    <xf numFmtId="182" fontId="119" fillId="0" borderId="159" xfId="15" applyNumberFormat="1" applyFont="1" applyBorder="1" applyAlignment="1" applyProtection="1">
      <alignment horizontal="center" wrapText="1"/>
      <protection locked="0"/>
    </xf>
    <xf numFmtId="167" fontId="119" fillId="0" borderId="54" xfId="0" applyNumberFormat="1" applyFont="1" applyBorder="1" applyAlignment="1" applyProtection="1">
      <alignment horizontal="center" shrinkToFit="1"/>
      <protection locked="0" hidden="1"/>
    </xf>
    <xf numFmtId="167" fontId="119" fillId="0" borderId="158" xfId="0" applyNumberFormat="1" applyFont="1" applyBorder="1" applyAlignment="1" applyProtection="1">
      <alignment horizontal="center" shrinkToFit="1"/>
      <protection locked="0" hidden="1"/>
    </xf>
    <xf numFmtId="167" fontId="119" fillId="0" borderId="58" xfId="0" applyNumberFormat="1" applyFont="1" applyBorder="1" applyAlignment="1" applyProtection="1">
      <alignment horizontal="center" shrinkToFit="1"/>
      <protection locked="0" hidden="1"/>
    </xf>
    <xf numFmtId="167" fontId="119" fillId="0" borderId="159" xfId="0" applyNumberFormat="1" applyFont="1" applyBorder="1" applyAlignment="1" applyProtection="1">
      <alignment horizontal="center" shrinkToFit="1"/>
      <protection locked="0" hidden="1"/>
    </xf>
    <xf numFmtId="0" fontId="119" fillId="11" borderId="160" xfId="0" applyFont="1" applyFill="1" applyBorder="1" applyAlignment="1" applyProtection="1">
      <alignment horizontal="center" shrinkToFit="1"/>
      <protection hidden="1"/>
    </xf>
    <xf numFmtId="0" fontId="119" fillId="11" borderId="56" xfId="0" applyFont="1" applyFill="1" applyBorder="1" applyAlignment="1" applyProtection="1">
      <alignment horizontal="center" shrinkToFit="1"/>
      <protection hidden="1"/>
    </xf>
    <xf numFmtId="0" fontId="119" fillId="11" borderId="161" xfId="0" applyFont="1" applyFill="1" applyBorder="1" applyAlignment="1" applyProtection="1">
      <alignment horizontal="center" shrinkToFit="1"/>
      <protection hidden="1"/>
    </xf>
    <xf numFmtId="0" fontId="119" fillId="11" borderId="60" xfId="0" applyFont="1" applyFill="1" applyBorder="1" applyAlignment="1" applyProtection="1">
      <alignment horizontal="center" shrinkToFit="1"/>
      <protection hidden="1"/>
    </xf>
    <xf numFmtId="182" fontId="119" fillId="0" borderId="100" xfId="15" applyNumberFormat="1" applyFont="1" applyBorder="1" applyAlignment="1" applyProtection="1">
      <alignment horizontal="center" wrapText="1"/>
      <protection locked="0"/>
    </xf>
    <xf numFmtId="182" fontId="119" fillId="0" borderId="212" xfId="15" applyNumberFormat="1" applyFont="1" applyBorder="1" applyAlignment="1" applyProtection="1">
      <alignment horizontal="center" wrapText="1"/>
      <protection locked="0"/>
    </xf>
    <xf numFmtId="182" fontId="119" fillId="0" borderId="73" xfId="15" applyNumberFormat="1" applyFont="1" applyBorder="1" applyAlignment="1" applyProtection="1">
      <alignment horizontal="center" wrapText="1"/>
      <protection locked="0"/>
    </xf>
    <xf numFmtId="182" fontId="119" fillId="0" borderId="138" xfId="15" applyNumberFormat="1" applyFont="1" applyBorder="1" applyAlignment="1" applyProtection="1">
      <alignment horizontal="center" wrapText="1"/>
      <protection locked="0"/>
    </xf>
    <xf numFmtId="182" fontId="119" fillId="0" borderId="165" xfId="15" applyNumberFormat="1" applyFont="1" applyBorder="1" applyAlignment="1" applyProtection="1">
      <alignment horizontal="center" wrapText="1"/>
      <protection locked="0"/>
    </xf>
    <xf numFmtId="182" fontId="119" fillId="0" borderId="168" xfId="15" applyNumberFormat="1" applyFont="1" applyBorder="1" applyAlignment="1" applyProtection="1">
      <alignment horizontal="center" wrapText="1"/>
      <protection locked="0"/>
    </xf>
    <xf numFmtId="182" fontId="119" fillId="0" borderId="57" xfId="15" applyNumberFormat="1" applyFont="1" applyBorder="1" applyAlignment="1" applyProtection="1">
      <alignment horizontal="center" wrapText="1"/>
      <protection locked="0"/>
    </xf>
    <xf numFmtId="182" fontId="119" fillId="0" borderId="0" xfId="15" applyNumberFormat="1" applyFont="1" applyBorder="1" applyAlignment="1" applyProtection="1">
      <alignment horizontal="center" wrapText="1"/>
      <protection locked="0"/>
    </xf>
    <xf numFmtId="182" fontId="119" fillId="0" borderId="206" xfId="15" applyNumberFormat="1" applyFont="1" applyBorder="1" applyAlignment="1" applyProtection="1">
      <alignment horizontal="center" wrapText="1"/>
      <protection locked="0"/>
    </xf>
    <xf numFmtId="0" fontId="119" fillId="0" borderId="167" xfId="0" applyFont="1" applyBorder="1" applyAlignment="1" applyProtection="1">
      <alignment horizontal="center" wrapText="1"/>
      <protection locked="0"/>
    </xf>
    <xf numFmtId="0" fontId="119" fillId="11" borderId="207" xfId="0" applyFont="1" applyFill="1" applyBorder="1" applyAlignment="1" applyProtection="1">
      <alignment horizontal="center" shrinkToFit="1"/>
      <protection hidden="1"/>
    </xf>
    <xf numFmtId="0" fontId="119" fillId="11" borderId="9" xfId="0" applyFont="1" applyFill="1" applyBorder="1" applyAlignment="1" applyProtection="1">
      <alignment horizontal="center" shrinkToFit="1"/>
      <protection hidden="1"/>
    </xf>
    <xf numFmtId="167" fontId="119" fillId="0" borderId="73" xfId="0" applyNumberFormat="1" applyFont="1" applyBorder="1" applyAlignment="1" applyProtection="1">
      <alignment horizontal="center" shrinkToFit="1"/>
      <protection locked="0" hidden="1"/>
    </xf>
    <xf numFmtId="167" fontId="119" fillId="0" borderId="138" xfId="0" applyNumberFormat="1" applyFont="1" applyBorder="1" applyAlignment="1" applyProtection="1">
      <alignment horizontal="center" shrinkToFit="1"/>
      <protection locked="0" hidden="1"/>
    </xf>
    <xf numFmtId="0" fontId="119" fillId="11" borderId="130" xfId="0" applyFont="1" applyFill="1" applyBorder="1" applyAlignment="1" applyProtection="1">
      <alignment horizontal="center" shrinkToFit="1"/>
      <protection hidden="1"/>
    </xf>
    <xf numFmtId="0" fontId="119" fillId="11" borderId="74" xfId="0" applyFont="1" applyFill="1" applyBorder="1" applyAlignment="1" applyProtection="1">
      <alignment horizontal="center" shrinkToFit="1"/>
      <protection hidden="1"/>
    </xf>
    <xf numFmtId="3" fontId="119" fillId="0" borderId="55" xfId="0" applyNumberFormat="1" applyFont="1" applyBorder="1" applyAlignment="1" applyProtection="1">
      <alignment horizontal="center" shrinkToFit="1"/>
      <protection locked="0"/>
    </xf>
    <xf numFmtId="3" fontId="119" fillId="0" borderId="158" xfId="0" applyNumberFormat="1" applyFont="1" applyBorder="1" applyAlignment="1" applyProtection="1">
      <alignment horizontal="center" shrinkToFit="1"/>
      <protection locked="0"/>
    </xf>
    <xf numFmtId="3" fontId="119" fillId="0" borderId="59" xfId="0" applyNumberFormat="1" applyFont="1" applyBorder="1" applyAlignment="1" applyProtection="1">
      <alignment horizontal="center" shrinkToFit="1"/>
      <protection locked="0"/>
    </xf>
    <xf numFmtId="3" fontId="119" fillId="0" borderId="159" xfId="0" applyNumberFormat="1" applyFont="1" applyBorder="1" applyAlignment="1" applyProtection="1">
      <alignment horizontal="center" shrinkToFit="1"/>
      <protection locked="0"/>
    </xf>
    <xf numFmtId="0" fontId="25" fillId="0" borderId="100" xfId="0" applyFont="1" applyBorder="1" applyAlignment="1">
      <alignment horizontal="center" wrapText="1" shrinkToFit="1"/>
    </xf>
    <xf numFmtId="0" fontId="25" fillId="0" borderId="73" xfId="0" applyFont="1" applyBorder="1" applyAlignment="1">
      <alignment horizontal="center" wrapText="1" shrinkToFit="1"/>
    </xf>
    <xf numFmtId="3" fontId="119" fillId="0" borderId="150" xfId="0" applyNumberFormat="1" applyFont="1" applyBorder="1" applyAlignment="1" applyProtection="1">
      <alignment horizontal="center" shrinkToFit="1"/>
      <protection locked="0"/>
    </xf>
    <xf numFmtId="3" fontId="119" fillId="0" borderId="102" xfId="0" applyNumberFormat="1" applyFont="1" applyBorder="1" applyAlignment="1" applyProtection="1">
      <alignment horizontal="center" shrinkToFit="1"/>
      <protection locked="0"/>
    </xf>
    <xf numFmtId="3" fontId="119" fillId="0" borderId="188" xfId="0" applyNumberFormat="1" applyFont="1" applyBorder="1" applyAlignment="1" applyProtection="1">
      <alignment horizontal="center" shrinkToFit="1"/>
      <protection locked="0"/>
    </xf>
    <xf numFmtId="3" fontId="119" fillId="0" borderId="57" xfId="0" applyNumberFormat="1" applyFont="1" applyBorder="1" applyAlignment="1" applyProtection="1">
      <alignment horizontal="center" shrinkToFit="1"/>
      <protection locked="0"/>
    </xf>
    <xf numFmtId="3" fontId="119" fillId="0" borderId="0" xfId="0" applyNumberFormat="1" applyFont="1" applyAlignment="1" applyProtection="1">
      <alignment horizontal="center" shrinkToFit="1"/>
      <protection locked="0"/>
    </xf>
    <xf numFmtId="3" fontId="119" fillId="0" borderId="206" xfId="0" applyNumberFormat="1" applyFont="1" applyBorder="1" applyAlignment="1" applyProtection="1">
      <alignment horizontal="center" shrinkToFit="1"/>
      <protection locked="0"/>
    </xf>
    <xf numFmtId="0" fontId="119" fillId="0" borderId="207" xfId="0" applyFont="1" applyBorder="1" applyAlignment="1" applyProtection="1">
      <alignment horizontal="center" wrapText="1"/>
      <protection locked="0"/>
    </xf>
    <xf numFmtId="0" fontId="119" fillId="0" borderId="9" xfId="0" applyFont="1" applyBorder="1" applyAlignment="1" applyProtection="1">
      <alignment horizontal="center" wrapText="1"/>
      <protection locked="0"/>
    </xf>
    <xf numFmtId="0" fontId="119" fillId="0" borderId="137" xfId="0" applyFont="1" applyBorder="1" applyAlignment="1" applyProtection="1">
      <alignment horizontal="center" shrinkToFit="1"/>
      <protection locked="0" hidden="1"/>
    </xf>
    <xf numFmtId="0" fontId="119" fillId="0" borderId="73" xfId="0" applyFont="1" applyBorder="1" applyAlignment="1" applyProtection="1">
      <alignment horizontal="center" shrinkToFit="1"/>
      <protection locked="0" hidden="1"/>
    </xf>
    <xf numFmtId="0" fontId="119" fillId="0" borderId="130" xfId="0" applyFont="1" applyBorder="1" applyAlignment="1" applyProtection="1">
      <alignment horizontal="center" shrinkToFit="1"/>
      <protection locked="0" hidden="1"/>
    </xf>
    <xf numFmtId="0" fontId="119" fillId="0" borderId="74" xfId="0" applyFont="1" applyBorder="1" applyAlignment="1" applyProtection="1">
      <alignment horizontal="center" shrinkToFit="1"/>
      <protection locked="0" hidden="1"/>
    </xf>
    <xf numFmtId="0" fontId="82" fillId="0" borderId="70" xfId="0" applyFont="1" applyBorder="1" applyAlignment="1">
      <alignment horizontal="center" wrapText="1"/>
    </xf>
    <xf numFmtId="0" fontId="82" fillId="0" borderId="70" xfId="0" applyFont="1" applyBorder="1" applyAlignment="1">
      <alignment horizontal="center" vertical="top" wrapText="1"/>
    </xf>
    <xf numFmtId="0" fontId="82" fillId="0" borderId="202" xfId="0" applyFont="1" applyBorder="1" applyAlignment="1" applyProtection="1">
      <alignment horizontal="center" wrapText="1" shrinkToFit="1"/>
      <protection locked="0"/>
    </xf>
    <xf numFmtId="0" fontId="82" fillId="0" borderId="69" xfId="0" applyFont="1" applyBorder="1" applyAlignment="1" applyProtection="1">
      <alignment horizontal="center" wrapText="1" shrinkToFit="1"/>
      <protection locked="0"/>
    </xf>
    <xf numFmtId="10" fontId="82" fillId="11" borderId="195" xfId="6" applyNumberFormat="1" applyFont="1" applyFill="1" applyBorder="1" applyAlignment="1" applyProtection="1">
      <alignment horizontal="center"/>
      <protection hidden="1"/>
    </xf>
    <xf numFmtId="10" fontId="82" fillId="11" borderId="196" xfId="6" applyNumberFormat="1" applyFont="1" applyFill="1" applyBorder="1" applyAlignment="1" applyProtection="1">
      <alignment horizontal="center"/>
      <protection hidden="1"/>
    </xf>
    <xf numFmtId="10" fontId="82" fillId="11" borderId="149" xfId="6" applyNumberFormat="1" applyFont="1" applyFill="1" applyBorder="1" applyAlignment="1" applyProtection="1">
      <alignment horizontal="center"/>
      <protection hidden="1"/>
    </xf>
    <xf numFmtId="10" fontId="82" fillId="11" borderId="198" xfId="6" applyNumberFormat="1" applyFont="1" applyFill="1" applyBorder="1" applyAlignment="1" applyProtection="1">
      <alignment horizontal="center"/>
      <protection hidden="1"/>
    </xf>
    <xf numFmtId="189" fontId="82" fillId="0" borderId="202" xfId="15" applyNumberFormat="1" applyFont="1" applyBorder="1" applyAlignment="1" applyProtection="1">
      <alignment horizontal="center"/>
      <protection locked="0"/>
    </xf>
    <xf numFmtId="189" fontId="82" fillId="0" borderId="69" xfId="15" applyNumberFormat="1" applyFont="1" applyBorder="1" applyAlignment="1" applyProtection="1">
      <alignment horizontal="center"/>
      <protection locked="0"/>
    </xf>
    <xf numFmtId="10" fontId="82" fillId="0" borderId="196" xfId="6" applyNumberFormat="1" applyFont="1" applyBorder="1" applyAlignment="1" applyProtection="1">
      <alignment horizontal="center"/>
      <protection locked="0"/>
    </xf>
    <xf numFmtId="10" fontId="82" fillId="0" borderId="197" xfId="6" applyNumberFormat="1" applyFont="1" applyBorder="1" applyAlignment="1" applyProtection="1">
      <alignment horizontal="center"/>
      <protection locked="0"/>
    </xf>
    <xf numFmtId="10" fontId="82" fillId="0" borderId="198" xfId="6" applyNumberFormat="1" applyFont="1" applyBorder="1" applyAlignment="1" applyProtection="1">
      <alignment horizontal="center"/>
      <protection locked="0"/>
    </xf>
    <xf numFmtId="10" fontId="82" fillId="0" borderId="148" xfId="6" applyNumberFormat="1" applyFont="1" applyBorder="1" applyAlignment="1" applyProtection="1">
      <alignment horizontal="center"/>
      <protection locked="0"/>
    </xf>
    <xf numFmtId="9" fontId="82" fillId="0" borderId="185" xfId="6" applyFont="1" applyBorder="1" applyAlignment="1" applyProtection="1">
      <alignment horizontal="center" shrinkToFit="1"/>
      <protection locked="0" hidden="1"/>
    </xf>
    <xf numFmtId="9" fontId="82" fillId="0" borderId="186" xfId="6" applyFont="1" applyBorder="1" applyAlignment="1" applyProtection="1">
      <alignment horizontal="center" shrinkToFit="1"/>
      <protection locked="0" hidden="1"/>
    </xf>
    <xf numFmtId="9" fontId="82" fillId="0" borderId="103" xfId="6" applyFont="1" applyBorder="1" applyAlignment="1" applyProtection="1">
      <alignment horizontal="center" shrinkToFit="1"/>
      <protection locked="0" hidden="1"/>
    </xf>
    <xf numFmtId="9" fontId="82" fillId="0" borderId="105" xfId="6" applyFont="1" applyBorder="1" applyAlignment="1" applyProtection="1">
      <alignment horizontal="center" shrinkToFit="1"/>
      <protection locked="0" hidden="1"/>
    </xf>
    <xf numFmtId="0" fontId="82" fillId="0" borderId="185" xfId="0" applyFont="1" applyBorder="1" applyAlignment="1" applyProtection="1">
      <alignment horizontal="center" wrapText="1"/>
      <protection locked="0"/>
    </xf>
    <xf numFmtId="0" fontId="82" fillId="0" borderId="102" xfId="0" applyFont="1" applyBorder="1" applyAlignment="1" applyProtection="1">
      <alignment horizontal="center" wrapText="1"/>
      <protection locked="0"/>
    </xf>
    <xf numFmtId="0" fontId="82" fillId="0" borderId="186" xfId="0" applyFont="1" applyBorder="1" applyAlignment="1" applyProtection="1">
      <alignment horizontal="center" wrapText="1"/>
      <protection locked="0"/>
    </xf>
    <xf numFmtId="0" fontId="82" fillId="0" borderId="103" xfId="0" applyFont="1" applyBorder="1" applyAlignment="1" applyProtection="1">
      <alignment horizontal="center" wrapText="1"/>
      <protection locked="0"/>
    </xf>
    <xf numFmtId="0" fontId="82" fillId="0" borderId="104" xfId="0" applyFont="1" applyBorder="1" applyAlignment="1" applyProtection="1">
      <alignment horizontal="center" wrapText="1"/>
      <protection locked="0"/>
    </xf>
    <xf numFmtId="0" fontId="82" fillId="0" borderId="105" xfId="0" applyFont="1" applyBorder="1" applyAlignment="1" applyProtection="1">
      <alignment horizontal="center" wrapText="1"/>
      <protection locked="0"/>
    </xf>
    <xf numFmtId="0" fontId="188" fillId="0" borderId="0" xfId="0" applyFont="1" applyAlignment="1">
      <alignment horizontal="center" wrapText="1"/>
    </xf>
    <xf numFmtId="167" fontId="82" fillId="0" borderId="185" xfId="13" applyNumberFormat="1" applyFont="1" applyBorder="1" applyAlignment="1" applyProtection="1">
      <alignment horizontal="center" shrinkToFit="1"/>
      <protection locked="0"/>
    </xf>
    <xf numFmtId="167" fontId="82" fillId="0" borderId="186" xfId="13" applyNumberFormat="1" applyFont="1" applyBorder="1" applyAlignment="1" applyProtection="1">
      <alignment horizontal="center" shrinkToFit="1"/>
      <protection locked="0"/>
    </xf>
    <xf numFmtId="167" fontId="82" fillId="0" borderId="103" xfId="13" applyNumberFormat="1" applyFont="1" applyBorder="1" applyAlignment="1" applyProtection="1">
      <alignment horizontal="center" shrinkToFit="1"/>
      <protection locked="0"/>
    </xf>
    <xf numFmtId="167" fontId="82" fillId="0" borderId="105" xfId="13" applyNumberFormat="1" applyFont="1" applyBorder="1" applyAlignment="1" applyProtection="1">
      <alignment horizontal="center" shrinkToFit="1"/>
      <protection locked="0"/>
    </xf>
    <xf numFmtId="167" fontId="120" fillId="11" borderId="204" xfId="0" applyNumberFormat="1" applyFont="1" applyFill="1" applyBorder="1" applyAlignment="1">
      <alignment horizontal="center" shrinkToFit="1"/>
    </xf>
    <xf numFmtId="167" fontId="120" fillId="11" borderId="128" xfId="0" applyNumberFormat="1" applyFont="1" applyFill="1" applyBorder="1" applyAlignment="1">
      <alignment horizontal="center" shrinkToFit="1"/>
    </xf>
    <xf numFmtId="167" fontId="120" fillId="11" borderId="205" xfId="0" applyNumberFormat="1" applyFont="1" applyFill="1" applyBorder="1" applyAlignment="1">
      <alignment horizontal="center" shrinkToFit="1"/>
    </xf>
    <xf numFmtId="167" fontId="120" fillId="11" borderId="130" xfId="0" applyNumberFormat="1" applyFont="1" applyFill="1" applyBorder="1" applyAlignment="1">
      <alignment horizontal="center" shrinkToFit="1"/>
    </xf>
    <xf numFmtId="0" fontId="188" fillId="0" borderId="0" xfId="0" applyFont="1" applyAlignment="1">
      <alignment horizontal="center" vertical="center" wrapText="1"/>
    </xf>
    <xf numFmtId="0" fontId="82" fillId="0" borderId="185" xfId="0" applyFont="1" applyBorder="1" applyAlignment="1" applyProtection="1">
      <alignment horizontal="center" wrapText="1" shrinkToFit="1"/>
      <protection locked="0"/>
    </xf>
    <xf numFmtId="0" fontId="82" fillId="0" borderId="102" xfId="0" applyFont="1" applyBorder="1" applyAlignment="1" applyProtection="1">
      <alignment horizontal="center" wrapText="1" shrinkToFit="1"/>
      <protection locked="0"/>
    </xf>
    <xf numFmtId="0" fontId="82" fillId="0" borderId="186" xfId="0" applyFont="1" applyBorder="1" applyAlignment="1" applyProtection="1">
      <alignment horizontal="center" wrapText="1" shrinkToFit="1"/>
      <protection locked="0"/>
    </xf>
    <xf numFmtId="0" fontId="82" fillId="0" borderId="103" xfId="0" applyFont="1" applyBorder="1" applyAlignment="1" applyProtection="1">
      <alignment horizontal="center" wrapText="1" shrinkToFit="1"/>
      <protection locked="0"/>
    </xf>
    <xf numFmtId="0" fontId="82" fillId="0" borderId="104" xfId="0" applyFont="1" applyBorder="1" applyAlignment="1" applyProtection="1">
      <alignment horizontal="center" wrapText="1" shrinkToFit="1"/>
      <protection locked="0"/>
    </xf>
    <xf numFmtId="0" fontId="82" fillId="0" borderId="105" xfId="0" applyFont="1" applyBorder="1" applyAlignment="1" applyProtection="1">
      <alignment horizontal="center" wrapText="1" shrinkToFit="1"/>
      <protection locked="0"/>
    </xf>
    <xf numFmtId="0" fontId="82" fillId="0" borderId="70" xfId="0" applyFont="1" applyBorder="1" applyAlignment="1">
      <alignment horizontal="center"/>
    </xf>
    <xf numFmtId="3" fontId="82" fillId="11" borderId="185" xfId="15" applyNumberFormat="1" applyFont="1" applyFill="1" applyBorder="1" applyAlignment="1">
      <alignment horizontal="center" shrinkToFit="1"/>
    </xf>
    <xf numFmtId="3" fontId="82" fillId="11" borderId="102" xfId="15" applyNumberFormat="1" applyFont="1" applyFill="1" applyBorder="1" applyAlignment="1">
      <alignment horizontal="center" shrinkToFit="1"/>
    </xf>
    <xf numFmtId="3" fontId="82" fillId="11" borderId="186" xfId="15" applyNumberFormat="1" applyFont="1" applyFill="1" applyBorder="1" applyAlignment="1">
      <alignment horizontal="center" shrinkToFit="1"/>
    </xf>
    <xf numFmtId="3" fontId="82" fillId="11" borderId="103" xfId="15" applyNumberFormat="1" applyFont="1" applyFill="1" applyBorder="1" applyAlignment="1">
      <alignment horizontal="center" shrinkToFit="1"/>
    </xf>
    <xf numFmtId="3" fontId="82" fillId="11" borderId="104" xfId="15" applyNumberFormat="1" applyFont="1" applyFill="1" applyBorder="1" applyAlignment="1">
      <alignment horizontal="center" shrinkToFit="1"/>
    </xf>
    <xf numFmtId="3" fontId="82" fillId="11" borderId="105" xfId="15" applyNumberFormat="1" applyFont="1" applyFill="1" applyBorder="1" applyAlignment="1">
      <alignment horizontal="center" shrinkToFit="1"/>
    </xf>
    <xf numFmtId="3" fontId="82" fillId="11" borderId="188" xfId="15" applyNumberFormat="1" applyFont="1" applyFill="1" applyBorder="1" applyAlignment="1">
      <alignment horizontal="center" shrinkToFit="1"/>
    </xf>
    <xf numFmtId="3" fontId="82" fillId="11" borderId="152" xfId="15" applyNumberFormat="1" applyFont="1" applyFill="1" applyBorder="1" applyAlignment="1">
      <alignment horizontal="center" shrinkToFit="1"/>
    </xf>
    <xf numFmtId="3" fontId="82" fillId="11" borderId="0" xfId="15" applyNumberFormat="1" applyFont="1" applyFill="1" applyBorder="1" applyAlignment="1">
      <alignment horizontal="center" shrinkToFit="1"/>
    </xf>
    <xf numFmtId="3" fontId="82" fillId="11" borderId="206" xfId="15" applyNumberFormat="1" applyFont="1" applyFill="1" applyBorder="1" applyAlignment="1">
      <alignment horizontal="center" shrinkToFit="1"/>
    </xf>
    <xf numFmtId="0" fontId="188" fillId="0" borderId="0" xfId="0" applyFont="1" applyAlignment="1">
      <alignment horizontal="center"/>
    </xf>
    <xf numFmtId="0" fontId="25" fillId="0" borderId="0" xfId="0" applyFont="1" applyAlignment="1">
      <alignment horizontal="center" shrinkToFit="1"/>
    </xf>
    <xf numFmtId="0" fontId="25" fillId="0" borderId="70" xfId="0" applyFont="1" applyBorder="1" applyAlignment="1">
      <alignment horizontal="center" shrinkToFit="1"/>
    </xf>
    <xf numFmtId="0" fontId="25" fillId="0" borderId="59" xfId="0" applyFont="1" applyBorder="1" applyAlignment="1">
      <alignment horizontal="center" shrinkToFit="1"/>
    </xf>
    <xf numFmtId="0" fontId="25" fillId="0" borderId="101" xfId="0" applyFont="1" applyBorder="1" applyAlignment="1">
      <alignment horizontal="center" shrinkToFit="1"/>
    </xf>
    <xf numFmtId="0" fontId="25" fillId="20" borderId="74" xfId="0" applyFont="1" applyFill="1" applyBorder="1" applyAlignment="1">
      <alignment horizontal="center"/>
    </xf>
    <xf numFmtId="4" fontId="25" fillId="0" borderId="74" xfId="0" applyNumberFormat="1" applyFont="1" applyBorder="1" applyAlignment="1">
      <alignment horizontal="center" shrinkToFit="1"/>
    </xf>
    <xf numFmtId="0" fontId="25" fillId="20" borderId="74" xfId="0" applyFont="1" applyFill="1" applyBorder="1" applyAlignment="1">
      <alignment horizontal="center" shrinkToFit="1"/>
    </xf>
    <xf numFmtId="172" fontId="25" fillId="0" borderId="73" xfId="0" applyNumberFormat="1" applyFont="1" applyBorder="1" applyAlignment="1" applyProtection="1">
      <alignment horizontal="center" shrinkToFit="1"/>
      <protection locked="0"/>
    </xf>
    <xf numFmtId="172" fontId="25" fillId="0" borderId="74" xfId="0" applyNumberFormat="1" applyFont="1" applyBorder="1" applyAlignment="1" applyProtection="1">
      <alignment horizontal="center" shrinkToFit="1"/>
      <protection locked="0"/>
    </xf>
    <xf numFmtId="172" fontId="25" fillId="0" borderId="73" xfId="0" applyNumberFormat="1" applyFont="1" applyBorder="1" applyAlignment="1">
      <alignment horizontal="center"/>
    </xf>
    <xf numFmtId="172" fontId="25" fillId="0" borderId="74" xfId="0" applyNumberFormat="1" applyFont="1" applyBorder="1" applyAlignment="1">
      <alignment horizontal="center"/>
    </xf>
    <xf numFmtId="167" fontId="120" fillId="5" borderId="60" xfId="0" applyNumberFormat="1" applyFont="1" applyFill="1" applyBorder="1" applyAlignment="1">
      <alignment horizontal="center" shrinkToFit="1"/>
    </xf>
    <xf numFmtId="167" fontId="120" fillId="5" borderId="73" xfId="0" applyNumberFormat="1" applyFont="1" applyFill="1" applyBorder="1" applyAlignment="1">
      <alignment horizontal="center" shrinkToFit="1"/>
    </xf>
    <xf numFmtId="167" fontId="120" fillId="5" borderId="126" xfId="0" applyNumberFormat="1" applyFont="1" applyFill="1" applyBorder="1" applyAlignment="1">
      <alignment horizontal="center" shrinkToFit="1"/>
    </xf>
    <xf numFmtId="167" fontId="120" fillId="5" borderId="74" xfId="0" applyNumberFormat="1" applyFont="1" applyFill="1" applyBorder="1" applyAlignment="1">
      <alignment horizontal="center" shrinkToFit="1"/>
    </xf>
    <xf numFmtId="170" fontId="120" fillId="19" borderId="73" xfId="0" applyNumberFormat="1" applyFont="1" applyFill="1" applyBorder="1" applyAlignment="1">
      <alignment horizontal="center" shrinkToFit="1"/>
    </xf>
    <xf numFmtId="170" fontId="120" fillId="19" borderId="74" xfId="0" applyNumberFormat="1" applyFont="1" applyFill="1" applyBorder="1" applyAlignment="1">
      <alignment horizontal="center" shrinkToFit="1"/>
    </xf>
    <xf numFmtId="167" fontId="120" fillId="5" borderId="73" xfId="0" applyNumberFormat="1" applyFont="1" applyFill="1" applyBorder="1" applyAlignment="1">
      <alignment horizontal="center" wrapText="1"/>
    </xf>
    <xf numFmtId="167" fontId="120" fillId="5" borderId="74" xfId="0" applyNumberFormat="1" applyFont="1" applyFill="1" applyBorder="1" applyAlignment="1">
      <alignment horizontal="center" wrapText="1"/>
    </xf>
    <xf numFmtId="4" fontId="119" fillId="0" borderId="162" xfId="0" applyNumberFormat="1" applyFont="1" applyBorder="1" applyAlignment="1" applyProtection="1">
      <alignment horizontal="center" shrinkToFit="1"/>
      <protection locked="0"/>
    </xf>
    <xf numFmtId="4" fontId="119" fillId="0" borderId="163" xfId="0" applyNumberFormat="1" applyFont="1" applyBorder="1" applyAlignment="1" applyProtection="1">
      <alignment horizontal="center" shrinkToFit="1"/>
      <protection locked="0"/>
    </xf>
    <xf numFmtId="4" fontId="119" fillId="0" borderId="137" xfId="0" applyNumberFormat="1" applyFont="1" applyBorder="1" applyAlignment="1" applyProtection="1">
      <alignment horizontal="center" shrinkToFit="1"/>
      <protection locked="0"/>
    </xf>
    <xf numFmtId="4" fontId="119" fillId="0" borderId="73" xfId="0" applyNumberFormat="1" applyFont="1" applyBorder="1" applyAlignment="1" applyProtection="1">
      <alignment horizontal="center" shrinkToFit="1"/>
      <protection locked="0"/>
    </xf>
    <xf numFmtId="0" fontId="119" fillId="0" borderId="0" xfId="0" applyFont="1" applyAlignment="1">
      <alignment horizontal="center"/>
    </xf>
    <xf numFmtId="0" fontId="119" fillId="0" borderId="70" xfId="0" applyFont="1" applyBorder="1" applyAlignment="1">
      <alignment horizontal="center"/>
    </xf>
    <xf numFmtId="167" fontId="23" fillId="0" borderId="150" xfId="0" applyNumberFormat="1" applyFont="1" applyBorder="1" applyAlignment="1" applyProtection="1">
      <alignment horizontal="center"/>
      <protection locked="0"/>
    </xf>
    <xf numFmtId="167" fontId="23" fillId="0" borderId="102" xfId="0" applyNumberFormat="1" applyFont="1" applyBorder="1" applyAlignment="1" applyProtection="1">
      <alignment horizontal="center"/>
      <protection locked="0"/>
    </xf>
    <xf numFmtId="167" fontId="23" fillId="0" borderId="188" xfId="0" applyNumberFormat="1" applyFont="1" applyBorder="1" applyAlignment="1" applyProtection="1">
      <alignment horizontal="center"/>
      <protection locked="0"/>
    </xf>
    <xf numFmtId="167" fontId="23" fillId="0" borderId="58" xfId="0" applyNumberFormat="1" applyFont="1" applyBorder="1" applyAlignment="1" applyProtection="1">
      <alignment horizontal="center"/>
      <protection locked="0"/>
    </xf>
    <xf numFmtId="167" fontId="23" fillId="0" borderId="59" xfId="0" applyNumberFormat="1" applyFont="1" applyBorder="1" applyAlignment="1" applyProtection="1">
      <alignment horizontal="center"/>
      <protection locked="0"/>
    </xf>
    <xf numFmtId="167" fontId="23" fillId="0" borderId="159" xfId="0" applyNumberFormat="1" applyFont="1" applyBorder="1" applyAlignment="1" applyProtection="1">
      <alignment horizontal="center"/>
      <protection locked="0"/>
    </xf>
    <xf numFmtId="0" fontId="82" fillId="0" borderId="70" xfId="0" applyFont="1" applyBorder="1" applyAlignment="1">
      <alignment horizontal="center" vertical="center" wrapText="1"/>
    </xf>
    <xf numFmtId="188" fontId="25" fillId="0" borderId="73" xfId="0" applyNumberFormat="1" applyFont="1" applyBorder="1" applyAlignment="1" applyProtection="1">
      <alignment horizontal="center" wrapText="1"/>
      <protection locked="0" hidden="1"/>
    </xf>
    <xf numFmtId="182" fontId="25" fillId="0" borderId="74" xfId="0" applyNumberFormat="1" applyFont="1" applyBorder="1" applyAlignment="1">
      <alignment horizontal="center" shrinkToFit="1"/>
    </xf>
    <xf numFmtId="0" fontId="23" fillId="5" borderId="38" xfId="0" applyFont="1" applyFill="1" applyBorder="1" applyAlignment="1">
      <alignment horizontal="left" vertical="top" wrapText="1"/>
    </xf>
    <xf numFmtId="0" fontId="23" fillId="5" borderId="39" xfId="0" applyFont="1" applyFill="1" applyBorder="1" applyAlignment="1">
      <alignment horizontal="left" vertical="top" wrapText="1"/>
    </xf>
    <xf numFmtId="0" fontId="23" fillId="5" borderId="40" xfId="0" applyFont="1" applyFill="1" applyBorder="1" applyAlignment="1">
      <alignment horizontal="left" vertical="top" wrapText="1"/>
    </xf>
    <xf numFmtId="0" fontId="23" fillId="5" borderId="41" xfId="0" applyFont="1" applyFill="1" applyBorder="1" applyAlignment="1">
      <alignment horizontal="left" vertical="top" wrapText="1"/>
    </xf>
    <xf numFmtId="0" fontId="23" fillId="5" borderId="0" xfId="0" applyFont="1" applyFill="1" applyAlignment="1">
      <alignment horizontal="left" vertical="top" wrapText="1"/>
    </xf>
    <xf numFmtId="0" fontId="23" fillId="5" borderId="42" xfId="0" applyFont="1" applyFill="1" applyBorder="1" applyAlignment="1">
      <alignment horizontal="left" vertical="top" wrapText="1"/>
    </xf>
    <xf numFmtId="0" fontId="23" fillId="5" borderId="43" xfId="0" applyFont="1" applyFill="1" applyBorder="1" applyAlignment="1">
      <alignment horizontal="left" vertical="top" wrapText="1"/>
    </xf>
    <xf numFmtId="0" fontId="23" fillId="5" borderId="33" xfId="0" applyFont="1" applyFill="1" applyBorder="1" applyAlignment="1">
      <alignment horizontal="left" vertical="top" wrapText="1"/>
    </xf>
    <xf numFmtId="0" fontId="23" fillId="5" borderId="44" xfId="0" applyFont="1" applyFill="1" applyBorder="1" applyAlignment="1">
      <alignment horizontal="left" vertical="top" wrapText="1"/>
    </xf>
    <xf numFmtId="0" fontId="82" fillId="0" borderId="0" xfId="0" applyFont="1" applyAlignment="1">
      <alignment horizontal="center" vertical="top" wrapText="1"/>
    </xf>
    <xf numFmtId="49" fontId="23" fillId="0" borderId="35" xfId="0" applyNumberFormat="1" applyFont="1" applyBorder="1" applyAlignment="1" applyProtection="1">
      <alignment horizontal="left"/>
      <protection locked="0"/>
    </xf>
    <xf numFmtId="49" fontId="23" fillId="0" borderId="36" xfId="0" applyNumberFormat="1" applyFont="1" applyBorder="1" applyAlignment="1" applyProtection="1">
      <alignment horizontal="left"/>
      <protection locked="0"/>
    </xf>
    <xf numFmtId="49" fontId="23" fillId="0" borderId="37" xfId="0" applyNumberFormat="1" applyFont="1" applyBorder="1" applyAlignment="1" applyProtection="1">
      <alignment horizontal="left"/>
      <protection locked="0"/>
    </xf>
    <xf numFmtId="0" fontId="93" fillId="0" borderId="0" xfId="0" applyFont="1" applyAlignment="1">
      <alignment horizontal="left" wrapText="1"/>
    </xf>
    <xf numFmtId="0" fontId="82" fillId="0" borderId="0" xfId="0" applyFont="1" applyAlignment="1">
      <alignment horizontal="center"/>
    </xf>
    <xf numFmtId="0" fontId="147" fillId="2" borderId="57" xfId="0" applyFont="1" applyFill="1" applyBorder="1"/>
    <xf numFmtId="0" fontId="147" fillId="2" borderId="0" xfId="0" applyFont="1" applyFill="1"/>
    <xf numFmtId="0" fontId="112" fillId="5" borderId="55" xfId="1" applyFont="1" applyFill="1" applyBorder="1" applyAlignment="1" applyProtection="1">
      <alignment horizontal="right" vertical="center"/>
      <protection hidden="1"/>
    </xf>
    <xf numFmtId="0" fontId="112" fillId="5" borderId="56" xfId="1" applyFont="1" applyFill="1" applyBorder="1" applyAlignment="1" applyProtection="1">
      <alignment horizontal="right" vertical="center"/>
      <protection hidden="1"/>
    </xf>
    <xf numFmtId="0" fontId="147" fillId="2" borderId="0" xfId="0" applyFont="1" applyFill="1" applyAlignment="1">
      <alignment horizontal="right"/>
    </xf>
    <xf numFmtId="0" fontId="147" fillId="2" borderId="9" xfId="0" applyFont="1" applyFill="1" applyBorder="1" applyAlignment="1">
      <alignment horizontal="right"/>
    </xf>
    <xf numFmtId="0" fontId="37" fillId="5" borderId="55" xfId="0" applyFont="1" applyFill="1" applyBorder="1" applyAlignment="1">
      <alignment horizontal="right" vertical="center"/>
    </xf>
    <xf numFmtId="0" fontId="37" fillId="5" borderId="56" xfId="0" applyFont="1" applyFill="1" applyBorder="1" applyAlignment="1">
      <alignment horizontal="right" vertical="center"/>
    </xf>
    <xf numFmtId="0" fontId="147" fillId="2" borderId="0" xfId="0" applyFont="1" applyFill="1" applyAlignment="1">
      <alignment horizontal="center"/>
    </xf>
    <xf numFmtId="0" fontId="82" fillId="0" borderId="9" xfId="0" applyFont="1" applyBorder="1" applyAlignment="1">
      <alignment horizontal="left"/>
    </xf>
    <xf numFmtId="0" fontId="82" fillId="0" borderId="57" xfId="0" applyFont="1" applyBorder="1" applyAlignment="1">
      <alignment horizontal="left"/>
    </xf>
    <xf numFmtId="171" fontId="82" fillId="0" borderId="0" xfId="0" applyNumberFormat="1" applyFont="1" applyAlignment="1">
      <alignment horizontal="left"/>
    </xf>
    <xf numFmtId="0" fontId="37" fillId="5" borderId="0" xfId="0" applyFont="1" applyFill="1" applyAlignment="1">
      <alignment horizontal="right" vertical="center"/>
    </xf>
    <xf numFmtId="0" fontId="87" fillId="5" borderId="57" xfId="0" applyFont="1" applyFill="1" applyBorder="1" applyAlignment="1">
      <alignment horizontal="left" vertical="center"/>
    </xf>
    <xf numFmtId="0" fontId="87" fillId="5" borderId="0" xfId="0" applyFont="1" applyFill="1" applyAlignment="1">
      <alignment horizontal="left" vertical="center"/>
    </xf>
    <xf numFmtId="171" fontId="82" fillId="0" borderId="9" xfId="0" applyNumberFormat="1" applyFont="1" applyBorder="1" applyAlignment="1">
      <alignment horizontal="left"/>
    </xf>
    <xf numFmtId="0" fontId="112" fillId="5" borderId="0" xfId="1" applyFont="1" applyFill="1" applyBorder="1" applyAlignment="1" applyProtection="1">
      <alignment horizontal="right" vertical="center"/>
      <protection hidden="1"/>
    </xf>
    <xf numFmtId="0" fontId="112" fillId="5" borderId="9" xfId="1" applyFont="1" applyFill="1" applyBorder="1" applyAlignment="1" applyProtection="1">
      <alignment horizontal="right" vertical="center"/>
      <protection hidden="1"/>
    </xf>
    <xf numFmtId="0" fontId="94" fillId="0" borderId="63" xfId="1" applyFont="1" applyBorder="1" applyAlignment="1" applyProtection="1">
      <protection hidden="1"/>
    </xf>
    <xf numFmtId="0" fontId="94" fillId="0" borderId="64" xfId="1" applyFont="1" applyBorder="1" applyAlignment="1" applyProtection="1">
      <protection hidden="1"/>
    </xf>
    <xf numFmtId="0" fontId="82" fillId="0" borderId="66" xfId="0" applyFont="1" applyBorder="1" applyAlignment="1">
      <alignment horizontal="center"/>
    </xf>
    <xf numFmtId="0" fontId="82" fillId="0" borderId="64" xfId="0" applyFont="1" applyBorder="1" applyAlignment="1">
      <alignment horizontal="center"/>
    </xf>
    <xf numFmtId="0" fontId="87" fillId="5" borderId="54" xfId="0" applyFont="1" applyFill="1" applyBorder="1" applyAlignment="1">
      <alignment horizontal="left" vertical="center"/>
    </xf>
    <xf numFmtId="0" fontId="87" fillId="5" borderId="55" xfId="0" applyFont="1" applyFill="1" applyBorder="1" applyAlignment="1">
      <alignment horizontal="left" vertical="center"/>
    </xf>
    <xf numFmtId="0" fontId="82" fillId="0" borderId="0" xfId="0" applyFont="1" applyAlignment="1">
      <alignment horizontal="left" shrinkToFit="1"/>
    </xf>
    <xf numFmtId="0" fontId="82" fillId="0" borderId="9" xfId="0" applyFont="1" applyBorder="1" applyAlignment="1">
      <alignment horizontal="left" shrinkToFit="1"/>
    </xf>
    <xf numFmtId="14" fontId="82" fillId="0" borderId="0" xfId="0" applyNumberFormat="1" applyFont="1" applyAlignment="1">
      <alignment horizontal="left"/>
    </xf>
    <xf numFmtId="14" fontId="82" fillId="0" borderId="9" xfId="0" applyNumberFormat="1" applyFont="1" applyBorder="1" applyAlignment="1">
      <alignment horizontal="left"/>
    </xf>
    <xf numFmtId="14" fontId="23" fillId="0" borderId="80" xfId="0" applyNumberFormat="1" applyFont="1" applyBorder="1" applyAlignment="1" applyProtection="1">
      <alignment horizontal="left"/>
      <protection locked="0"/>
    </xf>
    <xf numFmtId="14" fontId="23" fillId="0" borderId="81" xfId="0" applyNumberFormat="1" applyFont="1" applyBorder="1" applyAlignment="1" applyProtection="1">
      <alignment horizontal="left"/>
      <protection locked="0"/>
    </xf>
    <xf numFmtId="14" fontId="23" fillId="0" borderId="82" xfId="0" applyNumberFormat="1" applyFont="1" applyBorder="1" applyAlignment="1" applyProtection="1">
      <alignment horizontal="left"/>
      <protection locked="0"/>
    </xf>
    <xf numFmtId="0" fontId="80" fillId="0" borderId="58" xfId="0" applyFont="1" applyBorder="1" applyAlignment="1">
      <alignment horizontal="left"/>
    </xf>
    <xf numFmtId="0" fontId="80" fillId="0" borderId="59" xfId="0" applyFont="1" applyBorder="1" applyAlignment="1">
      <alignment horizontal="left"/>
    </xf>
    <xf numFmtId="0" fontId="146" fillId="0" borderId="55" xfId="0" applyFont="1" applyBorder="1" applyAlignment="1">
      <alignment horizontal="center" vertical="top" wrapText="1"/>
    </xf>
    <xf numFmtId="0" fontId="146" fillId="0" borderId="0" xfId="0" applyFont="1" applyAlignment="1">
      <alignment horizontal="center" vertical="top" wrapText="1"/>
    </xf>
    <xf numFmtId="0" fontId="82" fillId="0" borderId="0" xfId="0" applyFont="1" applyAlignment="1">
      <alignment horizontal="left" vertical="top" wrapText="1"/>
    </xf>
    <xf numFmtId="167" fontId="82" fillId="0" borderId="64" xfId="0" applyNumberFormat="1" applyFont="1" applyBorder="1"/>
    <xf numFmtId="167" fontId="82" fillId="0" borderId="65" xfId="0" applyNumberFormat="1" applyFont="1" applyBorder="1"/>
    <xf numFmtId="167" fontId="82" fillId="0" borderId="66" xfId="0" applyNumberFormat="1" applyFont="1" applyBorder="1"/>
    <xf numFmtId="167" fontId="82" fillId="0" borderId="67" xfId="0" applyNumberFormat="1" applyFont="1" applyBorder="1"/>
    <xf numFmtId="167" fontId="80" fillId="0" borderId="59" xfId="0" applyNumberFormat="1" applyFont="1" applyBorder="1"/>
    <xf numFmtId="167" fontId="80" fillId="0" borderId="60" xfId="0" applyNumberFormat="1" applyFont="1" applyBorder="1"/>
    <xf numFmtId="0" fontId="87" fillId="5" borderId="54" xfId="0" applyFont="1" applyFill="1" applyBorder="1" applyAlignment="1">
      <alignment horizontal="left"/>
    </xf>
    <xf numFmtId="0" fontId="87" fillId="5" borderId="55" xfId="0" applyFont="1" applyFill="1" applyBorder="1" applyAlignment="1">
      <alignment horizontal="left"/>
    </xf>
    <xf numFmtId="0" fontId="147" fillId="2" borderId="61" xfId="0" applyFont="1" applyFill="1" applyBorder="1" applyAlignment="1">
      <alignment horizontal="right"/>
    </xf>
    <xf numFmtId="0" fontId="147" fillId="2" borderId="62" xfId="0" applyFont="1" applyFill="1" applyBorder="1" applyAlignment="1">
      <alignment horizontal="right"/>
    </xf>
    <xf numFmtId="0" fontId="23" fillId="0" borderId="0" xfId="0" applyFont="1" applyAlignment="1">
      <alignment vertical="top"/>
    </xf>
    <xf numFmtId="0" fontId="23" fillId="0" borderId="84" xfId="0" applyFont="1" applyBorder="1" applyAlignment="1">
      <alignment vertical="top"/>
    </xf>
    <xf numFmtId="0" fontId="23" fillId="0" borderId="0" xfId="0" applyFont="1"/>
    <xf numFmtId="0" fontId="23" fillId="0" borderId="84" xfId="0" applyFont="1" applyBorder="1"/>
    <xf numFmtId="0" fontId="23" fillId="0" borderId="0" xfId="0" applyFont="1" applyAlignment="1">
      <alignment horizontal="left" vertical="top" wrapText="1"/>
    </xf>
    <xf numFmtId="0" fontId="23" fillId="0" borderId="84" xfId="0" applyFont="1" applyBorder="1" applyAlignment="1">
      <alignment horizontal="left" vertical="top" wrapText="1"/>
    </xf>
    <xf numFmtId="0" fontId="23" fillId="0" borderId="86" xfId="0" applyFont="1" applyBorder="1" applyAlignment="1">
      <alignment horizontal="left" vertical="top" wrapText="1"/>
    </xf>
    <xf numFmtId="0" fontId="23" fillId="0" borderId="87" xfId="0" applyFont="1" applyBorder="1" applyAlignment="1">
      <alignment horizontal="left" vertical="top" wrapText="1"/>
    </xf>
    <xf numFmtId="0" fontId="80" fillId="0" borderId="33" xfId="0" applyFont="1" applyBorder="1" applyAlignment="1">
      <alignment horizontal="center" vertical="center" shrinkToFit="1"/>
    </xf>
    <xf numFmtId="0" fontId="111" fillId="0" borderId="0" xfId="0" applyFont="1" applyAlignment="1">
      <alignment horizontal="left" vertical="top" wrapText="1"/>
    </xf>
    <xf numFmtId="0" fontId="110" fillId="33" borderId="91" xfId="0" applyFont="1" applyFill="1" applyBorder="1" applyAlignment="1">
      <alignment horizontal="left"/>
    </xf>
    <xf numFmtId="0" fontId="110" fillId="33" borderId="92" xfId="0" applyFont="1" applyFill="1" applyBorder="1" applyAlignment="1">
      <alignment horizontal="left"/>
    </xf>
    <xf numFmtId="0" fontId="110" fillId="33" borderId="93" xfId="0" applyFont="1" applyFill="1" applyBorder="1" applyAlignment="1">
      <alignment horizontal="left"/>
    </xf>
    <xf numFmtId="0" fontId="110" fillId="33" borderId="88" xfId="0" applyFont="1" applyFill="1" applyBorder="1" applyAlignment="1">
      <alignment horizontal="left"/>
    </xf>
    <xf numFmtId="0" fontId="110" fillId="33" borderId="89" xfId="0" applyFont="1" applyFill="1" applyBorder="1" applyAlignment="1">
      <alignment horizontal="left"/>
    </xf>
    <xf numFmtId="0" fontId="110" fillId="33" borderId="90" xfId="0" applyFont="1" applyFill="1" applyBorder="1" applyAlignment="1">
      <alignment horizontal="left"/>
    </xf>
    <xf numFmtId="0" fontId="91" fillId="35" borderId="119" xfId="1" applyFont="1" applyFill="1" applyBorder="1" applyAlignment="1" applyProtection="1">
      <alignment horizontal="center" vertical="center" wrapText="1"/>
      <protection locked="0" hidden="1"/>
    </xf>
    <xf numFmtId="0" fontId="91" fillId="35" borderId="120" xfId="1" applyFont="1" applyFill="1" applyBorder="1" applyAlignment="1" applyProtection="1">
      <alignment horizontal="center" vertical="center" wrapText="1"/>
      <protection locked="0" hidden="1"/>
    </xf>
    <xf numFmtId="0" fontId="91" fillId="35" borderId="121" xfId="1" applyFont="1" applyFill="1" applyBorder="1" applyAlignment="1" applyProtection="1">
      <alignment horizontal="center" vertical="center" wrapText="1"/>
      <protection locked="0" hidden="1"/>
    </xf>
    <xf numFmtId="0" fontId="91" fillId="35" borderId="192" xfId="1" applyFont="1" applyFill="1" applyBorder="1" applyAlignment="1" applyProtection="1">
      <alignment horizontal="center" vertical="center" wrapText="1"/>
      <protection locked="0" hidden="1"/>
    </xf>
    <xf numFmtId="0" fontId="91" fillId="35" borderId="0" xfId="1" applyFont="1" applyFill="1" applyBorder="1" applyAlignment="1" applyProtection="1">
      <alignment horizontal="center" vertical="center" wrapText="1"/>
      <protection locked="0" hidden="1"/>
    </xf>
    <xf numFmtId="0" fontId="91" fillId="35" borderId="193" xfId="1" applyFont="1" applyFill="1" applyBorder="1" applyAlignment="1" applyProtection="1">
      <alignment horizontal="center" vertical="center" wrapText="1"/>
      <protection locked="0" hidden="1"/>
    </xf>
    <xf numFmtId="0" fontId="91" fillId="35" borderId="122" xfId="1" applyFont="1" applyFill="1" applyBorder="1" applyAlignment="1" applyProtection="1">
      <alignment horizontal="center" vertical="center" wrapText="1"/>
      <protection locked="0" hidden="1"/>
    </xf>
    <xf numFmtId="0" fontId="91" fillId="35" borderId="123" xfId="1" applyFont="1" applyFill="1" applyBorder="1" applyAlignment="1" applyProtection="1">
      <alignment horizontal="center" vertical="center" wrapText="1"/>
      <protection locked="0" hidden="1"/>
    </xf>
    <xf numFmtId="0" fontId="91" fillId="35" borderId="124" xfId="1" applyFont="1" applyFill="1" applyBorder="1" applyAlignment="1" applyProtection="1">
      <alignment horizontal="center" vertical="center" wrapText="1"/>
      <protection locked="0" hidden="1"/>
    </xf>
    <xf numFmtId="0" fontId="183" fillId="0" borderId="0" xfId="0" applyFont="1" applyAlignment="1">
      <alignment horizontal="center" wrapText="1"/>
    </xf>
    <xf numFmtId="0" fontId="181" fillId="35" borderId="0" xfId="1" applyFont="1" applyFill="1" applyAlignment="1" applyProtection="1">
      <alignment horizontal="center" vertical="center"/>
      <protection locked="0" hidden="1"/>
    </xf>
    <xf numFmtId="0" fontId="134" fillId="0" borderId="23" xfId="0" applyFont="1" applyBorder="1" applyAlignment="1">
      <alignment horizontal="left"/>
    </xf>
    <xf numFmtId="0" fontId="134" fillId="0" borderId="0" xfId="0" applyFont="1" applyAlignment="1">
      <alignment horizontal="left"/>
    </xf>
    <xf numFmtId="0" fontId="116" fillId="34" borderId="16" xfId="0" applyFont="1" applyFill="1" applyBorder="1" applyAlignment="1">
      <alignment horizontal="center" vertical="center"/>
    </xf>
    <xf numFmtId="167" fontId="116" fillId="34" borderId="16" xfId="0" applyNumberFormat="1" applyFont="1" applyFill="1" applyBorder="1" applyAlignment="1">
      <alignment horizontal="center" vertical="center"/>
    </xf>
    <xf numFmtId="9" fontId="116" fillId="34" borderId="16" xfId="0" applyNumberFormat="1" applyFont="1" applyFill="1" applyBorder="1" applyAlignment="1">
      <alignment horizontal="center" vertical="center"/>
    </xf>
    <xf numFmtId="0" fontId="59" fillId="0" borderId="24" xfId="0" applyFont="1" applyBorder="1" applyAlignment="1">
      <alignment horizontal="right" vertical="center" indent="1"/>
    </xf>
    <xf numFmtId="0" fontId="59" fillId="0" borderId="22" xfId="0" applyFont="1" applyBorder="1" applyAlignment="1">
      <alignment horizontal="right" vertical="center" indent="1"/>
    </xf>
    <xf numFmtId="0" fontId="49" fillId="16" borderId="16" xfId="0" applyFont="1" applyFill="1" applyBorder="1" applyAlignment="1">
      <alignment horizontal="center" vertical="center"/>
    </xf>
    <xf numFmtId="167" fontId="49" fillId="16" borderId="16" xfId="0" applyNumberFormat="1" applyFont="1" applyFill="1" applyBorder="1" applyAlignment="1">
      <alignment horizontal="center" vertical="center"/>
    </xf>
    <xf numFmtId="9" fontId="49" fillId="16" borderId="16" xfId="0" applyNumberFormat="1" applyFont="1" applyFill="1" applyBorder="1" applyAlignment="1">
      <alignment horizontal="center" vertical="center"/>
    </xf>
    <xf numFmtId="170" fontId="60" fillId="0" borderId="0" xfId="0" applyNumberFormat="1" applyFont="1" applyAlignment="1">
      <alignment horizontal="center" vertical="top"/>
    </xf>
    <xf numFmtId="0" fontId="70" fillId="0" borderId="0" xfId="0" applyFont="1" applyAlignment="1">
      <alignment horizontal="center"/>
    </xf>
    <xf numFmtId="0" fontId="69" fillId="0" borderId="0" xfId="0" applyFont="1" applyAlignment="1">
      <alignment horizontal="center" vertical="center"/>
    </xf>
    <xf numFmtId="0" fontId="59" fillId="0" borderId="0" xfId="0" applyFont="1" applyAlignment="1">
      <alignment horizontal="right" vertical="center" indent="1"/>
    </xf>
    <xf numFmtId="0" fontId="46" fillId="0" borderId="0" xfId="0" applyFont="1" applyAlignment="1">
      <alignment horizontal="center"/>
    </xf>
    <xf numFmtId="0" fontId="26" fillId="35" borderId="119" xfId="0" applyFont="1" applyFill="1" applyBorder="1" applyAlignment="1">
      <alignment horizontal="left" vertical="center" indent="1"/>
    </xf>
    <xf numFmtId="0" fontId="26" fillId="35" borderId="120" xfId="0" applyFont="1" applyFill="1" applyBorder="1" applyAlignment="1">
      <alignment horizontal="left" vertical="center" indent="1"/>
    </xf>
    <xf numFmtId="0" fontId="26" fillId="35" borderId="121" xfId="0" applyFont="1" applyFill="1" applyBorder="1" applyAlignment="1">
      <alignment horizontal="left" vertical="center" indent="1"/>
    </xf>
    <xf numFmtId="0" fontId="26" fillId="35" borderId="122" xfId="0" applyFont="1" applyFill="1" applyBorder="1" applyAlignment="1">
      <alignment horizontal="left" vertical="center" indent="1"/>
    </xf>
    <xf numFmtId="0" fontId="26" fillId="35" borderId="123" xfId="0" applyFont="1" applyFill="1" applyBorder="1" applyAlignment="1">
      <alignment horizontal="left" vertical="center" indent="1"/>
    </xf>
    <xf numFmtId="0" fontId="26" fillId="35" borderId="124" xfId="0" applyFont="1" applyFill="1" applyBorder="1" applyAlignment="1">
      <alignment horizontal="left" vertical="center" indent="1"/>
    </xf>
    <xf numFmtId="0" fontId="40" fillId="0" borderId="0" xfId="0" applyFont="1" applyAlignment="1">
      <alignment horizontal="center" vertical="center" wrapText="1"/>
    </xf>
    <xf numFmtId="2" fontId="116" fillId="34" borderId="16" xfId="0" applyNumberFormat="1" applyFont="1" applyFill="1" applyBorder="1" applyAlignment="1">
      <alignment horizontal="center" vertical="center"/>
    </xf>
    <xf numFmtId="2" fontId="49" fillId="16" borderId="16" xfId="0" applyNumberFormat="1" applyFont="1" applyFill="1" applyBorder="1" applyAlignment="1">
      <alignment horizontal="center" vertical="center"/>
    </xf>
    <xf numFmtId="0" fontId="63" fillId="0" borderId="0" xfId="0" applyFont="1" applyAlignment="1">
      <alignment horizontal="center"/>
    </xf>
    <xf numFmtId="176" fontId="68" fillId="0" borderId="0" xfId="0" applyNumberFormat="1" applyFont="1" applyAlignment="1">
      <alignment horizontal="center" vertical="center" wrapText="1"/>
    </xf>
    <xf numFmtId="0" fontId="63" fillId="0" borderId="0" xfId="0" applyFont="1" applyAlignment="1">
      <alignment horizontal="center" vertical="center" wrapText="1"/>
    </xf>
    <xf numFmtId="2" fontId="63" fillId="0" borderId="0" xfId="0" applyNumberFormat="1" applyFont="1" applyAlignment="1">
      <alignment horizontal="center" vertical="center"/>
    </xf>
    <xf numFmtId="0" fontId="63" fillId="0" borderId="0" xfId="0" applyFont="1" applyAlignment="1">
      <alignment horizontal="center" vertical="center"/>
    </xf>
    <xf numFmtId="0" fontId="61" fillId="0" borderId="0" xfId="0" applyFont="1" applyAlignment="1">
      <alignment horizontal="center" vertical="center"/>
    </xf>
    <xf numFmtId="167" fontId="60" fillId="0" borderId="0" xfId="0" applyNumberFormat="1" applyFont="1" applyAlignment="1">
      <alignment horizontal="center"/>
    </xf>
    <xf numFmtId="171" fontId="49" fillId="0" borderId="0" xfId="0" applyNumberFormat="1" applyFont="1" applyAlignment="1">
      <alignment horizontal="left"/>
    </xf>
    <xf numFmtId="0" fontId="71" fillId="4" borderId="0" xfId="0" applyFont="1" applyFill="1" applyAlignment="1">
      <alignment horizontal="left" vertical="center"/>
    </xf>
    <xf numFmtId="0" fontId="49" fillId="0" borderId="0" xfId="0" applyFont="1" applyAlignment="1">
      <alignment horizontal="left"/>
    </xf>
    <xf numFmtId="0" fontId="115" fillId="0" borderId="0" xfId="0" applyFont="1" applyAlignment="1">
      <alignment horizontal="left" vertical="center"/>
    </xf>
    <xf numFmtId="0" fontId="126" fillId="0" borderId="0" xfId="0" applyFont="1" applyAlignment="1">
      <alignment horizontal="center" vertical="center" wrapText="1"/>
    </xf>
    <xf numFmtId="0" fontId="116" fillId="34" borderId="19" xfId="0" applyFont="1" applyFill="1" applyBorder="1" applyAlignment="1">
      <alignment horizontal="left" vertical="center"/>
    </xf>
    <xf numFmtId="0" fontId="116" fillId="34" borderId="16" xfId="0" applyFont="1" applyFill="1" applyBorder="1" applyAlignment="1">
      <alignment horizontal="left" vertical="center"/>
    </xf>
    <xf numFmtId="0" fontId="148" fillId="33" borderId="0" xfId="0" applyFont="1" applyFill="1" applyAlignment="1" applyProtection="1">
      <alignment horizontal="right" vertical="center" wrapText="1" indent="1"/>
      <protection hidden="1"/>
    </xf>
    <xf numFmtId="0" fontId="101" fillId="22" borderId="0" xfId="0" applyFont="1" applyFill="1" applyAlignment="1">
      <alignment horizontal="center" vertical="center" wrapText="1"/>
    </xf>
    <xf numFmtId="0" fontId="23" fillId="22" borderId="0" xfId="2" applyFont="1" applyFill="1" applyAlignment="1" applyProtection="1">
      <alignment horizontal="left" vertical="top"/>
      <protection hidden="1"/>
    </xf>
    <xf numFmtId="0" fontId="140" fillId="22" borderId="0" xfId="0" applyFont="1" applyFill="1" applyAlignment="1">
      <alignment horizontal="left" vertical="top" wrapText="1"/>
    </xf>
    <xf numFmtId="0" fontId="25" fillId="22" borderId="0" xfId="0" applyFont="1" applyFill="1" applyAlignment="1">
      <alignment horizontal="left" wrapText="1"/>
    </xf>
    <xf numFmtId="0" fontId="91" fillId="34" borderId="0" xfId="1" applyFont="1" applyFill="1" applyAlignment="1" applyProtection="1">
      <alignment horizontal="center" vertical="center"/>
      <protection locked="0" hidden="1"/>
    </xf>
    <xf numFmtId="0" fontId="104" fillId="22" borderId="0" xfId="2" applyFont="1" applyFill="1" applyAlignment="1" applyProtection="1">
      <alignment horizontal="left" vertical="top"/>
      <protection hidden="1"/>
    </xf>
    <xf numFmtId="14" fontId="23" fillId="22" borderId="0" xfId="2" applyNumberFormat="1" applyFont="1" applyFill="1" applyAlignment="1" applyProtection="1">
      <alignment horizontal="left" vertical="top"/>
      <protection hidden="1"/>
    </xf>
    <xf numFmtId="0" fontId="103" fillId="22" borderId="0" xfId="2" applyFont="1" applyFill="1" applyAlignment="1" applyProtection="1">
      <alignment horizontal="left" vertical="center" wrapText="1"/>
      <protection hidden="1"/>
    </xf>
    <xf numFmtId="170" fontId="25" fillId="22" borderId="96" xfId="0" applyNumberFormat="1" applyFont="1" applyFill="1" applyBorder="1" applyAlignment="1">
      <alignment vertical="top"/>
    </xf>
    <xf numFmtId="170" fontId="95" fillId="22" borderId="97" xfId="0" applyNumberFormat="1" applyFont="1" applyFill="1" applyBorder="1" applyAlignment="1">
      <alignment vertical="top"/>
    </xf>
    <xf numFmtId="167" fontId="25" fillId="22" borderId="96" xfId="0" applyNumberFormat="1" applyFont="1" applyFill="1" applyBorder="1" applyAlignment="1">
      <alignment vertical="top"/>
    </xf>
    <xf numFmtId="167" fontId="25" fillId="22" borderId="79" xfId="0" applyNumberFormat="1" applyFont="1" applyFill="1" applyBorder="1" applyAlignment="1">
      <alignment vertical="top"/>
    </xf>
    <xf numFmtId="167" fontId="95" fillId="22" borderId="97" xfId="0" applyNumberFormat="1" applyFont="1" applyFill="1" applyBorder="1" applyAlignment="1">
      <alignment vertical="top"/>
    </xf>
    <xf numFmtId="167" fontId="95" fillId="22" borderId="78" xfId="0" applyNumberFormat="1" applyFont="1" applyFill="1" applyBorder="1" applyAlignment="1">
      <alignment vertical="top"/>
    </xf>
    <xf numFmtId="0" fontId="95" fillId="22" borderId="0" xfId="0" applyFont="1" applyFill="1" applyAlignment="1">
      <alignment horizontal="left" vertical="top"/>
    </xf>
    <xf numFmtId="0" fontId="95" fillId="22" borderId="0" xfId="0" applyFont="1" applyFill="1" applyAlignment="1">
      <alignment horizontal="center" vertical="top"/>
    </xf>
    <xf numFmtId="49" fontId="101" fillId="22" borderId="0" xfId="0" applyNumberFormat="1" applyFont="1" applyFill="1" applyAlignment="1">
      <alignment horizontal="center" vertical="center" wrapText="1"/>
    </xf>
    <xf numFmtId="0" fontId="38" fillId="32" borderId="0" xfId="0" applyFont="1" applyFill="1" applyAlignment="1">
      <alignment horizontal="center" vertical="center"/>
    </xf>
    <xf numFmtId="0" fontId="101" fillId="22" borderId="0" xfId="0" applyFont="1" applyFill="1" applyAlignment="1">
      <alignment horizontal="center"/>
    </xf>
    <xf numFmtId="0" fontId="23" fillId="22" borderId="0" xfId="0" applyFont="1" applyFill="1" applyAlignment="1">
      <alignment horizontal="left" vertical="top" wrapText="1"/>
    </xf>
    <xf numFmtId="14" fontId="105" fillId="22" borderId="0" xfId="0" applyNumberFormat="1" applyFont="1" applyFill="1" applyAlignment="1" applyProtection="1">
      <alignment horizontal="center" wrapText="1"/>
      <protection locked="0"/>
    </xf>
    <xf numFmtId="14" fontId="105" fillId="22" borderId="11" xfId="0" applyNumberFormat="1" applyFont="1" applyFill="1" applyBorder="1" applyAlignment="1" applyProtection="1">
      <alignment horizontal="center" wrapText="1"/>
      <protection locked="0"/>
    </xf>
    <xf numFmtId="0" fontId="105" fillId="22" borderId="0" xfId="0" applyFont="1" applyFill="1" applyAlignment="1" applyProtection="1">
      <alignment horizontal="center" wrapText="1"/>
      <protection locked="0"/>
    </xf>
    <xf numFmtId="0" fontId="105" fillId="22" borderId="11" xfId="0" applyFont="1" applyFill="1" applyBorder="1" applyAlignment="1" applyProtection="1">
      <alignment horizontal="center" wrapText="1"/>
      <protection locked="0"/>
    </xf>
    <xf numFmtId="0" fontId="141" fillId="0" borderId="0" xfId="0" applyFont="1" applyAlignment="1">
      <alignment horizontal="center" vertical="center"/>
    </xf>
    <xf numFmtId="0" fontId="106" fillId="0" borderId="0" xfId="0" applyFont="1" applyAlignment="1">
      <alignment horizontal="left" vertical="center" wrapText="1"/>
    </xf>
    <xf numFmtId="0" fontId="25" fillId="22" borderId="76" xfId="0" applyFont="1" applyFill="1" applyBorder="1" applyAlignment="1">
      <alignment horizontal="left" vertical="top"/>
    </xf>
    <xf numFmtId="0" fontId="25" fillId="22" borderId="95" xfId="0" applyFont="1" applyFill="1" applyBorder="1" applyAlignment="1">
      <alignment horizontal="left" vertical="top"/>
    </xf>
    <xf numFmtId="0" fontId="95" fillId="22" borderId="76" xfId="0" applyFont="1" applyFill="1" applyBorder="1" applyAlignment="1">
      <alignment horizontal="left" vertical="top"/>
    </xf>
    <xf numFmtId="0" fontId="95" fillId="22" borderId="95" xfId="0" applyFont="1" applyFill="1" applyBorder="1" applyAlignment="1">
      <alignment horizontal="left" vertical="top"/>
    </xf>
    <xf numFmtId="167" fontId="25" fillId="22" borderId="95" xfId="0" applyNumberFormat="1" applyFont="1" applyFill="1" applyBorder="1" applyAlignment="1">
      <alignment vertical="top"/>
    </xf>
    <xf numFmtId="167" fontId="25" fillId="22" borderId="77" xfId="0" applyNumberFormat="1" applyFont="1" applyFill="1" applyBorder="1" applyAlignment="1">
      <alignment vertical="top"/>
    </xf>
    <xf numFmtId="0" fontId="22" fillId="22" borderId="0" xfId="0" applyFont="1" applyFill="1" applyAlignment="1">
      <alignment vertical="top"/>
    </xf>
    <xf numFmtId="0" fontId="22" fillId="22" borderId="0" xfId="0" applyFont="1" applyFill="1" applyAlignment="1">
      <alignment horizontal="left" vertical="top"/>
    </xf>
    <xf numFmtId="0" fontId="23" fillId="22" borderId="0" xfId="0" applyFont="1" applyFill="1" applyAlignment="1">
      <alignment horizontal="left" vertical="top"/>
    </xf>
    <xf numFmtId="171" fontId="23" fillId="22" borderId="0" xfId="0" applyNumberFormat="1" applyFont="1" applyFill="1" applyAlignment="1">
      <alignment horizontal="left" vertical="top"/>
    </xf>
    <xf numFmtId="170" fontId="25" fillId="22" borderId="95" xfId="0" applyNumberFormat="1" applyFont="1" applyFill="1" applyBorder="1" applyAlignment="1">
      <alignment vertical="top"/>
    </xf>
    <xf numFmtId="0" fontId="99" fillId="32" borderId="0" xfId="0" applyFont="1" applyFill="1" applyAlignment="1">
      <alignment horizontal="left"/>
    </xf>
    <xf numFmtId="0" fontId="99" fillId="32" borderId="0" xfId="0" applyFont="1" applyFill="1" applyAlignment="1">
      <alignment horizontal="right"/>
    </xf>
    <xf numFmtId="0" fontId="49" fillId="0" borderId="0" xfId="0" applyFont="1" applyAlignment="1">
      <alignment horizontal="center" vertical="top" wrapText="1"/>
    </xf>
    <xf numFmtId="0" fontId="100" fillId="34" borderId="0" xfId="0" applyFont="1" applyFill="1" applyAlignment="1">
      <alignment horizontal="left" vertical="center"/>
    </xf>
    <xf numFmtId="0" fontId="100" fillId="34" borderId="0" xfId="0" applyFont="1" applyFill="1" applyAlignment="1">
      <alignment horizontal="right" vertical="center"/>
    </xf>
    <xf numFmtId="0" fontId="60" fillId="22" borderId="0" xfId="0" applyFont="1" applyFill="1" applyAlignment="1">
      <alignment horizontal="center" vertical="center" wrapText="1"/>
    </xf>
    <xf numFmtId="0" fontId="95" fillId="22" borderId="0" xfId="0" applyFont="1" applyFill="1" applyAlignment="1">
      <alignment vertical="top" wrapText="1"/>
    </xf>
    <xf numFmtId="0" fontId="95" fillId="22" borderId="0" xfId="0" applyFont="1" applyFill="1" applyAlignment="1">
      <alignment horizontal="left" vertical="top" wrapText="1"/>
    </xf>
    <xf numFmtId="0" fontId="25" fillId="22" borderId="0" xfId="0" applyFont="1" applyFill="1" applyAlignment="1">
      <alignment horizontal="left" vertical="top" wrapText="1"/>
    </xf>
    <xf numFmtId="171" fontId="25" fillId="22" borderId="0" xfId="0" applyNumberFormat="1" applyFont="1" applyFill="1" applyAlignment="1">
      <alignment horizontal="left" vertical="top" wrapText="1"/>
    </xf>
    <xf numFmtId="0" fontId="25" fillId="22" borderId="0" xfId="0" applyFont="1" applyFill="1" applyAlignment="1">
      <alignment horizontal="left" vertical="top"/>
    </xf>
    <xf numFmtId="0" fontId="101" fillId="22" borderId="0" xfId="0" applyFont="1" applyFill="1" applyAlignment="1">
      <alignment horizontal="center" wrapText="1"/>
    </xf>
    <xf numFmtId="0" fontId="102" fillId="22" borderId="0" xfId="0" applyFont="1" applyFill="1" applyAlignment="1">
      <alignment horizontal="left" vertical="center" wrapText="1"/>
    </xf>
    <xf numFmtId="0" fontId="25" fillId="22" borderId="0" xfId="0" applyFont="1" applyFill="1" applyAlignment="1">
      <alignment vertical="top"/>
    </xf>
    <xf numFmtId="0" fontId="102" fillId="22" borderId="0" xfId="0" applyFont="1" applyFill="1" applyAlignment="1">
      <alignment horizontal="left" vertical="top" wrapText="1"/>
    </xf>
    <xf numFmtId="0" fontId="111" fillId="13" borderId="13" xfId="0" applyFont="1" applyFill="1" applyBorder="1" applyAlignment="1">
      <alignment horizontal="left" vertical="top" wrapText="1" shrinkToFit="1"/>
    </xf>
    <xf numFmtId="0" fontId="111" fillId="13" borderId="10" xfId="0" applyFont="1" applyFill="1" applyBorder="1" applyAlignment="1">
      <alignment horizontal="left" vertical="top" wrapText="1" shrinkToFit="1"/>
    </xf>
    <xf numFmtId="0" fontId="111" fillId="13" borderId="3" xfId="0" applyFont="1" applyFill="1" applyBorder="1" applyAlignment="1">
      <alignment horizontal="left" vertical="top" wrapText="1" shrinkToFit="1"/>
    </xf>
    <xf numFmtId="0" fontId="111" fillId="13" borderId="12" xfId="0" applyFont="1" applyFill="1" applyBorder="1" applyAlignment="1">
      <alignment horizontal="left" vertical="top" wrapText="1" shrinkToFit="1"/>
    </xf>
    <xf numFmtId="0" fontId="111" fillId="13" borderId="0" xfId="0" applyFont="1" applyFill="1" applyAlignment="1">
      <alignment horizontal="left" vertical="top" wrapText="1" shrinkToFit="1"/>
    </xf>
    <xf numFmtId="0" fontId="111" fillId="13" borderId="4" xfId="0" applyFont="1" applyFill="1" applyBorder="1" applyAlignment="1">
      <alignment horizontal="left" vertical="top" wrapText="1" shrinkToFit="1"/>
    </xf>
    <xf numFmtId="0" fontId="111" fillId="13" borderId="14" xfId="0" applyFont="1" applyFill="1" applyBorder="1" applyAlignment="1">
      <alignment horizontal="left" vertical="top" wrapText="1" shrinkToFit="1"/>
    </xf>
    <xf numFmtId="0" fontId="111" fillId="13" borderId="11" xfId="0" applyFont="1" applyFill="1" applyBorder="1" applyAlignment="1">
      <alignment horizontal="left" vertical="top" wrapText="1" shrinkToFit="1"/>
    </xf>
    <xf numFmtId="0" fontId="111" fillId="13" borderId="5" xfId="0" applyFont="1" applyFill="1" applyBorder="1" applyAlignment="1">
      <alignment horizontal="left" vertical="top" wrapText="1" shrinkToFit="1"/>
    </xf>
    <xf numFmtId="0" fontId="177" fillId="0" borderId="4" xfId="0" applyFont="1" applyBorder="1" applyAlignment="1">
      <alignment horizontal="center" vertical="center"/>
    </xf>
    <xf numFmtId="0" fontId="23" fillId="40" borderId="16" xfId="0" applyFont="1" applyFill="1" applyBorder="1" applyAlignment="1">
      <alignment horizontal="left" vertical="top"/>
    </xf>
    <xf numFmtId="0" fontId="23" fillId="40" borderId="16" xfId="0" applyFont="1" applyFill="1" applyBorder="1" applyProtection="1">
      <protection hidden="1"/>
    </xf>
    <xf numFmtId="0" fontId="23" fillId="8" borderId="16" xfId="0" applyFont="1" applyFill="1" applyBorder="1" applyProtection="1">
      <protection hidden="1"/>
    </xf>
    <xf numFmtId="0" fontId="23" fillId="26" borderId="17" xfId="0" applyFont="1" applyFill="1" applyBorder="1" applyAlignment="1">
      <alignment horizontal="left" vertical="top"/>
    </xf>
    <xf numFmtId="0" fontId="23" fillId="26" borderId="18" xfId="0" applyFont="1" applyFill="1" applyBorder="1" applyAlignment="1">
      <alignment horizontal="left" vertical="top"/>
    </xf>
    <xf numFmtId="0" fontId="23" fillId="26" borderId="19" xfId="0" applyFont="1" applyFill="1" applyBorder="1" applyAlignment="1">
      <alignment horizontal="left" vertical="top"/>
    </xf>
    <xf numFmtId="0" fontId="39" fillId="6" borderId="16" xfId="0" applyFont="1" applyFill="1" applyBorder="1" applyAlignment="1" applyProtection="1">
      <alignment vertical="center"/>
      <protection hidden="1"/>
    </xf>
    <xf numFmtId="0" fontId="23" fillId="25" borderId="16" xfId="0" applyFont="1" applyFill="1" applyBorder="1" applyProtection="1">
      <protection hidden="1"/>
    </xf>
    <xf numFmtId="0" fontId="23" fillId="25" borderId="16" xfId="0" applyFont="1" applyFill="1" applyBorder="1" applyAlignment="1">
      <alignment horizontal="left" vertical="top"/>
    </xf>
    <xf numFmtId="166" fontId="23" fillId="40" borderId="16" xfId="0" applyNumberFormat="1" applyFont="1" applyFill="1" applyBorder="1" applyAlignment="1">
      <alignment horizontal="left" vertical="top"/>
    </xf>
    <xf numFmtId="171" fontId="23" fillId="25" borderId="17" xfId="0" applyNumberFormat="1" applyFont="1" applyFill="1" applyBorder="1" applyAlignment="1">
      <alignment horizontal="left" vertical="top"/>
    </xf>
    <xf numFmtId="171" fontId="23" fillId="25" borderId="18" xfId="0" applyNumberFormat="1" applyFont="1" applyFill="1" applyBorder="1" applyAlignment="1">
      <alignment horizontal="left" vertical="top"/>
    </xf>
    <xf numFmtId="171" fontId="23" fillId="25" borderId="19" xfId="0" applyNumberFormat="1" applyFont="1" applyFill="1" applyBorder="1" applyAlignment="1">
      <alignment horizontal="left" vertical="top"/>
    </xf>
    <xf numFmtId="0" fontId="23" fillId="12" borderId="17" xfId="0" applyFont="1" applyFill="1" applyBorder="1" applyAlignment="1" applyProtection="1">
      <alignment horizontal="left"/>
      <protection hidden="1"/>
    </xf>
    <xf numFmtId="0" fontId="23" fillId="12" borderId="18" xfId="0" applyFont="1" applyFill="1" applyBorder="1" applyAlignment="1" applyProtection="1">
      <alignment horizontal="left"/>
      <protection hidden="1"/>
    </xf>
    <xf numFmtId="0" fontId="23" fillId="12" borderId="19" xfId="0" applyFont="1" applyFill="1" applyBorder="1" applyAlignment="1" applyProtection="1">
      <alignment horizontal="left"/>
      <protection hidden="1"/>
    </xf>
    <xf numFmtId="0" fontId="23" fillId="12" borderId="16" xfId="0" applyFont="1" applyFill="1" applyBorder="1" applyAlignment="1">
      <alignment horizontal="left" vertical="top"/>
    </xf>
    <xf numFmtId="0" fontId="23" fillId="12" borderId="16" xfId="0" applyFont="1" applyFill="1" applyBorder="1" applyProtection="1">
      <protection hidden="1"/>
    </xf>
    <xf numFmtId="0" fontId="23" fillId="27" borderId="16" xfId="0" applyFont="1" applyFill="1" applyBorder="1" applyAlignment="1">
      <alignment horizontal="left" vertical="top"/>
    </xf>
    <xf numFmtId="0" fontId="23" fillId="26" borderId="16" xfId="0" applyFont="1" applyFill="1" applyBorder="1" applyProtection="1">
      <protection hidden="1"/>
    </xf>
    <xf numFmtId="171" fontId="23" fillId="26" borderId="17" xfId="0" applyNumberFormat="1" applyFont="1" applyFill="1" applyBorder="1" applyAlignment="1">
      <alignment horizontal="left" vertical="top"/>
    </xf>
    <xf numFmtId="171" fontId="23" fillId="26" borderId="18" xfId="0" applyNumberFormat="1" applyFont="1" applyFill="1" applyBorder="1" applyAlignment="1">
      <alignment horizontal="left" vertical="top"/>
    </xf>
    <xf numFmtId="171" fontId="23" fillId="26" borderId="19" xfId="0" applyNumberFormat="1" applyFont="1" applyFill="1" applyBorder="1" applyAlignment="1">
      <alignment horizontal="left" vertical="top"/>
    </xf>
    <xf numFmtId="0" fontId="23" fillId="26" borderId="16" xfId="0" applyFont="1" applyFill="1" applyBorder="1" applyAlignment="1">
      <alignment horizontal="left" vertical="top"/>
    </xf>
    <xf numFmtId="0" fontId="23" fillId="8" borderId="17" xfId="0" applyFont="1" applyFill="1" applyBorder="1" applyProtection="1">
      <protection hidden="1"/>
    </xf>
    <xf numFmtId="0" fontId="39" fillId="6" borderId="17" xfId="0" applyFont="1" applyFill="1" applyBorder="1" applyAlignment="1">
      <alignment horizontal="center" vertical="center"/>
    </xf>
    <xf numFmtId="0" fontId="39" fillId="6" borderId="18" xfId="0" applyFont="1" applyFill="1" applyBorder="1" applyAlignment="1">
      <alignment horizontal="center" vertical="center"/>
    </xf>
    <xf numFmtId="0" fontId="39" fillId="6" borderId="19" xfId="0" applyFont="1" applyFill="1" applyBorder="1" applyAlignment="1">
      <alignment horizontal="center" vertical="center"/>
    </xf>
    <xf numFmtId="0" fontId="25" fillId="5" borderId="17" xfId="0" applyFont="1" applyFill="1" applyBorder="1" applyProtection="1">
      <protection hidden="1"/>
    </xf>
    <xf numFmtId="0" fontId="25" fillId="5" borderId="18" xfId="0" applyFont="1" applyFill="1" applyBorder="1" applyProtection="1">
      <protection hidden="1"/>
    </xf>
    <xf numFmtId="0" fontId="25" fillId="5" borderId="19" xfId="0" applyFont="1" applyFill="1" applyBorder="1" applyProtection="1">
      <protection hidden="1"/>
    </xf>
    <xf numFmtId="167" fontId="25" fillId="5" borderId="17" xfId="0" applyNumberFormat="1" applyFont="1" applyFill="1" applyBorder="1" applyAlignment="1" applyProtection="1">
      <alignment horizontal="left" vertical="top"/>
      <protection hidden="1"/>
    </xf>
    <xf numFmtId="167" fontId="25" fillId="5" borderId="18" xfId="0" applyNumberFormat="1" applyFont="1" applyFill="1" applyBorder="1" applyAlignment="1" applyProtection="1">
      <alignment horizontal="left" vertical="top"/>
      <protection hidden="1"/>
    </xf>
    <xf numFmtId="167" fontId="25" fillId="5" borderId="19" xfId="0" applyNumberFormat="1" applyFont="1" applyFill="1" applyBorder="1" applyAlignment="1" applyProtection="1">
      <alignment horizontal="left" vertical="top"/>
      <protection hidden="1"/>
    </xf>
    <xf numFmtId="171" fontId="23" fillId="40" borderId="17" xfId="0" applyNumberFormat="1" applyFont="1" applyFill="1" applyBorder="1" applyAlignment="1">
      <alignment horizontal="left" vertical="top"/>
    </xf>
    <xf numFmtId="171" fontId="23" fillId="40" borderId="18" xfId="0" applyNumberFormat="1" applyFont="1" applyFill="1" applyBorder="1" applyAlignment="1">
      <alignment horizontal="left" vertical="top"/>
    </xf>
    <xf numFmtId="171" fontId="23" fillId="40" borderId="19" xfId="0" applyNumberFormat="1" applyFont="1" applyFill="1" applyBorder="1" applyAlignment="1">
      <alignment horizontal="left" vertical="top"/>
    </xf>
    <xf numFmtId="0" fontId="23" fillId="28" borderId="17" xfId="0" applyFont="1" applyFill="1" applyBorder="1" applyAlignment="1">
      <alignment horizontal="left" vertical="top"/>
    </xf>
    <xf numFmtId="0" fontId="23" fillId="28" borderId="18" xfId="0" applyFont="1" applyFill="1" applyBorder="1" applyAlignment="1">
      <alignment horizontal="left" vertical="top"/>
    </xf>
    <xf numFmtId="0" fontId="23" fillId="28" borderId="19" xfId="0" applyFont="1" applyFill="1" applyBorder="1" applyAlignment="1">
      <alignment horizontal="left" vertical="top"/>
    </xf>
    <xf numFmtId="0" fontId="23" fillId="28" borderId="16" xfId="0" applyFont="1" applyFill="1" applyBorder="1" applyAlignment="1">
      <alignment horizontal="left" vertical="top"/>
    </xf>
    <xf numFmtId="0" fontId="23" fillId="28" borderId="16" xfId="0" applyFont="1" applyFill="1" applyBorder="1" applyProtection="1">
      <protection hidden="1"/>
    </xf>
    <xf numFmtId="3" fontId="23" fillId="12" borderId="17" xfId="0" applyNumberFormat="1" applyFont="1" applyFill="1" applyBorder="1" applyAlignment="1">
      <alignment horizontal="left" vertical="top"/>
    </xf>
    <xf numFmtId="3" fontId="23" fillId="12" borderId="18" xfId="0" applyNumberFormat="1" applyFont="1" applyFill="1" applyBorder="1" applyAlignment="1">
      <alignment horizontal="left" vertical="top"/>
    </xf>
    <xf numFmtId="3" fontId="23" fillId="12" borderId="19" xfId="0" applyNumberFormat="1" applyFont="1" applyFill="1" applyBorder="1" applyAlignment="1">
      <alignment horizontal="left" vertical="top"/>
    </xf>
    <xf numFmtId="171" fontId="23" fillId="27" borderId="17" xfId="0" applyNumberFormat="1" applyFont="1" applyFill="1" applyBorder="1" applyAlignment="1">
      <alignment horizontal="left" vertical="top"/>
    </xf>
    <xf numFmtId="171" fontId="23" fillId="27" borderId="18" xfId="0" applyNumberFormat="1" applyFont="1" applyFill="1" applyBorder="1" applyAlignment="1">
      <alignment horizontal="left" vertical="top"/>
    </xf>
    <xf numFmtId="171" fontId="23" fillId="27" borderId="19" xfId="0" applyNumberFormat="1" applyFont="1" applyFill="1" applyBorder="1" applyAlignment="1">
      <alignment horizontal="left" vertical="top"/>
    </xf>
    <xf numFmtId="0" fontId="39" fillId="6" borderId="17" xfId="0" applyFont="1" applyFill="1" applyBorder="1" applyAlignment="1" applyProtection="1">
      <alignment horizontal="left" vertical="center"/>
      <protection hidden="1"/>
    </xf>
    <xf numFmtId="0" fontId="39" fillId="6" borderId="18" xfId="0" applyFont="1" applyFill="1" applyBorder="1" applyAlignment="1" applyProtection="1">
      <alignment horizontal="left" vertical="center"/>
      <protection hidden="1"/>
    </xf>
    <xf numFmtId="166" fontId="23" fillId="26" borderId="16" xfId="0" applyNumberFormat="1" applyFont="1" applyFill="1" applyBorder="1" applyAlignment="1">
      <alignment horizontal="left" vertical="top"/>
    </xf>
    <xf numFmtId="0" fontId="23" fillId="27" borderId="16" xfId="0" applyFont="1" applyFill="1" applyBorder="1" applyProtection="1">
      <protection hidden="1"/>
    </xf>
    <xf numFmtId="0" fontId="23" fillId="26" borderId="17" xfId="0" applyFont="1" applyFill="1" applyBorder="1" applyProtection="1">
      <protection hidden="1"/>
    </xf>
    <xf numFmtId="0" fontId="23" fillId="26" borderId="18" xfId="0" applyFont="1" applyFill="1" applyBorder="1" applyProtection="1">
      <protection hidden="1"/>
    </xf>
    <xf numFmtId="0" fontId="23" fillId="26" borderId="19" xfId="0" applyFont="1" applyFill="1" applyBorder="1" applyProtection="1">
      <protection hidden="1"/>
    </xf>
    <xf numFmtId="166" fontId="23" fillId="28" borderId="16" xfId="0" applyNumberFormat="1" applyFont="1" applyFill="1" applyBorder="1" applyAlignment="1">
      <alignment horizontal="left" vertical="top"/>
    </xf>
    <xf numFmtId="167" fontId="25" fillId="5" borderId="16" xfId="0" applyNumberFormat="1" applyFont="1" applyFill="1" applyBorder="1" applyAlignment="1" applyProtection="1">
      <alignment horizontal="left" vertical="top"/>
      <protection hidden="1"/>
    </xf>
    <xf numFmtId="173" fontId="25" fillId="5" borderId="16" xfId="0" applyNumberFormat="1" applyFont="1" applyFill="1" applyBorder="1" applyAlignment="1" applyProtection="1">
      <alignment horizontal="left" vertical="top"/>
      <protection hidden="1"/>
    </xf>
    <xf numFmtId="171" fontId="23" fillId="28" borderId="16" xfId="0" applyNumberFormat="1" applyFont="1" applyFill="1" applyBorder="1" applyAlignment="1">
      <alignment horizontal="left" vertical="top"/>
    </xf>
    <xf numFmtId="0" fontId="25" fillId="5" borderId="16" xfId="0" applyFont="1" applyFill="1" applyBorder="1" applyProtection="1">
      <protection hidden="1"/>
    </xf>
    <xf numFmtId="169" fontId="25" fillId="5" borderId="16" xfId="0" applyNumberFormat="1" applyFont="1" applyFill="1" applyBorder="1" applyAlignment="1" applyProtection="1">
      <alignment horizontal="left" vertical="top"/>
      <protection hidden="1"/>
    </xf>
    <xf numFmtId="1" fontId="25" fillId="5" borderId="17" xfId="0" applyNumberFormat="1" applyFont="1" applyFill="1" applyBorder="1" applyAlignment="1">
      <alignment horizontal="left" vertical="top"/>
    </xf>
    <xf numFmtId="1" fontId="25" fillId="5" borderId="18" xfId="0" applyNumberFormat="1" applyFont="1" applyFill="1" applyBorder="1" applyAlignment="1">
      <alignment horizontal="left" vertical="top"/>
    </xf>
    <xf numFmtId="1" fontId="25" fillId="5" borderId="19" xfId="0" applyNumberFormat="1" applyFont="1" applyFill="1" applyBorder="1" applyAlignment="1">
      <alignment horizontal="left" vertical="top"/>
    </xf>
    <xf numFmtId="3" fontId="25" fillId="5" borderId="17" xfId="0" applyNumberFormat="1" applyFont="1" applyFill="1" applyBorder="1" applyAlignment="1">
      <alignment horizontal="left" vertical="top"/>
    </xf>
    <xf numFmtId="3" fontId="25" fillId="5" borderId="18" xfId="0" applyNumberFormat="1" applyFont="1" applyFill="1" applyBorder="1" applyAlignment="1">
      <alignment horizontal="left" vertical="top"/>
    </xf>
    <xf numFmtId="3" fontId="25" fillId="5" borderId="19" xfId="0" applyNumberFormat="1" applyFont="1" applyFill="1" applyBorder="1" applyAlignment="1">
      <alignment horizontal="left" vertical="top"/>
    </xf>
    <xf numFmtId="166" fontId="23" fillId="27" borderId="16" xfId="0" applyNumberFormat="1" applyFont="1" applyFill="1" applyBorder="1" applyAlignment="1">
      <alignment horizontal="left" vertical="top"/>
    </xf>
    <xf numFmtId="0" fontId="23" fillId="7" borderId="98" xfId="0" applyFont="1" applyFill="1" applyBorder="1" applyAlignment="1" applyProtection="1">
      <alignment horizontal="left" vertical="top" wrapText="1"/>
      <protection hidden="1"/>
    </xf>
    <xf numFmtId="0" fontId="23" fillId="7" borderId="0" xfId="0" applyFont="1" applyFill="1" applyAlignment="1" applyProtection="1">
      <alignment horizontal="left" vertical="top" wrapText="1"/>
      <protection hidden="1"/>
    </xf>
    <xf numFmtId="166" fontId="23" fillId="25" borderId="16" xfId="0" applyNumberFormat="1" applyFont="1" applyFill="1" applyBorder="1" applyAlignment="1">
      <alignment horizontal="left" vertical="top"/>
    </xf>
    <xf numFmtId="0" fontId="23" fillId="0" borderId="17" xfId="0" applyFont="1" applyBorder="1" applyAlignment="1" applyProtection="1">
      <alignment vertical="top"/>
      <protection locked="0"/>
    </xf>
    <xf numFmtId="0" fontId="23" fillId="0" borderId="18" xfId="0" applyFont="1" applyBorder="1" applyAlignment="1" applyProtection="1">
      <alignment vertical="top"/>
      <protection locked="0"/>
    </xf>
    <xf numFmtId="0" fontId="23" fillId="0" borderId="19" xfId="0" applyFont="1" applyBorder="1" applyAlignment="1" applyProtection="1">
      <alignment vertical="top"/>
      <protection locked="0"/>
    </xf>
    <xf numFmtId="0" fontId="23" fillId="11" borderId="17" xfId="0" applyFont="1" applyFill="1" applyBorder="1"/>
    <xf numFmtId="0" fontId="23" fillId="11" borderId="18" xfId="0" applyFont="1" applyFill="1" applyBorder="1"/>
    <xf numFmtId="0" fontId="23" fillId="11" borderId="19" xfId="0" applyFont="1" applyFill="1" applyBorder="1"/>
    <xf numFmtId="0" fontId="39" fillId="6" borderId="17" xfId="0" applyFont="1" applyFill="1" applyBorder="1" applyAlignment="1" applyProtection="1">
      <alignment horizontal="center" vertical="center"/>
      <protection hidden="1"/>
    </xf>
    <xf numFmtId="0" fontId="39" fillId="6" borderId="18" xfId="0" applyFont="1" applyFill="1" applyBorder="1" applyAlignment="1" applyProtection="1">
      <alignment horizontal="center" vertical="center"/>
      <protection hidden="1"/>
    </xf>
    <xf numFmtId="0" fontId="39" fillId="6" borderId="19" xfId="0" applyFont="1" applyFill="1" applyBorder="1" applyAlignment="1" applyProtection="1">
      <alignment horizontal="center" vertical="center"/>
      <protection hidden="1"/>
    </xf>
    <xf numFmtId="49" fontId="23" fillId="0" borderId="20" xfId="0" applyNumberFormat="1" applyFont="1" applyBorder="1" applyAlignment="1" applyProtection="1">
      <alignment horizontal="left" vertical="top" wrapText="1"/>
      <protection locked="0"/>
    </xf>
    <xf numFmtId="49" fontId="23" fillId="0" borderId="98" xfId="0" applyNumberFormat="1" applyFont="1" applyBorder="1" applyAlignment="1" applyProtection="1">
      <alignment horizontal="left" vertical="top" wrapText="1"/>
      <protection locked="0"/>
    </xf>
    <xf numFmtId="49" fontId="23" fillId="0" borderId="140" xfId="0" applyNumberFormat="1" applyFont="1" applyBorder="1" applyAlignment="1" applyProtection="1">
      <alignment horizontal="left" vertical="top" wrapText="1"/>
      <protection locked="0"/>
    </xf>
    <xf numFmtId="49" fontId="23" fillId="0" borderId="145" xfId="0" applyNumberFormat="1" applyFont="1" applyBorder="1" applyAlignment="1" applyProtection="1">
      <alignment horizontal="left" vertical="top" wrapText="1"/>
      <protection locked="0"/>
    </xf>
    <xf numFmtId="49" fontId="23" fillId="0" borderId="0" xfId="0" applyNumberFormat="1" applyFont="1" applyAlignment="1" applyProtection="1">
      <alignment horizontal="left" vertical="top" wrapText="1"/>
      <protection locked="0"/>
    </xf>
    <xf numFmtId="49" fontId="23" fillId="0" borderId="146" xfId="0" applyNumberFormat="1" applyFont="1" applyBorder="1" applyAlignment="1" applyProtection="1">
      <alignment horizontal="left" vertical="top" wrapText="1"/>
      <protection locked="0"/>
    </xf>
    <xf numFmtId="49" fontId="23" fillId="0" borderId="21" xfId="0" applyNumberFormat="1" applyFont="1" applyBorder="1" applyAlignment="1" applyProtection="1">
      <alignment horizontal="left" vertical="top" wrapText="1"/>
      <protection locked="0"/>
    </xf>
    <xf numFmtId="49" fontId="23" fillId="0" borderId="139" xfId="0" applyNumberFormat="1" applyFont="1" applyBorder="1" applyAlignment="1" applyProtection="1">
      <alignment horizontal="left" vertical="top" wrapText="1"/>
      <protection locked="0"/>
    </xf>
    <xf numFmtId="49" fontId="23" fillId="0" borderId="141" xfId="0" applyNumberFormat="1" applyFont="1" applyBorder="1" applyAlignment="1" applyProtection="1">
      <alignment horizontal="left" vertical="top" wrapText="1"/>
      <protection locked="0"/>
    </xf>
    <xf numFmtId="0" fontId="23" fillId="0" borderId="17" xfId="0" applyFont="1" applyBorder="1" applyAlignment="1" applyProtection="1">
      <alignment horizontal="left" vertical="top"/>
      <protection locked="0"/>
    </xf>
    <xf numFmtId="0" fontId="23" fillId="0" borderId="18" xfId="0" applyFont="1" applyBorder="1" applyAlignment="1" applyProtection="1">
      <alignment horizontal="left" vertical="top"/>
      <protection locked="0"/>
    </xf>
    <xf numFmtId="0" fontId="23" fillId="0" borderId="19" xfId="0" applyFont="1" applyBorder="1" applyAlignment="1" applyProtection="1">
      <alignment horizontal="left" vertical="top"/>
      <protection locked="0"/>
    </xf>
    <xf numFmtId="49" fontId="23" fillId="0" borderId="17" xfId="0" applyNumberFormat="1" applyFont="1" applyBorder="1" applyAlignment="1" applyProtection="1">
      <alignment horizontal="left" vertical="top"/>
      <protection locked="0"/>
    </xf>
    <xf numFmtId="49" fontId="23" fillId="0" borderId="18" xfId="0" applyNumberFormat="1" applyFont="1" applyBorder="1" applyAlignment="1" applyProtection="1">
      <alignment horizontal="left" vertical="top"/>
      <protection locked="0"/>
    </xf>
    <xf numFmtId="49" fontId="23" fillId="0" borderId="19" xfId="0" applyNumberFormat="1" applyFont="1" applyBorder="1" applyAlignment="1" applyProtection="1">
      <alignment horizontal="left" vertical="top"/>
      <protection locked="0"/>
    </xf>
    <xf numFmtId="168" fontId="23" fillId="0" borderId="17" xfId="0" applyNumberFormat="1" applyFont="1" applyBorder="1" applyAlignment="1" applyProtection="1">
      <alignment horizontal="left" vertical="top"/>
      <protection locked="0"/>
    </xf>
    <xf numFmtId="168" fontId="23" fillId="0" borderId="18" xfId="0" applyNumberFormat="1" applyFont="1" applyBorder="1" applyAlignment="1" applyProtection="1">
      <alignment horizontal="left" vertical="top"/>
      <protection locked="0"/>
    </xf>
    <xf numFmtId="168" fontId="23" fillId="0" borderId="19" xfId="0" applyNumberFormat="1" applyFont="1" applyBorder="1" applyAlignment="1" applyProtection="1">
      <alignment horizontal="left" vertical="top"/>
      <protection locked="0"/>
    </xf>
    <xf numFmtId="0" fontId="23" fillId="0" borderId="17" xfId="0" applyFont="1" applyBorder="1" applyAlignment="1">
      <alignment horizontal="left" vertical="top"/>
    </xf>
    <xf numFmtId="0" fontId="23" fillId="0" borderId="18" xfId="0" applyFont="1" applyBorder="1" applyAlignment="1">
      <alignment horizontal="left" vertical="top"/>
    </xf>
    <xf numFmtId="0" fontId="23" fillId="0" borderId="19" xfId="0" applyFont="1" applyBorder="1" applyAlignment="1">
      <alignment horizontal="left" vertical="top"/>
    </xf>
    <xf numFmtId="0" fontId="25" fillId="5" borderId="17" xfId="0" applyFont="1" applyFill="1" applyBorder="1" applyAlignment="1">
      <alignment horizontal="left"/>
    </xf>
    <xf numFmtId="0" fontId="25" fillId="5" borderId="18" xfId="0" applyFont="1" applyFill="1" applyBorder="1" applyAlignment="1">
      <alignment horizontal="left"/>
    </xf>
    <xf numFmtId="0" fontId="25" fillId="5" borderId="19" xfId="0" applyFont="1" applyFill="1" applyBorder="1" applyAlignment="1">
      <alignment horizontal="left"/>
    </xf>
    <xf numFmtId="0" fontId="25" fillId="5" borderId="21" xfId="0" applyFont="1" applyFill="1" applyBorder="1" applyAlignment="1">
      <alignment horizontal="left"/>
    </xf>
    <xf numFmtId="0" fontId="25" fillId="5" borderId="139" xfId="0" applyFont="1" applyFill="1" applyBorder="1" applyAlignment="1">
      <alignment horizontal="left"/>
    </xf>
    <xf numFmtId="0" fontId="25" fillId="5" borderId="141" xfId="0" applyFont="1" applyFill="1" applyBorder="1" applyAlignment="1">
      <alignment horizontal="left"/>
    </xf>
    <xf numFmtId="0" fontId="23" fillId="8" borderId="20" xfId="0" applyFont="1" applyFill="1" applyBorder="1" applyAlignment="1">
      <alignment horizontal="left" vertical="top" shrinkToFit="1"/>
    </xf>
    <xf numFmtId="0" fontId="23" fillId="8" borderId="98" xfId="0" applyFont="1" applyFill="1" applyBorder="1" applyAlignment="1">
      <alignment horizontal="left" vertical="top" shrinkToFit="1"/>
    </xf>
    <xf numFmtId="0" fontId="23" fillId="8" borderId="140" xfId="0" applyFont="1" applyFill="1" applyBorder="1" applyAlignment="1">
      <alignment horizontal="left" vertical="top" shrinkToFit="1"/>
    </xf>
    <xf numFmtId="0" fontId="23" fillId="8" borderId="21" xfId="0" applyFont="1" applyFill="1" applyBorder="1" applyAlignment="1">
      <alignment horizontal="left" vertical="top"/>
    </xf>
    <xf numFmtId="0" fontId="23" fillId="8" borderId="139" xfId="0" applyFont="1" applyFill="1" applyBorder="1" applyAlignment="1">
      <alignment horizontal="left" vertical="top"/>
    </xf>
    <xf numFmtId="0" fontId="23" fillId="8" borderId="141" xfId="0" applyFont="1" applyFill="1" applyBorder="1" applyAlignment="1">
      <alignment horizontal="left" vertical="top"/>
    </xf>
    <xf numFmtId="0" fontId="23" fillId="8" borderId="17" xfId="0" applyFont="1" applyFill="1" applyBorder="1" applyAlignment="1">
      <alignment horizontal="left" vertical="top"/>
    </xf>
    <xf numFmtId="0" fontId="23" fillId="8" borderId="18" xfId="0" applyFont="1" applyFill="1" applyBorder="1" applyAlignment="1">
      <alignment horizontal="left" vertical="top"/>
    </xf>
    <xf numFmtId="0" fontId="23" fillId="8" borderId="19" xfId="0" applyFont="1" applyFill="1" applyBorder="1" applyAlignment="1">
      <alignment horizontal="left" vertical="top"/>
    </xf>
    <xf numFmtId="14" fontId="23" fillId="8" borderId="17" xfId="0" applyNumberFormat="1" applyFont="1" applyFill="1" applyBorder="1" applyAlignment="1">
      <alignment horizontal="left" vertical="top"/>
    </xf>
    <xf numFmtId="14" fontId="23" fillId="8" borderId="18" xfId="0" applyNumberFormat="1" applyFont="1" applyFill="1" applyBorder="1" applyAlignment="1">
      <alignment horizontal="left" vertical="top"/>
    </xf>
    <xf numFmtId="14" fontId="23" fillId="8" borderId="19" xfId="0" applyNumberFormat="1" applyFont="1" applyFill="1" applyBorder="1" applyAlignment="1">
      <alignment horizontal="left" vertical="top"/>
    </xf>
    <xf numFmtId="0" fontId="23" fillId="8" borderId="142" xfId="0" applyFont="1" applyFill="1" applyBorder="1" applyAlignment="1">
      <alignment horizontal="left" vertical="top"/>
    </xf>
    <xf numFmtId="0" fontId="23" fillId="8" borderId="143" xfId="0" applyFont="1" applyFill="1" applyBorder="1" applyAlignment="1">
      <alignment horizontal="left" vertical="top"/>
    </xf>
    <xf numFmtId="0" fontId="23" fillId="8" borderId="144" xfId="0" applyFont="1" applyFill="1" applyBorder="1" applyAlignment="1">
      <alignment horizontal="left" vertical="top"/>
    </xf>
    <xf numFmtId="167" fontId="25" fillId="5" borderId="17" xfId="0" applyNumberFormat="1" applyFont="1" applyFill="1" applyBorder="1" applyAlignment="1">
      <alignment horizontal="left" vertical="top"/>
    </xf>
    <xf numFmtId="167" fontId="25" fillId="5" borderId="18" xfId="0" applyNumberFormat="1" applyFont="1" applyFill="1" applyBorder="1" applyAlignment="1">
      <alignment horizontal="left" vertical="top"/>
    </xf>
    <xf numFmtId="167" fontId="25" fillId="5" borderId="19" xfId="0" applyNumberFormat="1" applyFont="1" applyFill="1" applyBorder="1" applyAlignment="1">
      <alignment horizontal="left" vertical="top"/>
    </xf>
    <xf numFmtId="0" fontId="25" fillId="5" borderId="17" xfId="0" applyFont="1" applyFill="1" applyBorder="1" applyAlignment="1">
      <alignment horizontal="left" vertical="top" shrinkToFit="1"/>
    </xf>
    <xf numFmtId="0" fontId="25" fillId="5" borderId="18" xfId="0" applyFont="1" applyFill="1" applyBorder="1" applyAlignment="1">
      <alignment horizontal="left" vertical="top" shrinkToFit="1"/>
    </xf>
    <xf numFmtId="0" fontId="25" fillId="5" borderId="19" xfId="0" applyFont="1" applyFill="1" applyBorder="1" applyAlignment="1">
      <alignment horizontal="left" vertical="top" shrinkToFit="1"/>
    </xf>
    <xf numFmtId="173" fontId="25" fillId="5" borderId="17" xfId="0" applyNumberFormat="1" applyFont="1" applyFill="1" applyBorder="1" applyAlignment="1">
      <alignment horizontal="left" vertical="top"/>
    </xf>
    <xf numFmtId="173" fontId="25" fillId="5" borderId="18" xfId="0" applyNumberFormat="1" applyFont="1" applyFill="1" applyBorder="1" applyAlignment="1">
      <alignment horizontal="left" vertical="top"/>
    </xf>
    <xf numFmtId="173" fontId="25" fillId="5" borderId="19" xfId="0" applyNumberFormat="1" applyFont="1" applyFill="1" applyBorder="1" applyAlignment="1">
      <alignment horizontal="left" vertical="top"/>
    </xf>
  </cellXfs>
  <cellStyles count="98">
    <cellStyle name="20% - Accent1" xfId="31" builtinId="30" customBuiltin="1"/>
    <cellStyle name="20% - Accent1 2" xfId="74" xr:uid="{FCA1939F-B4FA-4DFE-AD43-41DFE4FB5AAB}"/>
    <cellStyle name="20% - Accent2" xfId="34" builtinId="34" customBuiltin="1"/>
    <cellStyle name="20% - Accent2 2" xfId="76" xr:uid="{CE7BB09F-97CE-43E6-A3F5-15063623B03B}"/>
    <cellStyle name="20% - Accent3" xfId="37" builtinId="38" customBuiltin="1"/>
    <cellStyle name="20% - Accent3 2" xfId="78" xr:uid="{FAA482C1-D406-492C-8C2F-A550D00947C3}"/>
    <cellStyle name="20% - Accent4" xfId="39" builtinId="42" customBuiltin="1"/>
    <cellStyle name="20% - Accent4 2" xfId="79" xr:uid="{233199DB-1824-4EC3-B439-19F277E010A6}"/>
    <cellStyle name="20% - Accent5" xfId="42" builtinId="46" customBuiltin="1"/>
    <cellStyle name="20% - Accent5 2" xfId="81" xr:uid="{AE7F959E-E9FC-41DB-94B9-D6CAE8EAD3FD}"/>
    <cellStyle name="20% - Accent6" xfId="45" builtinId="50" customBuiltin="1"/>
    <cellStyle name="20% - Accent6 2" xfId="83" xr:uid="{3C6F8455-8035-44F5-97B9-0BA4BC1D2D84}"/>
    <cellStyle name="40% - Accent1" xfId="32" builtinId="31" customBuiltin="1"/>
    <cellStyle name="40% - Accent1 2" xfId="75" xr:uid="{FEB952B7-9841-41EC-A08D-892943BD1551}"/>
    <cellStyle name="40% - Accent2" xfId="35" builtinId="35" customBuiltin="1"/>
    <cellStyle name="40% - Accent2 2" xfId="77" xr:uid="{10FBD588-58C0-40FF-8F78-2D88566CC0C0}"/>
    <cellStyle name="40% - Accent3 2" xfId="48" xr:uid="{3387B0A9-4D0B-46B2-B5BE-11DDFAA51861}"/>
    <cellStyle name="40% - Accent3 2 2" xfId="86" xr:uid="{1BFBDBFE-A3C5-4EBA-9543-EB35DE95382A}"/>
    <cellStyle name="40% - Accent3 3" xfId="73" xr:uid="{0B6648C8-91ED-4BBC-9D0F-8327C4F082DD}"/>
    <cellStyle name="40% - Accent4" xfId="40" builtinId="43" customBuiltin="1"/>
    <cellStyle name="40% - Accent4 2" xfId="80" xr:uid="{54033B93-8370-4541-B6B9-80CCACB6024D}"/>
    <cellStyle name="40% - Accent5" xfId="43" builtinId="47" customBuiltin="1"/>
    <cellStyle name="40% - Accent5 2" xfId="82" xr:uid="{7B47949D-F395-4EFF-94D3-49F8605A26AF}"/>
    <cellStyle name="40% - Accent6" xfId="46" builtinId="51" customBuiltin="1"/>
    <cellStyle name="40% - Accent6 2" xfId="84" xr:uid="{21E2DD15-946D-46B2-9D49-1CAFE807516A}"/>
    <cellStyle name="60% - Accent1 2" xfId="49" xr:uid="{5BD2DCA4-6F76-4F74-84BC-7C7561ACFE7B}"/>
    <cellStyle name="60% - Accent2 2" xfId="50" xr:uid="{48E9E0CF-2DD3-4C4D-B921-84A7C1EAAE27}"/>
    <cellStyle name="60% - Accent3 2" xfId="51" xr:uid="{9404C05B-31A8-4120-82EA-A145F1BC9630}"/>
    <cellStyle name="60% - Accent4 2" xfId="52" xr:uid="{5C76D3E3-3C98-4DF6-93BB-E56A134AAFDC}"/>
    <cellStyle name="60% - Accent5 2" xfId="53" xr:uid="{D5C573CF-F699-43EB-9BAD-7C66C8C6AD9E}"/>
    <cellStyle name="60% - Accent6 2" xfId="54" xr:uid="{05077731-FBD5-44BA-8A4A-D061012FCA82}"/>
    <cellStyle name="Accent1" xfId="30" builtinId="29" customBuiltin="1"/>
    <cellStyle name="Accent2" xfId="33" builtinId="33" customBuiltin="1"/>
    <cellStyle name="Accent3" xfId="36" builtinId="37" customBuiltin="1"/>
    <cellStyle name="Accent4" xfId="38" builtinId="41" customBuiltin="1"/>
    <cellStyle name="Accent5" xfId="41" builtinId="45" customBuiltin="1"/>
    <cellStyle name="Accent6" xfId="44" builtinId="49" customBuiltin="1"/>
    <cellStyle name="Bad" xfId="21" builtinId="27" customBuiltin="1"/>
    <cellStyle name="Body: normal cell" xfId="55" xr:uid="{5B24EFA9-622B-4863-A195-9071941A0EC5}"/>
    <cellStyle name="Calculation" xfId="24" builtinId="22" customBuiltin="1"/>
    <cellStyle name="Check Cell" xfId="26" builtinId="23" customBuiltin="1"/>
    <cellStyle name="Comma" xfId="15" builtinId="3"/>
    <cellStyle name="Comma 2" xfId="12" xr:uid="{00000000-0005-0000-0000-000000000000}"/>
    <cellStyle name="Comma 3" xfId="93" xr:uid="{11013959-679F-4F1F-B7BB-400F0A10A8A9}"/>
    <cellStyle name="Currency" xfId="13" builtinId="4"/>
    <cellStyle name="Currency 2" xfId="11" xr:uid="{00000000-0005-0000-0000-000002000000}"/>
    <cellStyle name="Currency 3" xfId="90" xr:uid="{FB21C93E-38F7-4C79-8171-0632CF3479A5}"/>
    <cellStyle name="Explanatory Text" xfId="28" builtinId="53" customBuiltin="1"/>
    <cellStyle name="Followed Hyperlink 2" xfId="56" xr:uid="{C533505D-39C6-45B6-8E3C-FDC4F9E003CE}"/>
    <cellStyle name="Font: Calibri, 9pt regular" xfId="57" xr:uid="{A7319FC1-3321-41C4-83FE-6B9D32EFCA79}"/>
    <cellStyle name="Footnotes: all except top row" xfId="58" xr:uid="{65B22435-77BE-483B-ABB0-4508EE61269A}"/>
    <cellStyle name="Footnotes: top row" xfId="59" xr:uid="{376C3FEF-509F-4E56-A476-1D3D35DE1C2B}"/>
    <cellStyle name="Good" xfId="20" builtinId="26" customBuiltin="1"/>
    <cellStyle name="Header: bottom row" xfId="60" xr:uid="{8AD9209D-B354-4567-9CFF-1DF2C1D4AB62}"/>
    <cellStyle name="Header: top rows" xfId="61" xr:uid="{A09BC660-430D-4951-9F8C-631CFDF6DFE1}"/>
    <cellStyle name="Heading 1" xfId="16" builtinId="16" customBuiltin="1"/>
    <cellStyle name="Heading 2" xfId="17" builtinId="17" customBuiltin="1"/>
    <cellStyle name="Heading 3" xfId="18" builtinId="18" customBuiltin="1"/>
    <cellStyle name="Heading 4" xfId="19" builtinId="19" customBuiltin="1"/>
    <cellStyle name="Hyperlink" xfId="1" builtinId="8"/>
    <cellStyle name="Hyperlink 2" xfId="10" xr:uid="{00000000-0005-0000-0000-000004000000}"/>
    <cellStyle name="Hyperlink 3" xfId="62" xr:uid="{C5EDE232-60D2-412E-9BD1-20CD83917758}"/>
    <cellStyle name="Hyperlink 4" xfId="91" xr:uid="{855D3A7D-BC0A-4823-80E2-6EBAD59FF77B}"/>
    <cellStyle name="Input" xfId="22" builtinId="20" customBuiltin="1"/>
    <cellStyle name="Linked Cell" xfId="25" builtinId="24" customBuiltin="1"/>
    <cellStyle name="Neutral 2" xfId="63" xr:uid="{BD68FF11-2BFF-4142-A2D5-F16B298509D9}"/>
    <cellStyle name="Normal" xfId="0" builtinId="0"/>
    <cellStyle name="Normal 10" xfId="4" xr:uid="{00000000-0005-0000-0000-000006000000}"/>
    <cellStyle name="Normal 13 2 2" xfId="92" xr:uid="{FBBBF8A4-7B0A-4459-8828-2FFA14DFA719}"/>
    <cellStyle name="Normal 2" xfId="5" xr:uid="{00000000-0005-0000-0000-000007000000}"/>
    <cellStyle name="Normal 2 2" xfId="64" xr:uid="{466722AB-EB7D-4F1C-9FBB-213367A2C328}"/>
    <cellStyle name="Normal 2 2 2 2 33" xfId="97" xr:uid="{7FEC410A-0EFD-4F63-9B0B-378142760D79}"/>
    <cellStyle name="Normal 2 4 17" xfId="8" xr:uid="{00000000-0005-0000-0000-000008000000}"/>
    <cellStyle name="Normal 23" xfId="14" xr:uid="{00000000-0005-0000-0000-000009000000}"/>
    <cellStyle name="Normal 25" xfId="2" xr:uid="{00000000-0005-0000-0000-00000A000000}"/>
    <cellStyle name="Normal 3" xfId="7" xr:uid="{00000000-0005-0000-0000-00000B000000}"/>
    <cellStyle name="Normal 3 56" xfId="96" xr:uid="{8172DF52-3528-4190-90CD-8E75A708E0F7}"/>
    <cellStyle name="Normal 4" xfId="9" xr:uid="{00000000-0005-0000-0000-00000C000000}"/>
    <cellStyle name="Normal 4 2" xfId="72" xr:uid="{25D3397B-246D-4805-816F-73039791B677}"/>
    <cellStyle name="Normal 5" xfId="47" xr:uid="{7442B75E-EAC8-4C59-B30C-21B3A8F64EF0}"/>
    <cellStyle name="Normal 5 2" xfId="85" xr:uid="{3A9C508E-8782-4029-A53B-0E0330CA3711}"/>
    <cellStyle name="Normal 57" xfId="95" xr:uid="{0D700618-F3FC-4312-B122-9C423410C7C1}"/>
    <cellStyle name="Normal 6" xfId="71" xr:uid="{4A8B12BC-87BE-4B68-ACF9-F0FA71BC94D9}"/>
    <cellStyle name="Normal 6 2" xfId="88" xr:uid="{F7041311-84F7-470A-9175-20EB94EEF37F}"/>
    <cellStyle name="Normal 7" xfId="89" xr:uid="{B748CC26-821A-4BF9-B435-81586EB1602E}"/>
    <cellStyle name="Note 2" xfId="65" xr:uid="{188C56FC-D3EE-433F-B556-6BDCBFDFCBF1}"/>
    <cellStyle name="Note 2 2" xfId="87" xr:uid="{CD18D125-9641-441C-B4AF-F13EA27750B4}"/>
    <cellStyle name="Output" xfId="23" builtinId="21" customBuiltin="1"/>
    <cellStyle name="Parent row" xfId="66" xr:uid="{D3607C2E-BEAA-403E-A6D0-06E8B7959F8A}"/>
    <cellStyle name="Percent" xfId="6" builtinId="5"/>
    <cellStyle name="Percent 2" xfId="94" xr:uid="{6E55036E-EEB8-4296-84CD-5F6A6CFFF7D7}"/>
    <cellStyle name="Percent 3" xfId="3" xr:uid="{00000000-0005-0000-0000-00000F000000}"/>
    <cellStyle name="Section Break" xfId="67" xr:uid="{65CC76A1-10D7-4739-9039-2A33EA06A2E3}"/>
    <cellStyle name="Section Break: parent row" xfId="68" xr:uid="{A60C403A-A13C-4C0C-BB50-A31B03C7FDF1}"/>
    <cellStyle name="Table title" xfId="69" xr:uid="{DF0A650A-E127-4E6A-A089-392FE7D81B82}"/>
    <cellStyle name="Title 2" xfId="70" xr:uid="{EA1FA566-434C-4486-82D8-36519D919BBB}"/>
    <cellStyle name="Total" xfId="29" builtinId="25" customBuiltin="1"/>
    <cellStyle name="Warning Text" xfId="27" builtinId="11" customBuiltin="1"/>
  </cellStyles>
  <dxfs count="727">
    <dxf>
      <font>
        <color rgb="FFFF000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font>
    </dxf>
    <dxf>
      <font>
        <color rgb="FFFF0000"/>
      </font>
    </dxf>
    <dxf>
      <font>
        <color theme="1"/>
      </font>
    </dxf>
    <dxf>
      <font>
        <color theme="0"/>
      </font>
    </dxf>
    <dxf>
      <font>
        <color rgb="FFFF0000"/>
      </font>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ill>
        <patternFill>
          <bgColor theme="5" tint="0.59996337778862885"/>
        </patternFill>
      </fill>
    </dxf>
    <dxf>
      <font>
        <b/>
        <i val="0"/>
        <strike val="0"/>
        <u val="none"/>
        <color auto="1"/>
      </font>
      <numFmt numFmtId="19" formatCode="m/d/yyyy"/>
      <fill>
        <patternFill>
          <bgColor rgb="FFEBEBED"/>
        </patternFill>
      </fill>
    </dxf>
    <dxf>
      <fill>
        <patternFill>
          <bgColor theme="5" tint="0.59996337778862885"/>
        </patternFill>
      </fill>
    </dxf>
    <dxf>
      <font>
        <b/>
        <i val="0"/>
        <strike val="0"/>
        <u val="none"/>
        <color auto="1"/>
      </font>
      <numFmt numFmtId="19" formatCode="m/d/yyyy"/>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color theme="0"/>
      </font>
      <fill>
        <patternFill>
          <bgColor theme="0"/>
        </patternFill>
      </fill>
    </dxf>
    <dxf>
      <font>
        <color theme="0"/>
      </font>
    </dxf>
    <dxf>
      <font>
        <color theme="0"/>
      </font>
      <border>
        <left/>
        <right/>
        <top/>
        <bottom/>
      </border>
    </dxf>
    <dxf>
      <font>
        <color rgb="FFFF0000"/>
      </font>
    </dxf>
    <dxf>
      <font>
        <color theme="0"/>
      </font>
      <border>
        <left/>
        <right/>
        <top/>
        <bottom/>
      </border>
    </dxf>
    <dxf>
      <fill>
        <patternFill>
          <bgColor theme="5" tint="0.79998168889431442"/>
        </patternFill>
      </fill>
    </dxf>
    <dxf>
      <font>
        <color rgb="FFFF0000"/>
      </font>
    </dxf>
    <dxf>
      <font>
        <color rgb="FFFF0000"/>
      </font>
    </dxf>
    <dxf>
      <font>
        <color rgb="FFFF0000"/>
      </font>
    </dxf>
    <dxf>
      <font>
        <color theme="0"/>
      </font>
      <fill>
        <patternFill patternType="none">
          <bgColor auto="1"/>
        </patternFill>
      </fill>
      <border>
        <left/>
        <right/>
        <top/>
        <bottom/>
        <vertical/>
        <horizontal/>
      </border>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ont>
        <b/>
        <i/>
      </font>
    </dxf>
    <dxf>
      <font>
        <color rgb="FFFF0000"/>
      </font>
      <fill>
        <patternFill>
          <bgColor theme="6" tint="0.59996337778862885"/>
        </patternFill>
      </fill>
    </dxf>
    <dxf>
      <font>
        <b/>
        <i/>
      </font>
    </dxf>
    <dxf>
      <font>
        <color rgb="FFFF0000"/>
      </font>
      <fill>
        <patternFill>
          <bgColor theme="6" tint="0.59996337778862885"/>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9" tint="0.79998168889431442"/>
        </patternFill>
      </fill>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ill>
        <patternFill>
          <bgColor theme="5" tint="0.79998168889431442"/>
        </patternFill>
      </fill>
    </dxf>
    <dxf>
      <fill>
        <patternFill>
          <bgColor theme="5" tint="0.79998168889431442"/>
        </patternFill>
      </fill>
    </dxf>
    <dxf>
      <numFmt numFmtId="2" formatCode="0.00"/>
    </dxf>
    <dxf>
      <font>
        <color rgb="FFFF0000"/>
      </font>
    </dxf>
    <dxf>
      <font>
        <b/>
        <i/>
      </font>
    </dxf>
    <dxf>
      <font>
        <color rgb="FFFF0000"/>
      </font>
    </dxf>
    <dxf>
      <font>
        <color theme="9" tint="-0.499984740745262"/>
      </font>
    </dxf>
    <dxf>
      <font>
        <color auto="1"/>
      </font>
      <fill>
        <patternFill>
          <bgColor theme="1"/>
        </patternFill>
      </fill>
    </dxf>
    <dxf>
      <fill>
        <patternFill>
          <bgColor theme="5" tint="0.79998168889431442"/>
        </patternFill>
      </fill>
    </dxf>
    <dxf>
      <numFmt numFmtId="169" formatCode="0.000"/>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color auto="1"/>
      </font>
    </dxf>
    <dxf>
      <font>
        <color rgb="FFFF0000"/>
      </font>
    </dxf>
    <dxf>
      <font>
        <color theme="9" tint="-0.499984740745262"/>
      </font>
    </dxf>
    <dxf>
      <fill>
        <patternFill>
          <bgColor theme="9" tint="0.79998168889431442"/>
        </patternFill>
      </fill>
    </dxf>
    <dxf>
      <fill>
        <patternFill>
          <bgColor theme="5" tint="0.79998168889431442"/>
        </patternFill>
      </fill>
    </dxf>
    <dxf>
      <font>
        <color rgb="FFFF0000"/>
      </font>
    </dxf>
    <dxf>
      <font>
        <color rgb="FFFF0000"/>
      </font>
    </dxf>
    <dxf>
      <font>
        <color rgb="FFFF0000"/>
      </font>
    </dxf>
    <dxf>
      <font>
        <color rgb="FFFF0000"/>
      </font>
    </dxf>
    <dxf>
      <fill>
        <patternFill>
          <bgColor theme="0" tint="-0.14996795556505021"/>
        </patternFill>
      </fill>
    </dxf>
    <dxf>
      <fill>
        <patternFill>
          <bgColor theme="0" tint="-0.14996795556505021"/>
        </patternFill>
      </fill>
    </dxf>
    <dxf>
      <fill>
        <patternFill>
          <bgColor theme="0" tint="-0.14996795556505021"/>
        </patternFill>
      </fill>
    </dxf>
    <dxf>
      <font>
        <color rgb="FFFF0000"/>
      </font>
    </dxf>
    <dxf>
      <fill>
        <patternFill patternType="lightUp"/>
      </fill>
    </dxf>
    <dxf>
      <fill>
        <patternFill patternType="lightUp">
          <fgColor theme="0" tint="-0.499984740745262"/>
        </patternFill>
      </fill>
    </dxf>
    <dxf>
      <fill>
        <patternFill>
          <bgColor theme="5" tint="0.39994506668294322"/>
        </patternFill>
      </fill>
    </dxf>
    <dxf>
      <fill>
        <patternFill>
          <bgColor theme="0" tint="-0.14996795556505021"/>
        </patternFill>
      </fill>
    </dxf>
    <dxf>
      <fill>
        <patternFill>
          <bgColor theme="0" tint="-0.14996795556505021"/>
        </patternFill>
      </fill>
    </dxf>
    <dxf>
      <fill>
        <patternFill patternType="lightUp">
          <fgColor theme="0" tint="-0.499984740745262"/>
        </patternFill>
      </fill>
    </dxf>
    <dxf>
      <fill>
        <patternFill patternType="none">
          <fgColor indexed="64"/>
          <bgColor indexed="65"/>
        </patternFill>
      </fill>
    </dxf>
    <dxf>
      <numFmt numFmtId="30" formatCode="@"/>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family val="2"/>
        <scheme val="none"/>
      </font>
      <numFmt numFmtId="30" formatCode="@"/>
      <fill>
        <patternFill patternType="solid">
          <fgColor theme="4" tint="0.79998168889431442"/>
          <bgColor theme="4" tint="0.79998168889431442"/>
        </patternFill>
      </fill>
      <border diagonalUp="0" diagonalDown="0" outline="0">
        <left/>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strike val="0"/>
        <outline val="0"/>
        <shadow val="0"/>
        <u val="none"/>
        <vertAlign val="baseline"/>
        <sz val="11"/>
        <color theme="1"/>
        <name val="Calibri"/>
      </font>
      <numFmt numFmtId="30" formatCode="@"/>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numFmt numFmtId="30" formatCode="@"/>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numFmt numFmtId="30" formatCode="@"/>
    </dxf>
    <dxf>
      <font>
        <strike val="0"/>
        <outline val="0"/>
        <shadow val="0"/>
        <u val="none"/>
        <vertAlign val="baseline"/>
        <sz val="11"/>
        <color auto="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auto="1"/>
        <name val="Calibri"/>
        <family val="2"/>
        <scheme val="minor"/>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fill>
        <patternFill patternType="none">
          <fgColor indexed="64"/>
          <bgColor indexed="65"/>
        </patternFill>
      </fill>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numFmt numFmtId="167" formatCode="&quot;$&quot;#,##0.00"/>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strike val="0"/>
        <outline val="0"/>
        <shadow val="0"/>
        <u val="none"/>
        <vertAlign val="baseline"/>
        <sz val="11"/>
        <color theme="1"/>
      </font>
      <numFmt numFmtId="30" formatCode="@"/>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numFmt numFmtId="30" formatCode="@"/>
      <fill>
        <patternFill patternType="none">
          <fgColor indexed="64"/>
          <bgColor auto="1"/>
        </patternFill>
      </fill>
    </dxf>
    <dxf>
      <font>
        <b val="0"/>
        <strike val="0"/>
        <outline val="0"/>
        <shadow val="0"/>
        <u val="none"/>
        <vertAlign val="baseline"/>
        <sz val="11"/>
        <color rgb="FFFF0000"/>
      </font>
      <numFmt numFmtId="30" formatCode="@"/>
      <fill>
        <patternFill patternType="none">
          <fgColor indexed="64"/>
          <bgColor auto="1"/>
        </patternFill>
      </fill>
      <alignment horizontal="left" vertical="bottom" textRotation="0" wrapText="0" indent="0" justifyLastLine="0" shrinkToFit="0" readingOrder="0"/>
    </dxf>
    <dxf>
      <font>
        <b val="0"/>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name val="Calibri Light"/>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numFmt numFmtId="30" formatCode="@"/>
    </dxf>
    <dxf>
      <font>
        <strike val="0"/>
        <outline val="0"/>
        <shadow val="0"/>
        <u val="none"/>
        <vertAlign val="baseline"/>
        <sz val="11"/>
        <color theme="1"/>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none">
          <fgColor indexed="64"/>
          <bgColor auto="1"/>
        </patternFill>
      </fill>
      <alignment horizontal="general" vertical="bottom" textRotation="0" wrapText="0" indent="0" justifyLastLine="0" shrinkToFit="0" readingOrder="0"/>
    </dxf>
    <dxf>
      <numFmt numFmtId="1" formatCode="0"/>
      <fill>
        <patternFill patternType="none">
          <fgColor indexed="64"/>
          <bgColor auto="1"/>
        </patternFill>
      </fill>
      <alignment horizontal="general" vertical="bottom" textRotation="0" wrapText="0" indent="0" justifyLastLine="0" shrinkToFit="0" readingOrder="0"/>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dxf>
    <dxf>
      <fill>
        <patternFill patternType="none">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76" formatCode="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76" formatCode="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numFmt numFmtId="1" formatCode="0"/>
      <fill>
        <patternFill patternType="none">
          <fgColor indexed="64"/>
          <bgColor auto="1"/>
        </patternFill>
      </fill>
      <alignment horizontal="center" vertical="bottom" textRotation="0" wrapText="0" indent="0" justifyLastLine="0" shrinkToFit="0" readingOrder="0"/>
    </dxf>
    <dxf>
      <font>
        <b val="0"/>
        <i val="0"/>
        <strike val="0"/>
        <outline val="0"/>
        <shadow val="0"/>
        <u val="none"/>
        <vertAlign val="baseline"/>
        <sz val="11"/>
        <name val="Calibri"/>
        <family val="2"/>
        <scheme val="none"/>
      </font>
      <fill>
        <patternFill patternType="none">
          <fgColor indexed="64"/>
          <bgColor auto="1"/>
        </patternFill>
      </fill>
      <alignment horizont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font>
        <b val="0"/>
        <i val="0"/>
        <strike val="0"/>
        <outline val="0"/>
        <shadow val="0"/>
        <u val="none"/>
        <vertAlign val="baseline"/>
        <sz val="11"/>
        <name val="Calibri"/>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rgb="FFFF0000"/>
        <name val="Calibri"/>
        <family val="2"/>
        <scheme val="none"/>
      </font>
      <numFmt numFmtId="3" formatCode="#,##0"/>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theme="4" tint="0.39997558519241921"/>
        </left>
        <right style="thin">
          <color indexed="64"/>
        </right>
        <top style="thin">
          <color theme="4" tint="0.39997558519241921"/>
        </top>
        <bottom style="thin">
          <color indexed="64"/>
        </bottom>
      </border>
    </dxf>
    <dxf>
      <fill>
        <patternFill patternType="none">
          <fgColor indexed="64"/>
          <bgColor auto="1"/>
        </patternFill>
      </fill>
      <alignment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center" vertical="bottom" textRotation="0" wrapText="0" indent="0" justifyLastLine="0" shrinkToFit="0" readingOrder="0"/>
    </dxf>
    <dxf>
      <font>
        <b val="0"/>
      </font>
      <fill>
        <patternFill patternType="none">
          <fgColor indexed="64"/>
          <bgColor auto="1"/>
        </patternFill>
      </fill>
      <alignment horizontal="center"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general" vertical="bottom" textRotation="0" wrapText="0" indent="0" justifyLastLine="0" shrinkToFit="0" readingOrder="0"/>
    </dxf>
    <dxf>
      <font>
        <b val="0"/>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lef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color auto="1"/>
      </font>
      <fill>
        <patternFill patternType="none">
          <fgColor indexed="64"/>
          <bgColor auto="1"/>
        </patternFill>
      </fill>
      <alignment horizontal="left" vertical="bottom" textRotation="0" wrapText="0" indent="0" justifyLastLine="0" shrinkToFit="0" readingOrder="0"/>
    </dxf>
    <dxf>
      <font>
        <b val="0"/>
      </font>
      <fill>
        <patternFill patternType="none">
          <fgColor indexed="64"/>
          <bgColor auto="1"/>
        </patternFill>
      </fill>
      <alignment horizontal="left" vertical="bottom" textRotation="0" wrapText="0" indent="0" justifyLastLine="0" shrinkToFit="0" readingOrder="0"/>
    </dxf>
    <dxf>
      <font>
        <b val="0"/>
        <color auto="1"/>
      </font>
      <numFmt numFmtId="176" formatCode="0.0"/>
      <fill>
        <patternFill patternType="none">
          <fgColor indexed="64"/>
          <bgColor auto="1"/>
        </patternFill>
      </fill>
      <alignment horizontal="general" vertical="bottom" textRotation="0" wrapText="0" indent="0" justifyLastLine="0" shrinkToFit="0" readingOrder="0"/>
    </dxf>
    <dxf>
      <font>
        <b val="0"/>
      </font>
      <fill>
        <patternFill patternType="none">
          <fgColor indexed="64"/>
          <bgColor auto="1"/>
        </patternFill>
      </fill>
    </dxf>
    <dxf>
      <font>
        <b val="0"/>
        <strike val="0"/>
        <outline val="0"/>
        <shadow val="0"/>
        <u val="none"/>
        <vertAlign val="baseline"/>
        <sz val="11"/>
        <color rgb="FFFF0000"/>
        <name val="Calibri"/>
        <family val="2"/>
        <scheme val="none"/>
      </font>
      <fill>
        <patternFill patternType="none">
          <fgColor indexed="64"/>
          <bgColor auto="1"/>
        </patternFill>
      </fill>
      <alignmen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font>
        <b val="0"/>
      </font>
      <fill>
        <patternFill patternType="none">
          <fgColor indexed="64"/>
          <bgColor auto="1"/>
        </patternFill>
      </fill>
      <alignmen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alignment horizontal="center" vertical="bottom" textRotation="0" wrapText="0" indent="0" justifyLastLine="0" shrinkToFit="0" readingOrder="0"/>
    </dxf>
    <dxf>
      <font>
        <b val="0"/>
        <strike/>
        <outline val="0"/>
        <shadow val="0"/>
        <u val="none"/>
        <vertAlign val="baseline"/>
        <sz val="11"/>
        <name val="Calibri"/>
        <family val="2"/>
      </font>
      <numFmt numFmtId="1" formatCode="0"/>
      <fill>
        <patternFill patternType="none">
          <fgColor indexed="64"/>
          <bgColor auto="1"/>
        </patternFill>
      </fill>
      <alignment horizontal="center" textRotation="0" wrapText="0" indent="0" justifyLastLine="0" shrinkToFit="0" readingOrder="0"/>
    </dxf>
    <dxf>
      <font>
        <b val="0"/>
        <strike/>
        <outline val="0"/>
        <shadow val="0"/>
        <u val="none"/>
        <vertAlign val="baseline"/>
        <sz val="11"/>
        <name val="Calibri"/>
        <family val="2"/>
      </font>
      <numFmt numFmtId="19" formatCode="m/d/yyyy"/>
      <fill>
        <patternFill patternType="none">
          <fgColor indexed="64"/>
          <bgColor auto="1"/>
        </patternFill>
      </fill>
      <alignment horizontal="general" vertical="bottom" textRotation="0" wrapText="0" indent="0" justifyLastLine="0" shrinkToFit="0" readingOrder="0"/>
    </dxf>
    <dxf>
      <font>
        <b val="0"/>
        <strike/>
        <outline val="0"/>
        <shadow val="0"/>
        <u val="none"/>
        <vertAlign val="baseline"/>
        <sz val="11"/>
        <name val="Calibri"/>
        <family val="2"/>
      </font>
      <numFmt numFmtId="0" formatCode="General"/>
      <fill>
        <patternFill patternType="none">
          <fgColor indexed="64"/>
          <bgColor auto="1"/>
        </patternFill>
      </fill>
      <alignment horizontal="center" vertical="bottom" textRotation="0" wrapText="0" indent="0" justifyLastLine="0" shrinkToFit="0" readingOrder="0"/>
    </dxf>
    <dxf>
      <font>
        <b val="0"/>
        <strike/>
        <outline val="0"/>
        <shadow val="0"/>
        <u val="none"/>
        <vertAlign val="baseline"/>
        <sz val="11"/>
        <name val="Calibri"/>
        <family val="2"/>
      </font>
      <numFmt numFmtId="0" formatCode="General"/>
      <fill>
        <patternFill patternType="none">
          <fgColor indexed="64"/>
          <bgColor auto="1"/>
        </patternFill>
      </fill>
    </dxf>
    <dxf>
      <font>
        <b val="0"/>
        <strike/>
        <outline val="0"/>
        <shadow val="0"/>
        <u val="none"/>
        <vertAlign val="baseline"/>
        <sz val="11"/>
        <name val="Calibri"/>
        <family val="2"/>
      </font>
      <numFmt numFmtId="0" formatCode="General"/>
      <fill>
        <patternFill patternType="none">
          <fgColor indexed="64"/>
          <bgColor auto="1"/>
        </patternFill>
      </fill>
      <alignment horizontal="center" vertical="bottom" textRotation="0" wrapText="0" indent="0" justifyLastLine="0" shrinkToFit="0" readingOrder="0"/>
    </dxf>
    <dxf>
      <font>
        <b val="0"/>
        <strike/>
        <outline val="0"/>
        <shadow val="0"/>
        <u val="none"/>
        <vertAlign val="baseline"/>
        <sz val="11"/>
        <name val="Calibri"/>
        <family val="2"/>
      </font>
      <numFmt numFmtId="0" formatCode="General"/>
      <fill>
        <patternFill patternType="none">
          <fgColor indexed="64"/>
          <bgColor auto="1"/>
        </patternFill>
      </fill>
    </dxf>
    <dxf>
      <font>
        <b val="0"/>
        <strike/>
        <outline val="0"/>
        <shadow val="0"/>
        <u val="none"/>
        <vertAlign val="baseline"/>
        <sz val="11"/>
        <name val="Calibri"/>
        <family val="2"/>
      </font>
      <fill>
        <patternFill patternType="none">
          <fgColor indexed="64"/>
          <bgColor auto="1"/>
        </patternFill>
      </fill>
    </dxf>
    <dxf>
      <font>
        <b val="0"/>
        <strike/>
        <outline val="0"/>
        <shadow val="0"/>
        <u val="none"/>
        <vertAlign val="baseline"/>
        <sz val="11"/>
        <name val="Calibri"/>
        <family val="2"/>
      </font>
      <numFmt numFmtId="190" formatCode="_(* #,##0.0000_);_(* \(#,##0.0000\);_(* &quot;-&quot;??_);_(@_)"/>
      <fill>
        <patternFill patternType="none">
          <fgColor indexed="64"/>
          <bgColor auto="1"/>
        </patternFill>
      </fill>
    </dxf>
    <dxf>
      <font>
        <b val="0"/>
        <strike/>
        <outline val="0"/>
        <shadow val="0"/>
        <u val="none"/>
        <vertAlign val="baseline"/>
        <sz val="11"/>
        <name val="Calibri"/>
        <family val="2"/>
      </font>
      <numFmt numFmtId="190" formatCode="_(* #,##0.0000_);_(* \(#,##0.0000\);_(* &quot;-&quot;??_);_(@_)"/>
      <fill>
        <patternFill patternType="none">
          <fgColor indexed="64"/>
          <bgColor auto="1"/>
        </patternFill>
      </fill>
    </dxf>
    <dxf>
      <font>
        <b val="0"/>
        <strike/>
        <outline val="0"/>
        <shadow val="0"/>
        <u val="none"/>
        <vertAlign val="baseline"/>
        <sz val="11"/>
        <name val="Calibri"/>
        <family val="2"/>
      </font>
      <numFmt numFmtId="167" formatCode="&quot;$&quot;#,##0.00"/>
      <fill>
        <patternFill patternType="none">
          <fgColor indexed="64"/>
          <bgColor auto="1"/>
        </patternFill>
      </fill>
    </dxf>
    <dxf>
      <font>
        <b val="0"/>
        <strike/>
        <outline val="0"/>
        <shadow val="0"/>
        <u val="none"/>
        <vertAlign val="baseline"/>
        <sz val="11"/>
        <name val="Calibri"/>
        <family val="2"/>
      </font>
      <numFmt numFmtId="167" formatCode="&quot;$&quot;#,##0.00"/>
      <fill>
        <patternFill patternType="none">
          <fgColor indexed="64"/>
          <bgColor auto="1"/>
        </patternFill>
      </fill>
    </dxf>
    <dxf>
      <font>
        <b val="0"/>
        <strike/>
        <outline val="0"/>
        <shadow val="0"/>
        <u val="none"/>
        <vertAlign val="baseline"/>
        <sz val="11"/>
        <name val="Calibri"/>
        <family val="2"/>
      </font>
      <numFmt numFmtId="167" formatCode="&quot;$&quot;#,##0.00"/>
      <fill>
        <patternFill patternType="none">
          <fgColor indexed="64"/>
          <bgColor auto="1"/>
        </patternFill>
      </fill>
    </dxf>
    <dxf>
      <font>
        <b val="0"/>
        <strike/>
        <outline val="0"/>
        <shadow val="0"/>
        <u val="none"/>
        <vertAlign val="baseline"/>
        <sz val="11"/>
        <name val="Calibri"/>
        <family val="2"/>
      </font>
      <numFmt numFmtId="0" formatCode="General"/>
      <fill>
        <patternFill patternType="none">
          <fgColor indexed="64"/>
          <bgColor auto="1"/>
        </patternFill>
      </fill>
    </dxf>
    <dxf>
      <font>
        <b val="0"/>
        <strike/>
        <outline val="0"/>
        <shadow val="0"/>
        <u val="none"/>
        <vertAlign val="baseline"/>
        <sz val="11"/>
        <color rgb="FF000000"/>
        <name val="Calibri"/>
        <family val="2"/>
      </font>
      <fill>
        <patternFill patternType="none">
          <fgColor indexed="64"/>
          <bgColor auto="1"/>
        </patternFill>
      </fill>
      <alignment horizontal="general" vertical="center" textRotation="0" wrapText="0" indent="0" justifyLastLine="0" shrinkToFit="0" readingOrder="0"/>
    </dxf>
    <dxf>
      <font>
        <b val="0"/>
        <strike/>
        <outline val="0"/>
        <shadow val="0"/>
        <u val="none"/>
        <vertAlign val="baseline"/>
        <sz val="11"/>
        <name val="Calibri"/>
        <family val="2"/>
      </font>
      <fill>
        <patternFill patternType="none">
          <fgColor indexed="64"/>
          <bgColor auto="1"/>
        </patternFill>
      </fill>
    </dxf>
    <dxf>
      <font>
        <b val="0"/>
        <i val="0"/>
        <strike/>
        <outline val="0"/>
        <shadow val="0"/>
        <u val="none"/>
        <vertAlign val="baseline"/>
        <sz val="11"/>
        <name val="Calibri"/>
        <family val="2"/>
      </font>
      <fill>
        <patternFill patternType="none">
          <fgColor indexed="64"/>
          <bgColor auto="1"/>
        </patternFill>
      </fill>
    </dxf>
    <dxf>
      <font>
        <b val="0"/>
        <strike/>
        <outline val="0"/>
        <shadow val="0"/>
        <u val="none"/>
        <vertAlign val="baseline"/>
        <sz val="11"/>
        <name val="Calibri"/>
        <family val="2"/>
      </font>
      <fill>
        <patternFill patternType="none">
          <fgColor indexed="64"/>
          <bgColor auto="1"/>
        </patternFill>
      </fill>
    </dxf>
    <dxf>
      <font>
        <b val="0"/>
        <strike/>
        <outline val="0"/>
        <shadow val="0"/>
        <u val="none"/>
        <vertAlign val="baseline"/>
        <sz val="11"/>
        <name val="Calibri"/>
        <family val="2"/>
      </font>
      <fill>
        <patternFill patternType="none">
          <fgColor indexed="64"/>
          <bgColor auto="1"/>
        </patternFill>
      </fill>
    </dxf>
    <dxf>
      <font>
        <b val="0"/>
        <strike/>
        <outline val="0"/>
        <shadow val="0"/>
        <u val="none"/>
        <vertAlign val="baseline"/>
        <sz val="11"/>
        <color auto="1"/>
        <name val="Calibri"/>
        <family val="2"/>
      </font>
      <numFmt numFmtId="0" formatCode="General"/>
      <fill>
        <patternFill patternType="none">
          <fgColor indexed="64"/>
          <bgColor auto="1"/>
        </patternFill>
      </fill>
    </dxf>
    <dxf>
      <border outline="0">
        <top style="thin">
          <color indexed="64"/>
        </top>
      </border>
    </dxf>
    <dxf>
      <border outline="0">
        <right style="thin">
          <color indexed="64"/>
        </right>
        <bottom style="thin">
          <color indexed="64"/>
        </bottom>
      </border>
    </dxf>
    <dxf>
      <font>
        <b val="0"/>
        <strike/>
        <outline val="0"/>
        <shadow val="0"/>
        <u val="none"/>
        <vertAlign val="baseline"/>
        <sz val="11"/>
        <name val="Calibri"/>
        <family val="2"/>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167" formatCode="&quot;$&quot;#,##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75" formatCode="&quot;$&quot;#,##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67" formatCode="&quot;$&quot;#,##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75" formatCode="&quot;$&quot;#,##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bottom/>
      </border>
    </dxf>
    <dxf>
      <numFmt numFmtId="167" formatCode="&quot;$&quot;#,##0.00"/>
    </dxf>
    <dxf>
      <numFmt numFmtId="175" formatCode="&quot;$&quot;#,##0.0000"/>
      <alignment horizontal="general" vertical="bottom" textRotation="0" wrapText="0" indent="0" justifyLastLine="0" shrinkToFit="0" readingOrder="0"/>
    </dxf>
    <dxf>
      <fill>
        <patternFill patternType="none">
          <fgColor indexed="64"/>
          <bgColor auto="1"/>
        </patternFill>
      </fill>
    </dxf>
    <dxf>
      <numFmt numFmtId="169" formatCode="0.00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Calibri"/>
        <family val="2"/>
        <scheme val="minor"/>
      </font>
      <numFmt numFmtId="14" formatCode="0.00%"/>
    </dxf>
    <dxf>
      <numFmt numFmtId="14" formatCode="0.00%"/>
    </dxf>
    <dxf>
      <font>
        <b/>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numFmt numFmtId="14" formatCode="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none"/>
      </font>
    </dxf>
    <dxf>
      <border outline="0">
        <bottom style="dashed">
          <color theme="0" tint="-0.24994659260841701"/>
        </bottom>
      </border>
    </dxf>
    <dxf>
      <numFmt numFmtId="0" formatCode="General"/>
    </dxf>
    <dxf>
      <numFmt numFmtId="0" formatCode="General"/>
    </dxf>
    <dxf>
      <numFmt numFmtId="167" formatCode="&quot;$&quot;#,##0.00"/>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alignment horizontal="left" vertical="bottom" textRotation="0" wrapText="0" indent="0" justifyLastLine="0" shrinkToFit="0" readingOrder="0"/>
    </dxf>
    <dxf>
      <numFmt numFmtId="30" formatCode="@"/>
    </dxf>
    <dxf>
      <font>
        <b val="0"/>
        <i val="0"/>
        <strike val="0"/>
        <condense val="0"/>
        <extend val="0"/>
        <outline val="0"/>
        <shadow val="0"/>
        <u val="none"/>
        <vertAlign val="baseline"/>
        <sz val="11"/>
        <color rgb="FF000000"/>
        <name val="Calibri"/>
        <family val="2"/>
        <scheme val="none"/>
      </font>
      <numFmt numFmtId="167" formatCode="&quot;$&quot;#,##0.00"/>
      <fill>
        <patternFill patternType="none">
          <fgColor indexed="64"/>
          <bgColor indexed="65"/>
        </patternFill>
      </fill>
      <alignment horizontal="right" vertical="center" textRotation="0" wrapText="0" indent="0" justifyLastLine="0" shrinkToFit="0" readingOrder="0"/>
    </dxf>
    <dxf>
      <numFmt numFmtId="167" formatCode="&quot;$&quot;#,##0.00"/>
      <fill>
        <patternFill patternType="none">
          <fgColor indexed="64"/>
          <bgColor auto="1"/>
        </patternFill>
      </fill>
    </dxf>
    <dxf>
      <numFmt numFmtId="174" formatCode="0.0000000000"/>
      <fill>
        <patternFill patternType="none">
          <fgColor indexed="64"/>
          <bgColor auto="1"/>
        </patternFill>
      </fill>
    </dxf>
    <dxf>
      <fill>
        <patternFill patternType="none">
          <fgColor indexed="64"/>
          <bgColor auto="1"/>
        </patternFill>
      </fill>
    </dxf>
    <dxf>
      <numFmt numFmtId="0" formatCode="General"/>
    </dxf>
    <dxf>
      <numFmt numFmtId="0" formatCode="General"/>
    </dxf>
    <dxf>
      <numFmt numFmtId="2" formatCode="0.00"/>
    </dxf>
    <dxf>
      <numFmt numFmtId="2" formatCode="0.00"/>
    </dxf>
    <dxf>
      <border>
        <left/>
        <right/>
        <top/>
        <bottom style="thick">
          <color theme="4"/>
        </bottom>
        <vertical/>
        <horizontal/>
      </border>
    </dxf>
    <dxf>
      <border>
        <left/>
        <right/>
        <top/>
        <bottom/>
        <vertical/>
        <horizontal style="dotted">
          <color theme="0" tint="-0.24994659260841701"/>
        </horizontal>
      </border>
    </dxf>
  </dxfs>
  <tableStyles count="1" defaultTableStyle="TableStyleMedium2" defaultPivotStyle="PivotStyleLight16">
    <tableStyle name="Table Style 1" pivot="0" count="2" xr9:uid="{7EC90FF4-AEB4-47BE-9E27-0904245698FE}">
      <tableStyleElement type="wholeTable" dxfId="726"/>
      <tableStyleElement type="headerRow" dxfId="725"/>
    </tableStyle>
  </tableStyles>
  <colors>
    <mruColors>
      <color rgb="FFFFFFCC"/>
      <color rgb="FFE8722D"/>
      <color rgb="FFACB1BA"/>
      <color rgb="FF317CC0"/>
      <color rgb="FFF2F2F2"/>
      <color rgb="FF7F7F7F"/>
      <color rgb="FFD9D9D9"/>
      <color rgb="FFFFFFFF"/>
      <color rgb="FF76BB40"/>
      <color rgb="FF513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DATA TABLES'!$J$12" lockText="1" noThreeD="1"/>
</file>

<file path=xl/ctrlProps/ctrlProp2.xml><?xml version="1.0" encoding="utf-8"?>
<formControlPr xmlns="http://schemas.microsoft.com/office/spreadsheetml/2009/9/main" objectType="CheckBox" fmlaLink="PayeeCh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hyperlink" Target="http://www.evergyenergysolutions.com/wp-content/uploads/Evergy-TERMS-FINAL.pdf" TargetMode="External"/><Relationship Id="rId13" Type="http://schemas.openxmlformats.org/officeDocument/2006/relationships/hyperlink" Target="http://www.evergyenergysolutions.com/wp-content/uploads/Evergy-Custom-Incentive-Rates.pdf" TargetMode="External"/><Relationship Id="rId18" Type="http://schemas.openxmlformats.org/officeDocument/2006/relationships/hyperlink" Target="#'M01-S01'!A1"/><Relationship Id="rId3" Type="http://schemas.openxmlformats.org/officeDocument/2006/relationships/hyperlink" Target="https://www.designlights.org/search/" TargetMode="External"/><Relationship Id="rId7" Type="http://schemas.openxmlformats.org/officeDocument/2006/relationships/hyperlink" Target="https://www.evergybesp.com/" TargetMode="External"/><Relationship Id="rId12" Type="http://schemas.openxmlformats.org/officeDocument/2006/relationships/hyperlink" Target="https://www.evergy.com/ways-to-save/incentives/businessenergysavings" TargetMode="External"/><Relationship Id="rId17" Type="http://schemas.openxmlformats.org/officeDocument/2006/relationships/hyperlink" Target="#Excel_Ack_Offer_Main"/><Relationship Id="rId2" Type="http://schemas.openxmlformats.org/officeDocument/2006/relationships/image" Target="../media/image1.png"/><Relationship Id="rId16" Type="http://schemas.openxmlformats.org/officeDocument/2006/relationships/hyperlink" Target="#Excel_Ack_Compl_Main"/><Relationship Id="rId1" Type="http://schemas.openxmlformats.org/officeDocument/2006/relationships/hyperlink" Target="#'M01-S02'!A1"/><Relationship Id="rId6" Type="http://schemas.openxmlformats.org/officeDocument/2006/relationships/hyperlink" Target="https://www.energystar.gov/buildings/resources_audience/small_biz" TargetMode="External"/><Relationship Id="rId11" Type="http://schemas.openxmlformats.org/officeDocument/2006/relationships/image" Target="../media/image2.jpeg"/><Relationship Id="rId5" Type="http://schemas.openxmlformats.org/officeDocument/2006/relationships/hyperlink" Target="https://www.mced.mo.gov/pace-2/" TargetMode="External"/><Relationship Id="rId15" Type="http://schemas.openxmlformats.org/officeDocument/2006/relationships/hyperlink" Target="#Excel_Ack_Contact_Main"/><Relationship Id="rId10" Type="http://schemas.openxmlformats.org/officeDocument/2006/relationships/hyperlink" Target="https://www.evergy.com/Ways-to-Save/Incentives" TargetMode="External"/><Relationship Id="rId19" Type="http://schemas.openxmlformats.org/officeDocument/2006/relationships/image" Target="../media/image3.png"/><Relationship Id="rId4" Type="http://schemas.openxmlformats.org/officeDocument/2006/relationships/hyperlink" Target="https://library.cee1.org/content/commercial-lighting-qualifying-products-lists" TargetMode="External"/><Relationship Id="rId9" Type="http://schemas.openxmlformats.org/officeDocument/2006/relationships/hyperlink" Target="https://www.evergy.com/log-in" TargetMode="External"/><Relationship Id="rId14" Type="http://schemas.openxmlformats.org/officeDocument/2006/relationships/hyperlink" Target="http://www.evergyenergysolutions.com/wp-content/uploads/Evergy-Standard-Incentives-Brochure.pdf"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3'!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4'!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1'!A1"/><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1.xml.rels><?xml version="1.0" encoding="UTF-8" standalone="yes"?>
<Relationships xmlns="http://schemas.openxmlformats.org/package/2006/relationships"><Relationship Id="rId8" Type="http://schemas.openxmlformats.org/officeDocument/2006/relationships/hyperlink" Target="#'M03-S06'!A1"/><Relationship Id="rId13" Type="http://schemas.openxmlformats.org/officeDocument/2006/relationships/hyperlink" Target="#'M03-S01'!H6"/><Relationship Id="rId18" Type="http://schemas.openxmlformats.org/officeDocument/2006/relationships/hyperlink" Target="#Excel_Ack_Contact_Main"/><Relationship Id="rId3" Type="http://schemas.openxmlformats.org/officeDocument/2006/relationships/hyperlink" Target="#'M04-S04'!A1"/><Relationship Id="rId21" Type="http://schemas.openxmlformats.org/officeDocument/2006/relationships/hyperlink" Target="#'M01-S02'!A1"/><Relationship Id="rId7" Type="http://schemas.openxmlformats.org/officeDocument/2006/relationships/hyperlink" Target="#'M03-S08'!A1"/><Relationship Id="rId12" Type="http://schemas.openxmlformats.org/officeDocument/2006/relationships/hyperlink" Target="#M05S01F01"/><Relationship Id="rId17" Type="http://schemas.openxmlformats.org/officeDocument/2006/relationships/hyperlink" Target="#M02S01F01"/><Relationship Id="rId2" Type="http://schemas.openxmlformats.org/officeDocument/2006/relationships/hyperlink" Target="#'M03-S05'!C18"/><Relationship Id="rId16" Type="http://schemas.openxmlformats.org/officeDocument/2006/relationships/hyperlink" Target="#M02S02F01"/><Relationship Id="rId20" Type="http://schemas.openxmlformats.org/officeDocument/2006/relationships/hyperlink" Target="#Excel_Ack_Offer_Main"/><Relationship Id="rId1" Type="http://schemas.openxmlformats.org/officeDocument/2006/relationships/hyperlink" Target="#'M03-S03'!A1"/><Relationship Id="rId6" Type="http://schemas.openxmlformats.org/officeDocument/2006/relationships/hyperlink" Target="#'M03-S05'!A1"/><Relationship Id="rId11" Type="http://schemas.openxmlformats.org/officeDocument/2006/relationships/hyperlink" Target="#M05S02HIDE"/><Relationship Id="rId5" Type="http://schemas.openxmlformats.org/officeDocument/2006/relationships/hyperlink" Target="#'M03-S04'!A1"/><Relationship Id="rId15" Type="http://schemas.openxmlformats.org/officeDocument/2006/relationships/hyperlink" Target="#M02S03F01"/><Relationship Id="rId23" Type="http://schemas.openxmlformats.org/officeDocument/2006/relationships/image" Target="../media/image3.png"/><Relationship Id="rId10" Type="http://schemas.openxmlformats.org/officeDocument/2006/relationships/hyperlink" Target="#'M04-S09'!A1"/><Relationship Id="rId19" Type="http://schemas.openxmlformats.org/officeDocument/2006/relationships/hyperlink" Target="#Excel_Ack_Compl_Main"/><Relationship Id="rId4" Type="http://schemas.openxmlformats.org/officeDocument/2006/relationships/hyperlink" Target="#'M03-S02'!A1"/><Relationship Id="rId9" Type="http://schemas.openxmlformats.org/officeDocument/2006/relationships/hyperlink" Target="#'M03-S07'!A1"/><Relationship Id="rId14" Type="http://schemas.openxmlformats.org/officeDocument/2006/relationships/hyperlink" Target="#M02S04F03"/><Relationship Id="rId22" Type="http://schemas.openxmlformats.org/officeDocument/2006/relationships/hyperlink" Target="#'M01-S01'!A1"/></Relationships>
</file>

<file path=xl/drawings/_rels/drawing12.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5'!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8'!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4'!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3.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8'!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6'!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5'!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4.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6'!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7'!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8'!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5.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7'!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4-S09'!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6'!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6.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Excel_Ack_Contact_Main"/><Relationship Id="rId3" Type="http://schemas.openxmlformats.org/officeDocument/2006/relationships/hyperlink" Target="#'M03-S02'!A1"/><Relationship Id="rId21" Type="http://schemas.openxmlformats.org/officeDocument/2006/relationships/hyperlink" Target="#'M01-S02'!A1"/><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1F01"/><Relationship Id="rId2" Type="http://schemas.openxmlformats.org/officeDocument/2006/relationships/hyperlink" Target="#'M03-S03'!C18"/><Relationship Id="rId16" Type="http://schemas.openxmlformats.org/officeDocument/2006/relationships/hyperlink" Target="#M02S02F01"/><Relationship Id="rId20" Type="http://schemas.openxmlformats.org/officeDocument/2006/relationships/hyperlink" Target="#Excel_Ack_Offer_Main"/><Relationship Id="rId1" Type="http://schemas.openxmlformats.org/officeDocument/2006/relationships/hyperlink" Target="#'M03-S01'!H6"/><Relationship Id="rId6" Type="http://schemas.openxmlformats.org/officeDocument/2006/relationships/hyperlink" Target="#'M04-S04'!A1"/><Relationship Id="rId11" Type="http://schemas.openxmlformats.org/officeDocument/2006/relationships/hyperlink" Target="#'M04-S09'!A1"/><Relationship Id="rId5" Type="http://schemas.openxmlformats.org/officeDocument/2006/relationships/hyperlink" Target="#'M04-S03'!A1"/><Relationship Id="rId15" Type="http://schemas.openxmlformats.org/officeDocument/2006/relationships/hyperlink" Target="#M02S03F01"/><Relationship Id="rId23" Type="http://schemas.openxmlformats.org/officeDocument/2006/relationships/image" Target="../media/image3.png"/><Relationship Id="rId10" Type="http://schemas.openxmlformats.org/officeDocument/2006/relationships/hyperlink" Target="#'M04-S07'!A1"/><Relationship Id="rId19" Type="http://schemas.openxmlformats.org/officeDocument/2006/relationships/hyperlink" Target="#Excel_Ack_Compl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2S04F03"/><Relationship Id="rId22" Type="http://schemas.openxmlformats.org/officeDocument/2006/relationships/hyperlink" Target="#'M01-S01'!A1"/></Relationships>
</file>

<file path=xl/drawings/_rels/drawing17.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3'!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4'!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2'!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18.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4'!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5'!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3'!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19.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5'!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8'!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4'!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xml.rels><?xml version="1.0" encoding="UTF-8" standalone="yes"?>
<Relationships xmlns="http://schemas.openxmlformats.org/package/2006/relationships"><Relationship Id="rId8" Type="http://schemas.openxmlformats.org/officeDocument/2006/relationships/hyperlink" Target="#'M01-S02'!A1"/><Relationship Id="rId3" Type="http://schemas.openxmlformats.org/officeDocument/2006/relationships/hyperlink" Target="mailto:businessrebates@evergy.com" TargetMode="External"/><Relationship Id="rId7" Type="http://schemas.openxmlformats.org/officeDocument/2006/relationships/hyperlink" Target="#Excel_Ack_Offer_Main"/><Relationship Id="rId2" Type="http://schemas.openxmlformats.org/officeDocument/2006/relationships/image" Target="../media/image4.png"/><Relationship Id="rId1" Type="http://schemas.openxmlformats.org/officeDocument/2006/relationships/hyperlink" Target="#'M01-S01'!A1"/><Relationship Id="rId6" Type="http://schemas.openxmlformats.org/officeDocument/2006/relationships/hyperlink" Target="#Excel_Ack_Compl_Main"/><Relationship Id="rId5" Type="http://schemas.openxmlformats.org/officeDocument/2006/relationships/hyperlink" Target="#Excel_Ack_Contact_Main"/><Relationship Id="rId4" Type="http://schemas.openxmlformats.org/officeDocument/2006/relationships/hyperlink" Target="#Excel_Ack_Main"/><Relationship Id="rId9"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8'!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6'!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5'!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1.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6'!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7'!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8'!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2.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7'!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4-S09'!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6'!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3.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1-S01'!A1"/><Relationship Id="rId18" Type="http://schemas.openxmlformats.org/officeDocument/2006/relationships/hyperlink" Target="#'M04-S05'!A1"/><Relationship Id="rId3" Type="http://schemas.openxmlformats.org/officeDocument/2006/relationships/hyperlink" Target="#M05S02HIDE"/><Relationship Id="rId21" Type="http://schemas.openxmlformats.org/officeDocument/2006/relationships/hyperlink" Target="#'M04-S07'!A1"/><Relationship Id="rId7" Type="http://schemas.openxmlformats.org/officeDocument/2006/relationships/hyperlink" Target="#M02S02F01"/><Relationship Id="rId12" Type="http://schemas.openxmlformats.org/officeDocument/2006/relationships/hyperlink" Target="#'M01-S02'!A1"/><Relationship Id="rId17" Type="http://schemas.openxmlformats.org/officeDocument/2006/relationships/hyperlink" Target="#'M04-S04'!A1"/><Relationship Id="rId2" Type="http://schemas.openxmlformats.org/officeDocument/2006/relationships/hyperlink" Target="#M05S01F01"/><Relationship Id="rId16" Type="http://schemas.openxmlformats.org/officeDocument/2006/relationships/hyperlink" Target="#'M04-S03'!A1"/><Relationship Id="rId20" Type="http://schemas.openxmlformats.org/officeDocument/2006/relationships/hyperlink" Target="#'M04-S06'!A1"/><Relationship Id="rId1" Type="http://schemas.openxmlformats.org/officeDocument/2006/relationships/hyperlink" Target="#'M03-S07'!C18"/><Relationship Id="rId6" Type="http://schemas.openxmlformats.org/officeDocument/2006/relationships/hyperlink" Target="#M02S03F01"/><Relationship Id="rId11" Type="http://schemas.openxmlformats.org/officeDocument/2006/relationships/hyperlink" Target="#Excel_Ack_Offer_Main"/><Relationship Id="rId5" Type="http://schemas.openxmlformats.org/officeDocument/2006/relationships/hyperlink" Target="#M02S04F03"/><Relationship Id="rId15" Type="http://schemas.openxmlformats.org/officeDocument/2006/relationships/hyperlink" Target="#'M04-S02'!A1"/><Relationship Id="rId10" Type="http://schemas.openxmlformats.org/officeDocument/2006/relationships/hyperlink" Target="#Excel_Ack_Compl_Main"/><Relationship Id="rId19" Type="http://schemas.openxmlformats.org/officeDocument/2006/relationships/hyperlink" Target="#'M04-S08'!A1"/><Relationship Id="rId4" Type="http://schemas.openxmlformats.org/officeDocument/2006/relationships/hyperlink" Target="#'M03-S01'!H6"/><Relationship Id="rId9" Type="http://schemas.openxmlformats.org/officeDocument/2006/relationships/hyperlink" Target="#Excel_Ack_Contact_Main"/><Relationship Id="rId14" Type="http://schemas.openxmlformats.org/officeDocument/2006/relationships/image" Target="../media/image3.png"/><Relationship Id="rId22" Type="http://schemas.openxmlformats.org/officeDocument/2006/relationships/hyperlink" Target="#'M04-S09'!A1"/></Relationships>
</file>

<file path=xl/drawings/_rels/drawing24.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3" Type="http://schemas.openxmlformats.org/officeDocument/2006/relationships/hyperlink" Target="#M05S02HIDE"/><Relationship Id="rId7" Type="http://schemas.openxmlformats.org/officeDocument/2006/relationships/hyperlink" Target="#M02S03F01"/><Relationship Id="rId12" Type="http://schemas.openxmlformats.org/officeDocument/2006/relationships/hyperlink" Target="#Excel_Ack_Offer_Main"/><Relationship Id="rId2" Type="http://schemas.openxmlformats.org/officeDocument/2006/relationships/hyperlink" Target="#'M04-S09'!C18"/><Relationship Id="rId1" Type="http://schemas.openxmlformats.org/officeDocument/2006/relationships/hyperlink" Target="#'M05-S02'!AL37"/><Relationship Id="rId6" Type="http://schemas.openxmlformats.org/officeDocument/2006/relationships/hyperlink" Target="#M02S04F03"/><Relationship Id="rId11" Type="http://schemas.openxmlformats.org/officeDocument/2006/relationships/hyperlink" Target="#Excel_Ack_Compl_Main"/><Relationship Id="rId5" Type="http://schemas.openxmlformats.org/officeDocument/2006/relationships/hyperlink" Target="#'M03-S01'!H6"/><Relationship Id="rId15" Type="http://schemas.openxmlformats.org/officeDocument/2006/relationships/image" Target="../media/image3.png"/><Relationship Id="rId10" Type="http://schemas.openxmlformats.org/officeDocument/2006/relationships/hyperlink" Target="#Excel_Ack_Contact_Main"/><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s>
</file>

<file path=xl/drawings/_rels/drawing25.xml.rels><?xml version="1.0" encoding="UTF-8" standalone="yes"?>
<Relationships xmlns="http://schemas.openxmlformats.org/package/2006/relationships"><Relationship Id="rId13" Type="http://schemas.openxmlformats.org/officeDocument/2006/relationships/hyperlink" Target="#'M03-S04'!A1"/><Relationship Id="rId18" Type="http://schemas.openxmlformats.org/officeDocument/2006/relationships/image" Target="../media/image14.svg"/><Relationship Id="rId26" Type="http://schemas.openxmlformats.org/officeDocument/2006/relationships/hyperlink" Target="#M05S02HIDE"/><Relationship Id="rId21" Type="http://schemas.openxmlformats.org/officeDocument/2006/relationships/hyperlink" Target="#'M02-S03'!A1"/><Relationship Id="rId34" Type="http://schemas.openxmlformats.org/officeDocument/2006/relationships/hyperlink" Target="#Excel_Ack_Offer_Main"/><Relationship Id="rId7" Type="http://schemas.openxmlformats.org/officeDocument/2006/relationships/hyperlink" Target="#'M04-S03'!A1"/><Relationship Id="rId12" Type="http://schemas.openxmlformats.org/officeDocument/2006/relationships/hyperlink" Target="#'M03-S05'!A1"/><Relationship Id="rId17" Type="http://schemas.openxmlformats.org/officeDocument/2006/relationships/image" Target="../media/image13.png"/><Relationship Id="rId25" Type="http://schemas.openxmlformats.org/officeDocument/2006/relationships/hyperlink" Target="#M05S01F01"/><Relationship Id="rId33" Type="http://schemas.openxmlformats.org/officeDocument/2006/relationships/hyperlink" Target="#Excel_Ack_Compl_Main"/><Relationship Id="rId2" Type="http://schemas.openxmlformats.org/officeDocument/2006/relationships/hyperlink" Target="#'M04-S07'!A1"/><Relationship Id="rId16" Type="http://schemas.openxmlformats.org/officeDocument/2006/relationships/hyperlink" Target="#'M05-S03'!K12"/><Relationship Id="rId20" Type="http://schemas.openxmlformats.org/officeDocument/2006/relationships/hyperlink" Target="#'M02-S04'!A1"/><Relationship Id="rId29" Type="http://schemas.openxmlformats.org/officeDocument/2006/relationships/hyperlink" Target="#M02S03F01"/><Relationship Id="rId1" Type="http://schemas.openxmlformats.org/officeDocument/2006/relationships/hyperlink" Target="#'M04-S09'!A1"/><Relationship Id="rId6" Type="http://schemas.openxmlformats.org/officeDocument/2006/relationships/hyperlink" Target="#'M04-S04'!A1"/><Relationship Id="rId11" Type="http://schemas.openxmlformats.org/officeDocument/2006/relationships/hyperlink" Target="#'M03-S08'!A1"/><Relationship Id="rId24" Type="http://schemas.openxmlformats.org/officeDocument/2006/relationships/hyperlink" Target="#'M05-S02-1'!H6"/><Relationship Id="rId32" Type="http://schemas.openxmlformats.org/officeDocument/2006/relationships/hyperlink" Target="#Excel_Ack_Contact_Main"/><Relationship Id="rId37" Type="http://schemas.openxmlformats.org/officeDocument/2006/relationships/image" Target="../media/image3.png"/><Relationship Id="rId5" Type="http://schemas.openxmlformats.org/officeDocument/2006/relationships/hyperlink" Target="#'M04-S05'!A1"/><Relationship Id="rId15" Type="http://schemas.openxmlformats.org/officeDocument/2006/relationships/hyperlink" Target="#'M03-S02'!A1"/><Relationship Id="rId23" Type="http://schemas.openxmlformats.org/officeDocument/2006/relationships/hyperlink" Target="#'M02-S01'!A1"/><Relationship Id="rId28" Type="http://schemas.openxmlformats.org/officeDocument/2006/relationships/hyperlink" Target="#M02S04F03"/><Relationship Id="rId36" Type="http://schemas.openxmlformats.org/officeDocument/2006/relationships/hyperlink" Target="#'M01-S01'!A1"/><Relationship Id="rId10" Type="http://schemas.openxmlformats.org/officeDocument/2006/relationships/hyperlink" Target="#'M03-S06'!A1"/><Relationship Id="rId19" Type="http://schemas.openxmlformats.org/officeDocument/2006/relationships/hyperlink" Target="#'M05-S01'!A1"/><Relationship Id="rId31" Type="http://schemas.openxmlformats.org/officeDocument/2006/relationships/hyperlink" Target="#M02S01F01"/><Relationship Id="rId4" Type="http://schemas.openxmlformats.org/officeDocument/2006/relationships/hyperlink" Target="#'M04-S08'!A1"/><Relationship Id="rId9" Type="http://schemas.openxmlformats.org/officeDocument/2006/relationships/hyperlink" Target="#'M03-S07'!A1"/><Relationship Id="rId14" Type="http://schemas.openxmlformats.org/officeDocument/2006/relationships/hyperlink" Target="#'M03-S03'!A1"/><Relationship Id="rId22" Type="http://schemas.openxmlformats.org/officeDocument/2006/relationships/hyperlink" Target="#'M02-S02'!A1"/><Relationship Id="rId27" Type="http://schemas.openxmlformats.org/officeDocument/2006/relationships/hyperlink" Target="#'M03-S01'!H6"/><Relationship Id="rId30" Type="http://schemas.openxmlformats.org/officeDocument/2006/relationships/hyperlink" Target="#M02S02F01"/><Relationship Id="rId35" Type="http://schemas.openxmlformats.org/officeDocument/2006/relationships/hyperlink" Target="#'M01-S02'!A1"/><Relationship Id="rId8" Type="http://schemas.openxmlformats.org/officeDocument/2006/relationships/hyperlink" Target="#'M04-S02'!A1"/><Relationship Id="rId3" Type="http://schemas.openxmlformats.org/officeDocument/2006/relationships/hyperlink" Target="#'M04-S06'!A1"/></Relationships>
</file>

<file path=xl/drawings/_rels/drawing26.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3" Type="http://schemas.openxmlformats.org/officeDocument/2006/relationships/hyperlink" Target="#M05S02HIDE"/><Relationship Id="rId7" Type="http://schemas.openxmlformats.org/officeDocument/2006/relationships/hyperlink" Target="#M02S03F01"/><Relationship Id="rId12" Type="http://schemas.openxmlformats.org/officeDocument/2006/relationships/hyperlink" Target="#Excel_Ack_Offer_Main"/><Relationship Id="rId2" Type="http://schemas.openxmlformats.org/officeDocument/2006/relationships/hyperlink" Target="#'M05-S02'!A1"/><Relationship Id="rId1" Type="http://schemas.openxmlformats.org/officeDocument/2006/relationships/hyperlink" Target="mailto:businessrebates@evergy.com" TargetMode="External"/><Relationship Id="rId6" Type="http://schemas.openxmlformats.org/officeDocument/2006/relationships/hyperlink" Target="#M02S04F03"/><Relationship Id="rId11" Type="http://schemas.openxmlformats.org/officeDocument/2006/relationships/hyperlink" Target="#Excel_Ack_Compl_Main"/><Relationship Id="rId5" Type="http://schemas.openxmlformats.org/officeDocument/2006/relationships/hyperlink" Target="#'M03-S01'!H6"/><Relationship Id="rId15" Type="http://schemas.openxmlformats.org/officeDocument/2006/relationships/image" Target="../media/image3.png"/><Relationship Id="rId10" Type="http://schemas.openxmlformats.org/officeDocument/2006/relationships/hyperlink" Target="#Excel_Ack_Contact_Main"/><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s>
</file>

<file path=xl/drawings/_rels/drawing27.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image" Target="../media/image17.png"/><Relationship Id="rId21" Type="http://schemas.openxmlformats.org/officeDocument/2006/relationships/hyperlink" Target="#Excel_Ack_Offer_Main"/><Relationship Id="rId7" Type="http://schemas.openxmlformats.org/officeDocument/2006/relationships/image" Target="../media/image21.png"/><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image" Target="../media/image16.png"/><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hyperlink" Target="#'M05-S02'!A1"/><Relationship Id="rId24" Type="http://schemas.openxmlformats.org/officeDocument/2006/relationships/image" Target="../media/image3.png"/><Relationship Id="rId5" Type="http://schemas.openxmlformats.org/officeDocument/2006/relationships/image" Target="../media/image19.png"/><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5-S02-1'!H6"/><Relationship Id="rId19" Type="http://schemas.openxmlformats.org/officeDocument/2006/relationships/hyperlink" Target="#Excel_Ack_Contact_Main"/><Relationship Id="rId4" Type="http://schemas.openxmlformats.org/officeDocument/2006/relationships/image" Target="../media/image18.png"/><Relationship Id="rId9" Type="http://schemas.openxmlformats.org/officeDocument/2006/relationships/image" Target="../media/image23.svg"/><Relationship Id="rId14" Type="http://schemas.openxmlformats.org/officeDocument/2006/relationships/hyperlink" Target="#'M03-S01'!H6"/><Relationship Id="rId22" Type="http://schemas.openxmlformats.org/officeDocument/2006/relationships/hyperlink" Target="#'M01-S02'!A1"/></Relationships>
</file>

<file path=xl/drawings/_rels/drawing28.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1-S01'!A1"/><Relationship Id="rId3" Type="http://schemas.openxmlformats.org/officeDocument/2006/relationships/hyperlink" Target="#M05S01F01"/><Relationship Id="rId7" Type="http://schemas.openxmlformats.org/officeDocument/2006/relationships/hyperlink" Target="#M02S02F01"/><Relationship Id="rId12" Type="http://schemas.openxmlformats.org/officeDocument/2006/relationships/hyperlink" Target="#'M01-S02'!A1"/><Relationship Id="rId2" Type="http://schemas.openxmlformats.org/officeDocument/2006/relationships/hyperlink" Target="#M05S02HIDE"/><Relationship Id="rId1" Type="http://schemas.openxmlformats.org/officeDocument/2006/relationships/image" Target="../media/image24.png"/><Relationship Id="rId6" Type="http://schemas.openxmlformats.org/officeDocument/2006/relationships/hyperlink" Target="#M02S03F01"/><Relationship Id="rId11" Type="http://schemas.openxmlformats.org/officeDocument/2006/relationships/hyperlink" Target="#Excel_Ack_Offer_Main"/><Relationship Id="rId5" Type="http://schemas.openxmlformats.org/officeDocument/2006/relationships/hyperlink" Target="#M02S04F03"/><Relationship Id="rId10" Type="http://schemas.openxmlformats.org/officeDocument/2006/relationships/hyperlink" Target="#Excel_Ack_Compl_Main"/><Relationship Id="rId4" Type="http://schemas.openxmlformats.org/officeDocument/2006/relationships/hyperlink" Target="#'M03-S01'!H6"/><Relationship Id="rId9" Type="http://schemas.openxmlformats.org/officeDocument/2006/relationships/hyperlink" Target="#Excel_Ack_Contact_Main"/><Relationship Id="rId1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8" Type="http://schemas.openxmlformats.org/officeDocument/2006/relationships/hyperlink" Target="#M02S03F01"/><Relationship Id="rId13" Type="http://schemas.openxmlformats.org/officeDocument/2006/relationships/hyperlink" Target="#Excel_Ack_Offer_Main"/><Relationship Id="rId3" Type="http://schemas.openxmlformats.org/officeDocument/2006/relationships/hyperlink" Target="#'M03-S01'!A1"/><Relationship Id="rId7" Type="http://schemas.openxmlformats.org/officeDocument/2006/relationships/hyperlink" Target="#M02S04F03"/><Relationship Id="rId12" Type="http://schemas.openxmlformats.org/officeDocument/2006/relationships/hyperlink" Target="#Excel_Ack_Compl_Main"/><Relationship Id="rId2" Type="http://schemas.openxmlformats.org/officeDocument/2006/relationships/image" Target="../media/image24.png"/><Relationship Id="rId16" Type="http://schemas.openxmlformats.org/officeDocument/2006/relationships/image" Target="../media/image3.png"/><Relationship Id="rId1" Type="http://schemas.openxmlformats.org/officeDocument/2006/relationships/hyperlink" Target="#'M05-S01'!A1"/><Relationship Id="rId6" Type="http://schemas.openxmlformats.org/officeDocument/2006/relationships/hyperlink" Target="#'M03-S01'!H6"/><Relationship Id="rId11" Type="http://schemas.openxmlformats.org/officeDocument/2006/relationships/hyperlink" Target="#Excel_Ack_Contact_Main"/><Relationship Id="rId5" Type="http://schemas.openxmlformats.org/officeDocument/2006/relationships/hyperlink" Target="#M05S01F01"/><Relationship Id="rId15" Type="http://schemas.openxmlformats.org/officeDocument/2006/relationships/hyperlink" Target="#'M01-S01'!A1"/><Relationship Id="rId10" Type="http://schemas.openxmlformats.org/officeDocument/2006/relationships/hyperlink" Target="#M02S01F01"/><Relationship Id="rId4" Type="http://schemas.openxmlformats.org/officeDocument/2006/relationships/hyperlink" Target="#M05S02HIDE"/><Relationship Id="rId9" Type="http://schemas.openxmlformats.org/officeDocument/2006/relationships/hyperlink" Target="#M02S02F01"/><Relationship Id="rId14" Type="http://schemas.openxmlformats.org/officeDocument/2006/relationships/hyperlink" Target="#'M01-S02'!A1"/></Relationships>
</file>

<file path=xl/drawings/_rels/drawing3.xml.rels><?xml version="1.0" encoding="UTF-8" standalone="yes"?>
<Relationships xmlns="http://schemas.openxmlformats.org/package/2006/relationships"><Relationship Id="rId3" Type="http://schemas.openxmlformats.org/officeDocument/2006/relationships/hyperlink" Target="#Excel_Ack_Compl_Main"/><Relationship Id="rId7" Type="http://schemas.openxmlformats.org/officeDocument/2006/relationships/image" Target="../media/image3.png"/><Relationship Id="rId2" Type="http://schemas.openxmlformats.org/officeDocument/2006/relationships/hyperlink" Target="#Excel_Ack_Contact_Main"/><Relationship Id="rId1" Type="http://schemas.openxmlformats.org/officeDocument/2006/relationships/hyperlink" Target="mailto:businessrebates@evergy.com" TargetMode="External"/><Relationship Id="rId6" Type="http://schemas.openxmlformats.org/officeDocument/2006/relationships/hyperlink" Target="#'M01-S01'!A1"/><Relationship Id="rId5" Type="http://schemas.openxmlformats.org/officeDocument/2006/relationships/hyperlink" Target="#'M01-S02'!A1"/><Relationship Id="rId4" Type="http://schemas.openxmlformats.org/officeDocument/2006/relationships/hyperlink" Target="#Excel_Ack_Offer_Main"/></Relationships>
</file>

<file path=xl/drawings/_rels/drawing30.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3.png"/><Relationship Id="rId3" Type="http://schemas.openxmlformats.org/officeDocument/2006/relationships/hyperlink" Target="#'M03-S01'!H6"/><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5S01F01"/><Relationship Id="rId1" Type="http://schemas.openxmlformats.org/officeDocument/2006/relationships/hyperlink" Target="#M05S02HIDE"/><Relationship Id="rId6" Type="http://schemas.openxmlformats.org/officeDocument/2006/relationships/hyperlink" Target="#M02S02F01"/><Relationship Id="rId11" Type="http://schemas.openxmlformats.org/officeDocument/2006/relationships/hyperlink" Target="#'M01-S02'!A1"/><Relationship Id="rId5" Type="http://schemas.openxmlformats.org/officeDocument/2006/relationships/hyperlink" Target="#M02S03F01"/><Relationship Id="rId10" Type="http://schemas.openxmlformats.org/officeDocument/2006/relationships/hyperlink" Target="#Excel_Ack_Offer_Main"/><Relationship Id="rId4" Type="http://schemas.openxmlformats.org/officeDocument/2006/relationships/hyperlink" Target="#M02S04F03"/><Relationship Id="rId9" Type="http://schemas.openxmlformats.org/officeDocument/2006/relationships/hyperlink" Target="#Excel_Ack_Compl_Main"/></Relationships>
</file>

<file path=xl/drawings/_rels/drawing4.xml.rels><?xml version="1.0" encoding="UTF-8" standalone="yes"?>
<Relationships xmlns="http://schemas.openxmlformats.org/package/2006/relationships"><Relationship Id="rId8" Type="http://schemas.openxmlformats.org/officeDocument/2006/relationships/hyperlink" Target="#M02S03F01"/><Relationship Id="rId13" Type="http://schemas.openxmlformats.org/officeDocument/2006/relationships/hyperlink" Target="#'M01-S01'!A1"/><Relationship Id="rId3" Type="http://schemas.openxmlformats.org/officeDocument/2006/relationships/hyperlink" Target="https://www.evergy.com/-/media/documents/ways-to-save/incentives/evergy-terms-final.pdf" TargetMode="External"/><Relationship Id="rId7" Type="http://schemas.openxmlformats.org/officeDocument/2006/relationships/hyperlink" Target="#M02S04F03"/><Relationship Id="rId12" Type="http://schemas.openxmlformats.org/officeDocument/2006/relationships/hyperlink" Target="#Excel_Ack_Offer_Main"/><Relationship Id="rId2" Type="http://schemas.openxmlformats.org/officeDocument/2006/relationships/hyperlink" Target="#'M01-S02'!A1"/><Relationship Id="rId1" Type="http://schemas.openxmlformats.org/officeDocument/2006/relationships/hyperlink" Target="#M02S02F01"/><Relationship Id="rId6" Type="http://schemas.openxmlformats.org/officeDocument/2006/relationships/hyperlink" Target="#'M03-S01'!H6"/><Relationship Id="rId11" Type="http://schemas.openxmlformats.org/officeDocument/2006/relationships/hyperlink" Target="#Excel_Ack_Compl_Main"/><Relationship Id="rId5" Type="http://schemas.openxmlformats.org/officeDocument/2006/relationships/hyperlink" Target="#M05S01F01"/><Relationship Id="rId10" Type="http://schemas.openxmlformats.org/officeDocument/2006/relationships/hyperlink" Target="#Excel_Ack_Contact_Main"/><Relationship Id="rId4" Type="http://schemas.openxmlformats.org/officeDocument/2006/relationships/hyperlink" Target="#M05S02HIDE"/><Relationship Id="rId9" Type="http://schemas.openxmlformats.org/officeDocument/2006/relationships/hyperlink" Target="#M02S01F01"/><Relationship Id="rId1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3.png"/><Relationship Id="rId3" Type="http://schemas.openxmlformats.org/officeDocument/2006/relationships/hyperlink" Target="#M05S02HIDE"/><Relationship Id="rId7" Type="http://schemas.openxmlformats.org/officeDocument/2006/relationships/hyperlink" Target="#M02S02F01"/><Relationship Id="rId12" Type="http://schemas.openxmlformats.org/officeDocument/2006/relationships/hyperlink" Target="#'M01-S01'!A1"/><Relationship Id="rId2" Type="http://schemas.openxmlformats.org/officeDocument/2006/relationships/hyperlink" Target="#M02S01F01"/><Relationship Id="rId1" Type="http://schemas.openxmlformats.org/officeDocument/2006/relationships/hyperlink" Target="#M02S03F01"/><Relationship Id="rId6" Type="http://schemas.openxmlformats.org/officeDocument/2006/relationships/hyperlink" Target="#M02S04F03"/><Relationship Id="rId11" Type="http://schemas.openxmlformats.org/officeDocument/2006/relationships/hyperlink" Target="#'M01-S02'!A1"/><Relationship Id="rId5" Type="http://schemas.openxmlformats.org/officeDocument/2006/relationships/hyperlink" Target="#'M03-S01'!H6"/><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6.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3.png"/><Relationship Id="rId3" Type="http://schemas.openxmlformats.org/officeDocument/2006/relationships/hyperlink" Target="#M05S02HIDE"/><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2S02F01"/><Relationship Id="rId1" Type="http://schemas.openxmlformats.org/officeDocument/2006/relationships/hyperlink" Target="#M02S04F03"/><Relationship Id="rId6" Type="http://schemas.openxmlformats.org/officeDocument/2006/relationships/hyperlink" Target="#M02S03F01"/><Relationship Id="rId11" Type="http://schemas.openxmlformats.org/officeDocument/2006/relationships/hyperlink" Target="#'M01-S02'!A1"/><Relationship Id="rId5" Type="http://schemas.openxmlformats.org/officeDocument/2006/relationships/hyperlink" Target="#'M03-S01'!H6"/><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7.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3.png"/><Relationship Id="rId3" Type="http://schemas.openxmlformats.org/officeDocument/2006/relationships/hyperlink" Target="#M05S02HIDE"/><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2S03F01"/><Relationship Id="rId1" Type="http://schemas.openxmlformats.org/officeDocument/2006/relationships/hyperlink" Target="#'M03-S01'!H6"/><Relationship Id="rId6" Type="http://schemas.openxmlformats.org/officeDocument/2006/relationships/hyperlink" Target="#M02S02F01"/><Relationship Id="rId11" Type="http://schemas.openxmlformats.org/officeDocument/2006/relationships/hyperlink" Target="#'M01-S02'!A1"/><Relationship Id="rId5" Type="http://schemas.openxmlformats.org/officeDocument/2006/relationships/hyperlink" Target="#M02S04F03"/><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M03-S05'!C18"/><Relationship Id="rId18" Type="http://schemas.openxmlformats.org/officeDocument/2006/relationships/image" Target="../media/image12.png"/><Relationship Id="rId26" Type="http://schemas.openxmlformats.org/officeDocument/2006/relationships/hyperlink" Target="#Excel_Ack_Contact_Main"/><Relationship Id="rId3" Type="http://schemas.openxmlformats.org/officeDocument/2006/relationships/hyperlink" Target="#'M03-S02'!C18"/><Relationship Id="rId21" Type="http://schemas.openxmlformats.org/officeDocument/2006/relationships/hyperlink" Target="#'M03-S01'!H6"/><Relationship Id="rId7" Type="http://schemas.openxmlformats.org/officeDocument/2006/relationships/hyperlink" Target="#'M03-S07'!C18"/><Relationship Id="rId12" Type="http://schemas.openxmlformats.org/officeDocument/2006/relationships/image" Target="../media/image9.png"/><Relationship Id="rId17" Type="http://schemas.openxmlformats.org/officeDocument/2006/relationships/hyperlink" Target="#'M03-S03'!C18"/><Relationship Id="rId25" Type="http://schemas.openxmlformats.org/officeDocument/2006/relationships/hyperlink" Target="#M02S01F01"/><Relationship Id="rId2" Type="http://schemas.openxmlformats.org/officeDocument/2006/relationships/hyperlink" Target="#'M02-S04'!A1"/><Relationship Id="rId16" Type="http://schemas.openxmlformats.org/officeDocument/2006/relationships/image" Target="../media/image11.png"/><Relationship Id="rId20" Type="http://schemas.openxmlformats.org/officeDocument/2006/relationships/hyperlink" Target="#M05S01F01"/><Relationship Id="rId29" Type="http://schemas.openxmlformats.org/officeDocument/2006/relationships/hyperlink" Target="#'M01-S02'!A1"/><Relationship Id="rId1" Type="http://schemas.openxmlformats.org/officeDocument/2006/relationships/hyperlink" Target="#'M03-S03'!A1"/><Relationship Id="rId6" Type="http://schemas.openxmlformats.org/officeDocument/2006/relationships/image" Target="../media/image6.png"/><Relationship Id="rId11" Type="http://schemas.openxmlformats.org/officeDocument/2006/relationships/hyperlink" Target="#'M03-S08'!C18"/><Relationship Id="rId24" Type="http://schemas.openxmlformats.org/officeDocument/2006/relationships/hyperlink" Target="#M02S02F01"/><Relationship Id="rId5" Type="http://schemas.openxmlformats.org/officeDocument/2006/relationships/hyperlink" Target="#'M04-S09'!C18"/><Relationship Id="rId15" Type="http://schemas.openxmlformats.org/officeDocument/2006/relationships/hyperlink" Target="#'M03-S04'!C18"/><Relationship Id="rId23" Type="http://schemas.openxmlformats.org/officeDocument/2006/relationships/hyperlink" Target="#M02S03F01"/><Relationship Id="rId28" Type="http://schemas.openxmlformats.org/officeDocument/2006/relationships/hyperlink" Target="#Excel_Ack_Offer_Main"/><Relationship Id="rId10" Type="http://schemas.openxmlformats.org/officeDocument/2006/relationships/image" Target="../media/image8.png"/><Relationship Id="rId19" Type="http://schemas.openxmlformats.org/officeDocument/2006/relationships/hyperlink" Target="#M05S02HIDE"/><Relationship Id="rId31" Type="http://schemas.openxmlformats.org/officeDocument/2006/relationships/image" Target="../media/image3.png"/><Relationship Id="rId4" Type="http://schemas.openxmlformats.org/officeDocument/2006/relationships/image" Target="../media/image5.png"/><Relationship Id="rId9" Type="http://schemas.openxmlformats.org/officeDocument/2006/relationships/hyperlink" Target="#'M03-S06'!C18"/><Relationship Id="rId14" Type="http://schemas.openxmlformats.org/officeDocument/2006/relationships/image" Target="../media/image10.png"/><Relationship Id="rId22" Type="http://schemas.openxmlformats.org/officeDocument/2006/relationships/hyperlink" Target="#M02S04F03"/><Relationship Id="rId27" Type="http://schemas.openxmlformats.org/officeDocument/2006/relationships/hyperlink" Target="#Excel_Ack_Compl_Main"/><Relationship Id="rId30" Type="http://schemas.openxmlformats.org/officeDocument/2006/relationships/hyperlink" Target="#'M01-S01'!A1"/></Relationships>
</file>

<file path=xl/drawings/_rels/drawing9.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Excel_Ack_Contact_Main"/><Relationship Id="rId3" Type="http://schemas.openxmlformats.org/officeDocument/2006/relationships/hyperlink" Target="#'M04-S02'!A1"/><Relationship Id="rId21" Type="http://schemas.openxmlformats.org/officeDocument/2006/relationships/hyperlink" Target="#'M01-S02'!A1"/><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1F01"/><Relationship Id="rId2" Type="http://schemas.openxmlformats.org/officeDocument/2006/relationships/hyperlink" Target="#'M03-S03'!C18"/><Relationship Id="rId16" Type="http://schemas.openxmlformats.org/officeDocument/2006/relationships/hyperlink" Target="#M02S02F01"/><Relationship Id="rId20" Type="http://schemas.openxmlformats.org/officeDocument/2006/relationships/hyperlink" Target="#Excel_Ack_Offer_Main"/><Relationship Id="rId1" Type="http://schemas.openxmlformats.org/officeDocument/2006/relationships/hyperlink" Target="#'M03-S01'!H6"/><Relationship Id="rId6" Type="http://schemas.openxmlformats.org/officeDocument/2006/relationships/hyperlink" Target="#'M03-S04'!A1"/><Relationship Id="rId11" Type="http://schemas.openxmlformats.org/officeDocument/2006/relationships/hyperlink" Target="#'M04-S09'!A1"/><Relationship Id="rId5" Type="http://schemas.openxmlformats.org/officeDocument/2006/relationships/hyperlink" Target="#'M03-S03'!A1"/><Relationship Id="rId15" Type="http://schemas.openxmlformats.org/officeDocument/2006/relationships/hyperlink" Target="#M02S03F01"/><Relationship Id="rId23" Type="http://schemas.openxmlformats.org/officeDocument/2006/relationships/image" Target="../media/image3.png"/><Relationship Id="rId10" Type="http://schemas.openxmlformats.org/officeDocument/2006/relationships/hyperlink" Target="#'M03-S07'!A1"/><Relationship Id="rId19" Type="http://schemas.openxmlformats.org/officeDocument/2006/relationships/hyperlink" Target="#Excel_Ack_Compl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2S04F03"/><Relationship Id="rId22" Type="http://schemas.openxmlformats.org/officeDocument/2006/relationships/hyperlink" Target="#'M01-S01'!A1"/></Relationships>
</file>

<file path=xl/drawings/drawing1.xml><?xml version="1.0" encoding="utf-8"?>
<xdr:wsDr xmlns:xdr="http://schemas.openxmlformats.org/drawingml/2006/spreadsheetDrawing" xmlns:a="http://schemas.openxmlformats.org/drawingml/2006/main">
  <xdr:twoCellAnchor editAs="oneCell">
    <xdr:from>
      <xdr:col>46</xdr:col>
      <xdr:colOff>16584</xdr:colOff>
      <xdr:row>3</xdr:row>
      <xdr:rowOff>100854</xdr:rowOff>
    </xdr:from>
    <xdr:to>
      <xdr:col>47</xdr:col>
      <xdr:colOff>248972</xdr:colOff>
      <xdr:row>5</xdr:row>
      <xdr:rowOff>97492</xdr:rowOff>
    </xdr:to>
    <xdr:sp macro="" textlink="">
      <xdr:nvSpPr>
        <xdr:cNvPr id="31" name="Arrow: Right M1S1">
          <a:hlinkClick xmlns:r="http://schemas.openxmlformats.org/officeDocument/2006/relationships" r:id="rId1" tooltip="Forward: Instructions"/>
          <a:extLst>
            <a:ext uri="{FF2B5EF4-FFF2-40B4-BE49-F238E27FC236}">
              <a16:creationId xmlns:a16="http://schemas.microsoft.com/office/drawing/2014/main" id="{00000000-0008-0000-0900-00001F000000}"/>
            </a:ext>
          </a:extLst>
        </xdr:cNvPr>
        <xdr:cNvSpPr/>
      </xdr:nvSpPr>
      <xdr:spPr>
        <a:xfrm>
          <a:off x="14746044" y="695214"/>
          <a:ext cx="542903"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266700</xdr:colOff>
      <xdr:row>4</xdr:row>
      <xdr:rowOff>0</xdr:rowOff>
    </xdr:from>
    <xdr:to>
      <xdr:col>41</xdr:col>
      <xdr:colOff>77855</xdr:colOff>
      <xdr:row>39</xdr:row>
      <xdr:rowOff>0</xdr:rowOff>
    </xdr:to>
    <xdr:grpSp>
      <xdr:nvGrpSpPr>
        <xdr:cNvPr id="8" name="Welcome">
          <a:extLst>
            <a:ext uri="{FF2B5EF4-FFF2-40B4-BE49-F238E27FC236}">
              <a16:creationId xmlns:a16="http://schemas.microsoft.com/office/drawing/2014/main" id="{00000000-0008-0000-0900-000008000000}"/>
            </a:ext>
          </a:extLst>
        </xdr:cNvPr>
        <xdr:cNvGrpSpPr/>
      </xdr:nvGrpSpPr>
      <xdr:grpSpPr>
        <a:xfrm>
          <a:off x="2463053" y="806824"/>
          <a:ext cx="10479155" cy="7059705"/>
          <a:chOff x="2525806" y="788894"/>
          <a:chExt cx="10783955" cy="6902824"/>
        </a:xfrm>
      </xdr:grpSpPr>
      <xdr:pic>
        <xdr:nvPicPr>
          <xdr:cNvPr id="4" name="Picture">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xdr:blipFill>
        <xdr:spPr>
          <a:xfrm>
            <a:off x="2525806" y="788894"/>
            <a:ext cx="10783955" cy="6902824"/>
          </a:xfrm>
          <a:prstGeom prst="rect">
            <a:avLst/>
          </a:prstGeom>
        </xdr:spPr>
      </xdr:pic>
      <xdr:sp macro="" textlink="">
        <xdr:nvSpPr>
          <xdr:cNvPr id="43" name="DLC">
            <a:hlinkClick xmlns:r="http://schemas.openxmlformats.org/officeDocument/2006/relationships" r:id="rId3" tooltip="View DLC Qualified Product List"/>
            <a:extLst>
              <a:ext uri="{FF2B5EF4-FFF2-40B4-BE49-F238E27FC236}">
                <a16:creationId xmlns:a16="http://schemas.microsoft.com/office/drawing/2014/main" id="{00000000-0008-0000-0900-00002B000000}"/>
              </a:ext>
            </a:extLst>
          </xdr:cNvPr>
          <xdr:cNvSpPr/>
        </xdr:nvSpPr>
        <xdr:spPr>
          <a:xfrm>
            <a:off x="11476055" y="6216464"/>
            <a:ext cx="1110392" cy="8835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CEE">
            <a:hlinkClick xmlns:r="http://schemas.openxmlformats.org/officeDocument/2006/relationships" r:id="rId4" tooltip="View Commercial Lighting Qualified Product Lists"/>
            <a:extLst>
              <a:ext uri="{FF2B5EF4-FFF2-40B4-BE49-F238E27FC236}">
                <a16:creationId xmlns:a16="http://schemas.microsoft.com/office/drawing/2014/main" id="{00000000-0008-0000-0900-00002C000000}"/>
              </a:ext>
            </a:extLst>
          </xdr:cNvPr>
          <xdr:cNvSpPr/>
        </xdr:nvSpPr>
        <xdr:spPr>
          <a:xfrm>
            <a:off x="10240832" y="6117852"/>
            <a:ext cx="1153082" cy="9821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PACE">
            <a:hlinkClick xmlns:r="http://schemas.openxmlformats.org/officeDocument/2006/relationships" r:id="rId5" tooltip="View PACE Financing Information"/>
            <a:extLst>
              <a:ext uri="{FF2B5EF4-FFF2-40B4-BE49-F238E27FC236}">
                <a16:creationId xmlns:a16="http://schemas.microsoft.com/office/drawing/2014/main" id="{00000000-0008-0000-0900-000029000000}"/>
              </a:ext>
            </a:extLst>
          </xdr:cNvPr>
          <xdr:cNvSpPr/>
        </xdr:nvSpPr>
        <xdr:spPr>
          <a:xfrm>
            <a:off x="9029924" y="5952565"/>
            <a:ext cx="1047901" cy="10074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Energy Star">
            <a:hlinkClick xmlns:r="http://schemas.openxmlformats.org/officeDocument/2006/relationships" r:id="rId6" tooltip="View ENERGY STAR Certified Products"/>
            <a:extLst>
              <a:ext uri="{FF2B5EF4-FFF2-40B4-BE49-F238E27FC236}">
                <a16:creationId xmlns:a16="http://schemas.microsoft.com/office/drawing/2014/main" id="{00000000-0008-0000-0900-00002A000000}"/>
              </a:ext>
            </a:extLst>
          </xdr:cNvPr>
          <xdr:cNvSpPr/>
        </xdr:nvSpPr>
        <xdr:spPr>
          <a:xfrm>
            <a:off x="7552315" y="6101381"/>
            <a:ext cx="1231807" cy="10062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TA">
            <a:hlinkClick xmlns:r="http://schemas.openxmlformats.org/officeDocument/2006/relationships" r:id="rId7" tooltip="View Trade Ally Resources"/>
            <a:extLst>
              <a:ext uri="{FF2B5EF4-FFF2-40B4-BE49-F238E27FC236}">
                <a16:creationId xmlns:a16="http://schemas.microsoft.com/office/drawing/2014/main" id="{00000000-0008-0000-0900-000028000000}"/>
              </a:ext>
            </a:extLst>
          </xdr:cNvPr>
          <xdr:cNvSpPr/>
        </xdr:nvSpPr>
        <xdr:spPr>
          <a:xfrm>
            <a:off x="6507928" y="6112586"/>
            <a:ext cx="940420" cy="10046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Terms">
            <a:hlinkClick xmlns:r="http://schemas.openxmlformats.org/officeDocument/2006/relationships" r:id="rId8" tooltip="View Terms and Conditions"/>
            <a:extLst>
              <a:ext uri="{FF2B5EF4-FFF2-40B4-BE49-F238E27FC236}">
                <a16:creationId xmlns:a16="http://schemas.microsoft.com/office/drawing/2014/main" id="{00000000-0008-0000-0900-000027000000}"/>
              </a:ext>
            </a:extLst>
          </xdr:cNvPr>
          <xdr:cNvSpPr/>
        </xdr:nvSpPr>
        <xdr:spPr>
          <a:xfrm>
            <a:off x="5468471" y="6082554"/>
            <a:ext cx="997211" cy="10174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Manage">
            <a:hlinkClick xmlns:r="http://schemas.openxmlformats.org/officeDocument/2006/relationships" r:id="rId9" tooltip="Log in to your Online Account"/>
            <a:extLst>
              <a:ext uri="{FF2B5EF4-FFF2-40B4-BE49-F238E27FC236}">
                <a16:creationId xmlns:a16="http://schemas.microsoft.com/office/drawing/2014/main" id="{00000000-0008-0000-0900-000026000000}"/>
              </a:ext>
            </a:extLst>
          </xdr:cNvPr>
          <xdr:cNvSpPr/>
        </xdr:nvSpPr>
        <xdr:spPr>
          <a:xfrm>
            <a:off x="4349787" y="6045127"/>
            <a:ext cx="997236" cy="1070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Additional">
            <a:hlinkClick xmlns:r="http://schemas.openxmlformats.org/officeDocument/2006/relationships" r:id="rId10" tooltip="View Additional Ways to Save"/>
            <a:extLst>
              <a:ext uri="{FF2B5EF4-FFF2-40B4-BE49-F238E27FC236}">
                <a16:creationId xmlns:a16="http://schemas.microsoft.com/office/drawing/2014/main" id="{00000000-0008-0000-0900-00001C000000}"/>
              </a:ext>
            </a:extLst>
          </xdr:cNvPr>
          <xdr:cNvSpPr/>
        </xdr:nvSpPr>
        <xdr:spPr>
          <a:xfrm>
            <a:off x="3171265" y="6061486"/>
            <a:ext cx="997235" cy="1070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Not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977993" y="4931359"/>
            <a:ext cx="9757282" cy="37046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4" name="More RCx">
            <a:hlinkClick xmlns:r="http://schemas.openxmlformats.org/officeDocument/2006/relationships" r:id="rId12" tooltip="Read more about RCx Incentives"/>
            <a:extLst>
              <a:ext uri="{FF2B5EF4-FFF2-40B4-BE49-F238E27FC236}">
                <a16:creationId xmlns:a16="http://schemas.microsoft.com/office/drawing/2014/main" id="{00000000-0008-0000-0900-000022000000}"/>
              </a:ext>
            </a:extLst>
          </xdr:cNvPr>
          <xdr:cNvSpPr/>
        </xdr:nvSpPr>
        <xdr:spPr>
          <a:xfrm>
            <a:off x="10372134" y="4494901"/>
            <a:ext cx="1820314" cy="193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More NC">
            <a:hlinkClick xmlns:r="http://schemas.openxmlformats.org/officeDocument/2006/relationships" r:id="rId12" tooltip="Read more about New Construction Incentives"/>
            <a:extLst>
              <a:ext uri="{FF2B5EF4-FFF2-40B4-BE49-F238E27FC236}">
                <a16:creationId xmlns:a16="http://schemas.microsoft.com/office/drawing/2014/main" id="{00000000-0008-0000-0900-000020000000}"/>
              </a:ext>
            </a:extLst>
          </xdr:cNvPr>
          <xdr:cNvSpPr/>
        </xdr:nvSpPr>
        <xdr:spPr>
          <a:xfrm>
            <a:off x="10104539" y="4242094"/>
            <a:ext cx="2403020" cy="195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Browse Cstm">
            <a:hlinkClick xmlns:r="http://schemas.openxmlformats.org/officeDocument/2006/relationships" r:id="rId13" tooltip="Browse the Custom Incentives List"/>
            <a:extLst>
              <a:ext uri="{FF2B5EF4-FFF2-40B4-BE49-F238E27FC236}">
                <a16:creationId xmlns:a16="http://schemas.microsoft.com/office/drawing/2014/main" id="{00000000-0008-0000-0900-00001D000000}"/>
              </a:ext>
            </a:extLst>
          </xdr:cNvPr>
          <xdr:cNvSpPr/>
        </xdr:nvSpPr>
        <xdr:spPr>
          <a:xfrm>
            <a:off x="7000591" y="4474672"/>
            <a:ext cx="1827403" cy="191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sp macro="" textlink="">
        <xdr:nvSpPr>
          <xdr:cNvPr id="26" name="More Cstm">
            <a:hlinkClick xmlns:r="http://schemas.openxmlformats.org/officeDocument/2006/relationships" r:id="rId12" tooltip="Read more about Custom Incentives"/>
            <a:extLst>
              <a:ext uri="{FF2B5EF4-FFF2-40B4-BE49-F238E27FC236}">
                <a16:creationId xmlns:a16="http://schemas.microsoft.com/office/drawing/2014/main" id="{00000000-0008-0000-0900-00001A000000}"/>
              </a:ext>
            </a:extLst>
          </xdr:cNvPr>
          <xdr:cNvSpPr/>
        </xdr:nvSpPr>
        <xdr:spPr>
          <a:xfrm>
            <a:off x="6929159" y="4254871"/>
            <a:ext cx="1967416" cy="1831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Browse Std">
            <a:hlinkClick xmlns:r="http://schemas.openxmlformats.org/officeDocument/2006/relationships" r:id="rId14" tooltip="Browse the Standard Incentives List"/>
            <a:extLst>
              <a:ext uri="{FF2B5EF4-FFF2-40B4-BE49-F238E27FC236}">
                <a16:creationId xmlns:a16="http://schemas.microsoft.com/office/drawing/2014/main" id="{00000000-0008-0000-0900-000019000000}"/>
              </a:ext>
            </a:extLst>
          </xdr:cNvPr>
          <xdr:cNvSpPr/>
        </xdr:nvSpPr>
        <xdr:spPr>
          <a:xfrm>
            <a:off x="3470435" y="4472444"/>
            <a:ext cx="1860876" cy="1932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sp macro="" textlink="">
        <xdr:nvSpPr>
          <xdr:cNvPr id="24" name="More Std">
            <a:hlinkClick xmlns:r="http://schemas.openxmlformats.org/officeDocument/2006/relationships" r:id="rId12" tooltip="Read more about Standard Incentives"/>
            <a:extLst>
              <a:ext uri="{FF2B5EF4-FFF2-40B4-BE49-F238E27FC236}">
                <a16:creationId xmlns:a16="http://schemas.microsoft.com/office/drawing/2014/main" id="{00000000-0008-0000-0900-000018000000}"/>
              </a:ext>
            </a:extLst>
          </xdr:cNvPr>
          <xdr:cNvSpPr/>
        </xdr:nvSpPr>
        <xdr:spPr>
          <a:xfrm>
            <a:off x="3430169" y="4257538"/>
            <a:ext cx="2000203" cy="1880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0</xdr:colOff>
      <xdr:row>0</xdr:row>
      <xdr:rowOff>0</xdr:rowOff>
    </xdr:from>
    <xdr:to>
      <xdr:col>49</xdr:col>
      <xdr:colOff>0</xdr:colOff>
      <xdr:row>3</xdr:row>
      <xdr:rowOff>0</xdr:rowOff>
    </xdr:to>
    <xdr:grpSp>
      <xdr:nvGrpSpPr>
        <xdr:cNvPr id="11" name="Header">
          <a:extLst>
            <a:ext uri="{FF2B5EF4-FFF2-40B4-BE49-F238E27FC236}">
              <a16:creationId xmlns:a16="http://schemas.microsoft.com/office/drawing/2014/main" id="{00000000-0008-0000-0900-00000B000000}"/>
            </a:ext>
          </a:extLst>
        </xdr:cNvPr>
        <xdr:cNvGrpSpPr/>
      </xdr:nvGrpSpPr>
      <xdr:grpSpPr>
        <a:xfrm>
          <a:off x="0" y="0"/>
          <a:ext cx="15374471" cy="605118"/>
          <a:chOff x="0" y="0"/>
          <a:chExt cx="15813741" cy="591671"/>
        </a:xfrm>
      </xdr:grpSpPr>
      <xdr:grpSp>
        <xdr:nvGrpSpPr>
          <xdr:cNvPr id="10" name="Header">
            <a:extLst>
              <a:ext uri="{FF2B5EF4-FFF2-40B4-BE49-F238E27FC236}">
                <a16:creationId xmlns:a16="http://schemas.microsoft.com/office/drawing/2014/main" id="{00000000-0008-0000-0900-00000A000000}"/>
              </a:ext>
            </a:extLst>
          </xdr:cNvPr>
          <xdr:cNvGrpSpPr/>
        </xdr:nvGrpSpPr>
        <xdr:grpSpPr>
          <a:xfrm>
            <a:off x="0" y="0"/>
            <a:ext cx="15813741" cy="591671"/>
            <a:chOff x="0" y="0"/>
            <a:chExt cx="15813741" cy="591671"/>
          </a:xfrm>
        </xdr:grpSpPr>
        <xdr:sp macro="" textlink="">
          <xdr:nvSpPr>
            <xdr:cNvPr id="13" name="Reference">
              <a:extLst>
                <a:ext uri="{FF2B5EF4-FFF2-40B4-BE49-F238E27FC236}">
                  <a16:creationId xmlns:a16="http://schemas.microsoft.com/office/drawing/2014/main" id="{00000000-0008-0000-0900-00000D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Contact">
              <a:hlinkClick xmlns:r="http://schemas.openxmlformats.org/officeDocument/2006/relationships" r:id="rId15" tooltip="Contact"/>
              <a:extLst>
                <a:ext uri="{FF2B5EF4-FFF2-40B4-BE49-F238E27FC236}">
                  <a16:creationId xmlns:a16="http://schemas.microsoft.com/office/drawing/2014/main" id="{00000000-0008-0000-0900-000039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Completion Form">
              <a:hlinkClick xmlns:r="http://schemas.openxmlformats.org/officeDocument/2006/relationships" r:id="rId16" tooltip=" "/>
              <a:extLst>
                <a:ext uri="{FF2B5EF4-FFF2-40B4-BE49-F238E27FC236}">
                  <a16:creationId xmlns:a16="http://schemas.microsoft.com/office/drawing/2014/main" id="{00000000-0008-0000-0900-00003B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Offer Form">
              <a:hlinkClick xmlns:r="http://schemas.openxmlformats.org/officeDocument/2006/relationships" r:id="rId17" tooltip=" "/>
              <a:extLst>
                <a:ext uri="{FF2B5EF4-FFF2-40B4-BE49-F238E27FC236}">
                  <a16:creationId xmlns:a16="http://schemas.microsoft.com/office/drawing/2014/main" id="{00000000-0008-0000-0900-00003A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Instructions">
              <a:hlinkClick xmlns:r="http://schemas.openxmlformats.org/officeDocument/2006/relationships" r:id="rId1" tooltip="Instructions"/>
              <a:extLst>
                <a:ext uri="{FF2B5EF4-FFF2-40B4-BE49-F238E27FC236}">
                  <a16:creationId xmlns:a16="http://schemas.microsoft.com/office/drawing/2014/main" id="{00000000-0008-0000-0900-000038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 name="Welcome">
              <a:hlinkClick xmlns:r="http://schemas.openxmlformats.org/officeDocument/2006/relationships" r:id="rId18" tooltip="Welcome"/>
              <a:extLst>
                <a:ext uri="{FF2B5EF4-FFF2-40B4-BE49-F238E27FC236}">
                  <a16:creationId xmlns:a16="http://schemas.microsoft.com/office/drawing/2014/main" id="{00000000-0008-0000-0900-000002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1" name="Evergy Logo">
              <a:extLst>
                <a:ext uri="{FF2B5EF4-FFF2-40B4-BE49-F238E27FC236}">
                  <a16:creationId xmlns:a16="http://schemas.microsoft.com/office/drawing/2014/main" id="{00000000-0008-0000-0900-000015000000}"/>
                </a:ext>
              </a:extLst>
            </xdr:cNvPr>
            <xdr:cNvPicPr>
              <a:picLocks/>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9" name="State">
              <a:extLst>
                <a:ext uri="{FF2B5EF4-FFF2-40B4-BE49-F238E27FC236}">
                  <a16:creationId xmlns:a16="http://schemas.microsoft.com/office/drawing/2014/main" id="{00000000-0008-0000-0900-000009000000}"/>
                </a:ext>
              </a:extLst>
            </xdr:cNvPr>
            <xdr:cNvSpPr txBox="1"/>
          </xdr:nvSpPr>
          <xdr:spPr>
            <a:xfrm>
              <a:off x="0"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5" name="Dividers">
            <a:extLst>
              <a:ext uri="{FF2B5EF4-FFF2-40B4-BE49-F238E27FC236}">
                <a16:creationId xmlns:a16="http://schemas.microsoft.com/office/drawing/2014/main" id="{00000000-0008-0000-0900-000005000000}"/>
              </a:ext>
            </a:extLst>
          </xdr:cNvPr>
          <xdr:cNvGrpSpPr/>
        </xdr:nvGrpSpPr>
        <xdr:grpSpPr>
          <a:xfrm>
            <a:off x="1613717" y="85337"/>
            <a:ext cx="11618762" cy="422893"/>
            <a:chOff x="1612951" y="85725"/>
            <a:chExt cx="11618931" cy="423022"/>
          </a:xfrm>
        </xdr:grpSpPr>
        <xdr:cxnSp macro="">
          <xdr:nvCxnSpPr>
            <xdr:cNvPr id="52" name="Divider 4">
              <a:extLst>
                <a:ext uri="{FF2B5EF4-FFF2-40B4-BE49-F238E27FC236}">
                  <a16:creationId xmlns:a16="http://schemas.microsoft.com/office/drawing/2014/main" id="{00000000-0008-0000-0900-000034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5" name="Divider 3">
              <a:extLst>
                <a:ext uri="{FF2B5EF4-FFF2-40B4-BE49-F238E27FC236}">
                  <a16:creationId xmlns:a16="http://schemas.microsoft.com/office/drawing/2014/main" id="{00000000-0008-0000-0900-000037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4" name="Divider 2">
              <a:extLst>
                <a:ext uri="{FF2B5EF4-FFF2-40B4-BE49-F238E27FC236}">
                  <a16:creationId xmlns:a16="http://schemas.microsoft.com/office/drawing/2014/main" id="{00000000-0008-0000-0900-00003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1">
              <a:extLst>
                <a:ext uri="{FF2B5EF4-FFF2-40B4-BE49-F238E27FC236}">
                  <a16:creationId xmlns:a16="http://schemas.microsoft.com/office/drawing/2014/main" id="{00000000-0008-0000-0900-00000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95167</xdr:colOff>
      <xdr:row>8</xdr:row>
      <xdr:rowOff>94189</xdr:rowOff>
    </xdr:from>
    <xdr:to>
      <xdr:col>3</xdr:col>
      <xdr:colOff>2630</xdr:colOff>
      <xdr:row>10</xdr:row>
      <xdr:rowOff>98447</xdr:rowOff>
    </xdr:to>
    <xdr:sp macro="" textlink="">
      <xdr:nvSpPr>
        <xdr:cNvPr id="39" name="Arrow: Left M3S3">
          <a:hlinkClick xmlns:r="http://schemas.openxmlformats.org/officeDocument/2006/relationships" r:id="rId1" tooltip="Back: Lighting"/>
          <a:extLst>
            <a:ext uri="{FF2B5EF4-FFF2-40B4-BE49-F238E27FC236}">
              <a16:creationId xmlns:a16="http://schemas.microsoft.com/office/drawing/2014/main" id="{00000000-0008-0000-1200-000027000000}"/>
            </a:ext>
          </a:extLst>
        </xdr:cNvPr>
        <xdr:cNvSpPr/>
      </xdr:nvSpPr>
      <xdr:spPr>
        <a:xfrm>
          <a:off x="415074" y="1675950"/>
          <a:ext cx="539229" cy="4035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7939</xdr:colOff>
      <xdr:row>8</xdr:row>
      <xdr:rowOff>96410</xdr:rowOff>
    </xdr:from>
    <xdr:to>
      <xdr:col>47</xdr:col>
      <xdr:colOff>227262</xdr:colOff>
      <xdr:row>10</xdr:row>
      <xdr:rowOff>102573</xdr:rowOff>
    </xdr:to>
    <xdr:sp macro="" textlink="">
      <xdr:nvSpPr>
        <xdr:cNvPr id="40" name="Arrow: Right M3S3">
          <a:hlinkClick xmlns:r="http://schemas.openxmlformats.org/officeDocument/2006/relationships" r:id="rId2" tooltip="Forward: Refrigeration"/>
          <a:extLst>
            <a:ext uri="{FF2B5EF4-FFF2-40B4-BE49-F238E27FC236}">
              <a16:creationId xmlns:a16="http://schemas.microsoft.com/office/drawing/2014/main" id="{00000000-0008-0000-1200-000028000000}"/>
            </a:ext>
          </a:extLst>
        </xdr:cNvPr>
        <xdr:cNvSpPr/>
      </xdr:nvSpPr>
      <xdr:spPr>
        <a:xfrm>
          <a:off x="13444021" y="1678171"/>
          <a:ext cx="539229" cy="4035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2" name="Select 1">
          <a:extLst>
            <a:ext uri="{FF2B5EF4-FFF2-40B4-BE49-F238E27FC236}">
              <a16:creationId xmlns:a16="http://schemas.microsoft.com/office/drawing/2014/main" id="{00000000-0008-0000-1200-000002000000}"/>
            </a:ext>
          </a:extLst>
        </xdr:cNvPr>
        <xdr:cNvGrpSpPr/>
      </xdr:nvGrpSpPr>
      <xdr:grpSpPr>
        <a:xfrm>
          <a:off x="2196353" y="2622176"/>
          <a:ext cx="2345716" cy="280043"/>
          <a:chOff x="1037447" y="2413275"/>
          <a:chExt cx="2408469" cy="277332"/>
        </a:xfrm>
      </xdr:grpSpPr>
      <xdr:cxnSp macro="">
        <xdr:nvCxnSpPr>
          <xdr:cNvPr id="3" name="Reference - V">
            <a:extLst>
              <a:ext uri="{FF2B5EF4-FFF2-40B4-BE49-F238E27FC236}">
                <a16:creationId xmlns:a16="http://schemas.microsoft.com/office/drawing/2014/main" id="{00000000-0008-0000-12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2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200-000005000000}"/>
              </a:ext>
            </a:extLst>
          </xdr:cNvPr>
          <xdr:cNvGrpSpPr/>
        </xdr:nvGrpSpPr>
        <xdr:grpSpPr>
          <a:xfrm>
            <a:off x="1219200" y="2510935"/>
            <a:ext cx="2226716" cy="179672"/>
            <a:chOff x="1219200" y="2510935"/>
            <a:chExt cx="2226716" cy="179672"/>
          </a:xfrm>
        </xdr:grpSpPr>
        <xdr:sp macro="" textlink="">
          <xdr:nvSpPr>
            <xdr:cNvPr id="6" name="Custom">
              <a:hlinkClick xmlns:r="http://schemas.openxmlformats.org/officeDocument/2006/relationships" r:id="rId3"/>
              <a:extLst>
                <a:ext uri="{FF2B5EF4-FFF2-40B4-BE49-F238E27FC236}">
                  <a16:creationId xmlns:a16="http://schemas.microsoft.com/office/drawing/2014/main" id="{00000000-0008-0000-1200-000006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Standard">
              <a:extLst>
                <a:ext uri="{FF2B5EF4-FFF2-40B4-BE49-F238E27FC236}">
                  <a16:creationId xmlns:a16="http://schemas.microsoft.com/office/drawing/2014/main" id="{00000000-0008-0000-1200-000007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1</xdr:rowOff>
    </xdr:from>
    <xdr:to>
      <xdr:col>41</xdr:col>
      <xdr:colOff>1</xdr:colOff>
      <xdr:row>11</xdr:row>
      <xdr:rowOff>2416</xdr:rowOff>
    </xdr:to>
    <xdr:grpSp>
      <xdr:nvGrpSpPr>
        <xdr:cNvPr id="25" name="Measure Categories">
          <a:extLst>
            <a:ext uri="{FF2B5EF4-FFF2-40B4-BE49-F238E27FC236}">
              <a16:creationId xmlns:a16="http://schemas.microsoft.com/office/drawing/2014/main" id="{00000000-0008-0000-1200-000019000000}"/>
            </a:ext>
          </a:extLst>
        </xdr:cNvPr>
        <xdr:cNvGrpSpPr/>
      </xdr:nvGrpSpPr>
      <xdr:grpSpPr>
        <a:xfrm>
          <a:off x="2823882" y="1613648"/>
          <a:ext cx="10040472" cy="607533"/>
          <a:chOff x="2240280" y="1582544"/>
          <a:chExt cx="10241281" cy="596775"/>
        </a:xfrm>
      </xdr:grpSpPr>
      <xdr:grpSp>
        <xdr:nvGrpSpPr>
          <xdr:cNvPr id="26" name="Categories">
            <a:extLst>
              <a:ext uri="{FF2B5EF4-FFF2-40B4-BE49-F238E27FC236}">
                <a16:creationId xmlns:a16="http://schemas.microsoft.com/office/drawing/2014/main" id="{00000000-0008-0000-1200-00001A000000}"/>
              </a:ext>
            </a:extLst>
          </xdr:cNvPr>
          <xdr:cNvGrpSpPr/>
        </xdr:nvGrpSpPr>
        <xdr:grpSpPr>
          <a:xfrm>
            <a:off x="2240280" y="1584960"/>
            <a:ext cx="10241281" cy="594359"/>
            <a:chOff x="2240280" y="1584961"/>
            <a:chExt cx="10241281" cy="594360"/>
          </a:xfrm>
        </xdr:grpSpPr>
        <xdr:sp macro="" textlink="">
          <xdr:nvSpPr>
            <xdr:cNvPr id="45" name="Lighting" hidden="1">
              <a:hlinkClick xmlns:r="http://schemas.openxmlformats.org/officeDocument/2006/relationships" r:id="rId4" tooltip="Lighting"/>
              <a:extLst>
                <a:ext uri="{FF2B5EF4-FFF2-40B4-BE49-F238E27FC236}">
                  <a16:creationId xmlns:a16="http://schemas.microsoft.com/office/drawing/2014/main" id="{00000000-0008-0000-1200-00002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Lighting Controls">
              <a:hlinkClick xmlns:r="http://schemas.openxmlformats.org/officeDocument/2006/relationships" r:id="rId5" tooltip="Lighting Controls"/>
              <a:extLst>
                <a:ext uri="{FF2B5EF4-FFF2-40B4-BE49-F238E27FC236}">
                  <a16:creationId xmlns:a16="http://schemas.microsoft.com/office/drawing/2014/main" id="{00000000-0008-0000-1200-00002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Refrigeration">
              <a:hlinkClick xmlns:r="http://schemas.openxmlformats.org/officeDocument/2006/relationships" r:id="rId6" tooltip="Refrigeration"/>
              <a:extLst>
                <a:ext uri="{FF2B5EF4-FFF2-40B4-BE49-F238E27FC236}">
                  <a16:creationId xmlns:a16="http://schemas.microsoft.com/office/drawing/2014/main" id="{00000000-0008-0000-1200-000032000000}"/>
                </a:ext>
              </a:extLst>
            </xdr:cNvPr>
            <xdr:cNvSpPr/>
          </xdr:nvSpPr>
          <xdr:spPr>
            <a:xfrm>
              <a:off x="48006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HVAC">
              <a:hlinkClick xmlns:r="http://schemas.openxmlformats.org/officeDocument/2006/relationships" r:id="rId7" tooltip="HVAC"/>
              <a:extLst>
                <a:ext uri="{FF2B5EF4-FFF2-40B4-BE49-F238E27FC236}">
                  <a16:creationId xmlns:a16="http://schemas.microsoft.com/office/drawing/2014/main" id="{00000000-0008-0000-1200-000033000000}"/>
                </a:ext>
              </a:extLst>
            </xdr:cNvPr>
            <xdr:cNvSpPr/>
          </xdr:nvSpPr>
          <xdr:spPr>
            <a:xfrm>
              <a:off x="6080762"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otors and Drives">
              <a:hlinkClick xmlns:r="http://schemas.openxmlformats.org/officeDocument/2006/relationships" r:id="rId8" tooltip="Motors and Drives"/>
              <a:extLst>
                <a:ext uri="{FF2B5EF4-FFF2-40B4-BE49-F238E27FC236}">
                  <a16:creationId xmlns:a16="http://schemas.microsoft.com/office/drawing/2014/main" id="{00000000-0008-0000-1200-000034000000}"/>
                </a:ext>
              </a:extLst>
            </xdr:cNvPr>
            <xdr:cNvSpPr/>
          </xdr:nvSpPr>
          <xdr:spPr>
            <a:xfrm>
              <a:off x="7360922"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9" tooltip="Compressed Air / Process"/>
              <a:extLst>
                <a:ext uri="{FF2B5EF4-FFF2-40B4-BE49-F238E27FC236}">
                  <a16:creationId xmlns:a16="http://schemas.microsoft.com/office/drawing/2014/main" id="{00000000-0008-0000-12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10" tooltip="Water Heating / Food Services"/>
              <a:extLst>
                <a:ext uri="{FF2B5EF4-FFF2-40B4-BE49-F238E27FC236}">
                  <a16:creationId xmlns:a16="http://schemas.microsoft.com/office/drawing/2014/main" id="{00000000-0008-0000-1200-000036000000}"/>
                </a:ext>
              </a:extLst>
            </xdr:cNvPr>
            <xdr:cNvSpPr/>
          </xdr:nvSpPr>
          <xdr:spPr>
            <a:xfrm>
              <a:off x="9921821"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Miscellaneous">
              <a:hlinkClick xmlns:r="http://schemas.openxmlformats.org/officeDocument/2006/relationships" r:id="rId11" tooltip="Miscellaneous"/>
              <a:extLst>
                <a:ext uri="{FF2B5EF4-FFF2-40B4-BE49-F238E27FC236}">
                  <a16:creationId xmlns:a16="http://schemas.microsoft.com/office/drawing/2014/main" id="{00000000-0008-0000-1200-000038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2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2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2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2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2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2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2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hidden="1">
              <a:extLst>
                <a:ext uri="{FF2B5EF4-FFF2-40B4-BE49-F238E27FC236}">
                  <a16:creationId xmlns:a16="http://schemas.microsoft.com/office/drawing/2014/main" id="{00000000-0008-0000-12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2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2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2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2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2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2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2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2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8" tooltip="Terms &amp; Conditions"/>
            <a:extLst>
              <a:ext uri="{FF2B5EF4-FFF2-40B4-BE49-F238E27FC236}">
                <a16:creationId xmlns:a16="http://schemas.microsoft.com/office/drawing/2014/main" id="{00000000-0008-0000-12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35" name="Header">
          <a:extLst>
            <a:ext uri="{FF2B5EF4-FFF2-40B4-BE49-F238E27FC236}">
              <a16:creationId xmlns:a16="http://schemas.microsoft.com/office/drawing/2014/main" id="{00000000-0008-0000-1200-000023000000}"/>
            </a:ext>
          </a:extLst>
        </xdr:cNvPr>
        <xdr:cNvGrpSpPr/>
      </xdr:nvGrpSpPr>
      <xdr:grpSpPr>
        <a:xfrm>
          <a:off x="0" y="0"/>
          <a:ext cx="15374471" cy="605118"/>
          <a:chOff x="0" y="0"/>
          <a:chExt cx="15813741" cy="591671"/>
        </a:xfrm>
      </xdr:grpSpPr>
      <xdr:grpSp>
        <xdr:nvGrpSpPr>
          <xdr:cNvPr id="36" name="Header">
            <a:extLst>
              <a:ext uri="{FF2B5EF4-FFF2-40B4-BE49-F238E27FC236}">
                <a16:creationId xmlns:a16="http://schemas.microsoft.com/office/drawing/2014/main" id="{00000000-0008-0000-1200-000024000000}"/>
              </a:ext>
            </a:extLst>
          </xdr:cNvPr>
          <xdr:cNvGrpSpPr/>
        </xdr:nvGrpSpPr>
        <xdr:grpSpPr>
          <a:xfrm>
            <a:off x="0" y="0"/>
            <a:ext cx="15813741" cy="591671"/>
            <a:chOff x="0" y="0"/>
            <a:chExt cx="15813741" cy="591671"/>
          </a:xfrm>
        </xdr:grpSpPr>
        <xdr:sp macro="" textlink="">
          <xdr:nvSpPr>
            <xdr:cNvPr id="44" name="Reference">
              <a:extLst>
                <a:ext uri="{FF2B5EF4-FFF2-40B4-BE49-F238E27FC236}">
                  <a16:creationId xmlns:a16="http://schemas.microsoft.com/office/drawing/2014/main" id="{00000000-0008-0000-1200-00002C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ontact">
              <a:hlinkClick xmlns:r="http://schemas.openxmlformats.org/officeDocument/2006/relationships" r:id="rId19" tooltip="Contact"/>
              <a:extLst>
                <a:ext uri="{FF2B5EF4-FFF2-40B4-BE49-F238E27FC236}">
                  <a16:creationId xmlns:a16="http://schemas.microsoft.com/office/drawing/2014/main" id="{00000000-0008-0000-1200-00002F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ompletion Form">
              <a:hlinkClick xmlns:r="http://schemas.openxmlformats.org/officeDocument/2006/relationships" r:id="rId20" tooltip=" "/>
              <a:extLst>
                <a:ext uri="{FF2B5EF4-FFF2-40B4-BE49-F238E27FC236}">
                  <a16:creationId xmlns:a16="http://schemas.microsoft.com/office/drawing/2014/main" id="{00000000-0008-0000-1200-000030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Offer Form">
              <a:hlinkClick xmlns:r="http://schemas.openxmlformats.org/officeDocument/2006/relationships" r:id="rId21" tooltip=" "/>
              <a:extLst>
                <a:ext uri="{FF2B5EF4-FFF2-40B4-BE49-F238E27FC236}">
                  <a16:creationId xmlns:a16="http://schemas.microsoft.com/office/drawing/2014/main" id="{00000000-0008-0000-1200-000031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Instructions">
              <a:hlinkClick xmlns:r="http://schemas.openxmlformats.org/officeDocument/2006/relationships" r:id="rId22" tooltip="Instructions"/>
              <a:extLst>
                <a:ext uri="{FF2B5EF4-FFF2-40B4-BE49-F238E27FC236}">
                  <a16:creationId xmlns:a16="http://schemas.microsoft.com/office/drawing/2014/main" id="{00000000-0008-0000-1200-000037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Welcome">
              <a:hlinkClick xmlns:r="http://schemas.openxmlformats.org/officeDocument/2006/relationships" r:id="rId23" tooltip="Welcome"/>
              <a:extLst>
                <a:ext uri="{FF2B5EF4-FFF2-40B4-BE49-F238E27FC236}">
                  <a16:creationId xmlns:a16="http://schemas.microsoft.com/office/drawing/2014/main" id="{00000000-0008-0000-1200-00003B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0" name="Evergy Logo">
              <a:extLst>
                <a:ext uri="{FF2B5EF4-FFF2-40B4-BE49-F238E27FC236}">
                  <a16:creationId xmlns:a16="http://schemas.microsoft.com/office/drawing/2014/main" id="{00000000-0008-0000-1200-00003C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1" name="State">
              <a:extLst>
                <a:ext uri="{FF2B5EF4-FFF2-40B4-BE49-F238E27FC236}">
                  <a16:creationId xmlns:a16="http://schemas.microsoft.com/office/drawing/2014/main" id="{00000000-0008-0000-1200-00003D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7" name="Dividers">
            <a:extLst>
              <a:ext uri="{FF2B5EF4-FFF2-40B4-BE49-F238E27FC236}">
                <a16:creationId xmlns:a16="http://schemas.microsoft.com/office/drawing/2014/main" id="{00000000-0008-0000-1200-000025000000}"/>
              </a:ext>
            </a:extLst>
          </xdr:cNvPr>
          <xdr:cNvGrpSpPr/>
        </xdr:nvGrpSpPr>
        <xdr:grpSpPr>
          <a:xfrm>
            <a:off x="1613717" y="85337"/>
            <a:ext cx="11618762" cy="422893"/>
            <a:chOff x="1612951" y="85725"/>
            <a:chExt cx="11618931" cy="423022"/>
          </a:xfrm>
        </xdr:grpSpPr>
        <xdr:cxnSp macro="">
          <xdr:nvCxnSpPr>
            <xdr:cNvPr id="38" name="Divider 4">
              <a:extLst>
                <a:ext uri="{FF2B5EF4-FFF2-40B4-BE49-F238E27FC236}">
                  <a16:creationId xmlns:a16="http://schemas.microsoft.com/office/drawing/2014/main" id="{00000000-0008-0000-1200-000026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3">
              <a:extLst>
                <a:ext uri="{FF2B5EF4-FFF2-40B4-BE49-F238E27FC236}">
                  <a16:creationId xmlns:a16="http://schemas.microsoft.com/office/drawing/2014/main" id="{00000000-0008-0000-1200-00002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2">
              <a:extLst>
                <a:ext uri="{FF2B5EF4-FFF2-40B4-BE49-F238E27FC236}">
                  <a16:creationId xmlns:a16="http://schemas.microsoft.com/office/drawing/2014/main" id="{00000000-0008-0000-1200-00002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1">
              <a:extLst>
                <a:ext uri="{FF2B5EF4-FFF2-40B4-BE49-F238E27FC236}">
                  <a16:creationId xmlns:a16="http://schemas.microsoft.com/office/drawing/2014/main" id="{00000000-0008-0000-1200-00002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48" name="Arrow: Left M3S4">
          <a:hlinkClick xmlns:r="http://schemas.openxmlformats.org/officeDocument/2006/relationships" r:id="rId1"/>
          <a:extLst>
            <a:ext uri="{FF2B5EF4-FFF2-40B4-BE49-F238E27FC236}">
              <a16:creationId xmlns:a16="http://schemas.microsoft.com/office/drawing/2014/main" id="{00000000-0008-0000-1300-000030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97044</xdr:rowOff>
    </xdr:from>
    <xdr:to>
      <xdr:col>47</xdr:col>
      <xdr:colOff>226067</xdr:colOff>
      <xdr:row>10</xdr:row>
      <xdr:rowOff>103207</xdr:rowOff>
    </xdr:to>
    <xdr:sp macro="" textlink="">
      <xdr:nvSpPr>
        <xdr:cNvPr id="49" name="Arrow: Right M3S4">
          <a:hlinkClick xmlns:r="http://schemas.openxmlformats.org/officeDocument/2006/relationships" r:id="rId2" tooltip="Forward: HVAC"/>
          <a:extLst>
            <a:ext uri="{FF2B5EF4-FFF2-40B4-BE49-F238E27FC236}">
              <a16:creationId xmlns:a16="http://schemas.microsoft.com/office/drawing/2014/main" id="{00000000-0008-0000-1300-000031000000}"/>
            </a:ext>
          </a:extLst>
        </xdr:cNvPr>
        <xdr:cNvSpPr/>
      </xdr:nvSpPr>
      <xdr:spPr>
        <a:xfrm>
          <a:off x="13448291" y="1682004"/>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2" name="Select 1">
          <a:extLst>
            <a:ext uri="{FF2B5EF4-FFF2-40B4-BE49-F238E27FC236}">
              <a16:creationId xmlns:a16="http://schemas.microsoft.com/office/drawing/2014/main" id="{00000000-0008-0000-1300-000002000000}"/>
            </a:ext>
          </a:extLst>
        </xdr:cNvPr>
        <xdr:cNvGrpSpPr/>
      </xdr:nvGrpSpPr>
      <xdr:grpSpPr>
        <a:xfrm>
          <a:off x="2196353" y="2622176"/>
          <a:ext cx="2345716" cy="280043"/>
          <a:chOff x="1037447" y="2413275"/>
          <a:chExt cx="2408469" cy="277332"/>
        </a:xfrm>
      </xdr:grpSpPr>
      <xdr:cxnSp macro="">
        <xdr:nvCxnSpPr>
          <xdr:cNvPr id="3" name="Reference - V">
            <a:extLst>
              <a:ext uri="{FF2B5EF4-FFF2-40B4-BE49-F238E27FC236}">
                <a16:creationId xmlns:a16="http://schemas.microsoft.com/office/drawing/2014/main" id="{00000000-0008-0000-13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3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300-000005000000}"/>
              </a:ext>
            </a:extLst>
          </xdr:cNvPr>
          <xdr:cNvGrpSpPr/>
        </xdr:nvGrpSpPr>
        <xdr:grpSpPr>
          <a:xfrm>
            <a:off x="1219200" y="2510935"/>
            <a:ext cx="2226716" cy="179672"/>
            <a:chOff x="1219200" y="2510935"/>
            <a:chExt cx="2226716" cy="179672"/>
          </a:xfrm>
        </xdr:grpSpPr>
        <xdr:sp macro="" textlink="">
          <xdr:nvSpPr>
            <xdr:cNvPr id="6" name="Custom">
              <a:hlinkClick xmlns:r="http://schemas.openxmlformats.org/officeDocument/2006/relationships" r:id="rId3"/>
              <a:extLst>
                <a:ext uri="{FF2B5EF4-FFF2-40B4-BE49-F238E27FC236}">
                  <a16:creationId xmlns:a16="http://schemas.microsoft.com/office/drawing/2014/main" id="{00000000-0008-0000-1300-000006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Standard">
              <a:extLst>
                <a:ext uri="{FF2B5EF4-FFF2-40B4-BE49-F238E27FC236}">
                  <a16:creationId xmlns:a16="http://schemas.microsoft.com/office/drawing/2014/main" id="{00000000-0008-0000-1300-000007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5" name="Measure Categories">
          <a:extLst>
            <a:ext uri="{FF2B5EF4-FFF2-40B4-BE49-F238E27FC236}">
              <a16:creationId xmlns:a16="http://schemas.microsoft.com/office/drawing/2014/main" id="{00000000-0008-0000-1300-000019000000}"/>
            </a:ext>
          </a:extLst>
        </xdr:cNvPr>
        <xdr:cNvGrpSpPr/>
      </xdr:nvGrpSpPr>
      <xdr:grpSpPr>
        <a:xfrm>
          <a:off x="2823882" y="1613647"/>
          <a:ext cx="10040472" cy="607535"/>
          <a:chOff x="2240280" y="1582544"/>
          <a:chExt cx="10241281" cy="596777"/>
        </a:xfrm>
      </xdr:grpSpPr>
      <xdr:grpSp>
        <xdr:nvGrpSpPr>
          <xdr:cNvPr id="26" name="Categories">
            <a:extLst>
              <a:ext uri="{FF2B5EF4-FFF2-40B4-BE49-F238E27FC236}">
                <a16:creationId xmlns:a16="http://schemas.microsoft.com/office/drawing/2014/main" id="{00000000-0008-0000-1300-00001A000000}"/>
              </a:ext>
            </a:extLst>
          </xdr:cNvPr>
          <xdr:cNvGrpSpPr/>
        </xdr:nvGrpSpPr>
        <xdr:grpSpPr>
          <a:xfrm>
            <a:off x="2240280" y="1584961"/>
            <a:ext cx="10241281" cy="594360"/>
            <a:chOff x="2240280" y="1584961"/>
            <a:chExt cx="10241281" cy="594360"/>
          </a:xfrm>
        </xdr:grpSpPr>
        <xdr:sp macro="" textlink="">
          <xdr:nvSpPr>
            <xdr:cNvPr id="35" name="Lighting" hidden="1">
              <a:hlinkClick xmlns:r="http://schemas.openxmlformats.org/officeDocument/2006/relationships" r:id="rId4" tooltip="Lighting"/>
              <a:extLst>
                <a:ext uri="{FF2B5EF4-FFF2-40B4-BE49-F238E27FC236}">
                  <a16:creationId xmlns:a16="http://schemas.microsoft.com/office/drawing/2014/main" id="{00000000-0008-0000-1300-00002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Lighting Controls">
              <a:hlinkClick xmlns:r="http://schemas.openxmlformats.org/officeDocument/2006/relationships" r:id="rId1" tooltip="Lighting Controls"/>
              <a:extLst>
                <a:ext uri="{FF2B5EF4-FFF2-40B4-BE49-F238E27FC236}">
                  <a16:creationId xmlns:a16="http://schemas.microsoft.com/office/drawing/2014/main" id="{00000000-0008-0000-1300-000024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Refrigeration">
              <a:hlinkClick xmlns:r="http://schemas.openxmlformats.org/officeDocument/2006/relationships" r:id="rId5" tooltip="Refrigeration"/>
              <a:extLst>
                <a:ext uri="{FF2B5EF4-FFF2-40B4-BE49-F238E27FC236}">
                  <a16:creationId xmlns:a16="http://schemas.microsoft.com/office/drawing/2014/main" id="{00000000-0008-0000-1300-000025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HVAC">
              <a:hlinkClick xmlns:r="http://schemas.openxmlformats.org/officeDocument/2006/relationships" r:id="rId6" tooltip="HVAC"/>
              <a:extLst>
                <a:ext uri="{FF2B5EF4-FFF2-40B4-BE49-F238E27FC236}">
                  <a16:creationId xmlns:a16="http://schemas.microsoft.com/office/drawing/2014/main" id="{00000000-0008-0000-1300-000028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Motors and Drives">
              <a:hlinkClick xmlns:r="http://schemas.openxmlformats.org/officeDocument/2006/relationships" r:id="rId7" tooltip="Motors and Drives"/>
              <a:extLst>
                <a:ext uri="{FF2B5EF4-FFF2-40B4-BE49-F238E27FC236}">
                  <a16:creationId xmlns:a16="http://schemas.microsoft.com/office/drawing/2014/main" id="{00000000-0008-0000-1300-00002F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8" tooltip="Compressed Air / Process"/>
              <a:extLst>
                <a:ext uri="{FF2B5EF4-FFF2-40B4-BE49-F238E27FC236}">
                  <a16:creationId xmlns:a16="http://schemas.microsoft.com/office/drawing/2014/main" id="{00000000-0008-0000-13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9" tooltip="Water Heating / Food Services"/>
              <a:extLst>
                <a:ext uri="{FF2B5EF4-FFF2-40B4-BE49-F238E27FC236}">
                  <a16:creationId xmlns:a16="http://schemas.microsoft.com/office/drawing/2014/main" id="{00000000-0008-0000-1300-000036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iscellaneous">
              <a:hlinkClick xmlns:r="http://schemas.openxmlformats.org/officeDocument/2006/relationships" r:id="rId10" tooltip="Miscellaneous"/>
              <a:extLst>
                <a:ext uri="{FF2B5EF4-FFF2-40B4-BE49-F238E27FC236}">
                  <a16:creationId xmlns:a16="http://schemas.microsoft.com/office/drawing/2014/main" id="{00000000-0008-0000-1300-000037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3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3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3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3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3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3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3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hidden="1">
              <a:extLst>
                <a:ext uri="{FF2B5EF4-FFF2-40B4-BE49-F238E27FC236}">
                  <a16:creationId xmlns:a16="http://schemas.microsoft.com/office/drawing/2014/main" id="{00000000-0008-0000-13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3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3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1" tooltip="Project Review"/>
            <a:extLst>
              <a:ext uri="{FF2B5EF4-FFF2-40B4-BE49-F238E27FC236}">
                <a16:creationId xmlns:a16="http://schemas.microsoft.com/office/drawing/2014/main" id="{00000000-0008-0000-13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2" tooltip="Payment"/>
            <a:extLst>
              <a:ext uri="{FF2B5EF4-FFF2-40B4-BE49-F238E27FC236}">
                <a16:creationId xmlns:a16="http://schemas.microsoft.com/office/drawing/2014/main" id="{00000000-0008-0000-13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3" tooltip="Equipment Input"/>
            <a:extLst>
              <a:ext uri="{FF2B5EF4-FFF2-40B4-BE49-F238E27FC236}">
                <a16:creationId xmlns:a16="http://schemas.microsoft.com/office/drawing/2014/main" id="{00000000-0008-0000-13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4" tooltip="Building Information"/>
            <a:extLst>
              <a:ext uri="{FF2B5EF4-FFF2-40B4-BE49-F238E27FC236}">
                <a16:creationId xmlns:a16="http://schemas.microsoft.com/office/drawing/2014/main" id="{00000000-0008-0000-13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5" tooltip="Customer Information"/>
            <a:extLst>
              <a:ext uri="{FF2B5EF4-FFF2-40B4-BE49-F238E27FC236}">
                <a16:creationId xmlns:a16="http://schemas.microsoft.com/office/drawing/2014/main" id="{00000000-0008-0000-13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6" tooltip="Trade Ally/Vendor Information"/>
            <a:extLst>
              <a:ext uri="{FF2B5EF4-FFF2-40B4-BE49-F238E27FC236}">
                <a16:creationId xmlns:a16="http://schemas.microsoft.com/office/drawing/2014/main" id="{00000000-0008-0000-13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7" tooltip="Terms &amp; Conditions"/>
            <a:extLst>
              <a:ext uri="{FF2B5EF4-FFF2-40B4-BE49-F238E27FC236}">
                <a16:creationId xmlns:a16="http://schemas.microsoft.com/office/drawing/2014/main" id="{00000000-0008-0000-13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38" name="Header">
          <a:extLst>
            <a:ext uri="{FF2B5EF4-FFF2-40B4-BE49-F238E27FC236}">
              <a16:creationId xmlns:a16="http://schemas.microsoft.com/office/drawing/2014/main" id="{00000000-0008-0000-1300-000026000000}"/>
            </a:ext>
          </a:extLst>
        </xdr:cNvPr>
        <xdr:cNvGrpSpPr/>
      </xdr:nvGrpSpPr>
      <xdr:grpSpPr>
        <a:xfrm>
          <a:off x="0" y="0"/>
          <a:ext cx="15374471" cy="605118"/>
          <a:chOff x="0" y="0"/>
          <a:chExt cx="15813741" cy="591671"/>
        </a:xfrm>
      </xdr:grpSpPr>
      <xdr:grpSp>
        <xdr:nvGrpSpPr>
          <xdr:cNvPr id="39" name="Header">
            <a:extLst>
              <a:ext uri="{FF2B5EF4-FFF2-40B4-BE49-F238E27FC236}">
                <a16:creationId xmlns:a16="http://schemas.microsoft.com/office/drawing/2014/main" id="{00000000-0008-0000-1300-000027000000}"/>
              </a:ext>
            </a:extLst>
          </xdr:cNvPr>
          <xdr:cNvGrpSpPr/>
        </xdr:nvGrpSpPr>
        <xdr:grpSpPr>
          <a:xfrm>
            <a:off x="0" y="0"/>
            <a:ext cx="15813741" cy="591671"/>
            <a:chOff x="0" y="0"/>
            <a:chExt cx="15813741" cy="591671"/>
          </a:xfrm>
        </xdr:grpSpPr>
        <xdr:sp macro="" textlink="">
          <xdr:nvSpPr>
            <xdr:cNvPr id="46" name="Reference">
              <a:extLst>
                <a:ext uri="{FF2B5EF4-FFF2-40B4-BE49-F238E27FC236}">
                  <a16:creationId xmlns:a16="http://schemas.microsoft.com/office/drawing/2014/main" id="{00000000-0008-0000-1300-00002E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8" tooltip="Contact"/>
              <a:extLst>
                <a:ext uri="{FF2B5EF4-FFF2-40B4-BE49-F238E27FC236}">
                  <a16:creationId xmlns:a16="http://schemas.microsoft.com/office/drawing/2014/main" id="{00000000-0008-0000-1300-000032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19" tooltip=" "/>
              <a:extLst>
                <a:ext uri="{FF2B5EF4-FFF2-40B4-BE49-F238E27FC236}">
                  <a16:creationId xmlns:a16="http://schemas.microsoft.com/office/drawing/2014/main" id="{00000000-0008-0000-1300-000033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0" tooltip=" "/>
              <a:extLst>
                <a:ext uri="{FF2B5EF4-FFF2-40B4-BE49-F238E27FC236}">
                  <a16:creationId xmlns:a16="http://schemas.microsoft.com/office/drawing/2014/main" id="{00000000-0008-0000-1300-000034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Instructions">
              <a:hlinkClick xmlns:r="http://schemas.openxmlformats.org/officeDocument/2006/relationships" r:id="rId21" tooltip="Instructions"/>
              <a:extLst>
                <a:ext uri="{FF2B5EF4-FFF2-40B4-BE49-F238E27FC236}">
                  <a16:creationId xmlns:a16="http://schemas.microsoft.com/office/drawing/2014/main" id="{00000000-0008-0000-1300-00003B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Welcome">
              <a:hlinkClick xmlns:r="http://schemas.openxmlformats.org/officeDocument/2006/relationships" r:id="rId22" tooltip="Welcome"/>
              <a:extLst>
                <a:ext uri="{FF2B5EF4-FFF2-40B4-BE49-F238E27FC236}">
                  <a16:creationId xmlns:a16="http://schemas.microsoft.com/office/drawing/2014/main" id="{00000000-0008-0000-1300-00003C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1" name="Evergy Logo">
              <a:extLst>
                <a:ext uri="{FF2B5EF4-FFF2-40B4-BE49-F238E27FC236}">
                  <a16:creationId xmlns:a16="http://schemas.microsoft.com/office/drawing/2014/main" id="{00000000-0008-0000-1300-00003D00000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2" name="State">
              <a:extLst>
                <a:ext uri="{FF2B5EF4-FFF2-40B4-BE49-F238E27FC236}">
                  <a16:creationId xmlns:a16="http://schemas.microsoft.com/office/drawing/2014/main" id="{00000000-0008-0000-1300-00003E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300-000029000000}"/>
              </a:ext>
            </a:extLst>
          </xdr:cNvPr>
          <xdr:cNvGrpSpPr/>
        </xdr:nvGrpSpPr>
        <xdr:grpSpPr>
          <a:xfrm>
            <a:off x="1613717" y="85337"/>
            <a:ext cx="11618762" cy="422893"/>
            <a:chOff x="1612951" y="85725"/>
            <a:chExt cx="11618931" cy="423022"/>
          </a:xfrm>
        </xdr:grpSpPr>
        <xdr:cxnSp macro="">
          <xdr:nvCxnSpPr>
            <xdr:cNvPr id="42" name="Divider 4">
              <a:extLst>
                <a:ext uri="{FF2B5EF4-FFF2-40B4-BE49-F238E27FC236}">
                  <a16:creationId xmlns:a16="http://schemas.microsoft.com/office/drawing/2014/main" id="{00000000-0008-0000-13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3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3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1">
              <a:extLst>
                <a:ext uri="{FF2B5EF4-FFF2-40B4-BE49-F238E27FC236}">
                  <a16:creationId xmlns:a16="http://schemas.microsoft.com/office/drawing/2014/main" id="{00000000-0008-0000-1300-00002D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94800</xdr:colOff>
      <xdr:row>8</xdr:row>
      <xdr:rowOff>93234</xdr:rowOff>
    </xdr:from>
    <xdr:to>
      <xdr:col>3</xdr:col>
      <xdr:colOff>1836</xdr:colOff>
      <xdr:row>10</xdr:row>
      <xdr:rowOff>97492</xdr:rowOff>
    </xdr:to>
    <xdr:sp macro="" textlink="">
      <xdr:nvSpPr>
        <xdr:cNvPr id="43" name="Arrow: Left 42">
          <a:hlinkClick xmlns:r="http://schemas.openxmlformats.org/officeDocument/2006/relationships" r:id="rId1" tooltip="Back: Refrigeration"/>
          <a:extLst>
            <a:ext uri="{FF2B5EF4-FFF2-40B4-BE49-F238E27FC236}">
              <a16:creationId xmlns:a16="http://schemas.microsoft.com/office/drawing/2014/main" id="{00000000-0008-0000-1400-00002B000000}"/>
            </a:ext>
          </a:extLst>
        </xdr:cNvPr>
        <xdr:cNvSpPr/>
      </xdr:nvSpPr>
      <xdr:spPr>
        <a:xfrm>
          <a:off x="414840" y="1678194"/>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44" name="Arrow: Right 43">
          <a:hlinkClick xmlns:r="http://schemas.openxmlformats.org/officeDocument/2006/relationships" r:id="rId2" tooltip="Forward: Motors and Drives"/>
          <a:extLst>
            <a:ext uri="{FF2B5EF4-FFF2-40B4-BE49-F238E27FC236}">
              <a16:creationId xmlns:a16="http://schemas.microsoft.com/office/drawing/2014/main" id="{00000000-0008-0000-1400-00002C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37" name="Select 1">
          <a:extLst>
            <a:ext uri="{FF2B5EF4-FFF2-40B4-BE49-F238E27FC236}">
              <a16:creationId xmlns:a16="http://schemas.microsoft.com/office/drawing/2014/main" id="{00000000-0008-0000-1400-000025000000}"/>
            </a:ext>
          </a:extLst>
        </xdr:cNvPr>
        <xdr:cNvGrpSpPr/>
      </xdr:nvGrpSpPr>
      <xdr:grpSpPr>
        <a:xfrm>
          <a:off x="2196353" y="2622176"/>
          <a:ext cx="2345716" cy="280043"/>
          <a:chOff x="1037447" y="2413275"/>
          <a:chExt cx="2408469" cy="277332"/>
        </a:xfrm>
      </xdr:grpSpPr>
      <xdr:cxnSp macro="">
        <xdr:nvCxnSpPr>
          <xdr:cNvPr id="38" name="Reference - V">
            <a:extLst>
              <a:ext uri="{FF2B5EF4-FFF2-40B4-BE49-F238E27FC236}">
                <a16:creationId xmlns:a16="http://schemas.microsoft.com/office/drawing/2014/main" id="{00000000-0008-0000-1400-000026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39" name="Reference - H">
            <a:extLst>
              <a:ext uri="{FF2B5EF4-FFF2-40B4-BE49-F238E27FC236}">
                <a16:creationId xmlns:a16="http://schemas.microsoft.com/office/drawing/2014/main" id="{00000000-0008-0000-1400-000027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40" name="Options">
            <a:extLst>
              <a:ext uri="{FF2B5EF4-FFF2-40B4-BE49-F238E27FC236}">
                <a16:creationId xmlns:a16="http://schemas.microsoft.com/office/drawing/2014/main" id="{00000000-0008-0000-1400-000028000000}"/>
              </a:ext>
            </a:extLst>
          </xdr:cNvPr>
          <xdr:cNvGrpSpPr/>
        </xdr:nvGrpSpPr>
        <xdr:grpSpPr>
          <a:xfrm>
            <a:off x="1219200" y="2510935"/>
            <a:ext cx="2226716" cy="179672"/>
            <a:chOff x="1219200" y="2510935"/>
            <a:chExt cx="2226716" cy="179672"/>
          </a:xfrm>
        </xdr:grpSpPr>
        <xdr:sp macro="" textlink="">
          <xdr:nvSpPr>
            <xdr:cNvPr id="41" name="Custom">
              <a:hlinkClick xmlns:r="http://schemas.openxmlformats.org/officeDocument/2006/relationships" r:id="rId3"/>
              <a:extLst>
                <a:ext uri="{FF2B5EF4-FFF2-40B4-BE49-F238E27FC236}">
                  <a16:creationId xmlns:a16="http://schemas.microsoft.com/office/drawing/2014/main" id="{00000000-0008-0000-1400-000029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42" name="Standard">
              <a:extLst>
                <a:ext uri="{FF2B5EF4-FFF2-40B4-BE49-F238E27FC236}">
                  <a16:creationId xmlns:a16="http://schemas.microsoft.com/office/drawing/2014/main" id="{00000000-0008-0000-1400-00002A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5" name="Measure Categories">
          <a:extLst>
            <a:ext uri="{FF2B5EF4-FFF2-40B4-BE49-F238E27FC236}">
              <a16:creationId xmlns:a16="http://schemas.microsoft.com/office/drawing/2014/main" id="{00000000-0008-0000-1400-000019000000}"/>
            </a:ext>
          </a:extLst>
        </xdr:cNvPr>
        <xdr:cNvGrpSpPr/>
      </xdr:nvGrpSpPr>
      <xdr:grpSpPr>
        <a:xfrm>
          <a:off x="2823882" y="1613647"/>
          <a:ext cx="10040472" cy="607535"/>
          <a:chOff x="2240280" y="1582544"/>
          <a:chExt cx="10241281" cy="596777"/>
        </a:xfrm>
      </xdr:grpSpPr>
      <xdr:grpSp>
        <xdr:nvGrpSpPr>
          <xdr:cNvPr id="26" name="Categories">
            <a:extLst>
              <a:ext uri="{FF2B5EF4-FFF2-40B4-BE49-F238E27FC236}">
                <a16:creationId xmlns:a16="http://schemas.microsoft.com/office/drawing/2014/main" id="{00000000-0008-0000-1400-00001A000000}"/>
              </a:ext>
            </a:extLst>
          </xdr:cNvPr>
          <xdr:cNvGrpSpPr/>
        </xdr:nvGrpSpPr>
        <xdr:grpSpPr>
          <a:xfrm>
            <a:off x="2240280" y="1584961"/>
            <a:ext cx="10241281" cy="594360"/>
            <a:chOff x="2240280" y="1584961"/>
            <a:chExt cx="10241281" cy="594360"/>
          </a:xfrm>
        </xdr:grpSpPr>
        <xdr:sp macro="" textlink="">
          <xdr:nvSpPr>
            <xdr:cNvPr id="35" name="Lighting" hidden="1">
              <a:hlinkClick xmlns:r="http://schemas.openxmlformats.org/officeDocument/2006/relationships" r:id="rId4" tooltip="Lighting"/>
              <a:extLst>
                <a:ext uri="{FF2B5EF4-FFF2-40B4-BE49-F238E27FC236}">
                  <a16:creationId xmlns:a16="http://schemas.microsoft.com/office/drawing/2014/main" id="{00000000-0008-0000-1400-00002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Lighting Controls">
              <a:hlinkClick xmlns:r="http://schemas.openxmlformats.org/officeDocument/2006/relationships" r:id="rId5" tooltip="Lighting Controls"/>
              <a:extLst>
                <a:ext uri="{FF2B5EF4-FFF2-40B4-BE49-F238E27FC236}">
                  <a16:creationId xmlns:a16="http://schemas.microsoft.com/office/drawing/2014/main" id="{00000000-0008-0000-1400-00002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Refrigeration">
              <a:hlinkClick xmlns:r="http://schemas.openxmlformats.org/officeDocument/2006/relationships" r:id="rId6" tooltip="Refrigeration"/>
              <a:extLst>
                <a:ext uri="{FF2B5EF4-FFF2-40B4-BE49-F238E27FC236}">
                  <a16:creationId xmlns:a16="http://schemas.microsoft.com/office/drawing/2014/main" id="{00000000-0008-0000-1400-00002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HVAC">
              <a:hlinkClick xmlns:r="http://schemas.openxmlformats.org/officeDocument/2006/relationships" r:id="rId7" tooltip="HVAC"/>
              <a:extLst>
                <a:ext uri="{FF2B5EF4-FFF2-40B4-BE49-F238E27FC236}">
                  <a16:creationId xmlns:a16="http://schemas.microsoft.com/office/drawing/2014/main" id="{00000000-0008-0000-1400-000033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otors and Drives">
              <a:hlinkClick xmlns:r="http://schemas.openxmlformats.org/officeDocument/2006/relationships" r:id="rId8" tooltip="Motors and Drives"/>
              <a:extLst>
                <a:ext uri="{FF2B5EF4-FFF2-40B4-BE49-F238E27FC236}">
                  <a16:creationId xmlns:a16="http://schemas.microsoft.com/office/drawing/2014/main" id="{00000000-0008-0000-1400-000034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9" tooltip="Compressed Air / Process"/>
              <a:extLst>
                <a:ext uri="{FF2B5EF4-FFF2-40B4-BE49-F238E27FC236}">
                  <a16:creationId xmlns:a16="http://schemas.microsoft.com/office/drawing/2014/main" id="{00000000-0008-0000-14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10" tooltip="Water Heating / Food Services"/>
              <a:extLst>
                <a:ext uri="{FF2B5EF4-FFF2-40B4-BE49-F238E27FC236}">
                  <a16:creationId xmlns:a16="http://schemas.microsoft.com/office/drawing/2014/main" id="{00000000-0008-0000-1400-000036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iscellaneous">
              <a:hlinkClick xmlns:r="http://schemas.openxmlformats.org/officeDocument/2006/relationships" r:id="rId11" tooltip="Miscellaneous"/>
              <a:extLst>
                <a:ext uri="{FF2B5EF4-FFF2-40B4-BE49-F238E27FC236}">
                  <a16:creationId xmlns:a16="http://schemas.microsoft.com/office/drawing/2014/main" id="{00000000-0008-0000-1400-000037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4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4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4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4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4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4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4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hidden="1">
              <a:extLst>
                <a:ext uri="{FF2B5EF4-FFF2-40B4-BE49-F238E27FC236}">
                  <a16:creationId xmlns:a16="http://schemas.microsoft.com/office/drawing/2014/main" id="{00000000-0008-0000-14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4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4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4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4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4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4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4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4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8" tooltip="Terms &amp; Conditions"/>
            <a:extLst>
              <a:ext uri="{FF2B5EF4-FFF2-40B4-BE49-F238E27FC236}">
                <a16:creationId xmlns:a16="http://schemas.microsoft.com/office/drawing/2014/main" id="{00000000-0008-0000-14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 name="Header">
          <a:extLst>
            <a:ext uri="{FF2B5EF4-FFF2-40B4-BE49-F238E27FC236}">
              <a16:creationId xmlns:a16="http://schemas.microsoft.com/office/drawing/2014/main" id="{00000000-0008-0000-1400-000002000000}"/>
            </a:ext>
          </a:extLst>
        </xdr:cNvPr>
        <xdr:cNvGrpSpPr/>
      </xdr:nvGrpSpPr>
      <xdr:grpSpPr>
        <a:xfrm>
          <a:off x="0" y="0"/>
          <a:ext cx="15374471" cy="605118"/>
          <a:chOff x="0" y="0"/>
          <a:chExt cx="15813741" cy="591671"/>
        </a:xfrm>
      </xdr:grpSpPr>
      <xdr:grpSp>
        <xdr:nvGrpSpPr>
          <xdr:cNvPr id="3" name="Header">
            <a:extLst>
              <a:ext uri="{FF2B5EF4-FFF2-40B4-BE49-F238E27FC236}">
                <a16:creationId xmlns:a16="http://schemas.microsoft.com/office/drawing/2014/main" id="{00000000-0008-0000-1400-000003000000}"/>
              </a:ext>
            </a:extLst>
          </xdr:cNvPr>
          <xdr:cNvGrpSpPr/>
        </xdr:nvGrpSpPr>
        <xdr:grpSpPr>
          <a:xfrm>
            <a:off x="0" y="0"/>
            <a:ext cx="15813741" cy="591671"/>
            <a:chOff x="0" y="0"/>
            <a:chExt cx="15813741" cy="591671"/>
          </a:xfrm>
        </xdr:grpSpPr>
        <xdr:sp macro="" textlink="">
          <xdr:nvSpPr>
            <xdr:cNvPr id="9" name="Reference">
              <a:extLst>
                <a:ext uri="{FF2B5EF4-FFF2-40B4-BE49-F238E27FC236}">
                  <a16:creationId xmlns:a16="http://schemas.microsoft.com/office/drawing/2014/main" id="{00000000-0008-0000-1400-000009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Contact">
              <a:hlinkClick xmlns:r="http://schemas.openxmlformats.org/officeDocument/2006/relationships" r:id="rId19" tooltip="Contact"/>
              <a:extLst>
                <a:ext uri="{FF2B5EF4-FFF2-40B4-BE49-F238E27FC236}">
                  <a16:creationId xmlns:a16="http://schemas.microsoft.com/office/drawing/2014/main" id="{00000000-0008-0000-1400-00000A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Completion Form">
              <a:hlinkClick xmlns:r="http://schemas.openxmlformats.org/officeDocument/2006/relationships" r:id="rId20" tooltip=" "/>
              <a:extLst>
                <a:ext uri="{FF2B5EF4-FFF2-40B4-BE49-F238E27FC236}">
                  <a16:creationId xmlns:a16="http://schemas.microsoft.com/office/drawing/2014/main" id="{00000000-0008-0000-1400-00000B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Offer Form">
              <a:hlinkClick xmlns:r="http://schemas.openxmlformats.org/officeDocument/2006/relationships" r:id="rId21" tooltip=" "/>
              <a:extLst>
                <a:ext uri="{FF2B5EF4-FFF2-40B4-BE49-F238E27FC236}">
                  <a16:creationId xmlns:a16="http://schemas.microsoft.com/office/drawing/2014/main" id="{00000000-0008-0000-1400-00000C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Instructions">
              <a:hlinkClick xmlns:r="http://schemas.openxmlformats.org/officeDocument/2006/relationships" r:id="rId22" tooltip="Instructions"/>
              <a:extLst>
                <a:ext uri="{FF2B5EF4-FFF2-40B4-BE49-F238E27FC236}">
                  <a16:creationId xmlns:a16="http://schemas.microsoft.com/office/drawing/2014/main" id="{00000000-0008-0000-1400-00000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Welcome">
              <a:hlinkClick xmlns:r="http://schemas.openxmlformats.org/officeDocument/2006/relationships" r:id="rId23" tooltip="Welcome"/>
              <a:extLst>
                <a:ext uri="{FF2B5EF4-FFF2-40B4-BE49-F238E27FC236}">
                  <a16:creationId xmlns:a16="http://schemas.microsoft.com/office/drawing/2014/main" id="{00000000-0008-0000-1400-00000E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5" name="Evergy Logo">
              <a:extLst>
                <a:ext uri="{FF2B5EF4-FFF2-40B4-BE49-F238E27FC236}">
                  <a16:creationId xmlns:a16="http://schemas.microsoft.com/office/drawing/2014/main" id="{00000000-0008-0000-1400-00000F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6" name="State">
              <a:extLst>
                <a:ext uri="{FF2B5EF4-FFF2-40B4-BE49-F238E27FC236}">
                  <a16:creationId xmlns:a16="http://schemas.microsoft.com/office/drawing/2014/main" id="{00000000-0008-0000-1400-000024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 name="Dividers">
            <a:extLst>
              <a:ext uri="{FF2B5EF4-FFF2-40B4-BE49-F238E27FC236}">
                <a16:creationId xmlns:a16="http://schemas.microsoft.com/office/drawing/2014/main" id="{00000000-0008-0000-1400-000004000000}"/>
              </a:ext>
            </a:extLst>
          </xdr:cNvPr>
          <xdr:cNvGrpSpPr/>
        </xdr:nvGrpSpPr>
        <xdr:grpSpPr>
          <a:xfrm>
            <a:off x="1613717" y="85337"/>
            <a:ext cx="11618762" cy="422893"/>
            <a:chOff x="1612951" y="85725"/>
            <a:chExt cx="11618931" cy="423022"/>
          </a:xfrm>
        </xdr:grpSpPr>
        <xdr:cxnSp macro="">
          <xdr:nvCxnSpPr>
            <xdr:cNvPr id="5" name="Divider 4">
              <a:extLst>
                <a:ext uri="{FF2B5EF4-FFF2-40B4-BE49-F238E27FC236}">
                  <a16:creationId xmlns:a16="http://schemas.microsoft.com/office/drawing/2014/main" id="{00000000-0008-0000-1400-00000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3">
              <a:extLst>
                <a:ext uri="{FF2B5EF4-FFF2-40B4-BE49-F238E27FC236}">
                  <a16:creationId xmlns:a16="http://schemas.microsoft.com/office/drawing/2014/main" id="{00000000-0008-0000-1400-00000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2">
              <a:extLst>
                <a:ext uri="{FF2B5EF4-FFF2-40B4-BE49-F238E27FC236}">
                  <a16:creationId xmlns:a16="http://schemas.microsoft.com/office/drawing/2014/main" id="{00000000-0008-0000-1400-00000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1">
              <a:extLst>
                <a:ext uri="{FF2B5EF4-FFF2-40B4-BE49-F238E27FC236}">
                  <a16:creationId xmlns:a16="http://schemas.microsoft.com/office/drawing/2014/main" id="{00000000-0008-0000-1400-00000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2" name="Arrow: Left M3S8">
          <a:hlinkClick xmlns:r="http://schemas.openxmlformats.org/officeDocument/2006/relationships" r:id="rId1" tooltip="Back: HVAC"/>
          <a:extLst>
            <a:ext uri="{FF2B5EF4-FFF2-40B4-BE49-F238E27FC236}">
              <a16:creationId xmlns:a16="http://schemas.microsoft.com/office/drawing/2014/main" id="{00000000-0008-0000-1500-000002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3" name="Arrow: Right M3S8">
          <a:hlinkClick xmlns:r="http://schemas.openxmlformats.org/officeDocument/2006/relationships" r:id="rId2" tooltip="Forward: Compressed Air / Process"/>
          <a:extLst>
            <a:ext uri="{FF2B5EF4-FFF2-40B4-BE49-F238E27FC236}">
              <a16:creationId xmlns:a16="http://schemas.microsoft.com/office/drawing/2014/main" id="{00000000-0008-0000-1500-000003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4" name="Select 1">
          <a:extLst>
            <a:ext uri="{FF2B5EF4-FFF2-40B4-BE49-F238E27FC236}">
              <a16:creationId xmlns:a16="http://schemas.microsoft.com/office/drawing/2014/main" id="{00000000-0008-0000-1500-000004000000}"/>
            </a:ext>
          </a:extLst>
        </xdr:cNvPr>
        <xdr:cNvGrpSpPr/>
      </xdr:nvGrpSpPr>
      <xdr:grpSpPr>
        <a:xfrm>
          <a:off x="2196353" y="2622176"/>
          <a:ext cx="2345716" cy="280043"/>
          <a:chOff x="1037447" y="2413275"/>
          <a:chExt cx="2408469" cy="277332"/>
        </a:xfrm>
      </xdr:grpSpPr>
      <xdr:cxnSp macro="">
        <xdr:nvCxnSpPr>
          <xdr:cNvPr id="5" name="Reference - V">
            <a:extLst>
              <a:ext uri="{FF2B5EF4-FFF2-40B4-BE49-F238E27FC236}">
                <a16:creationId xmlns:a16="http://schemas.microsoft.com/office/drawing/2014/main" id="{00000000-0008-0000-1500-000005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6" name="Reference - H">
            <a:extLst>
              <a:ext uri="{FF2B5EF4-FFF2-40B4-BE49-F238E27FC236}">
                <a16:creationId xmlns:a16="http://schemas.microsoft.com/office/drawing/2014/main" id="{00000000-0008-0000-1500-000006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 name="Options">
            <a:extLst>
              <a:ext uri="{FF2B5EF4-FFF2-40B4-BE49-F238E27FC236}">
                <a16:creationId xmlns:a16="http://schemas.microsoft.com/office/drawing/2014/main" id="{00000000-0008-0000-1500-000007000000}"/>
              </a:ext>
            </a:extLst>
          </xdr:cNvPr>
          <xdr:cNvGrpSpPr/>
        </xdr:nvGrpSpPr>
        <xdr:grpSpPr>
          <a:xfrm>
            <a:off x="1219200" y="2510935"/>
            <a:ext cx="2226716" cy="179672"/>
            <a:chOff x="1219200" y="2510935"/>
            <a:chExt cx="2226716" cy="179672"/>
          </a:xfrm>
        </xdr:grpSpPr>
        <xdr:sp macro="" textlink="">
          <xdr:nvSpPr>
            <xdr:cNvPr id="8" name="Custom">
              <a:hlinkClick xmlns:r="http://schemas.openxmlformats.org/officeDocument/2006/relationships" r:id="rId3"/>
              <a:extLst>
                <a:ext uri="{FF2B5EF4-FFF2-40B4-BE49-F238E27FC236}">
                  <a16:creationId xmlns:a16="http://schemas.microsoft.com/office/drawing/2014/main" id="{00000000-0008-0000-1500-000008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10" name="Standard">
              <a:extLst>
                <a:ext uri="{FF2B5EF4-FFF2-40B4-BE49-F238E27FC236}">
                  <a16:creationId xmlns:a16="http://schemas.microsoft.com/office/drawing/2014/main" id="{00000000-0008-0000-1500-00000A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0" name="Measure Categories">
          <a:extLst>
            <a:ext uri="{FF2B5EF4-FFF2-40B4-BE49-F238E27FC236}">
              <a16:creationId xmlns:a16="http://schemas.microsoft.com/office/drawing/2014/main" id="{00000000-0008-0000-1500-000014000000}"/>
            </a:ext>
          </a:extLst>
        </xdr:cNvPr>
        <xdr:cNvGrpSpPr/>
      </xdr:nvGrpSpPr>
      <xdr:grpSpPr>
        <a:xfrm>
          <a:off x="2823882" y="1613647"/>
          <a:ext cx="10040472" cy="607535"/>
          <a:chOff x="2240280" y="1582544"/>
          <a:chExt cx="10241281" cy="596777"/>
        </a:xfrm>
      </xdr:grpSpPr>
      <xdr:grpSp>
        <xdr:nvGrpSpPr>
          <xdr:cNvPr id="21" name="Categories">
            <a:extLst>
              <a:ext uri="{FF2B5EF4-FFF2-40B4-BE49-F238E27FC236}">
                <a16:creationId xmlns:a16="http://schemas.microsoft.com/office/drawing/2014/main" id="{00000000-0008-0000-1500-000015000000}"/>
              </a:ext>
            </a:extLst>
          </xdr:cNvPr>
          <xdr:cNvGrpSpPr/>
        </xdr:nvGrpSpPr>
        <xdr:grpSpPr>
          <a:xfrm>
            <a:off x="2240280" y="1584961"/>
            <a:ext cx="10241281" cy="594360"/>
            <a:chOff x="2240280" y="1584961"/>
            <a:chExt cx="10241281" cy="594360"/>
          </a:xfrm>
        </xdr:grpSpPr>
        <xdr:sp macro="" textlink="">
          <xdr:nvSpPr>
            <xdr:cNvPr id="55" name="Lighting" hidden="1">
              <a:hlinkClick xmlns:r="http://schemas.openxmlformats.org/officeDocument/2006/relationships" r:id="rId4" tooltip="Lighting"/>
              <a:extLst>
                <a:ext uri="{FF2B5EF4-FFF2-40B4-BE49-F238E27FC236}">
                  <a16:creationId xmlns:a16="http://schemas.microsoft.com/office/drawing/2014/main" id="{00000000-0008-0000-1500-000037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Lighting Controls">
              <a:hlinkClick xmlns:r="http://schemas.openxmlformats.org/officeDocument/2006/relationships" r:id="rId5" tooltip="Lighting Controls"/>
              <a:extLst>
                <a:ext uri="{FF2B5EF4-FFF2-40B4-BE49-F238E27FC236}">
                  <a16:creationId xmlns:a16="http://schemas.microsoft.com/office/drawing/2014/main" id="{00000000-0008-0000-1500-000038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Refrigeration">
              <a:hlinkClick xmlns:r="http://schemas.openxmlformats.org/officeDocument/2006/relationships" r:id="rId6" tooltip="Refrigeration"/>
              <a:extLst>
                <a:ext uri="{FF2B5EF4-FFF2-40B4-BE49-F238E27FC236}">
                  <a16:creationId xmlns:a16="http://schemas.microsoft.com/office/drawing/2014/main" id="{00000000-0008-0000-1500-000039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HVAC">
              <a:hlinkClick xmlns:r="http://schemas.openxmlformats.org/officeDocument/2006/relationships" r:id="rId7" tooltip="HVAC"/>
              <a:extLst>
                <a:ext uri="{FF2B5EF4-FFF2-40B4-BE49-F238E27FC236}">
                  <a16:creationId xmlns:a16="http://schemas.microsoft.com/office/drawing/2014/main" id="{00000000-0008-0000-1500-00003A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Motors and Drives">
              <a:hlinkClick xmlns:r="http://schemas.openxmlformats.org/officeDocument/2006/relationships" r:id="rId8" tooltip="Motors and Drives"/>
              <a:extLst>
                <a:ext uri="{FF2B5EF4-FFF2-40B4-BE49-F238E27FC236}">
                  <a16:creationId xmlns:a16="http://schemas.microsoft.com/office/drawing/2014/main" id="{00000000-0008-0000-1500-00003B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CAP">
              <a:hlinkClick xmlns:r="http://schemas.openxmlformats.org/officeDocument/2006/relationships" r:id="rId9" tooltip="Compressed Air / Process"/>
              <a:extLst>
                <a:ext uri="{FF2B5EF4-FFF2-40B4-BE49-F238E27FC236}">
                  <a16:creationId xmlns:a16="http://schemas.microsoft.com/office/drawing/2014/main" id="{00000000-0008-0000-1500-00003C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HFS">
              <a:hlinkClick xmlns:r="http://schemas.openxmlformats.org/officeDocument/2006/relationships" r:id="rId10" tooltip="Water Heating / Food Services"/>
              <a:extLst>
                <a:ext uri="{FF2B5EF4-FFF2-40B4-BE49-F238E27FC236}">
                  <a16:creationId xmlns:a16="http://schemas.microsoft.com/office/drawing/2014/main" id="{00000000-0008-0000-1500-00003D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Miscellaneous">
              <a:hlinkClick xmlns:r="http://schemas.openxmlformats.org/officeDocument/2006/relationships" r:id="rId11" tooltip="Miscellaneous"/>
              <a:extLst>
                <a:ext uri="{FF2B5EF4-FFF2-40B4-BE49-F238E27FC236}">
                  <a16:creationId xmlns:a16="http://schemas.microsoft.com/office/drawing/2014/main" id="{00000000-0008-0000-1500-00003E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2" name="Dividers">
            <a:extLst>
              <a:ext uri="{FF2B5EF4-FFF2-40B4-BE49-F238E27FC236}">
                <a16:creationId xmlns:a16="http://schemas.microsoft.com/office/drawing/2014/main" id="{00000000-0008-0000-1500-000016000000}"/>
              </a:ext>
            </a:extLst>
          </xdr:cNvPr>
          <xdr:cNvGrpSpPr/>
        </xdr:nvGrpSpPr>
        <xdr:grpSpPr>
          <a:xfrm>
            <a:off x="3521022" y="1582544"/>
            <a:ext cx="7680961" cy="551056"/>
            <a:chOff x="3520440" y="1580822"/>
            <a:chExt cx="7680960" cy="552779"/>
          </a:xfrm>
        </xdr:grpSpPr>
        <xdr:cxnSp macro="">
          <xdr:nvCxnSpPr>
            <xdr:cNvPr id="24" name="Divider 7">
              <a:extLst>
                <a:ext uri="{FF2B5EF4-FFF2-40B4-BE49-F238E27FC236}">
                  <a16:creationId xmlns:a16="http://schemas.microsoft.com/office/drawing/2014/main" id="{00000000-0008-0000-1500-000018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5" name="Divider 6">
              <a:extLst>
                <a:ext uri="{FF2B5EF4-FFF2-40B4-BE49-F238E27FC236}">
                  <a16:creationId xmlns:a16="http://schemas.microsoft.com/office/drawing/2014/main" id="{00000000-0008-0000-1500-000019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Divider 5">
              <a:extLst>
                <a:ext uri="{FF2B5EF4-FFF2-40B4-BE49-F238E27FC236}">
                  <a16:creationId xmlns:a16="http://schemas.microsoft.com/office/drawing/2014/main" id="{00000000-0008-0000-1500-00001A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4">
              <a:extLst>
                <a:ext uri="{FF2B5EF4-FFF2-40B4-BE49-F238E27FC236}">
                  <a16:creationId xmlns:a16="http://schemas.microsoft.com/office/drawing/2014/main" id="{00000000-0008-0000-1500-00002C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3">
              <a:extLst>
                <a:ext uri="{FF2B5EF4-FFF2-40B4-BE49-F238E27FC236}">
                  <a16:creationId xmlns:a16="http://schemas.microsoft.com/office/drawing/2014/main" id="{00000000-0008-0000-1500-000031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3" name="Divider 2">
              <a:extLst>
                <a:ext uri="{FF2B5EF4-FFF2-40B4-BE49-F238E27FC236}">
                  <a16:creationId xmlns:a16="http://schemas.microsoft.com/office/drawing/2014/main" id="{00000000-0008-0000-1500-000035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4" name="Divider 1" hidden="1">
              <a:extLst>
                <a:ext uri="{FF2B5EF4-FFF2-40B4-BE49-F238E27FC236}">
                  <a16:creationId xmlns:a16="http://schemas.microsoft.com/office/drawing/2014/main" id="{00000000-0008-0000-1500-000036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238124</xdr:colOff>
      <xdr:row>8</xdr:row>
      <xdr:rowOff>0</xdr:rowOff>
    </xdr:to>
    <xdr:grpSp>
      <xdr:nvGrpSpPr>
        <xdr:cNvPr id="9" name="Navigation">
          <a:extLst>
            <a:ext uri="{FF2B5EF4-FFF2-40B4-BE49-F238E27FC236}">
              <a16:creationId xmlns:a16="http://schemas.microsoft.com/office/drawing/2014/main" id="{00000000-0008-0000-1500-000009000000}"/>
            </a:ext>
          </a:extLst>
        </xdr:cNvPr>
        <xdr:cNvGrpSpPr/>
      </xdr:nvGrpSpPr>
      <xdr:grpSpPr>
        <a:xfrm>
          <a:off x="2196353" y="605118"/>
          <a:ext cx="11219889" cy="1008529"/>
          <a:chOff x="1610956" y="594360"/>
          <a:chExt cx="11437620" cy="990600"/>
        </a:xfrm>
      </xdr:grpSpPr>
      <xdr:cxnSp macro="">
        <xdr:nvCxnSpPr>
          <xdr:cNvPr id="28" name="Reference">
            <a:extLst>
              <a:ext uri="{FF2B5EF4-FFF2-40B4-BE49-F238E27FC236}">
                <a16:creationId xmlns:a16="http://schemas.microsoft.com/office/drawing/2014/main" id="{00000000-0008-0000-1500-00001C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9" name="7: Project Review">
            <a:hlinkClick xmlns:r="http://schemas.openxmlformats.org/officeDocument/2006/relationships" r:id="rId12" tooltip="Project Review"/>
            <a:extLst>
              <a:ext uri="{FF2B5EF4-FFF2-40B4-BE49-F238E27FC236}">
                <a16:creationId xmlns:a16="http://schemas.microsoft.com/office/drawing/2014/main" id="{00000000-0008-0000-1500-00001D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0" name="6: Payment">
            <a:hlinkClick xmlns:r="http://schemas.openxmlformats.org/officeDocument/2006/relationships" r:id="rId13" tooltip="Payment"/>
            <a:extLst>
              <a:ext uri="{FF2B5EF4-FFF2-40B4-BE49-F238E27FC236}">
                <a16:creationId xmlns:a16="http://schemas.microsoft.com/office/drawing/2014/main" id="{00000000-0008-0000-1500-00001E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1" name="5: Equipment Input">
            <a:hlinkClick xmlns:r="http://schemas.openxmlformats.org/officeDocument/2006/relationships" r:id="rId14" tooltip="Equipment Input"/>
            <a:extLst>
              <a:ext uri="{FF2B5EF4-FFF2-40B4-BE49-F238E27FC236}">
                <a16:creationId xmlns:a16="http://schemas.microsoft.com/office/drawing/2014/main" id="{00000000-0008-0000-1500-00001F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2" name="4: Building Information">
            <a:hlinkClick xmlns:r="http://schemas.openxmlformats.org/officeDocument/2006/relationships" r:id="rId15" tooltip="Building Information"/>
            <a:extLst>
              <a:ext uri="{FF2B5EF4-FFF2-40B4-BE49-F238E27FC236}">
                <a16:creationId xmlns:a16="http://schemas.microsoft.com/office/drawing/2014/main" id="{00000000-0008-0000-1500-000020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3" name="3: Customer Information">
            <a:hlinkClick xmlns:r="http://schemas.openxmlformats.org/officeDocument/2006/relationships" r:id="rId16" tooltip="Customer Information"/>
            <a:extLst>
              <a:ext uri="{FF2B5EF4-FFF2-40B4-BE49-F238E27FC236}">
                <a16:creationId xmlns:a16="http://schemas.microsoft.com/office/drawing/2014/main" id="{00000000-0008-0000-1500-000021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500-000022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5" name="1: T&amp;C's">
            <a:hlinkClick xmlns:r="http://schemas.openxmlformats.org/officeDocument/2006/relationships" r:id="rId18" tooltip="Terms &amp; Conditions"/>
            <a:extLst>
              <a:ext uri="{FF2B5EF4-FFF2-40B4-BE49-F238E27FC236}">
                <a16:creationId xmlns:a16="http://schemas.microsoft.com/office/drawing/2014/main" id="{00000000-0008-0000-1500-000023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13" name="Header">
          <a:extLst>
            <a:ext uri="{FF2B5EF4-FFF2-40B4-BE49-F238E27FC236}">
              <a16:creationId xmlns:a16="http://schemas.microsoft.com/office/drawing/2014/main" id="{00000000-0008-0000-1500-00000D000000}"/>
            </a:ext>
          </a:extLst>
        </xdr:cNvPr>
        <xdr:cNvGrpSpPr/>
      </xdr:nvGrpSpPr>
      <xdr:grpSpPr>
        <a:xfrm>
          <a:off x="0" y="0"/>
          <a:ext cx="15345335" cy="605118"/>
          <a:chOff x="0" y="0"/>
          <a:chExt cx="15813741" cy="591671"/>
        </a:xfrm>
      </xdr:grpSpPr>
      <xdr:grpSp>
        <xdr:nvGrpSpPr>
          <xdr:cNvPr id="14" name="Header">
            <a:extLst>
              <a:ext uri="{FF2B5EF4-FFF2-40B4-BE49-F238E27FC236}">
                <a16:creationId xmlns:a16="http://schemas.microsoft.com/office/drawing/2014/main" id="{00000000-0008-0000-1500-00000E000000}"/>
              </a:ext>
            </a:extLst>
          </xdr:cNvPr>
          <xdr:cNvGrpSpPr/>
        </xdr:nvGrpSpPr>
        <xdr:grpSpPr>
          <a:xfrm>
            <a:off x="0" y="0"/>
            <a:ext cx="15813741" cy="591671"/>
            <a:chOff x="0" y="0"/>
            <a:chExt cx="15813741" cy="591671"/>
          </a:xfrm>
        </xdr:grpSpPr>
        <xdr:sp macro="" textlink="">
          <xdr:nvSpPr>
            <xdr:cNvPr id="36" name="Reference">
              <a:extLst>
                <a:ext uri="{FF2B5EF4-FFF2-40B4-BE49-F238E27FC236}">
                  <a16:creationId xmlns:a16="http://schemas.microsoft.com/office/drawing/2014/main" id="{00000000-0008-0000-1500-000024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ntact">
              <a:hlinkClick xmlns:r="http://schemas.openxmlformats.org/officeDocument/2006/relationships" r:id="rId19" tooltip="Contact"/>
              <a:extLst>
                <a:ext uri="{FF2B5EF4-FFF2-40B4-BE49-F238E27FC236}">
                  <a16:creationId xmlns:a16="http://schemas.microsoft.com/office/drawing/2014/main" id="{00000000-0008-0000-1500-000025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Completion Form">
              <a:hlinkClick xmlns:r="http://schemas.openxmlformats.org/officeDocument/2006/relationships" r:id="rId20" tooltip=" "/>
              <a:extLst>
                <a:ext uri="{FF2B5EF4-FFF2-40B4-BE49-F238E27FC236}">
                  <a16:creationId xmlns:a16="http://schemas.microsoft.com/office/drawing/2014/main" id="{00000000-0008-0000-1500-000026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Offer Form">
              <a:hlinkClick xmlns:r="http://schemas.openxmlformats.org/officeDocument/2006/relationships" r:id="rId21" tooltip=" "/>
              <a:extLst>
                <a:ext uri="{FF2B5EF4-FFF2-40B4-BE49-F238E27FC236}">
                  <a16:creationId xmlns:a16="http://schemas.microsoft.com/office/drawing/2014/main" id="{00000000-0008-0000-1500-000027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Instructions">
              <a:hlinkClick xmlns:r="http://schemas.openxmlformats.org/officeDocument/2006/relationships" r:id="rId22" tooltip="Instructions"/>
              <a:extLst>
                <a:ext uri="{FF2B5EF4-FFF2-40B4-BE49-F238E27FC236}">
                  <a16:creationId xmlns:a16="http://schemas.microsoft.com/office/drawing/2014/main" id="{00000000-0008-0000-1500-000028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Welcome">
              <a:hlinkClick xmlns:r="http://schemas.openxmlformats.org/officeDocument/2006/relationships" r:id="rId23" tooltip="Welcome"/>
              <a:extLst>
                <a:ext uri="{FF2B5EF4-FFF2-40B4-BE49-F238E27FC236}">
                  <a16:creationId xmlns:a16="http://schemas.microsoft.com/office/drawing/2014/main" id="{00000000-0008-0000-1500-000029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2" name="Evergy Logo">
              <a:extLst>
                <a:ext uri="{FF2B5EF4-FFF2-40B4-BE49-F238E27FC236}">
                  <a16:creationId xmlns:a16="http://schemas.microsoft.com/office/drawing/2014/main" id="{00000000-0008-0000-1500-00002A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8" name="State">
              <a:extLst>
                <a:ext uri="{FF2B5EF4-FFF2-40B4-BE49-F238E27FC236}">
                  <a16:creationId xmlns:a16="http://schemas.microsoft.com/office/drawing/2014/main" id="{00000000-0008-0000-1500-00003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15" name="Dividers">
            <a:extLst>
              <a:ext uri="{FF2B5EF4-FFF2-40B4-BE49-F238E27FC236}">
                <a16:creationId xmlns:a16="http://schemas.microsoft.com/office/drawing/2014/main" id="{00000000-0008-0000-1500-00000F000000}"/>
              </a:ext>
            </a:extLst>
          </xdr:cNvPr>
          <xdr:cNvGrpSpPr/>
        </xdr:nvGrpSpPr>
        <xdr:grpSpPr>
          <a:xfrm>
            <a:off x="1613717" y="85337"/>
            <a:ext cx="11618762" cy="422893"/>
            <a:chOff x="1612951" y="85725"/>
            <a:chExt cx="11618931" cy="423022"/>
          </a:xfrm>
        </xdr:grpSpPr>
        <xdr:cxnSp macro="">
          <xdr:nvCxnSpPr>
            <xdr:cNvPr id="16" name="Divider 4">
              <a:extLst>
                <a:ext uri="{FF2B5EF4-FFF2-40B4-BE49-F238E27FC236}">
                  <a16:creationId xmlns:a16="http://schemas.microsoft.com/office/drawing/2014/main" id="{00000000-0008-0000-1500-00001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3">
              <a:extLst>
                <a:ext uri="{FF2B5EF4-FFF2-40B4-BE49-F238E27FC236}">
                  <a16:creationId xmlns:a16="http://schemas.microsoft.com/office/drawing/2014/main" id="{00000000-0008-0000-1500-00001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2">
              <a:extLst>
                <a:ext uri="{FF2B5EF4-FFF2-40B4-BE49-F238E27FC236}">
                  <a16:creationId xmlns:a16="http://schemas.microsoft.com/office/drawing/2014/main" id="{00000000-0008-0000-1500-00001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1">
              <a:extLst>
                <a:ext uri="{FF2B5EF4-FFF2-40B4-BE49-F238E27FC236}">
                  <a16:creationId xmlns:a16="http://schemas.microsoft.com/office/drawing/2014/main" id="{00000000-0008-0000-1500-00001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23" name="Arrow: Left M3S6">
          <a:hlinkClick xmlns:r="http://schemas.openxmlformats.org/officeDocument/2006/relationships" r:id="rId1" tooltip="Back: Motors and Drives"/>
          <a:extLst>
            <a:ext uri="{FF2B5EF4-FFF2-40B4-BE49-F238E27FC236}">
              <a16:creationId xmlns:a16="http://schemas.microsoft.com/office/drawing/2014/main" id="{00000000-0008-0000-1600-000017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24" name="Arrow: Right M3S6">
          <a:hlinkClick xmlns:r="http://schemas.openxmlformats.org/officeDocument/2006/relationships" r:id="rId2" tooltip="Forward: Water Heating / Cooking"/>
          <a:extLst>
            <a:ext uri="{FF2B5EF4-FFF2-40B4-BE49-F238E27FC236}">
              <a16:creationId xmlns:a16="http://schemas.microsoft.com/office/drawing/2014/main" id="{00000000-0008-0000-1600-000018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2" name="Select 1">
          <a:extLst>
            <a:ext uri="{FF2B5EF4-FFF2-40B4-BE49-F238E27FC236}">
              <a16:creationId xmlns:a16="http://schemas.microsoft.com/office/drawing/2014/main" id="{00000000-0008-0000-1600-000002000000}"/>
            </a:ext>
          </a:extLst>
        </xdr:cNvPr>
        <xdr:cNvGrpSpPr/>
      </xdr:nvGrpSpPr>
      <xdr:grpSpPr>
        <a:xfrm>
          <a:off x="2196353" y="2622176"/>
          <a:ext cx="2345716" cy="280043"/>
          <a:chOff x="1037447" y="2413275"/>
          <a:chExt cx="2408469" cy="277332"/>
        </a:xfrm>
      </xdr:grpSpPr>
      <xdr:cxnSp macro="">
        <xdr:nvCxnSpPr>
          <xdr:cNvPr id="3" name="Reference - V">
            <a:extLst>
              <a:ext uri="{FF2B5EF4-FFF2-40B4-BE49-F238E27FC236}">
                <a16:creationId xmlns:a16="http://schemas.microsoft.com/office/drawing/2014/main" id="{00000000-0008-0000-16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6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600-000005000000}"/>
              </a:ext>
            </a:extLst>
          </xdr:cNvPr>
          <xdr:cNvGrpSpPr/>
        </xdr:nvGrpSpPr>
        <xdr:grpSpPr>
          <a:xfrm>
            <a:off x="1219200" y="2510935"/>
            <a:ext cx="2226716" cy="179672"/>
            <a:chOff x="1219200" y="2510935"/>
            <a:chExt cx="2226716" cy="179672"/>
          </a:xfrm>
        </xdr:grpSpPr>
        <xdr:sp macro="" textlink="">
          <xdr:nvSpPr>
            <xdr:cNvPr id="6" name="Custom">
              <a:hlinkClick xmlns:r="http://schemas.openxmlformats.org/officeDocument/2006/relationships" r:id="rId3"/>
              <a:extLst>
                <a:ext uri="{FF2B5EF4-FFF2-40B4-BE49-F238E27FC236}">
                  <a16:creationId xmlns:a16="http://schemas.microsoft.com/office/drawing/2014/main" id="{00000000-0008-0000-1600-000006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Standard">
              <a:extLst>
                <a:ext uri="{FF2B5EF4-FFF2-40B4-BE49-F238E27FC236}">
                  <a16:creationId xmlns:a16="http://schemas.microsoft.com/office/drawing/2014/main" id="{00000000-0008-0000-1600-000007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7" name="Measure Categories">
          <a:extLst>
            <a:ext uri="{FF2B5EF4-FFF2-40B4-BE49-F238E27FC236}">
              <a16:creationId xmlns:a16="http://schemas.microsoft.com/office/drawing/2014/main" id="{00000000-0008-0000-1600-00001B000000}"/>
            </a:ext>
          </a:extLst>
        </xdr:cNvPr>
        <xdr:cNvGrpSpPr/>
      </xdr:nvGrpSpPr>
      <xdr:grpSpPr>
        <a:xfrm>
          <a:off x="2823882" y="1613647"/>
          <a:ext cx="10040472" cy="607535"/>
          <a:chOff x="2240280" y="1582544"/>
          <a:chExt cx="10241281" cy="596777"/>
        </a:xfrm>
      </xdr:grpSpPr>
      <xdr:grpSp>
        <xdr:nvGrpSpPr>
          <xdr:cNvPr id="28" name="Categories">
            <a:extLst>
              <a:ext uri="{FF2B5EF4-FFF2-40B4-BE49-F238E27FC236}">
                <a16:creationId xmlns:a16="http://schemas.microsoft.com/office/drawing/2014/main" id="{00000000-0008-0000-1600-00001C000000}"/>
              </a:ext>
            </a:extLst>
          </xdr:cNvPr>
          <xdr:cNvGrpSpPr/>
        </xdr:nvGrpSpPr>
        <xdr:grpSpPr>
          <a:xfrm>
            <a:off x="2240280" y="1584961"/>
            <a:ext cx="10241281" cy="594360"/>
            <a:chOff x="2240280" y="1584961"/>
            <a:chExt cx="10241281" cy="594360"/>
          </a:xfrm>
        </xdr:grpSpPr>
        <xdr:sp macro="" textlink="">
          <xdr:nvSpPr>
            <xdr:cNvPr id="37" name="Lighting" hidden="1">
              <a:hlinkClick xmlns:r="http://schemas.openxmlformats.org/officeDocument/2006/relationships" r:id="rId4" tooltip="Lighting"/>
              <a:extLst>
                <a:ext uri="{FF2B5EF4-FFF2-40B4-BE49-F238E27FC236}">
                  <a16:creationId xmlns:a16="http://schemas.microsoft.com/office/drawing/2014/main" id="{00000000-0008-0000-1600-000025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Lighting Controls">
              <a:hlinkClick xmlns:r="http://schemas.openxmlformats.org/officeDocument/2006/relationships" r:id="rId5" tooltip="Lighting Controls"/>
              <a:extLst>
                <a:ext uri="{FF2B5EF4-FFF2-40B4-BE49-F238E27FC236}">
                  <a16:creationId xmlns:a16="http://schemas.microsoft.com/office/drawing/2014/main" id="{00000000-0008-0000-1600-000026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Refrigeration">
              <a:hlinkClick xmlns:r="http://schemas.openxmlformats.org/officeDocument/2006/relationships" r:id="rId6" tooltip="Refrigeration"/>
              <a:extLst>
                <a:ext uri="{FF2B5EF4-FFF2-40B4-BE49-F238E27FC236}">
                  <a16:creationId xmlns:a16="http://schemas.microsoft.com/office/drawing/2014/main" id="{00000000-0008-0000-1600-00002A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HVAC">
              <a:hlinkClick xmlns:r="http://schemas.openxmlformats.org/officeDocument/2006/relationships" r:id="rId7" tooltip="HVAC"/>
              <a:extLst>
                <a:ext uri="{FF2B5EF4-FFF2-40B4-BE49-F238E27FC236}">
                  <a16:creationId xmlns:a16="http://schemas.microsoft.com/office/drawing/2014/main" id="{00000000-0008-0000-1600-00002C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Motors and Drives">
              <a:hlinkClick xmlns:r="http://schemas.openxmlformats.org/officeDocument/2006/relationships" r:id="rId8" tooltip="Motors and Drives"/>
              <a:extLst>
                <a:ext uri="{FF2B5EF4-FFF2-40B4-BE49-F238E27FC236}">
                  <a16:creationId xmlns:a16="http://schemas.microsoft.com/office/drawing/2014/main" id="{00000000-0008-0000-1600-00002D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CAP">
              <a:hlinkClick xmlns:r="http://schemas.openxmlformats.org/officeDocument/2006/relationships" r:id="rId9" tooltip="Compressed Air / Process"/>
              <a:extLst>
                <a:ext uri="{FF2B5EF4-FFF2-40B4-BE49-F238E27FC236}">
                  <a16:creationId xmlns:a16="http://schemas.microsoft.com/office/drawing/2014/main" id="{00000000-0008-0000-1600-00002E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HFS">
              <a:hlinkClick xmlns:r="http://schemas.openxmlformats.org/officeDocument/2006/relationships" r:id="rId10" tooltip="Water Heating / Food Services"/>
              <a:extLst>
                <a:ext uri="{FF2B5EF4-FFF2-40B4-BE49-F238E27FC236}">
                  <a16:creationId xmlns:a16="http://schemas.microsoft.com/office/drawing/2014/main" id="{00000000-0008-0000-1600-000033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iscellaneous">
              <a:hlinkClick xmlns:r="http://schemas.openxmlformats.org/officeDocument/2006/relationships" r:id="rId11" tooltip="Miscellaneous"/>
              <a:extLst>
                <a:ext uri="{FF2B5EF4-FFF2-40B4-BE49-F238E27FC236}">
                  <a16:creationId xmlns:a16="http://schemas.microsoft.com/office/drawing/2014/main" id="{00000000-0008-0000-1600-000034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9" name="Dividers">
            <a:extLst>
              <a:ext uri="{FF2B5EF4-FFF2-40B4-BE49-F238E27FC236}">
                <a16:creationId xmlns:a16="http://schemas.microsoft.com/office/drawing/2014/main" id="{00000000-0008-0000-1600-00001D000000}"/>
              </a:ext>
            </a:extLst>
          </xdr:cNvPr>
          <xdr:cNvGrpSpPr/>
        </xdr:nvGrpSpPr>
        <xdr:grpSpPr>
          <a:xfrm>
            <a:off x="3521022" y="1582544"/>
            <a:ext cx="7680961" cy="551056"/>
            <a:chOff x="3520440" y="1580822"/>
            <a:chExt cx="7680960" cy="552779"/>
          </a:xfrm>
        </xdr:grpSpPr>
        <xdr:cxnSp macro="">
          <xdr:nvCxnSpPr>
            <xdr:cNvPr id="30" name="Divider 7">
              <a:extLst>
                <a:ext uri="{FF2B5EF4-FFF2-40B4-BE49-F238E27FC236}">
                  <a16:creationId xmlns:a16="http://schemas.microsoft.com/office/drawing/2014/main" id="{00000000-0008-0000-1600-00001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6">
              <a:extLst>
                <a:ext uri="{FF2B5EF4-FFF2-40B4-BE49-F238E27FC236}">
                  <a16:creationId xmlns:a16="http://schemas.microsoft.com/office/drawing/2014/main" id="{00000000-0008-0000-1600-00001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5">
              <a:extLst>
                <a:ext uri="{FF2B5EF4-FFF2-40B4-BE49-F238E27FC236}">
                  <a16:creationId xmlns:a16="http://schemas.microsoft.com/office/drawing/2014/main" id="{00000000-0008-0000-1600-00002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4">
              <a:extLst>
                <a:ext uri="{FF2B5EF4-FFF2-40B4-BE49-F238E27FC236}">
                  <a16:creationId xmlns:a16="http://schemas.microsoft.com/office/drawing/2014/main" id="{00000000-0008-0000-1600-000021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1600-000022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2">
              <a:extLst>
                <a:ext uri="{FF2B5EF4-FFF2-40B4-BE49-F238E27FC236}">
                  <a16:creationId xmlns:a16="http://schemas.microsoft.com/office/drawing/2014/main" id="{00000000-0008-0000-1600-000023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1" hidden="1">
              <a:extLst>
                <a:ext uri="{FF2B5EF4-FFF2-40B4-BE49-F238E27FC236}">
                  <a16:creationId xmlns:a16="http://schemas.microsoft.com/office/drawing/2014/main" id="{00000000-0008-0000-1600-000024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6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6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6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6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6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6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6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6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8" tooltip="Terms &amp; Conditions"/>
            <a:extLst>
              <a:ext uri="{FF2B5EF4-FFF2-40B4-BE49-F238E27FC236}">
                <a16:creationId xmlns:a16="http://schemas.microsoft.com/office/drawing/2014/main" id="{00000000-0008-0000-16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9" name="Header">
          <a:extLst>
            <a:ext uri="{FF2B5EF4-FFF2-40B4-BE49-F238E27FC236}">
              <a16:creationId xmlns:a16="http://schemas.microsoft.com/office/drawing/2014/main" id="{00000000-0008-0000-1600-000027000000}"/>
            </a:ext>
          </a:extLst>
        </xdr:cNvPr>
        <xdr:cNvGrpSpPr/>
      </xdr:nvGrpSpPr>
      <xdr:grpSpPr>
        <a:xfrm>
          <a:off x="0" y="0"/>
          <a:ext cx="15345335" cy="605118"/>
          <a:chOff x="0" y="0"/>
          <a:chExt cx="15813741" cy="591671"/>
        </a:xfrm>
      </xdr:grpSpPr>
      <xdr:grpSp>
        <xdr:nvGrpSpPr>
          <xdr:cNvPr id="40" name="Header">
            <a:extLst>
              <a:ext uri="{FF2B5EF4-FFF2-40B4-BE49-F238E27FC236}">
                <a16:creationId xmlns:a16="http://schemas.microsoft.com/office/drawing/2014/main" id="{00000000-0008-0000-1600-000028000000}"/>
              </a:ext>
            </a:extLst>
          </xdr:cNvPr>
          <xdr:cNvGrpSpPr/>
        </xdr:nvGrpSpPr>
        <xdr:grpSpPr>
          <a:xfrm>
            <a:off x="0" y="0"/>
            <a:ext cx="15813741" cy="591671"/>
            <a:chOff x="0" y="0"/>
            <a:chExt cx="15813741" cy="591671"/>
          </a:xfrm>
        </xdr:grpSpPr>
        <xdr:sp macro="" textlink="">
          <xdr:nvSpPr>
            <xdr:cNvPr id="50" name="Reference">
              <a:extLst>
                <a:ext uri="{FF2B5EF4-FFF2-40B4-BE49-F238E27FC236}">
                  <a16:creationId xmlns:a16="http://schemas.microsoft.com/office/drawing/2014/main" id="{00000000-0008-0000-1600-00003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ntact">
              <a:hlinkClick xmlns:r="http://schemas.openxmlformats.org/officeDocument/2006/relationships" r:id="rId19" tooltip="Contact"/>
              <a:extLst>
                <a:ext uri="{FF2B5EF4-FFF2-40B4-BE49-F238E27FC236}">
                  <a16:creationId xmlns:a16="http://schemas.microsoft.com/office/drawing/2014/main" id="{00000000-0008-0000-1600-000036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20" tooltip=" "/>
              <a:extLst>
                <a:ext uri="{FF2B5EF4-FFF2-40B4-BE49-F238E27FC236}">
                  <a16:creationId xmlns:a16="http://schemas.microsoft.com/office/drawing/2014/main" id="{00000000-0008-0000-1600-00003A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Offer Form">
              <a:hlinkClick xmlns:r="http://schemas.openxmlformats.org/officeDocument/2006/relationships" r:id="rId21" tooltip=" "/>
              <a:extLst>
                <a:ext uri="{FF2B5EF4-FFF2-40B4-BE49-F238E27FC236}">
                  <a16:creationId xmlns:a16="http://schemas.microsoft.com/office/drawing/2014/main" id="{00000000-0008-0000-1600-00003B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Instructions">
              <a:hlinkClick xmlns:r="http://schemas.openxmlformats.org/officeDocument/2006/relationships" r:id="rId22" tooltip="Instructions"/>
              <a:extLst>
                <a:ext uri="{FF2B5EF4-FFF2-40B4-BE49-F238E27FC236}">
                  <a16:creationId xmlns:a16="http://schemas.microsoft.com/office/drawing/2014/main" id="{00000000-0008-0000-1600-00003C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elcome">
              <a:hlinkClick xmlns:r="http://schemas.openxmlformats.org/officeDocument/2006/relationships" r:id="rId23" tooltip="Welcome"/>
              <a:extLst>
                <a:ext uri="{FF2B5EF4-FFF2-40B4-BE49-F238E27FC236}">
                  <a16:creationId xmlns:a16="http://schemas.microsoft.com/office/drawing/2014/main" id="{00000000-0008-0000-1600-00003D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2" name="Evergy Logo">
              <a:extLst>
                <a:ext uri="{FF2B5EF4-FFF2-40B4-BE49-F238E27FC236}">
                  <a16:creationId xmlns:a16="http://schemas.microsoft.com/office/drawing/2014/main" id="{00000000-0008-0000-1600-00003E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3" name="State">
              <a:extLst>
                <a:ext uri="{FF2B5EF4-FFF2-40B4-BE49-F238E27FC236}">
                  <a16:creationId xmlns:a16="http://schemas.microsoft.com/office/drawing/2014/main" id="{00000000-0008-0000-1600-00003F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600-000029000000}"/>
              </a:ext>
            </a:extLst>
          </xdr:cNvPr>
          <xdr:cNvGrpSpPr/>
        </xdr:nvGrpSpPr>
        <xdr:grpSpPr>
          <a:xfrm>
            <a:off x="1613717" y="85337"/>
            <a:ext cx="11618762" cy="422893"/>
            <a:chOff x="1612951" y="85725"/>
            <a:chExt cx="11618931" cy="423022"/>
          </a:xfrm>
        </xdr:grpSpPr>
        <xdr:cxnSp macro="">
          <xdr:nvCxnSpPr>
            <xdr:cNvPr id="43" name="Divider 4">
              <a:extLst>
                <a:ext uri="{FF2B5EF4-FFF2-40B4-BE49-F238E27FC236}">
                  <a16:creationId xmlns:a16="http://schemas.microsoft.com/office/drawing/2014/main" id="{00000000-0008-0000-1600-00002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3">
              <a:extLst>
                <a:ext uri="{FF2B5EF4-FFF2-40B4-BE49-F238E27FC236}">
                  <a16:creationId xmlns:a16="http://schemas.microsoft.com/office/drawing/2014/main" id="{00000000-0008-0000-1600-00002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2">
              <a:extLst>
                <a:ext uri="{FF2B5EF4-FFF2-40B4-BE49-F238E27FC236}">
                  <a16:creationId xmlns:a16="http://schemas.microsoft.com/office/drawing/2014/main" id="{00000000-0008-0000-1600-00003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1">
              <a:extLst>
                <a:ext uri="{FF2B5EF4-FFF2-40B4-BE49-F238E27FC236}">
                  <a16:creationId xmlns:a16="http://schemas.microsoft.com/office/drawing/2014/main" id="{00000000-0008-0000-1600-00003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23" name="Arrow: Left M3S7">
          <a:hlinkClick xmlns:r="http://schemas.openxmlformats.org/officeDocument/2006/relationships" r:id="rId1" tooltip="Back: Compressed Air / Process"/>
          <a:extLst>
            <a:ext uri="{FF2B5EF4-FFF2-40B4-BE49-F238E27FC236}">
              <a16:creationId xmlns:a16="http://schemas.microsoft.com/office/drawing/2014/main" id="{00000000-0008-0000-1700-000017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24" name="Arrow: Right M3S7">
          <a:hlinkClick xmlns:r="http://schemas.openxmlformats.org/officeDocument/2006/relationships" r:id="rId2" tooltip="Forward: Miscellaneous"/>
          <a:extLst>
            <a:ext uri="{FF2B5EF4-FFF2-40B4-BE49-F238E27FC236}">
              <a16:creationId xmlns:a16="http://schemas.microsoft.com/office/drawing/2014/main" id="{00000000-0008-0000-1700-000018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2" name="Select 1">
          <a:extLst>
            <a:ext uri="{FF2B5EF4-FFF2-40B4-BE49-F238E27FC236}">
              <a16:creationId xmlns:a16="http://schemas.microsoft.com/office/drawing/2014/main" id="{00000000-0008-0000-1700-000002000000}"/>
            </a:ext>
          </a:extLst>
        </xdr:cNvPr>
        <xdr:cNvGrpSpPr/>
      </xdr:nvGrpSpPr>
      <xdr:grpSpPr>
        <a:xfrm>
          <a:off x="2196353" y="2622176"/>
          <a:ext cx="2345716" cy="280043"/>
          <a:chOff x="1037447" y="2413275"/>
          <a:chExt cx="2408469" cy="277332"/>
        </a:xfrm>
      </xdr:grpSpPr>
      <xdr:cxnSp macro="">
        <xdr:nvCxnSpPr>
          <xdr:cNvPr id="3" name="Reference - V">
            <a:extLst>
              <a:ext uri="{FF2B5EF4-FFF2-40B4-BE49-F238E27FC236}">
                <a16:creationId xmlns:a16="http://schemas.microsoft.com/office/drawing/2014/main" id="{00000000-0008-0000-17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7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700-000005000000}"/>
              </a:ext>
            </a:extLst>
          </xdr:cNvPr>
          <xdr:cNvGrpSpPr/>
        </xdr:nvGrpSpPr>
        <xdr:grpSpPr>
          <a:xfrm>
            <a:off x="1219200" y="2510935"/>
            <a:ext cx="2226716" cy="179672"/>
            <a:chOff x="1219200" y="2510935"/>
            <a:chExt cx="2226716" cy="179672"/>
          </a:xfrm>
        </xdr:grpSpPr>
        <xdr:sp macro="" textlink="">
          <xdr:nvSpPr>
            <xdr:cNvPr id="6" name="Custom">
              <a:hlinkClick xmlns:r="http://schemas.openxmlformats.org/officeDocument/2006/relationships" r:id="rId3"/>
              <a:extLst>
                <a:ext uri="{FF2B5EF4-FFF2-40B4-BE49-F238E27FC236}">
                  <a16:creationId xmlns:a16="http://schemas.microsoft.com/office/drawing/2014/main" id="{00000000-0008-0000-1700-000006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Standard">
              <a:extLst>
                <a:ext uri="{FF2B5EF4-FFF2-40B4-BE49-F238E27FC236}">
                  <a16:creationId xmlns:a16="http://schemas.microsoft.com/office/drawing/2014/main" id="{00000000-0008-0000-1700-000007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7" name="Measure Categories">
          <a:extLst>
            <a:ext uri="{FF2B5EF4-FFF2-40B4-BE49-F238E27FC236}">
              <a16:creationId xmlns:a16="http://schemas.microsoft.com/office/drawing/2014/main" id="{00000000-0008-0000-1700-00001B000000}"/>
            </a:ext>
          </a:extLst>
        </xdr:cNvPr>
        <xdr:cNvGrpSpPr/>
      </xdr:nvGrpSpPr>
      <xdr:grpSpPr>
        <a:xfrm>
          <a:off x="2823882" y="1613647"/>
          <a:ext cx="10040472" cy="607535"/>
          <a:chOff x="2240280" y="1582544"/>
          <a:chExt cx="10241281" cy="596777"/>
        </a:xfrm>
      </xdr:grpSpPr>
      <xdr:grpSp>
        <xdr:nvGrpSpPr>
          <xdr:cNvPr id="28" name="Categories">
            <a:extLst>
              <a:ext uri="{FF2B5EF4-FFF2-40B4-BE49-F238E27FC236}">
                <a16:creationId xmlns:a16="http://schemas.microsoft.com/office/drawing/2014/main" id="{00000000-0008-0000-1700-00001C000000}"/>
              </a:ext>
            </a:extLst>
          </xdr:cNvPr>
          <xdr:cNvGrpSpPr/>
        </xdr:nvGrpSpPr>
        <xdr:grpSpPr>
          <a:xfrm>
            <a:off x="2240280" y="1584961"/>
            <a:ext cx="10241281" cy="594360"/>
            <a:chOff x="2240280" y="1584961"/>
            <a:chExt cx="10241281" cy="594360"/>
          </a:xfrm>
        </xdr:grpSpPr>
        <xdr:sp macro="" textlink="">
          <xdr:nvSpPr>
            <xdr:cNvPr id="37" name="Lighting" hidden="1">
              <a:hlinkClick xmlns:r="http://schemas.openxmlformats.org/officeDocument/2006/relationships" r:id="rId4" tooltip="Lighting"/>
              <a:extLst>
                <a:ext uri="{FF2B5EF4-FFF2-40B4-BE49-F238E27FC236}">
                  <a16:creationId xmlns:a16="http://schemas.microsoft.com/office/drawing/2014/main" id="{00000000-0008-0000-1700-000025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Lighting Controls">
              <a:hlinkClick xmlns:r="http://schemas.openxmlformats.org/officeDocument/2006/relationships" r:id="rId5" tooltip="Lighting Controls"/>
              <a:extLst>
                <a:ext uri="{FF2B5EF4-FFF2-40B4-BE49-F238E27FC236}">
                  <a16:creationId xmlns:a16="http://schemas.microsoft.com/office/drawing/2014/main" id="{00000000-0008-0000-1700-000026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Refrigeration">
              <a:hlinkClick xmlns:r="http://schemas.openxmlformats.org/officeDocument/2006/relationships" r:id="rId6" tooltip="Refrigeration"/>
              <a:extLst>
                <a:ext uri="{FF2B5EF4-FFF2-40B4-BE49-F238E27FC236}">
                  <a16:creationId xmlns:a16="http://schemas.microsoft.com/office/drawing/2014/main" id="{00000000-0008-0000-1700-00002A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HVAC">
              <a:hlinkClick xmlns:r="http://schemas.openxmlformats.org/officeDocument/2006/relationships" r:id="rId7" tooltip="HVAC"/>
              <a:extLst>
                <a:ext uri="{FF2B5EF4-FFF2-40B4-BE49-F238E27FC236}">
                  <a16:creationId xmlns:a16="http://schemas.microsoft.com/office/drawing/2014/main" id="{00000000-0008-0000-1700-00002C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Motors and Drives">
              <a:hlinkClick xmlns:r="http://schemas.openxmlformats.org/officeDocument/2006/relationships" r:id="rId8" tooltip="Motors and Drives"/>
              <a:extLst>
                <a:ext uri="{FF2B5EF4-FFF2-40B4-BE49-F238E27FC236}">
                  <a16:creationId xmlns:a16="http://schemas.microsoft.com/office/drawing/2014/main" id="{00000000-0008-0000-1700-00002D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CAP">
              <a:hlinkClick xmlns:r="http://schemas.openxmlformats.org/officeDocument/2006/relationships" r:id="rId9" tooltip="Compressed Air / Process"/>
              <a:extLst>
                <a:ext uri="{FF2B5EF4-FFF2-40B4-BE49-F238E27FC236}">
                  <a16:creationId xmlns:a16="http://schemas.microsoft.com/office/drawing/2014/main" id="{00000000-0008-0000-1700-00002E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HFS">
              <a:hlinkClick xmlns:r="http://schemas.openxmlformats.org/officeDocument/2006/relationships" r:id="rId10" tooltip="Water Heating / Food Services"/>
              <a:extLst>
                <a:ext uri="{FF2B5EF4-FFF2-40B4-BE49-F238E27FC236}">
                  <a16:creationId xmlns:a16="http://schemas.microsoft.com/office/drawing/2014/main" id="{00000000-0008-0000-1700-000033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iscellaneous">
              <a:hlinkClick xmlns:r="http://schemas.openxmlformats.org/officeDocument/2006/relationships" r:id="rId11" tooltip="Miscellaneous"/>
              <a:extLst>
                <a:ext uri="{FF2B5EF4-FFF2-40B4-BE49-F238E27FC236}">
                  <a16:creationId xmlns:a16="http://schemas.microsoft.com/office/drawing/2014/main" id="{00000000-0008-0000-1700-000034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9" name="Dividers">
            <a:extLst>
              <a:ext uri="{FF2B5EF4-FFF2-40B4-BE49-F238E27FC236}">
                <a16:creationId xmlns:a16="http://schemas.microsoft.com/office/drawing/2014/main" id="{00000000-0008-0000-1700-00001D000000}"/>
              </a:ext>
            </a:extLst>
          </xdr:cNvPr>
          <xdr:cNvGrpSpPr/>
        </xdr:nvGrpSpPr>
        <xdr:grpSpPr>
          <a:xfrm>
            <a:off x="3521022" y="1582544"/>
            <a:ext cx="7680961" cy="551056"/>
            <a:chOff x="3520440" y="1580822"/>
            <a:chExt cx="7680960" cy="552779"/>
          </a:xfrm>
        </xdr:grpSpPr>
        <xdr:cxnSp macro="">
          <xdr:nvCxnSpPr>
            <xdr:cNvPr id="30" name="Divider 7">
              <a:extLst>
                <a:ext uri="{FF2B5EF4-FFF2-40B4-BE49-F238E27FC236}">
                  <a16:creationId xmlns:a16="http://schemas.microsoft.com/office/drawing/2014/main" id="{00000000-0008-0000-1700-00001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6">
              <a:extLst>
                <a:ext uri="{FF2B5EF4-FFF2-40B4-BE49-F238E27FC236}">
                  <a16:creationId xmlns:a16="http://schemas.microsoft.com/office/drawing/2014/main" id="{00000000-0008-0000-1700-00001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5">
              <a:extLst>
                <a:ext uri="{FF2B5EF4-FFF2-40B4-BE49-F238E27FC236}">
                  <a16:creationId xmlns:a16="http://schemas.microsoft.com/office/drawing/2014/main" id="{00000000-0008-0000-1700-00002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4">
              <a:extLst>
                <a:ext uri="{FF2B5EF4-FFF2-40B4-BE49-F238E27FC236}">
                  <a16:creationId xmlns:a16="http://schemas.microsoft.com/office/drawing/2014/main" id="{00000000-0008-0000-1700-000021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1700-000022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2">
              <a:extLst>
                <a:ext uri="{FF2B5EF4-FFF2-40B4-BE49-F238E27FC236}">
                  <a16:creationId xmlns:a16="http://schemas.microsoft.com/office/drawing/2014/main" id="{00000000-0008-0000-1700-000023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1" hidden="1">
              <a:extLst>
                <a:ext uri="{FF2B5EF4-FFF2-40B4-BE49-F238E27FC236}">
                  <a16:creationId xmlns:a16="http://schemas.microsoft.com/office/drawing/2014/main" id="{00000000-0008-0000-1700-000024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7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7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7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7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7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7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7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7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8" tooltip="Terms &amp; Conditions"/>
            <a:extLst>
              <a:ext uri="{FF2B5EF4-FFF2-40B4-BE49-F238E27FC236}">
                <a16:creationId xmlns:a16="http://schemas.microsoft.com/office/drawing/2014/main" id="{00000000-0008-0000-17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9" name="Header">
          <a:extLst>
            <a:ext uri="{FF2B5EF4-FFF2-40B4-BE49-F238E27FC236}">
              <a16:creationId xmlns:a16="http://schemas.microsoft.com/office/drawing/2014/main" id="{00000000-0008-0000-1700-000027000000}"/>
            </a:ext>
          </a:extLst>
        </xdr:cNvPr>
        <xdr:cNvGrpSpPr/>
      </xdr:nvGrpSpPr>
      <xdr:grpSpPr>
        <a:xfrm>
          <a:off x="0" y="0"/>
          <a:ext cx="15345335" cy="605118"/>
          <a:chOff x="0" y="0"/>
          <a:chExt cx="15813741" cy="591671"/>
        </a:xfrm>
      </xdr:grpSpPr>
      <xdr:grpSp>
        <xdr:nvGrpSpPr>
          <xdr:cNvPr id="40" name="Header">
            <a:extLst>
              <a:ext uri="{FF2B5EF4-FFF2-40B4-BE49-F238E27FC236}">
                <a16:creationId xmlns:a16="http://schemas.microsoft.com/office/drawing/2014/main" id="{00000000-0008-0000-1700-000028000000}"/>
              </a:ext>
            </a:extLst>
          </xdr:cNvPr>
          <xdr:cNvGrpSpPr/>
        </xdr:nvGrpSpPr>
        <xdr:grpSpPr>
          <a:xfrm>
            <a:off x="0" y="0"/>
            <a:ext cx="15813741" cy="591671"/>
            <a:chOff x="0" y="0"/>
            <a:chExt cx="15813741" cy="591671"/>
          </a:xfrm>
        </xdr:grpSpPr>
        <xdr:sp macro="" textlink="">
          <xdr:nvSpPr>
            <xdr:cNvPr id="50" name="Reference">
              <a:extLst>
                <a:ext uri="{FF2B5EF4-FFF2-40B4-BE49-F238E27FC236}">
                  <a16:creationId xmlns:a16="http://schemas.microsoft.com/office/drawing/2014/main" id="{00000000-0008-0000-1700-00003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ntact">
              <a:hlinkClick xmlns:r="http://schemas.openxmlformats.org/officeDocument/2006/relationships" r:id="rId19" tooltip="Contact"/>
              <a:extLst>
                <a:ext uri="{FF2B5EF4-FFF2-40B4-BE49-F238E27FC236}">
                  <a16:creationId xmlns:a16="http://schemas.microsoft.com/office/drawing/2014/main" id="{00000000-0008-0000-1700-000036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20" tooltip=" "/>
              <a:extLst>
                <a:ext uri="{FF2B5EF4-FFF2-40B4-BE49-F238E27FC236}">
                  <a16:creationId xmlns:a16="http://schemas.microsoft.com/office/drawing/2014/main" id="{00000000-0008-0000-1700-00003A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Offer Form">
              <a:hlinkClick xmlns:r="http://schemas.openxmlformats.org/officeDocument/2006/relationships" r:id="rId21" tooltip=" "/>
              <a:extLst>
                <a:ext uri="{FF2B5EF4-FFF2-40B4-BE49-F238E27FC236}">
                  <a16:creationId xmlns:a16="http://schemas.microsoft.com/office/drawing/2014/main" id="{00000000-0008-0000-1700-00003B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Instructions">
              <a:hlinkClick xmlns:r="http://schemas.openxmlformats.org/officeDocument/2006/relationships" r:id="rId22" tooltip="Instructions"/>
              <a:extLst>
                <a:ext uri="{FF2B5EF4-FFF2-40B4-BE49-F238E27FC236}">
                  <a16:creationId xmlns:a16="http://schemas.microsoft.com/office/drawing/2014/main" id="{00000000-0008-0000-1700-00003C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elcome">
              <a:hlinkClick xmlns:r="http://schemas.openxmlformats.org/officeDocument/2006/relationships" r:id="rId23" tooltip="Welcome"/>
              <a:extLst>
                <a:ext uri="{FF2B5EF4-FFF2-40B4-BE49-F238E27FC236}">
                  <a16:creationId xmlns:a16="http://schemas.microsoft.com/office/drawing/2014/main" id="{00000000-0008-0000-1700-00003D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2" name="Evergy Logo">
              <a:extLst>
                <a:ext uri="{FF2B5EF4-FFF2-40B4-BE49-F238E27FC236}">
                  <a16:creationId xmlns:a16="http://schemas.microsoft.com/office/drawing/2014/main" id="{00000000-0008-0000-1700-00003E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3" name="State">
              <a:extLst>
                <a:ext uri="{FF2B5EF4-FFF2-40B4-BE49-F238E27FC236}">
                  <a16:creationId xmlns:a16="http://schemas.microsoft.com/office/drawing/2014/main" id="{00000000-0008-0000-1700-00003F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700-000029000000}"/>
              </a:ext>
            </a:extLst>
          </xdr:cNvPr>
          <xdr:cNvGrpSpPr/>
        </xdr:nvGrpSpPr>
        <xdr:grpSpPr>
          <a:xfrm>
            <a:off x="1613717" y="85337"/>
            <a:ext cx="11618762" cy="422893"/>
            <a:chOff x="1612951" y="85725"/>
            <a:chExt cx="11618931" cy="423022"/>
          </a:xfrm>
        </xdr:grpSpPr>
        <xdr:cxnSp macro="">
          <xdr:nvCxnSpPr>
            <xdr:cNvPr id="43" name="Divider 4">
              <a:extLst>
                <a:ext uri="{FF2B5EF4-FFF2-40B4-BE49-F238E27FC236}">
                  <a16:creationId xmlns:a16="http://schemas.microsoft.com/office/drawing/2014/main" id="{00000000-0008-0000-1700-00002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3">
              <a:extLst>
                <a:ext uri="{FF2B5EF4-FFF2-40B4-BE49-F238E27FC236}">
                  <a16:creationId xmlns:a16="http://schemas.microsoft.com/office/drawing/2014/main" id="{00000000-0008-0000-1700-00002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2">
              <a:extLst>
                <a:ext uri="{FF2B5EF4-FFF2-40B4-BE49-F238E27FC236}">
                  <a16:creationId xmlns:a16="http://schemas.microsoft.com/office/drawing/2014/main" id="{00000000-0008-0000-1700-00003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1">
              <a:extLst>
                <a:ext uri="{FF2B5EF4-FFF2-40B4-BE49-F238E27FC236}">
                  <a16:creationId xmlns:a16="http://schemas.microsoft.com/office/drawing/2014/main" id="{00000000-0008-0000-1700-00003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45" name="Arrow: Left M4S2">
          <a:hlinkClick xmlns:r="http://schemas.openxmlformats.org/officeDocument/2006/relationships" r:id="rId1" tooltip="Back: Equipment Type"/>
          <a:extLst>
            <a:ext uri="{FF2B5EF4-FFF2-40B4-BE49-F238E27FC236}">
              <a16:creationId xmlns:a16="http://schemas.microsoft.com/office/drawing/2014/main" id="{00000000-0008-0000-1800-00002D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3" name="Arrow: Right M4S2">
          <a:hlinkClick xmlns:r="http://schemas.openxmlformats.org/officeDocument/2006/relationships" r:id="rId2" tooltip="Foward: Lighting Controls"/>
          <a:extLst>
            <a:ext uri="{FF2B5EF4-FFF2-40B4-BE49-F238E27FC236}">
              <a16:creationId xmlns:a16="http://schemas.microsoft.com/office/drawing/2014/main" id="{00000000-0008-0000-1800-00003F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4" name="Select 2">
          <a:extLst>
            <a:ext uri="{FF2B5EF4-FFF2-40B4-BE49-F238E27FC236}">
              <a16:creationId xmlns:a16="http://schemas.microsoft.com/office/drawing/2014/main" id="{00000000-0008-0000-1800-000004000000}"/>
            </a:ext>
          </a:extLst>
        </xdr:cNvPr>
        <xdr:cNvGrpSpPr/>
      </xdr:nvGrpSpPr>
      <xdr:grpSpPr>
        <a:xfrm>
          <a:off x="2196353" y="2622176"/>
          <a:ext cx="2346251" cy="279448"/>
          <a:chOff x="1037447" y="2413275"/>
          <a:chExt cx="2409004" cy="276137"/>
        </a:xfrm>
      </xdr:grpSpPr>
      <xdr:cxnSp macro="">
        <xdr:nvCxnSpPr>
          <xdr:cNvPr id="5" name="Reference - V">
            <a:extLst>
              <a:ext uri="{FF2B5EF4-FFF2-40B4-BE49-F238E27FC236}">
                <a16:creationId xmlns:a16="http://schemas.microsoft.com/office/drawing/2014/main" id="{00000000-0008-0000-1800-000005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6" name="Reference - H">
            <a:extLst>
              <a:ext uri="{FF2B5EF4-FFF2-40B4-BE49-F238E27FC236}">
                <a16:creationId xmlns:a16="http://schemas.microsoft.com/office/drawing/2014/main" id="{00000000-0008-0000-1800-000006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 name="Options">
            <a:extLst>
              <a:ext uri="{FF2B5EF4-FFF2-40B4-BE49-F238E27FC236}">
                <a16:creationId xmlns:a16="http://schemas.microsoft.com/office/drawing/2014/main" id="{00000000-0008-0000-1800-000007000000}"/>
              </a:ext>
            </a:extLst>
          </xdr:cNvPr>
          <xdr:cNvGrpSpPr/>
        </xdr:nvGrpSpPr>
        <xdr:grpSpPr>
          <a:xfrm>
            <a:off x="1219200" y="2510935"/>
            <a:ext cx="2227251" cy="178477"/>
            <a:chOff x="1219200" y="2510935"/>
            <a:chExt cx="2227251" cy="178477"/>
          </a:xfrm>
        </xdr:grpSpPr>
        <xdr:sp macro="" textlink="">
          <xdr:nvSpPr>
            <xdr:cNvPr id="8" name="Custom">
              <a:extLst>
                <a:ext uri="{FF2B5EF4-FFF2-40B4-BE49-F238E27FC236}">
                  <a16:creationId xmlns:a16="http://schemas.microsoft.com/office/drawing/2014/main" id="{00000000-0008-0000-1800-000008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9" name="Standard">
              <a:hlinkClick xmlns:r="http://schemas.openxmlformats.org/officeDocument/2006/relationships" r:id="rId3"/>
              <a:extLst>
                <a:ext uri="{FF2B5EF4-FFF2-40B4-BE49-F238E27FC236}">
                  <a16:creationId xmlns:a16="http://schemas.microsoft.com/office/drawing/2014/main" id="{00000000-0008-0000-1800-000009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6" name="Measure Categories">
          <a:extLst>
            <a:ext uri="{FF2B5EF4-FFF2-40B4-BE49-F238E27FC236}">
              <a16:creationId xmlns:a16="http://schemas.microsoft.com/office/drawing/2014/main" id="{00000000-0008-0000-1800-00001A000000}"/>
            </a:ext>
          </a:extLst>
        </xdr:cNvPr>
        <xdr:cNvGrpSpPr/>
      </xdr:nvGrpSpPr>
      <xdr:grpSpPr>
        <a:xfrm>
          <a:off x="2823882" y="1613647"/>
          <a:ext cx="10040472" cy="607535"/>
          <a:chOff x="2240280" y="1582544"/>
          <a:chExt cx="10241281" cy="596777"/>
        </a:xfrm>
      </xdr:grpSpPr>
      <xdr:grpSp>
        <xdr:nvGrpSpPr>
          <xdr:cNvPr id="27" name="Categories">
            <a:extLst>
              <a:ext uri="{FF2B5EF4-FFF2-40B4-BE49-F238E27FC236}">
                <a16:creationId xmlns:a16="http://schemas.microsoft.com/office/drawing/2014/main" id="{00000000-0008-0000-1800-00001B000000}"/>
              </a:ext>
            </a:extLst>
          </xdr:cNvPr>
          <xdr:cNvGrpSpPr/>
        </xdr:nvGrpSpPr>
        <xdr:grpSpPr>
          <a:xfrm>
            <a:off x="2240280" y="1584961"/>
            <a:ext cx="10241281" cy="594360"/>
            <a:chOff x="2240280" y="1584961"/>
            <a:chExt cx="10241281" cy="594360"/>
          </a:xfrm>
        </xdr:grpSpPr>
        <xdr:sp macro="" textlink="">
          <xdr:nvSpPr>
            <xdr:cNvPr id="36" name="Lighting">
              <a:hlinkClick xmlns:r="http://schemas.openxmlformats.org/officeDocument/2006/relationships" r:id="rId4" tooltip="Lighting"/>
              <a:extLst>
                <a:ext uri="{FF2B5EF4-FFF2-40B4-BE49-F238E27FC236}">
                  <a16:creationId xmlns:a16="http://schemas.microsoft.com/office/drawing/2014/main" id="{00000000-0008-0000-1800-000024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Lighting Controls">
              <a:hlinkClick xmlns:r="http://schemas.openxmlformats.org/officeDocument/2006/relationships" r:id="rId5" tooltip="Lighting Controls"/>
              <a:extLst>
                <a:ext uri="{FF2B5EF4-FFF2-40B4-BE49-F238E27FC236}">
                  <a16:creationId xmlns:a16="http://schemas.microsoft.com/office/drawing/2014/main" id="{00000000-0008-0000-1800-000025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Refrigeration">
              <a:hlinkClick xmlns:r="http://schemas.openxmlformats.org/officeDocument/2006/relationships" r:id="rId6" tooltip="Refrigeration"/>
              <a:extLst>
                <a:ext uri="{FF2B5EF4-FFF2-40B4-BE49-F238E27FC236}">
                  <a16:creationId xmlns:a16="http://schemas.microsoft.com/office/drawing/2014/main" id="{00000000-0008-0000-1800-000026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HVAC">
              <a:hlinkClick xmlns:r="http://schemas.openxmlformats.org/officeDocument/2006/relationships" r:id="rId7" tooltip="HVAC"/>
              <a:extLst>
                <a:ext uri="{FF2B5EF4-FFF2-40B4-BE49-F238E27FC236}">
                  <a16:creationId xmlns:a16="http://schemas.microsoft.com/office/drawing/2014/main" id="{00000000-0008-0000-1800-000029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Motors and Drives">
              <a:hlinkClick xmlns:r="http://schemas.openxmlformats.org/officeDocument/2006/relationships" r:id="rId8" tooltip="Motors and Drives"/>
              <a:extLst>
                <a:ext uri="{FF2B5EF4-FFF2-40B4-BE49-F238E27FC236}">
                  <a16:creationId xmlns:a16="http://schemas.microsoft.com/office/drawing/2014/main" id="{00000000-0008-0000-1800-00002A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AP">
              <a:hlinkClick xmlns:r="http://schemas.openxmlformats.org/officeDocument/2006/relationships" r:id="rId9" tooltip="Compressed Air / Process"/>
              <a:extLst>
                <a:ext uri="{FF2B5EF4-FFF2-40B4-BE49-F238E27FC236}">
                  <a16:creationId xmlns:a16="http://schemas.microsoft.com/office/drawing/2014/main" id="{00000000-0008-0000-1800-00002B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WHFS">
              <a:hlinkClick xmlns:r="http://schemas.openxmlformats.org/officeDocument/2006/relationships" r:id="rId10" tooltip="Water Heating / Food Services"/>
              <a:extLst>
                <a:ext uri="{FF2B5EF4-FFF2-40B4-BE49-F238E27FC236}">
                  <a16:creationId xmlns:a16="http://schemas.microsoft.com/office/drawing/2014/main" id="{00000000-0008-0000-1800-00002F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Miscellaneous">
              <a:hlinkClick xmlns:r="http://schemas.openxmlformats.org/officeDocument/2006/relationships" r:id="rId11" tooltip="Miscellaneous"/>
              <a:extLst>
                <a:ext uri="{FF2B5EF4-FFF2-40B4-BE49-F238E27FC236}">
                  <a16:creationId xmlns:a16="http://schemas.microsoft.com/office/drawing/2014/main" id="{00000000-0008-0000-1800-000030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8" name="Dividers">
            <a:extLst>
              <a:ext uri="{FF2B5EF4-FFF2-40B4-BE49-F238E27FC236}">
                <a16:creationId xmlns:a16="http://schemas.microsoft.com/office/drawing/2014/main" id="{00000000-0008-0000-1800-00001C000000}"/>
              </a:ext>
            </a:extLst>
          </xdr:cNvPr>
          <xdr:cNvGrpSpPr/>
        </xdr:nvGrpSpPr>
        <xdr:grpSpPr>
          <a:xfrm>
            <a:off x="3521022" y="1582544"/>
            <a:ext cx="7680961" cy="551056"/>
            <a:chOff x="3520440" y="1580822"/>
            <a:chExt cx="7680960" cy="552779"/>
          </a:xfrm>
        </xdr:grpSpPr>
        <xdr:cxnSp macro="">
          <xdr:nvCxnSpPr>
            <xdr:cNvPr id="29" name="Divider 7">
              <a:extLst>
                <a:ext uri="{FF2B5EF4-FFF2-40B4-BE49-F238E27FC236}">
                  <a16:creationId xmlns:a16="http://schemas.microsoft.com/office/drawing/2014/main" id="{00000000-0008-0000-1800-00001D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6">
              <a:extLst>
                <a:ext uri="{FF2B5EF4-FFF2-40B4-BE49-F238E27FC236}">
                  <a16:creationId xmlns:a16="http://schemas.microsoft.com/office/drawing/2014/main" id="{00000000-0008-0000-1800-00001E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5">
              <a:extLst>
                <a:ext uri="{FF2B5EF4-FFF2-40B4-BE49-F238E27FC236}">
                  <a16:creationId xmlns:a16="http://schemas.microsoft.com/office/drawing/2014/main" id="{00000000-0008-0000-1800-00001F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4">
              <a:extLst>
                <a:ext uri="{FF2B5EF4-FFF2-40B4-BE49-F238E27FC236}">
                  <a16:creationId xmlns:a16="http://schemas.microsoft.com/office/drawing/2014/main" id="{00000000-0008-0000-1800-000020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3">
              <a:extLst>
                <a:ext uri="{FF2B5EF4-FFF2-40B4-BE49-F238E27FC236}">
                  <a16:creationId xmlns:a16="http://schemas.microsoft.com/office/drawing/2014/main" id="{00000000-0008-0000-1800-000021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2">
              <a:extLst>
                <a:ext uri="{FF2B5EF4-FFF2-40B4-BE49-F238E27FC236}">
                  <a16:creationId xmlns:a16="http://schemas.microsoft.com/office/drawing/2014/main" id="{00000000-0008-0000-1800-000022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1">
              <a:extLst>
                <a:ext uri="{FF2B5EF4-FFF2-40B4-BE49-F238E27FC236}">
                  <a16:creationId xmlns:a16="http://schemas.microsoft.com/office/drawing/2014/main" id="{00000000-0008-0000-1800-000023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2" name="Navigation">
          <a:extLst>
            <a:ext uri="{FF2B5EF4-FFF2-40B4-BE49-F238E27FC236}">
              <a16:creationId xmlns:a16="http://schemas.microsoft.com/office/drawing/2014/main" id="{00000000-0008-0000-1800-000002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8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8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8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 tooltip="Equipment Input"/>
            <a:extLst>
              <a:ext uri="{FF2B5EF4-FFF2-40B4-BE49-F238E27FC236}">
                <a16:creationId xmlns:a16="http://schemas.microsoft.com/office/drawing/2014/main" id="{00000000-0008-0000-18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4" tooltip="Building Information"/>
            <a:extLst>
              <a:ext uri="{FF2B5EF4-FFF2-40B4-BE49-F238E27FC236}">
                <a16:creationId xmlns:a16="http://schemas.microsoft.com/office/drawing/2014/main" id="{00000000-0008-0000-18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5" tooltip="Customer Information"/>
            <a:extLst>
              <a:ext uri="{FF2B5EF4-FFF2-40B4-BE49-F238E27FC236}">
                <a16:creationId xmlns:a16="http://schemas.microsoft.com/office/drawing/2014/main" id="{00000000-0008-0000-18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6" tooltip="Trade Ally/Vendor Information"/>
            <a:extLst>
              <a:ext uri="{FF2B5EF4-FFF2-40B4-BE49-F238E27FC236}">
                <a16:creationId xmlns:a16="http://schemas.microsoft.com/office/drawing/2014/main" id="{00000000-0008-0000-18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7" tooltip="Terms &amp; Conditions"/>
            <a:extLst>
              <a:ext uri="{FF2B5EF4-FFF2-40B4-BE49-F238E27FC236}">
                <a16:creationId xmlns:a16="http://schemas.microsoft.com/office/drawing/2014/main" id="{00000000-0008-0000-18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 name="Header">
          <a:extLst>
            <a:ext uri="{FF2B5EF4-FFF2-40B4-BE49-F238E27FC236}">
              <a16:creationId xmlns:a16="http://schemas.microsoft.com/office/drawing/2014/main" id="{00000000-0008-0000-1800-000003000000}"/>
            </a:ext>
          </a:extLst>
        </xdr:cNvPr>
        <xdr:cNvGrpSpPr/>
      </xdr:nvGrpSpPr>
      <xdr:grpSpPr>
        <a:xfrm>
          <a:off x="0" y="0"/>
          <a:ext cx="15345335" cy="605118"/>
          <a:chOff x="0" y="0"/>
          <a:chExt cx="15813741" cy="591671"/>
        </a:xfrm>
      </xdr:grpSpPr>
      <xdr:grpSp>
        <xdr:nvGrpSpPr>
          <xdr:cNvPr id="39" name="Header">
            <a:extLst>
              <a:ext uri="{FF2B5EF4-FFF2-40B4-BE49-F238E27FC236}">
                <a16:creationId xmlns:a16="http://schemas.microsoft.com/office/drawing/2014/main" id="{00000000-0008-0000-1800-000027000000}"/>
              </a:ext>
            </a:extLst>
          </xdr:cNvPr>
          <xdr:cNvGrpSpPr/>
        </xdr:nvGrpSpPr>
        <xdr:grpSpPr>
          <a:xfrm>
            <a:off x="0" y="0"/>
            <a:ext cx="15813741" cy="591671"/>
            <a:chOff x="0" y="0"/>
            <a:chExt cx="15813741" cy="591671"/>
          </a:xfrm>
        </xdr:grpSpPr>
        <xdr:sp macro="" textlink="">
          <xdr:nvSpPr>
            <xdr:cNvPr id="51" name="Reference">
              <a:extLst>
                <a:ext uri="{FF2B5EF4-FFF2-40B4-BE49-F238E27FC236}">
                  <a16:creationId xmlns:a16="http://schemas.microsoft.com/office/drawing/2014/main" id="{00000000-0008-0000-1800-000033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ontact">
              <a:hlinkClick xmlns:r="http://schemas.openxmlformats.org/officeDocument/2006/relationships" r:id="rId18" tooltip="Contact"/>
              <a:extLst>
                <a:ext uri="{FF2B5EF4-FFF2-40B4-BE49-F238E27FC236}">
                  <a16:creationId xmlns:a16="http://schemas.microsoft.com/office/drawing/2014/main" id="{00000000-0008-0000-1800-000034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ompletion Form">
              <a:hlinkClick xmlns:r="http://schemas.openxmlformats.org/officeDocument/2006/relationships" r:id="rId19" tooltip=" "/>
              <a:extLst>
                <a:ext uri="{FF2B5EF4-FFF2-40B4-BE49-F238E27FC236}">
                  <a16:creationId xmlns:a16="http://schemas.microsoft.com/office/drawing/2014/main" id="{00000000-0008-0000-1800-000035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Offer Form">
              <a:hlinkClick xmlns:r="http://schemas.openxmlformats.org/officeDocument/2006/relationships" r:id="rId20" tooltip=" "/>
              <a:extLst>
                <a:ext uri="{FF2B5EF4-FFF2-40B4-BE49-F238E27FC236}">
                  <a16:creationId xmlns:a16="http://schemas.microsoft.com/office/drawing/2014/main" id="{00000000-0008-0000-1800-000036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Instructions">
              <a:hlinkClick xmlns:r="http://schemas.openxmlformats.org/officeDocument/2006/relationships" r:id="rId21" tooltip="Instructions"/>
              <a:extLst>
                <a:ext uri="{FF2B5EF4-FFF2-40B4-BE49-F238E27FC236}">
                  <a16:creationId xmlns:a16="http://schemas.microsoft.com/office/drawing/2014/main" id="{00000000-0008-0000-1800-000037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Welcome">
              <a:hlinkClick xmlns:r="http://schemas.openxmlformats.org/officeDocument/2006/relationships" r:id="rId22" tooltip="Welcome"/>
              <a:extLst>
                <a:ext uri="{FF2B5EF4-FFF2-40B4-BE49-F238E27FC236}">
                  <a16:creationId xmlns:a16="http://schemas.microsoft.com/office/drawing/2014/main" id="{00000000-0008-0000-1800-000038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7" name="Evergy Logo">
              <a:extLst>
                <a:ext uri="{FF2B5EF4-FFF2-40B4-BE49-F238E27FC236}">
                  <a16:creationId xmlns:a16="http://schemas.microsoft.com/office/drawing/2014/main" id="{00000000-0008-0000-1800-00003900000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8" name="State">
              <a:extLst>
                <a:ext uri="{FF2B5EF4-FFF2-40B4-BE49-F238E27FC236}">
                  <a16:creationId xmlns:a16="http://schemas.microsoft.com/office/drawing/2014/main" id="{00000000-0008-0000-1800-00003A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0" name="Dividers">
            <a:extLst>
              <a:ext uri="{FF2B5EF4-FFF2-40B4-BE49-F238E27FC236}">
                <a16:creationId xmlns:a16="http://schemas.microsoft.com/office/drawing/2014/main" id="{00000000-0008-0000-1800-000028000000}"/>
              </a:ext>
            </a:extLst>
          </xdr:cNvPr>
          <xdr:cNvGrpSpPr/>
        </xdr:nvGrpSpPr>
        <xdr:grpSpPr>
          <a:xfrm>
            <a:off x="1613717" y="85337"/>
            <a:ext cx="11618762" cy="422893"/>
            <a:chOff x="1612951" y="85725"/>
            <a:chExt cx="11618931" cy="423022"/>
          </a:xfrm>
        </xdr:grpSpPr>
        <xdr:cxnSp macro="">
          <xdr:nvCxnSpPr>
            <xdr:cNvPr id="44" name="Divider 4">
              <a:extLst>
                <a:ext uri="{FF2B5EF4-FFF2-40B4-BE49-F238E27FC236}">
                  <a16:creationId xmlns:a16="http://schemas.microsoft.com/office/drawing/2014/main" id="{00000000-0008-0000-1800-00002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3">
              <a:extLst>
                <a:ext uri="{FF2B5EF4-FFF2-40B4-BE49-F238E27FC236}">
                  <a16:creationId xmlns:a16="http://schemas.microsoft.com/office/drawing/2014/main" id="{00000000-0008-0000-1800-00002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2">
              <a:extLst>
                <a:ext uri="{FF2B5EF4-FFF2-40B4-BE49-F238E27FC236}">
                  <a16:creationId xmlns:a16="http://schemas.microsoft.com/office/drawing/2014/main" id="{00000000-0008-0000-1800-00003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0" name="Divider 1">
              <a:extLst>
                <a:ext uri="{FF2B5EF4-FFF2-40B4-BE49-F238E27FC236}">
                  <a16:creationId xmlns:a16="http://schemas.microsoft.com/office/drawing/2014/main" id="{00000000-0008-0000-1800-00003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94800</xdr:colOff>
      <xdr:row>8</xdr:row>
      <xdr:rowOff>93234</xdr:rowOff>
    </xdr:from>
    <xdr:to>
      <xdr:col>3</xdr:col>
      <xdr:colOff>2396</xdr:colOff>
      <xdr:row>10</xdr:row>
      <xdr:rowOff>97492</xdr:rowOff>
    </xdr:to>
    <xdr:sp macro="" textlink="">
      <xdr:nvSpPr>
        <xdr:cNvPr id="60" name="Arrow: Left M4S3">
          <a:hlinkClick xmlns:r="http://schemas.openxmlformats.org/officeDocument/2006/relationships" r:id="rId1" tooltip="Back: Lighting"/>
          <a:extLst>
            <a:ext uri="{FF2B5EF4-FFF2-40B4-BE49-F238E27FC236}">
              <a16:creationId xmlns:a16="http://schemas.microsoft.com/office/drawing/2014/main" id="{00000000-0008-0000-1900-00003C000000}"/>
            </a:ext>
          </a:extLst>
        </xdr:cNvPr>
        <xdr:cNvSpPr/>
      </xdr:nvSpPr>
      <xdr:spPr>
        <a:xfrm>
          <a:off x="414840" y="1678194"/>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1" name="Arrow: Right M4S3">
          <a:hlinkClick xmlns:r="http://schemas.openxmlformats.org/officeDocument/2006/relationships" r:id="rId2" tooltip="Forward: Refrigeration"/>
          <a:extLst>
            <a:ext uri="{FF2B5EF4-FFF2-40B4-BE49-F238E27FC236}">
              <a16:creationId xmlns:a16="http://schemas.microsoft.com/office/drawing/2014/main" id="{00000000-0008-0000-1900-00003D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900-000003000000}"/>
            </a:ext>
          </a:extLst>
        </xdr:cNvPr>
        <xdr:cNvGrpSpPr/>
      </xdr:nvGrpSpPr>
      <xdr:grpSpPr>
        <a:xfrm>
          <a:off x="2196353" y="2622176"/>
          <a:ext cx="2346251" cy="279448"/>
          <a:chOff x="1037447" y="2413275"/>
          <a:chExt cx="2409004" cy="276137"/>
        </a:xfrm>
      </xdr:grpSpPr>
      <xdr:cxnSp macro="">
        <xdr:nvCxnSpPr>
          <xdr:cNvPr id="4" name="Reference - V">
            <a:extLst>
              <a:ext uri="{FF2B5EF4-FFF2-40B4-BE49-F238E27FC236}">
                <a16:creationId xmlns:a16="http://schemas.microsoft.com/office/drawing/2014/main" id="{00000000-0008-0000-19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9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9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9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9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9" name="Measure Categories">
          <a:extLst>
            <a:ext uri="{FF2B5EF4-FFF2-40B4-BE49-F238E27FC236}">
              <a16:creationId xmlns:a16="http://schemas.microsoft.com/office/drawing/2014/main" id="{00000000-0008-0000-1900-000009000000}"/>
            </a:ext>
          </a:extLst>
        </xdr:cNvPr>
        <xdr:cNvGrpSpPr/>
      </xdr:nvGrpSpPr>
      <xdr:grpSpPr>
        <a:xfrm>
          <a:off x="2823882" y="1613647"/>
          <a:ext cx="10040472" cy="607535"/>
          <a:chOff x="2240280" y="1582544"/>
          <a:chExt cx="10241281" cy="596777"/>
        </a:xfrm>
      </xdr:grpSpPr>
      <xdr:grpSp>
        <xdr:nvGrpSpPr>
          <xdr:cNvPr id="10" name="Categories">
            <a:extLst>
              <a:ext uri="{FF2B5EF4-FFF2-40B4-BE49-F238E27FC236}">
                <a16:creationId xmlns:a16="http://schemas.microsoft.com/office/drawing/2014/main" id="{00000000-0008-0000-1900-00000A000000}"/>
              </a:ext>
            </a:extLst>
          </xdr:cNvPr>
          <xdr:cNvGrpSpPr/>
        </xdr:nvGrpSpPr>
        <xdr:grpSpPr>
          <a:xfrm>
            <a:off x="2240280" y="1584961"/>
            <a:ext cx="10241281" cy="594360"/>
            <a:chOff x="2240280" y="1584961"/>
            <a:chExt cx="10241281" cy="594360"/>
          </a:xfrm>
        </xdr:grpSpPr>
        <xdr:sp macro="" textlink="">
          <xdr:nvSpPr>
            <xdr:cNvPr id="59" name="Lighting" hidden="1">
              <a:hlinkClick xmlns:r="http://schemas.openxmlformats.org/officeDocument/2006/relationships" r:id="rId4" tooltip="Lighting"/>
              <a:extLst>
                <a:ext uri="{FF2B5EF4-FFF2-40B4-BE49-F238E27FC236}">
                  <a16:creationId xmlns:a16="http://schemas.microsoft.com/office/drawing/2014/main" id="{00000000-0008-0000-1900-00003B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Lighting Controls">
              <a:hlinkClick xmlns:r="http://schemas.openxmlformats.org/officeDocument/2006/relationships" r:id="rId5" tooltip="Lighting Controls"/>
              <a:extLst>
                <a:ext uri="{FF2B5EF4-FFF2-40B4-BE49-F238E27FC236}">
                  <a16:creationId xmlns:a16="http://schemas.microsoft.com/office/drawing/2014/main" id="{00000000-0008-0000-1900-00003F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Refrigeration">
              <a:hlinkClick xmlns:r="http://schemas.openxmlformats.org/officeDocument/2006/relationships" r:id="rId6" tooltip="Refrigeration"/>
              <a:extLst>
                <a:ext uri="{FF2B5EF4-FFF2-40B4-BE49-F238E27FC236}">
                  <a16:creationId xmlns:a16="http://schemas.microsoft.com/office/drawing/2014/main" id="{00000000-0008-0000-1900-000040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HVAC">
              <a:hlinkClick xmlns:r="http://schemas.openxmlformats.org/officeDocument/2006/relationships" r:id="rId7" tooltip="HVAC"/>
              <a:extLst>
                <a:ext uri="{FF2B5EF4-FFF2-40B4-BE49-F238E27FC236}">
                  <a16:creationId xmlns:a16="http://schemas.microsoft.com/office/drawing/2014/main" id="{00000000-0008-0000-1900-00004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9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9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9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9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9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9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9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9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9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9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Divider 2">
              <a:extLst>
                <a:ext uri="{FF2B5EF4-FFF2-40B4-BE49-F238E27FC236}">
                  <a16:creationId xmlns:a16="http://schemas.microsoft.com/office/drawing/2014/main" id="{00000000-0008-0000-1900-000039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8" name="Divider 1" hidden="1">
              <a:extLst>
                <a:ext uri="{FF2B5EF4-FFF2-40B4-BE49-F238E27FC236}">
                  <a16:creationId xmlns:a16="http://schemas.microsoft.com/office/drawing/2014/main" id="{00000000-0008-0000-1900-00003A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9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9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9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9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9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9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9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9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9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900-000002000000}"/>
            </a:ext>
          </a:extLst>
        </xdr:cNvPr>
        <xdr:cNvGrpSpPr/>
      </xdr:nvGrpSpPr>
      <xdr:grpSpPr>
        <a:xfrm>
          <a:off x="0" y="0"/>
          <a:ext cx="15345335" cy="605118"/>
          <a:chOff x="0" y="0"/>
          <a:chExt cx="15813741" cy="591671"/>
        </a:xfrm>
      </xdr:grpSpPr>
      <xdr:grpSp>
        <xdr:nvGrpSpPr>
          <xdr:cNvPr id="35" name="Header">
            <a:extLst>
              <a:ext uri="{FF2B5EF4-FFF2-40B4-BE49-F238E27FC236}">
                <a16:creationId xmlns:a16="http://schemas.microsoft.com/office/drawing/2014/main" id="{00000000-0008-0000-1900-000023000000}"/>
              </a:ext>
            </a:extLst>
          </xdr:cNvPr>
          <xdr:cNvGrpSpPr/>
        </xdr:nvGrpSpPr>
        <xdr:grpSpPr>
          <a:xfrm>
            <a:off x="0" y="0"/>
            <a:ext cx="15813741" cy="591671"/>
            <a:chOff x="0" y="0"/>
            <a:chExt cx="15813741" cy="591671"/>
          </a:xfrm>
        </xdr:grpSpPr>
        <xdr:sp macro="" textlink="">
          <xdr:nvSpPr>
            <xdr:cNvPr id="44" name="Reference">
              <a:extLst>
                <a:ext uri="{FF2B5EF4-FFF2-40B4-BE49-F238E27FC236}">
                  <a16:creationId xmlns:a16="http://schemas.microsoft.com/office/drawing/2014/main" id="{00000000-0008-0000-1900-00002C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Contact">
              <a:hlinkClick xmlns:r="http://schemas.openxmlformats.org/officeDocument/2006/relationships" r:id="rId19" tooltip="Contact"/>
              <a:extLst>
                <a:ext uri="{FF2B5EF4-FFF2-40B4-BE49-F238E27FC236}">
                  <a16:creationId xmlns:a16="http://schemas.microsoft.com/office/drawing/2014/main" id="{00000000-0008-0000-1900-00002D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ompletion Form">
              <a:hlinkClick xmlns:r="http://schemas.openxmlformats.org/officeDocument/2006/relationships" r:id="rId20" tooltip=" "/>
              <a:extLst>
                <a:ext uri="{FF2B5EF4-FFF2-40B4-BE49-F238E27FC236}">
                  <a16:creationId xmlns:a16="http://schemas.microsoft.com/office/drawing/2014/main" id="{00000000-0008-0000-1900-000031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Offer Form">
              <a:hlinkClick xmlns:r="http://schemas.openxmlformats.org/officeDocument/2006/relationships" r:id="rId21" tooltip=" "/>
              <a:extLst>
                <a:ext uri="{FF2B5EF4-FFF2-40B4-BE49-F238E27FC236}">
                  <a16:creationId xmlns:a16="http://schemas.microsoft.com/office/drawing/2014/main" id="{00000000-0008-0000-1900-000032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Instructions">
              <a:hlinkClick xmlns:r="http://schemas.openxmlformats.org/officeDocument/2006/relationships" r:id="rId22" tooltip="Instructions"/>
              <a:extLst>
                <a:ext uri="{FF2B5EF4-FFF2-40B4-BE49-F238E27FC236}">
                  <a16:creationId xmlns:a16="http://schemas.microsoft.com/office/drawing/2014/main" id="{00000000-0008-0000-1900-000035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elcome">
              <a:hlinkClick xmlns:r="http://schemas.openxmlformats.org/officeDocument/2006/relationships" r:id="rId23" tooltip="Welcome"/>
              <a:extLst>
                <a:ext uri="{FF2B5EF4-FFF2-40B4-BE49-F238E27FC236}">
                  <a16:creationId xmlns:a16="http://schemas.microsoft.com/office/drawing/2014/main" id="{00000000-0008-0000-1900-000036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5" name="Evergy Logo">
              <a:extLst>
                <a:ext uri="{FF2B5EF4-FFF2-40B4-BE49-F238E27FC236}">
                  <a16:creationId xmlns:a16="http://schemas.microsoft.com/office/drawing/2014/main" id="{00000000-0008-0000-1900-000037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6" name="State">
              <a:extLst>
                <a:ext uri="{FF2B5EF4-FFF2-40B4-BE49-F238E27FC236}">
                  <a16:creationId xmlns:a16="http://schemas.microsoft.com/office/drawing/2014/main" id="{00000000-0008-0000-1900-000038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9" name="Dividers">
            <a:extLst>
              <a:ext uri="{FF2B5EF4-FFF2-40B4-BE49-F238E27FC236}">
                <a16:creationId xmlns:a16="http://schemas.microsoft.com/office/drawing/2014/main" id="{00000000-0008-0000-1900-000027000000}"/>
              </a:ext>
            </a:extLst>
          </xdr:cNvPr>
          <xdr:cNvGrpSpPr/>
        </xdr:nvGrpSpPr>
        <xdr:grpSpPr>
          <a:xfrm>
            <a:off x="1613717" y="85337"/>
            <a:ext cx="11618762" cy="422893"/>
            <a:chOff x="1612951" y="85725"/>
            <a:chExt cx="11618931" cy="423022"/>
          </a:xfrm>
        </xdr:grpSpPr>
        <xdr:cxnSp macro="">
          <xdr:nvCxnSpPr>
            <xdr:cNvPr id="40" name="Divider 4">
              <a:extLst>
                <a:ext uri="{FF2B5EF4-FFF2-40B4-BE49-F238E27FC236}">
                  <a16:creationId xmlns:a16="http://schemas.microsoft.com/office/drawing/2014/main" id="{00000000-0008-0000-1900-00002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3">
              <a:extLst>
                <a:ext uri="{FF2B5EF4-FFF2-40B4-BE49-F238E27FC236}">
                  <a16:creationId xmlns:a16="http://schemas.microsoft.com/office/drawing/2014/main" id="{00000000-0008-0000-1900-00002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2">
              <a:extLst>
                <a:ext uri="{FF2B5EF4-FFF2-40B4-BE49-F238E27FC236}">
                  <a16:creationId xmlns:a16="http://schemas.microsoft.com/office/drawing/2014/main" id="{00000000-0008-0000-1900-00002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1">
              <a:extLst>
                <a:ext uri="{FF2B5EF4-FFF2-40B4-BE49-F238E27FC236}">
                  <a16:creationId xmlns:a16="http://schemas.microsoft.com/office/drawing/2014/main" id="{00000000-0008-0000-1900-00002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53" name="Arrow: Left M4S4">
          <a:hlinkClick xmlns:r="http://schemas.openxmlformats.org/officeDocument/2006/relationships" r:id="rId1" tooltip="Back: Lighting Controls"/>
          <a:extLst>
            <a:ext uri="{FF2B5EF4-FFF2-40B4-BE49-F238E27FC236}">
              <a16:creationId xmlns:a16="http://schemas.microsoft.com/office/drawing/2014/main" id="{00000000-0008-0000-1A00-000035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54" name="Arrow: Right M4S4">
          <a:hlinkClick xmlns:r="http://schemas.openxmlformats.org/officeDocument/2006/relationships" r:id="rId2" tooltip="Forward: HVAC"/>
          <a:extLst>
            <a:ext uri="{FF2B5EF4-FFF2-40B4-BE49-F238E27FC236}">
              <a16:creationId xmlns:a16="http://schemas.microsoft.com/office/drawing/2014/main" id="{00000000-0008-0000-1A00-000036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A00-000003000000}"/>
            </a:ext>
          </a:extLst>
        </xdr:cNvPr>
        <xdr:cNvGrpSpPr/>
      </xdr:nvGrpSpPr>
      <xdr:grpSpPr>
        <a:xfrm>
          <a:off x="2196353" y="2622176"/>
          <a:ext cx="2346251" cy="279448"/>
          <a:chOff x="1037447" y="2413275"/>
          <a:chExt cx="2409004" cy="276137"/>
        </a:xfrm>
      </xdr:grpSpPr>
      <xdr:cxnSp macro="">
        <xdr:nvCxnSpPr>
          <xdr:cNvPr id="4" name="Reference - V">
            <a:extLst>
              <a:ext uri="{FF2B5EF4-FFF2-40B4-BE49-F238E27FC236}">
                <a16:creationId xmlns:a16="http://schemas.microsoft.com/office/drawing/2014/main" id="{00000000-0008-0000-1A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A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A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A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A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9" name="Measure Categories">
          <a:extLst>
            <a:ext uri="{FF2B5EF4-FFF2-40B4-BE49-F238E27FC236}">
              <a16:creationId xmlns:a16="http://schemas.microsoft.com/office/drawing/2014/main" id="{00000000-0008-0000-1A00-000009000000}"/>
            </a:ext>
          </a:extLst>
        </xdr:cNvPr>
        <xdr:cNvGrpSpPr/>
      </xdr:nvGrpSpPr>
      <xdr:grpSpPr>
        <a:xfrm>
          <a:off x="2823882" y="1613647"/>
          <a:ext cx="10040472" cy="607535"/>
          <a:chOff x="2240280" y="1582544"/>
          <a:chExt cx="10241281" cy="596777"/>
        </a:xfrm>
      </xdr:grpSpPr>
      <xdr:grpSp>
        <xdr:nvGrpSpPr>
          <xdr:cNvPr id="10" name="Categories">
            <a:extLst>
              <a:ext uri="{FF2B5EF4-FFF2-40B4-BE49-F238E27FC236}">
                <a16:creationId xmlns:a16="http://schemas.microsoft.com/office/drawing/2014/main" id="{00000000-0008-0000-1A00-00000A000000}"/>
              </a:ext>
            </a:extLst>
          </xdr:cNvPr>
          <xdr:cNvGrpSpPr/>
        </xdr:nvGrpSpPr>
        <xdr:grpSpPr>
          <a:xfrm>
            <a:off x="2240280" y="1584961"/>
            <a:ext cx="10241281" cy="594360"/>
            <a:chOff x="2240280" y="1584961"/>
            <a:chExt cx="10241281" cy="594360"/>
          </a:xfrm>
        </xdr:grpSpPr>
        <xdr:sp macro="" textlink="">
          <xdr:nvSpPr>
            <xdr:cNvPr id="58" name="Lighting" hidden="1">
              <a:hlinkClick xmlns:r="http://schemas.openxmlformats.org/officeDocument/2006/relationships" r:id="rId4" tooltip="Lighting"/>
              <a:extLst>
                <a:ext uri="{FF2B5EF4-FFF2-40B4-BE49-F238E27FC236}">
                  <a16:creationId xmlns:a16="http://schemas.microsoft.com/office/drawing/2014/main" id="{00000000-0008-0000-1A00-00003A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Lighting Controls">
              <a:hlinkClick xmlns:r="http://schemas.openxmlformats.org/officeDocument/2006/relationships" r:id="rId5" tooltip="Lighting Controls"/>
              <a:extLst>
                <a:ext uri="{FF2B5EF4-FFF2-40B4-BE49-F238E27FC236}">
                  <a16:creationId xmlns:a16="http://schemas.microsoft.com/office/drawing/2014/main" id="{00000000-0008-0000-1A00-00003B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Refrigeration">
              <a:hlinkClick xmlns:r="http://schemas.openxmlformats.org/officeDocument/2006/relationships" r:id="rId6" tooltip="Refrigeration"/>
              <a:extLst>
                <a:ext uri="{FF2B5EF4-FFF2-40B4-BE49-F238E27FC236}">
                  <a16:creationId xmlns:a16="http://schemas.microsoft.com/office/drawing/2014/main" id="{00000000-0008-0000-1A00-00003C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HVAC">
              <a:hlinkClick xmlns:r="http://schemas.openxmlformats.org/officeDocument/2006/relationships" r:id="rId7" tooltip="HVAC"/>
              <a:extLst>
                <a:ext uri="{FF2B5EF4-FFF2-40B4-BE49-F238E27FC236}">
                  <a16:creationId xmlns:a16="http://schemas.microsoft.com/office/drawing/2014/main" id="{00000000-0008-0000-1A00-00004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A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A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A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A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A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A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A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A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A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A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6" name="Divider 2">
              <a:extLst>
                <a:ext uri="{FF2B5EF4-FFF2-40B4-BE49-F238E27FC236}">
                  <a16:creationId xmlns:a16="http://schemas.microsoft.com/office/drawing/2014/main" id="{00000000-0008-0000-1A00-000038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Divider 1" hidden="1">
              <a:extLst>
                <a:ext uri="{FF2B5EF4-FFF2-40B4-BE49-F238E27FC236}">
                  <a16:creationId xmlns:a16="http://schemas.microsoft.com/office/drawing/2014/main" id="{00000000-0008-0000-1A00-000039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A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A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A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A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A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A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A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A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A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A00-000002000000}"/>
            </a:ext>
          </a:extLst>
        </xdr:cNvPr>
        <xdr:cNvGrpSpPr/>
      </xdr:nvGrpSpPr>
      <xdr:grpSpPr>
        <a:xfrm>
          <a:off x="0" y="0"/>
          <a:ext cx="15345335" cy="605118"/>
          <a:chOff x="0" y="0"/>
          <a:chExt cx="15813741" cy="591671"/>
        </a:xfrm>
      </xdr:grpSpPr>
      <xdr:grpSp>
        <xdr:nvGrpSpPr>
          <xdr:cNvPr id="40" name="Header">
            <a:extLst>
              <a:ext uri="{FF2B5EF4-FFF2-40B4-BE49-F238E27FC236}">
                <a16:creationId xmlns:a16="http://schemas.microsoft.com/office/drawing/2014/main" id="{00000000-0008-0000-1A00-000028000000}"/>
              </a:ext>
            </a:extLst>
          </xdr:cNvPr>
          <xdr:cNvGrpSpPr/>
        </xdr:nvGrpSpPr>
        <xdr:grpSpPr>
          <a:xfrm>
            <a:off x="0" y="0"/>
            <a:ext cx="15813741" cy="591671"/>
            <a:chOff x="0" y="0"/>
            <a:chExt cx="15813741" cy="591671"/>
          </a:xfrm>
        </xdr:grpSpPr>
        <xdr:sp macro="" textlink="">
          <xdr:nvSpPr>
            <xdr:cNvPr id="49" name="Reference">
              <a:extLst>
                <a:ext uri="{FF2B5EF4-FFF2-40B4-BE49-F238E27FC236}">
                  <a16:creationId xmlns:a16="http://schemas.microsoft.com/office/drawing/2014/main" id="{00000000-0008-0000-1A00-000031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9" tooltip="Contact"/>
              <a:extLst>
                <a:ext uri="{FF2B5EF4-FFF2-40B4-BE49-F238E27FC236}">
                  <a16:creationId xmlns:a16="http://schemas.microsoft.com/office/drawing/2014/main" id="{00000000-0008-0000-1A00-000032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20" tooltip=" "/>
              <a:extLst>
                <a:ext uri="{FF2B5EF4-FFF2-40B4-BE49-F238E27FC236}">
                  <a16:creationId xmlns:a16="http://schemas.microsoft.com/office/drawing/2014/main" id="{00000000-0008-0000-1A00-000033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1" tooltip=" "/>
              <a:extLst>
                <a:ext uri="{FF2B5EF4-FFF2-40B4-BE49-F238E27FC236}">
                  <a16:creationId xmlns:a16="http://schemas.microsoft.com/office/drawing/2014/main" id="{00000000-0008-0000-1A00-000034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Instructions">
              <a:hlinkClick xmlns:r="http://schemas.openxmlformats.org/officeDocument/2006/relationships" r:id="rId22" tooltip="Instructions"/>
              <a:extLst>
                <a:ext uri="{FF2B5EF4-FFF2-40B4-BE49-F238E27FC236}">
                  <a16:creationId xmlns:a16="http://schemas.microsoft.com/office/drawing/2014/main" id="{00000000-0008-0000-1A00-00003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elcome">
              <a:hlinkClick xmlns:r="http://schemas.openxmlformats.org/officeDocument/2006/relationships" r:id="rId23" tooltip="Welcome"/>
              <a:extLst>
                <a:ext uri="{FF2B5EF4-FFF2-40B4-BE49-F238E27FC236}">
                  <a16:creationId xmlns:a16="http://schemas.microsoft.com/office/drawing/2014/main" id="{00000000-0008-0000-1A00-00003E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A00-00003F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4" name="State">
              <a:extLst>
                <a:ext uri="{FF2B5EF4-FFF2-40B4-BE49-F238E27FC236}">
                  <a16:creationId xmlns:a16="http://schemas.microsoft.com/office/drawing/2014/main" id="{00000000-0008-0000-1A00-00004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A00-000029000000}"/>
              </a:ext>
            </a:extLst>
          </xdr:cNvPr>
          <xdr:cNvGrpSpPr/>
        </xdr:nvGrpSpPr>
        <xdr:grpSpPr>
          <a:xfrm>
            <a:off x="1613717" y="85337"/>
            <a:ext cx="11618762" cy="422893"/>
            <a:chOff x="1612951" y="85725"/>
            <a:chExt cx="11618931" cy="423022"/>
          </a:xfrm>
        </xdr:grpSpPr>
        <xdr:cxnSp macro="">
          <xdr:nvCxnSpPr>
            <xdr:cNvPr id="42" name="Divider 4">
              <a:extLst>
                <a:ext uri="{FF2B5EF4-FFF2-40B4-BE49-F238E27FC236}">
                  <a16:creationId xmlns:a16="http://schemas.microsoft.com/office/drawing/2014/main" id="{00000000-0008-0000-1A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3">
              <a:extLst>
                <a:ext uri="{FF2B5EF4-FFF2-40B4-BE49-F238E27FC236}">
                  <a16:creationId xmlns:a16="http://schemas.microsoft.com/office/drawing/2014/main" id="{00000000-0008-0000-1A00-00002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2">
              <a:extLst>
                <a:ext uri="{FF2B5EF4-FFF2-40B4-BE49-F238E27FC236}">
                  <a16:creationId xmlns:a16="http://schemas.microsoft.com/office/drawing/2014/main" id="{00000000-0008-0000-1A00-00002F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1">
              <a:extLst>
                <a:ext uri="{FF2B5EF4-FFF2-40B4-BE49-F238E27FC236}">
                  <a16:creationId xmlns:a16="http://schemas.microsoft.com/office/drawing/2014/main" id="{00000000-0008-0000-1A00-00003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97326</xdr:colOff>
      <xdr:row>8</xdr:row>
      <xdr:rowOff>98714</xdr:rowOff>
    </xdr:from>
    <xdr:to>
      <xdr:col>2</xdr:col>
      <xdr:colOff>312094</xdr:colOff>
      <xdr:row>10</xdr:row>
      <xdr:rowOff>104877</xdr:rowOff>
    </xdr:to>
    <xdr:sp macro="" textlink="">
      <xdr:nvSpPr>
        <xdr:cNvPr id="53" name="Arrow: Left M4S5">
          <a:hlinkClick xmlns:r="http://schemas.openxmlformats.org/officeDocument/2006/relationships" r:id="rId1" tooltip="Back: Refrigeration"/>
          <a:extLst>
            <a:ext uri="{FF2B5EF4-FFF2-40B4-BE49-F238E27FC236}">
              <a16:creationId xmlns:a16="http://schemas.microsoft.com/office/drawing/2014/main" id="{00000000-0008-0000-1B00-000035000000}"/>
            </a:ext>
          </a:extLst>
        </xdr:cNvPr>
        <xdr:cNvSpPr/>
      </xdr:nvSpPr>
      <xdr:spPr>
        <a:xfrm>
          <a:off x="418393" y="1691208"/>
          <a:ext cx="541551" cy="40619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6547</xdr:colOff>
      <xdr:row>8</xdr:row>
      <xdr:rowOff>96573</xdr:rowOff>
    </xdr:from>
    <xdr:to>
      <xdr:col>47</xdr:col>
      <xdr:colOff>227030</xdr:colOff>
      <xdr:row>10</xdr:row>
      <xdr:rowOff>102736</xdr:rowOff>
    </xdr:to>
    <xdr:sp macro="" textlink="">
      <xdr:nvSpPr>
        <xdr:cNvPr id="54" name="Arrow: Right M4S5">
          <a:hlinkClick xmlns:r="http://schemas.openxmlformats.org/officeDocument/2006/relationships" r:id="rId2" tooltip="Forward: Motors and Drives"/>
          <a:extLst>
            <a:ext uri="{FF2B5EF4-FFF2-40B4-BE49-F238E27FC236}">
              <a16:creationId xmlns:a16="http://schemas.microsoft.com/office/drawing/2014/main" id="{00000000-0008-0000-1B00-000036000000}"/>
            </a:ext>
          </a:extLst>
        </xdr:cNvPr>
        <xdr:cNvSpPr/>
      </xdr:nvSpPr>
      <xdr:spPr>
        <a:xfrm>
          <a:off x="13491378" y="1689067"/>
          <a:ext cx="541551" cy="40619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B00-000003000000}"/>
            </a:ext>
          </a:extLst>
        </xdr:cNvPr>
        <xdr:cNvGrpSpPr/>
      </xdr:nvGrpSpPr>
      <xdr:grpSpPr>
        <a:xfrm>
          <a:off x="2196353" y="2622176"/>
          <a:ext cx="2346251" cy="279448"/>
          <a:chOff x="1037447" y="2413275"/>
          <a:chExt cx="2409004" cy="276137"/>
        </a:xfrm>
      </xdr:grpSpPr>
      <xdr:cxnSp macro="">
        <xdr:nvCxnSpPr>
          <xdr:cNvPr id="4" name="Reference - V">
            <a:extLst>
              <a:ext uri="{FF2B5EF4-FFF2-40B4-BE49-F238E27FC236}">
                <a16:creationId xmlns:a16="http://schemas.microsoft.com/office/drawing/2014/main" id="{00000000-0008-0000-1B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B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B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B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B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9" name="Measure Categories">
          <a:extLst>
            <a:ext uri="{FF2B5EF4-FFF2-40B4-BE49-F238E27FC236}">
              <a16:creationId xmlns:a16="http://schemas.microsoft.com/office/drawing/2014/main" id="{00000000-0008-0000-1B00-000009000000}"/>
            </a:ext>
          </a:extLst>
        </xdr:cNvPr>
        <xdr:cNvGrpSpPr/>
      </xdr:nvGrpSpPr>
      <xdr:grpSpPr>
        <a:xfrm>
          <a:off x="2823882" y="1613647"/>
          <a:ext cx="10040472" cy="607535"/>
          <a:chOff x="2240280" y="1582544"/>
          <a:chExt cx="10241281" cy="596777"/>
        </a:xfrm>
      </xdr:grpSpPr>
      <xdr:grpSp>
        <xdr:nvGrpSpPr>
          <xdr:cNvPr id="10" name="Categories">
            <a:extLst>
              <a:ext uri="{FF2B5EF4-FFF2-40B4-BE49-F238E27FC236}">
                <a16:creationId xmlns:a16="http://schemas.microsoft.com/office/drawing/2014/main" id="{00000000-0008-0000-1B00-00000A000000}"/>
              </a:ext>
            </a:extLst>
          </xdr:cNvPr>
          <xdr:cNvGrpSpPr/>
        </xdr:nvGrpSpPr>
        <xdr:grpSpPr>
          <a:xfrm>
            <a:off x="2240280" y="1584961"/>
            <a:ext cx="10241281" cy="594360"/>
            <a:chOff x="2240280" y="1584961"/>
            <a:chExt cx="10241281" cy="594360"/>
          </a:xfrm>
        </xdr:grpSpPr>
        <xdr:sp macro="" textlink="">
          <xdr:nvSpPr>
            <xdr:cNvPr id="58" name="Lighting" hidden="1">
              <a:hlinkClick xmlns:r="http://schemas.openxmlformats.org/officeDocument/2006/relationships" r:id="rId4" tooltip="Lighting"/>
              <a:extLst>
                <a:ext uri="{FF2B5EF4-FFF2-40B4-BE49-F238E27FC236}">
                  <a16:creationId xmlns:a16="http://schemas.microsoft.com/office/drawing/2014/main" id="{00000000-0008-0000-1B00-00003A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Lighting Controls">
              <a:hlinkClick xmlns:r="http://schemas.openxmlformats.org/officeDocument/2006/relationships" r:id="rId5" tooltip="Lighting Controls"/>
              <a:extLst>
                <a:ext uri="{FF2B5EF4-FFF2-40B4-BE49-F238E27FC236}">
                  <a16:creationId xmlns:a16="http://schemas.microsoft.com/office/drawing/2014/main" id="{00000000-0008-0000-1B00-00003B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Refrigeration">
              <a:hlinkClick xmlns:r="http://schemas.openxmlformats.org/officeDocument/2006/relationships" r:id="rId6" tooltip="Refrigeration"/>
              <a:extLst>
                <a:ext uri="{FF2B5EF4-FFF2-40B4-BE49-F238E27FC236}">
                  <a16:creationId xmlns:a16="http://schemas.microsoft.com/office/drawing/2014/main" id="{00000000-0008-0000-1B00-00003C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HVAC">
              <a:hlinkClick xmlns:r="http://schemas.openxmlformats.org/officeDocument/2006/relationships" r:id="rId7" tooltip="HVAC"/>
              <a:extLst>
                <a:ext uri="{FF2B5EF4-FFF2-40B4-BE49-F238E27FC236}">
                  <a16:creationId xmlns:a16="http://schemas.microsoft.com/office/drawing/2014/main" id="{00000000-0008-0000-1B00-00004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B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B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B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B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B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B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B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B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B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B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6" name="Divider 2">
              <a:extLst>
                <a:ext uri="{FF2B5EF4-FFF2-40B4-BE49-F238E27FC236}">
                  <a16:creationId xmlns:a16="http://schemas.microsoft.com/office/drawing/2014/main" id="{00000000-0008-0000-1B00-000038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Divider 1">
              <a:extLst>
                <a:ext uri="{FF2B5EF4-FFF2-40B4-BE49-F238E27FC236}">
                  <a16:creationId xmlns:a16="http://schemas.microsoft.com/office/drawing/2014/main" id="{00000000-0008-0000-1B00-000039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B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B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B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B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B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B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B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B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B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B00-000002000000}"/>
            </a:ext>
          </a:extLst>
        </xdr:cNvPr>
        <xdr:cNvGrpSpPr/>
      </xdr:nvGrpSpPr>
      <xdr:grpSpPr>
        <a:xfrm>
          <a:off x="0" y="0"/>
          <a:ext cx="15345335" cy="605118"/>
          <a:chOff x="0" y="0"/>
          <a:chExt cx="15813741" cy="591671"/>
        </a:xfrm>
      </xdr:grpSpPr>
      <xdr:grpSp>
        <xdr:nvGrpSpPr>
          <xdr:cNvPr id="34" name="Header">
            <a:extLst>
              <a:ext uri="{FF2B5EF4-FFF2-40B4-BE49-F238E27FC236}">
                <a16:creationId xmlns:a16="http://schemas.microsoft.com/office/drawing/2014/main" id="{00000000-0008-0000-1B00-000022000000}"/>
              </a:ext>
            </a:extLst>
          </xdr:cNvPr>
          <xdr:cNvGrpSpPr/>
        </xdr:nvGrpSpPr>
        <xdr:grpSpPr>
          <a:xfrm>
            <a:off x="0" y="0"/>
            <a:ext cx="15813741" cy="591671"/>
            <a:chOff x="0" y="0"/>
            <a:chExt cx="15813741" cy="591671"/>
          </a:xfrm>
        </xdr:grpSpPr>
        <xdr:sp macro="" textlink="">
          <xdr:nvSpPr>
            <xdr:cNvPr id="49" name="Reference">
              <a:extLst>
                <a:ext uri="{FF2B5EF4-FFF2-40B4-BE49-F238E27FC236}">
                  <a16:creationId xmlns:a16="http://schemas.microsoft.com/office/drawing/2014/main" id="{00000000-0008-0000-1B00-000031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9" tooltip="Contact"/>
              <a:extLst>
                <a:ext uri="{FF2B5EF4-FFF2-40B4-BE49-F238E27FC236}">
                  <a16:creationId xmlns:a16="http://schemas.microsoft.com/office/drawing/2014/main" id="{00000000-0008-0000-1B00-000032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20" tooltip=" "/>
              <a:extLst>
                <a:ext uri="{FF2B5EF4-FFF2-40B4-BE49-F238E27FC236}">
                  <a16:creationId xmlns:a16="http://schemas.microsoft.com/office/drawing/2014/main" id="{00000000-0008-0000-1B00-000033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1" tooltip=" "/>
              <a:extLst>
                <a:ext uri="{FF2B5EF4-FFF2-40B4-BE49-F238E27FC236}">
                  <a16:creationId xmlns:a16="http://schemas.microsoft.com/office/drawing/2014/main" id="{00000000-0008-0000-1B00-000034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Instructions">
              <a:hlinkClick xmlns:r="http://schemas.openxmlformats.org/officeDocument/2006/relationships" r:id="rId22" tooltip="Instructions"/>
              <a:extLst>
                <a:ext uri="{FF2B5EF4-FFF2-40B4-BE49-F238E27FC236}">
                  <a16:creationId xmlns:a16="http://schemas.microsoft.com/office/drawing/2014/main" id="{00000000-0008-0000-1B00-00003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elcome">
              <a:hlinkClick xmlns:r="http://schemas.openxmlformats.org/officeDocument/2006/relationships" r:id="rId23" tooltip="Welcome"/>
              <a:extLst>
                <a:ext uri="{FF2B5EF4-FFF2-40B4-BE49-F238E27FC236}">
                  <a16:creationId xmlns:a16="http://schemas.microsoft.com/office/drawing/2014/main" id="{00000000-0008-0000-1B00-00003E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B00-00003F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4" name="State">
              <a:extLst>
                <a:ext uri="{FF2B5EF4-FFF2-40B4-BE49-F238E27FC236}">
                  <a16:creationId xmlns:a16="http://schemas.microsoft.com/office/drawing/2014/main" id="{00000000-0008-0000-1B00-00004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5" name="Dividers">
            <a:extLst>
              <a:ext uri="{FF2B5EF4-FFF2-40B4-BE49-F238E27FC236}">
                <a16:creationId xmlns:a16="http://schemas.microsoft.com/office/drawing/2014/main" id="{00000000-0008-0000-1B00-000023000000}"/>
              </a:ext>
            </a:extLst>
          </xdr:cNvPr>
          <xdr:cNvGrpSpPr/>
        </xdr:nvGrpSpPr>
        <xdr:grpSpPr>
          <a:xfrm>
            <a:off x="1613717" y="85337"/>
            <a:ext cx="11618762" cy="422893"/>
            <a:chOff x="1612951" y="85725"/>
            <a:chExt cx="11618931" cy="423022"/>
          </a:xfrm>
        </xdr:grpSpPr>
        <xdr:cxnSp macro="">
          <xdr:nvCxnSpPr>
            <xdr:cNvPr id="42" name="Divider 4">
              <a:extLst>
                <a:ext uri="{FF2B5EF4-FFF2-40B4-BE49-F238E27FC236}">
                  <a16:creationId xmlns:a16="http://schemas.microsoft.com/office/drawing/2014/main" id="{00000000-0008-0000-1B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B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B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1">
              <a:extLst>
                <a:ext uri="{FF2B5EF4-FFF2-40B4-BE49-F238E27FC236}">
                  <a16:creationId xmlns:a16="http://schemas.microsoft.com/office/drawing/2014/main" id="{00000000-0008-0000-1B00-00003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100853</xdr:colOff>
      <xdr:row>3</xdr:row>
      <xdr:rowOff>193798</xdr:rowOff>
    </xdr:from>
    <xdr:to>
      <xdr:col>3</xdr:col>
      <xdr:colOff>131</xdr:colOff>
      <xdr:row>6</xdr:row>
      <xdr:rowOff>4481</xdr:rowOff>
    </xdr:to>
    <xdr:sp macro="" textlink="">
      <xdr:nvSpPr>
        <xdr:cNvPr id="14" name="Arrow: Left M1S2">
          <a:hlinkClick xmlns:r="http://schemas.openxmlformats.org/officeDocument/2006/relationships" r:id="rId1" tooltip="Back: Welcome"/>
          <a:extLst>
            <a:ext uri="{FF2B5EF4-FFF2-40B4-BE49-F238E27FC236}">
              <a16:creationId xmlns:a16="http://schemas.microsoft.com/office/drawing/2014/main" id="{00000000-0008-0000-0A00-00000E000000}"/>
            </a:ext>
          </a:extLst>
        </xdr:cNvPr>
        <xdr:cNvSpPr/>
      </xdr:nvSpPr>
      <xdr:spPr>
        <a:xfrm>
          <a:off x="419883" y="785955"/>
          <a:ext cx="537207" cy="402839"/>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xdr:colOff>
      <xdr:row>4</xdr:row>
      <xdr:rowOff>0</xdr:rowOff>
    </xdr:from>
    <xdr:to>
      <xdr:col>38</xdr:col>
      <xdr:colOff>0</xdr:colOff>
      <xdr:row>41</xdr:row>
      <xdr:rowOff>56753</xdr:rowOff>
    </xdr:to>
    <xdr:grpSp>
      <xdr:nvGrpSpPr>
        <xdr:cNvPr id="26" name="Instructions">
          <a:extLst>
            <a:ext uri="{FF2B5EF4-FFF2-40B4-BE49-F238E27FC236}">
              <a16:creationId xmlns:a16="http://schemas.microsoft.com/office/drawing/2014/main" id="{00000000-0008-0000-0A00-00001A000000}"/>
            </a:ext>
          </a:extLst>
        </xdr:cNvPr>
        <xdr:cNvGrpSpPr>
          <a:grpSpLocks noChangeAspect="1"/>
        </xdr:cNvGrpSpPr>
      </xdr:nvGrpSpPr>
      <xdr:grpSpPr>
        <a:xfrm>
          <a:off x="1882589" y="806824"/>
          <a:ext cx="10040470" cy="7519870"/>
          <a:chOff x="2560320" y="990600"/>
          <a:chExt cx="10134600" cy="7582479"/>
        </a:xfrm>
      </xdr:grpSpPr>
      <xdr:pic>
        <xdr:nvPicPr>
          <xdr:cNvPr id="23" name="Instructions">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320" y="990600"/>
            <a:ext cx="10134600" cy="7582479"/>
          </a:xfrm>
          <a:prstGeom prst="rect">
            <a:avLst/>
          </a:prstGeom>
        </xdr:spPr>
      </xdr:pic>
      <xdr:sp macro="" textlink="">
        <xdr:nvSpPr>
          <xdr:cNvPr id="20" name="Email">
            <a:hlinkClick xmlns:r="http://schemas.openxmlformats.org/officeDocument/2006/relationships" r:id="rId3"/>
            <a:extLst>
              <a:ext uri="{FF2B5EF4-FFF2-40B4-BE49-F238E27FC236}">
                <a16:creationId xmlns:a16="http://schemas.microsoft.com/office/drawing/2014/main" id="{00000000-0008-0000-0A00-000014000000}"/>
              </a:ext>
            </a:extLst>
          </xdr:cNvPr>
          <xdr:cNvSpPr/>
        </xdr:nvSpPr>
        <xdr:spPr>
          <a:xfrm>
            <a:off x="6566013" y="8099343"/>
            <a:ext cx="1946462" cy="2224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mc:AlternateContent xmlns:mc="http://schemas.openxmlformats.org/markup-compatibility/2006">
    <mc:Choice xmlns:a14="http://schemas.microsoft.com/office/drawing/2010/main" Requires="a14">
      <xdr:twoCellAnchor editAs="oneCell">
        <xdr:from>
          <xdr:col>42</xdr:col>
          <xdr:colOff>0</xdr:colOff>
          <xdr:row>10</xdr:row>
          <xdr:rowOff>190500</xdr:rowOff>
        </xdr:from>
        <xdr:to>
          <xdr:col>48</xdr:col>
          <xdr:colOff>0</xdr:colOff>
          <xdr:row>12</xdr:row>
          <xdr:rowOff>0</xdr:rowOff>
        </xdr:to>
        <xdr:sp macro="" textlink="">
          <xdr:nvSpPr>
            <xdr:cNvPr id="291841" name="Check Box 1" hidden="1">
              <a:extLst>
                <a:ext uri="{63B3BB69-23CF-44E3-9099-C40C66FF867C}">
                  <a14:compatExt spid="_x0000_s291841"/>
                </a:ext>
                <a:ext uri="{FF2B5EF4-FFF2-40B4-BE49-F238E27FC236}">
                  <a16:creationId xmlns:a16="http://schemas.microsoft.com/office/drawing/2014/main" id="{00000000-0008-0000-0A00-000001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 acknowledge the above statement.</a:t>
              </a:r>
            </a:p>
          </xdr:txBody>
        </xdr:sp>
        <xdr:clientData/>
      </xdr:twoCellAnchor>
    </mc:Choice>
    <mc:Fallback/>
  </mc:AlternateContent>
  <xdr:twoCellAnchor>
    <xdr:from>
      <xdr:col>42</xdr:col>
      <xdr:colOff>0</xdr:colOff>
      <xdr:row>3</xdr:row>
      <xdr:rowOff>85725</xdr:rowOff>
    </xdr:from>
    <xdr:to>
      <xdr:col>48</xdr:col>
      <xdr:colOff>1</xdr:colOff>
      <xdr:row>6</xdr:row>
      <xdr:rowOff>125730</xdr:rowOff>
    </xdr:to>
    <xdr:grpSp>
      <xdr:nvGrpSpPr>
        <xdr:cNvPr id="25" name="Start">
          <a:extLst>
            <a:ext uri="{FF2B5EF4-FFF2-40B4-BE49-F238E27FC236}">
              <a16:creationId xmlns:a16="http://schemas.microsoft.com/office/drawing/2014/main" id="{00000000-0008-0000-0A00-000019000000}"/>
            </a:ext>
          </a:extLst>
        </xdr:cNvPr>
        <xdr:cNvGrpSpPr/>
      </xdr:nvGrpSpPr>
      <xdr:grpSpPr>
        <a:xfrm>
          <a:off x="13178118" y="690843"/>
          <a:ext cx="1882589" cy="645122"/>
          <a:chOff x="13201650" y="685800"/>
          <a:chExt cx="1885951" cy="640080"/>
        </a:xfrm>
      </xdr:grpSpPr>
      <xdr:sp macro="" textlink="">
        <xdr:nvSpPr>
          <xdr:cNvPr id="2" name="Start">
            <a:extLst>
              <a:ext uri="{FF2B5EF4-FFF2-40B4-BE49-F238E27FC236}">
                <a16:creationId xmlns:a16="http://schemas.microsoft.com/office/drawing/2014/main" id="{00000000-0008-0000-0A00-000002000000}"/>
              </a:ext>
            </a:extLst>
          </xdr:cNvPr>
          <xdr:cNvSpPr/>
        </xdr:nvSpPr>
        <xdr:spPr>
          <a:xfrm>
            <a:off x="13201651" y="687902"/>
            <a:ext cx="1885950" cy="635038"/>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START</a:t>
            </a:r>
          </a:p>
          <a:p>
            <a:pPr algn="l"/>
            <a:r>
              <a:rPr lang="en-US" sz="800" b="1">
                <a:latin typeface="Arial" panose="020B0604020202020204" pitchFamily="34" charset="0"/>
                <a:cs typeface="Arial" panose="020B0604020202020204" pitchFamily="34" charset="0"/>
              </a:rPr>
              <a:t>Read to continue.</a:t>
            </a:r>
          </a:p>
        </xdr:txBody>
      </xdr:sp>
      <xdr:sp macro="" textlink="">
        <xdr:nvSpPr>
          <xdr:cNvPr id="15" name="Arrow: Right M01-S02">
            <a:extLst>
              <a:ext uri="{FF2B5EF4-FFF2-40B4-BE49-F238E27FC236}">
                <a16:creationId xmlns:a16="http://schemas.microsoft.com/office/drawing/2014/main" id="{00000000-0008-0000-0A00-00000F000000}"/>
              </a:ext>
            </a:extLst>
          </xdr:cNvPr>
          <xdr:cNvSpPr/>
        </xdr:nvSpPr>
        <xdr:spPr>
          <a:xfrm>
            <a:off x="14329352" y="767260"/>
            <a:ext cx="610556" cy="476975"/>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Link M02-S01">
            <a:hlinkClick xmlns:r="http://schemas.openxmlformats.org/officeDocument/2006/relationships" r:id="rId4"/>
            <a:extLst>
              <a:ext uri="{FF2B5EF4-FFF2-40B4-BE49-F238E27FC236}">
                <a16:creationId xmlns:a16="http://schemas.microsoft.com/office/drawing/2014/main" id="{00000000-0008-0000-0A00-000018000000}"/>
              </a:ext>
            </a:extLst>
          </xdr:cNvPr>
          <xdr:cNvSpPr/>
        </xdr:nvSpPr>
        <xdr:spPr>
          <a:xfrm>
            <a:off x="13201650" y="685800"/>
            <a:ext cx="1885950" cy="640080"/>
          </a:xfrm>
          <a:prstGeom prst="roundRect">
            <a:avLst>
              <a:gd name="adj" fmla="val 48870"/>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US" sz="1600" b="1">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5" name="Header">
          <a:extLst>
            <a:ext uri="{FF2B5EF4-FFF2-40B4-BE49-F238E27FC236}">
              <a16:creationId xmlns:a16="http://schemas.microsoft.com/office/drawing/2014/main" id="{00000000-0008-0000-0A00-000005000000}"/>
            </a:ext>
          </a:extLst>
        </xdr:cNvPr>
        <xdr:cNvGrpSpPr/>
      </xdr:nvGrpSpPr>
      <xdr:grpSpPr>
        <a:xfrm>
          <a:off x="0" y="0"/>
          <a:ext cx="15374471" cy="605118"/>
          <a:chOff x="0" y="0"/>
          <a:chExt cx="15813741" cy="591671"/>
        </a:xfrm>
      </xdr:grpSpPr>
      <xdr:grpSp>
        <xdr:nvGrpSpPr>
          <xdr:cNvPr id="4" name="Header">
            <a:extLst>
              <a:ext uri="{FF2B5EF4-FFF2-40B4-BE49-F238E27FC236}">
                <a16:creationId xmlns:a16="http://schemas.microsoft.com/office/drawing/2014/main" id="{00000000-0008-0000-0A00-000004000000}"/>
              </a:ext>
            </a:extLst>
          </xdr:cNvPr>
          <xdr:cNvGrpSpPr/>
        </xdr:nvGrpSpPr>
        <xdr:grpSpPr>
          <a:xfrm>
            <a:off x="0" y="0"/>
            <a:ext cx="15813741" cy="591671"/>
            <a:chOff x="0" y="0"/>
            <a:chExt cx="15813741" cy="591671"/>
          </a:xfrm>
        </xdr:grpSpPr>
        <xdr:sp macro="" textlink="">
          <xdr:nvSpPr>
            <xdr:cNvPr id="95" name="Reference">
              <a:extLst>
                <a:ext uri="{FF2B5EF4-FFF2-40B4-BE49-F238E27FC236}">
                  <a16:creationId xmlns:a16="http://schemas.microsoft.com/office/drawing/2014/main" id="{00000000-0008-0000-0A00-00005F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2" name="Contact">
              <a:hlinkClick xmlns:r="http://schemas.openxmlformats.org/officeDocument/2006/relationships" r:id="rId5" tooltip="Contact"/>
              <a:extLst>
                <a:ext uri="{FF2B5EF4-FFF2-40B4-BE49-F238E27FC236}">
                  <a16:creationId xmlns:a16="http://schemas.microsoft.com/office/drawing/2014/main" id="{00000000-0008-0000-0A00-000066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3" name="Completion Form">
              <a:hlinkClick xmlns:r="http://schemas.openxmlformats.org/officeDocument/2006/relationships" r:id="rId6" tooltip=" "/>
              <a:extLst>
                <a:ext uri="{FF2B5EF4-FFF2-40B4-BE49-F238E27FC236}">
                  <a16:creationId xmlns:a16="http://schemas.microsoft.com/office/drawing/2014/main" id="{00000000-0008-0000-0A00-000067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4" name="Offer Form">
              <a:hlinkClick xmlns:r="http://schemas.openxmlformats.org/officeDocument/2006/relationships" r:id="rId7" tooltip=" "/>
              <a:extLst>
                <a:ext uri="{FF2B5EF4-FFF2-40B4-BE49-F238E27FC236}">
                  <a16:creationId xmlns:a16="http://schemas.microsoft.com/office/drawing/2014/main" id="{00000000-0008-0000-0A00-000068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5" name="Instructions">
              <a:hlinkClick xmlns:r="http://schemas.openxmlformats.org/officeDocument/2006/relationships" r:id="rId8" tooltip="Instructions"/>
              <a:extLst>
                <a:ext uri="{FF2B5EF4-FFF2-40B4-BE49-F238E27FC236}">
                  <a16:creationId xmlns:a16="http://schemas.microsoft.com/office/drawing/2014/main" id="{00000000-0008-0000-0A00-000069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6" name="Welcome">
              <a:hlinkClick xmlns:r="http://schemas.openxmlformats.org/officeDocument/2006/relationships" r:id="rId1" tooltip="Welcome"/>
              <a:extLst>
                <a:ext uri="{FF2B5EF4-FFF2-40B4-BE49-F238E27FC236}">
                  <a16:creationId xmlns:a16="http://schemas.microsoft.com/office/drawing/2014/main" id="{00000000-0008-0000-0A00-00006A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07" name="Evergy Logo">
              <a:extLst>
                <a:ext uri="{FF2B5EF4-FFF2-40B4-BE49-F238E27FC236}">
                  <a16:creationId xmlns:a16="http://schemas.microsoft.com/office/drawing/2014/main" id="{00000000-0008-0000-0A00-00006B000000}"/>
                </a:ext>
              </a:extLst>
            </xdr:cNvPr>
            <xdr:cNvPicPr>
              <a:picLocks/>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 name="State">
              <a:extLst>
                <a:ext uri="{FF2B5EF4-FFF2-40B4-BE49-F238E27FC236}">
                  <a16:creationId xmlns:a16="http://schemas.microsoft.com/office/drawing/2014/main" id="{00000000-0008-0000-0A00-000003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97" name="Dividers">
            <a:extLst>
              <a:ext uri="{FF2B5EF4-FFF2-40B4-BE49-F238E27FC236}">
                <a16:creationId xmlns:a16="http://schemas.microsoft.com/office/drawing/2014/main" id="{00000000-0008-0000-0A00-000061000000}"/>
              </a:ext>
            </a:extLst>
          </xdr:cNvPr>
          <xdr:cNvGrpSpPr/>
        </xdr:nvGrpSpPr>
        <xdr:grpSpPr>
          <a:xfrm>
            <a:off x="1613717" y="85337"/>
            <a:ext cx="11618762" cy="422893"/>
            <a:chOff x="1612951" y="85725"/>
            <a:chExt cx="11618931" cy="423022"/>
          </a:xfrm>
        </xdr:grpSpPr>
        <xdr:cxnSp macro="">
          <xdr:nvCxnSpPr>
            <xdr:cNvPr id="98" name="Divider 4">
              <a:extLst>
                <a:ext uri="{FF2B5EF4-FFF2-40B4-BE49-F238E27FC236}">
                  <a16:creationId xmlns:a16="http://schemas.microsoft.com/office/drawing/2014/main" id="{00000000-0008-0000-0A00-000062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9" name="Divider 3">
              <a:extLst>
                <a:ext uri="{FF2B5EF4-FFF2-40B4-BE49-F238E27FC236}">
                  <a16:creationId xmlns:a16="http://schemas.microsoft.com/office/drawing/2014/main" id="{00000000-0008-0000-0A00-000063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0" name="Divider 2">
              <a:extLst>
                <a:ext uri="{FF2B5EF4-FFF2-40B4-BE49-F238E27FC236}">
                  <a16:creationId xmlns:a16="http://schemas.microsoft.com/office/drawing/2014/main" id="{00000000-0008-0000-0A00-00006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1" name="Divider 1">
              <a:extLst>
                <a:ext uri="{FF2B5EF4-FFF2-40B4-BE49-F238E27FC236}">
                  <a16:creationId xmlns:a16="http://schemas.microsoft.com/office/drawing/2014/main" id="{00000000-0008-0000-0A00-00006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94893</xdr:colOff>
      <xdr:row>8</xdr:row>
      <xdr:rowOff>93952</xdr:rowOff>
    </xdr:from>
    <xdr:to>
      <xdr:col>3</xdr:col>
      <xdr:colOff>2239</xdr:colOff>
      <xdr:row>10</xdr:row>
      <xdr:rowOff>98210</xdr:rowOff>
    </xdr:to>
    <xdr:sp macro="" textlink="">
      <xdr:nvSpPr>
        <xdr:cNvPr id="49" name="Arrow: Left M4S8">
          <a:hlinkClick xmlns:r="http://schemas.openxmlformats.org/officeDocument/2006/relationships" r:id="rId1" tooltip="Back: HVAC"/>
          <a:extLst>
            <a:ext uri="{FF2B5EF4-FFF2-40B4-BE49-F238E27FC236}">
              <a16:creationId xmlns:a16="http://schemas.microsoft.com/office/drawing/2014/main" id="{00000000-0008-0000-1C00-000031000000}"/>
            </a:ext>
          </a:extLst>
        </xdr:cNvPr>
        <xdr:cNvSpPr/>
      </xdr:nvSpPr>
      <xdr:spPr>
        <a:xfrm>
          <a:off x="414933" y="1678912"/>
          <a:ext cx="53924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50" name="Arrow: Right M4S8">
          <a:hlinkClick xmlns:r="http://schemas.openxmlformats.org/officeDocument/2006/relationships" r:id="rId2" tooltip="Forward: Compressed Air / Process"/>
          <a:extLst>
            <a:ext uri="{FF2B5EF4-FFF2-40B4-BE49-F238E27FC236}">
              <a16:creationId xmlns:a16="http://schemas.microsoft.com/office/drawing/2014/main" id="{00000000-0008-0000-1C00-000032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C00-000003000000}"/>
            </a:ext>
          </a:extLst>
        </xdr:cNvPr>
        <xdr:cNvGrpSpPr/>
      </xdr:nvGrpSpPr>
      <xdr:grpSpPr>
        <a:xfrm>
          <a:off x="2196353" y="2622176"/>
          <a:ext cx="2346251" cy="279448"/>
          <a:chOff x="1037447" y="2413275"/>
          <a:chExt cx="2409004" cy="276137"/>
        </a:xfrm>
      </xdr:grpSpPr>
      <xdr:cxnSp macro="">
        <xdr:nvCxnSpPr>
          <xdr:cNvPr id="4" name="Reference - V">
            <a:extLst>
              <a:ext uri="{FF2B5EF4-FFF2-40B4-BE49-F238E27FC236}">
                <a16:creationId xmlns:a16="http://schemas.microsoft.com/office/drawing/2014/main" id="{00000000-0008-0000-1C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C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C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C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C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8</xdr:col>
      <xdr:colOff>322729</xdr:colOff>
      <xdr:row>7</xdr:row>
      <xdr:rowOff>194806</xdr:rowOff>
    </xdr:from>
    <xdr:to>
      <xdr:col>41</xdr:col>
      <xdr:colOff>0</xdr:colOff>
      <xdr:row>11</xdr:row>
      <xdr:rowOff>0</xdr:rowOff>
    </xdr:to>
    <xdr:grpSp>
      <xdr:nvGrpSpPr>
        <xdr:cNvPr id="9" name="Measure Categories">
          <a:extLst>
            <a:ext uri="{FF2B5EF4-FFF2-40B4-BE49-F238E27FC236}">
              <a16:creationId xmlns:a16="http://schemas.microsoft.com/office/drawing/2014/main" id="{00000000-0008-0000-1C00-000009000000}"/>
            </a:ext>
          </a:extLst>
        </xdr:cNvPr>
        <xdr:cNvGrpSpPr/>
      </xdr:nvGrpSpPr>
      <xdr:grpSpPr>
        <a:xfrm>
          <a:off x="2823322" y="1606747"/>
          <a:ext cx="10041031" cy="612018"/>
          <a:chOff x="2240280" y="1582544"/>
          <a:chExt cx="10241281" cy="596777"/>
        </a:xfrm>
      </xdr:grpSpPr>
      <xdr:grpSp>
        <xdr:nvGrpSpPr>
          <xdr:cNvPr id="10" name="Categories">
            <a:extLst>
              <a:ext uri="{FF2B5EF4-FFF2-40B4-BE49-F238E27FC236}">
                <a16:creationId xmlns:a16="http://schemas.microsoft.com/office/drawing/2014/main" id="{00000000-0008-0000-1C00-00000A000000}"/>
              </a:ext>
            </a:extLst>
          </xdr:cNvPr>
          <xdr:cNvGrpSpPr/>
        </xdr:nvGrpSpPr>
        <xdr:grpSpPr>
          <a:xfrm>
            <a:off x="2240280" y="1584961"/>
            <a:ext cx="10241281" cy="594360"/>
            <a:chOff x="2240280" y="1584961"/>
            <a:chExt cx="10241281" cy="594360"/>
          </a:xfrm>
        </xdr:grpSpPr>
        <xdr:sp macro="" textlink="">
          <xdr:nvSpPr>
            <xdr:cNvPr id="42" name="Lighting" hidden="1">
              <a:hlinkClick xmlns:r="http://schemas.openxmlformats.org/officeDocument/2006/relationships" r:id="rId4" tooltip="Lighting"/>
              <a:extLst>
                <a:ext uri="{FF2B5EF4-FFF2-40B4-BE49-F238E27FC236}">
                  <a16:creationId xmlns:a16="http://schemas.microsoft.com/office/drawing/2014/main" id="{00000000-0008-0000-1C00-00002A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Lighting Controls">
              <a:hlinkClick xmlns:r="http://schemas.openxmlformats.org/officeDocument/2006/relationships" r:id="rId5" tooltip="Lighting Controls"/>
              <a:extLst>
                <a:ext uri="{FF2B5EF4-FFF2-40B4-BE49-F238E27FC236}">
                  <a16:creationId xmlns:a16="http://schemas.microsoft.com/office/drawing/2014/main" id="{00000000-0008-0000-1C00-00002B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Refrigeration">
              <a:hlinkClick xmlns:r="http://schemas.openxmlformats.org/officeDocument/2006/relationships" r:id="rId6" tooltip="Refrigeration"/>
              <a:extLst>
                <a:ext uri="{FF2B5EF4-FFF2-40B4-BE49-F238E27FC236}">
                  <a16:creationId xmlns:a16="http://schemas.microsoft.com/office/drawing/2014/main" id="{00000000-0008-0000-1C00-00002C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HVAC">
              <a:hlinkClick xmlns:r="http://schemas.openxmlformats.org/officeDocument/2006/relationships" r:id="rId7" tooltip="HVAC"/>
              <a:extLst>
                <a:ext uri="{FF2B5EF4-FFF2-40B4-BE49-F238E27FC236}">
                  <a16:creationId xmlns:a16="http://schemas.microsoft.com/office/drawing/2014/main" id="{00000000-0008-0000-1C00-00002D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Motors and Drives">
              <a:hlinkClick xmlns:r="http://schemas.openxmlformats.org/officeDocument/2006/relationships" r:id="rId8" tooltip="Motors and Drives"/>
              <a:extLst>
                <a:ext uri="{FF2B5EF4-FFF2-40B4-BE49-F238E27FC236}">
                  <a16:creationId xmlns:a16="http://schemas.microsoft.com/office/drawing/2014/main" id="{00000000-0008-0000-1C00-00002E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AP">
              <a:hlinkClick xmlns:r="http://schemas.openxmlformats.org/officeDocument/2006/relationships" r:id="rId9" tooltip="Compressed Air / Process"/>
              <a:extLst>
                <a:ext uri="{FF2B5EF4-FFF2-40B4-BE49-F238E27FC236}">
                  <a16:creationId xmlns:a16="http://schemas.microsoft.com/office/drawing/2014/main" id="{00000000-0008-0000-1C00-00002F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WHFS">
              <a:hlinkClick xmlns:r="http://schemas.openxmlformats.org/officeDocument/2006/relationships" r:id="rId10" tooltip="Water Heating / Food Services"/>
              <a:extLst>
                <a:ext uri="{FF2B5EF4-FFF2-40B4-BE49-F238E27FC236}">
                  <a16:creationId xmlns:a16="http://schemas.microsoft.com/office/drawing/2014/main" id="{00000000-0008-0000-1C00-000030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Miscellaneous">
              <a:hlinkClick xmlns:r="http://schemas.openxmlformats.org/officeDocument/2006/relationships" r:id="rId11" tooltip="Miscellaneous"/>
              <a:extLst>
                <a:ext uri="{FF2B5EF4-FFF2-40B4-BE49-F238E27FC236}">
                  <a16:creationId xmlns:a16="http://schemas.microsoft.com/office/drawing/2014/main" id="{00000000-0008-0000-1C00-000033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C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C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C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C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C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C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2">
              <a:extLst>
                <a:ext uri="{FF2B5EF4-FFF2-40B4-BE49-F238E27FC236}">
                  <a16:creationId xmlns:a16="http://schemas.microsoft.com/office/drawing/2014/main" id="{00000000-0008-0000-1C00-000028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1">
              <a:extLst>
                <a:ext uri="{FF2B5EF4-FFF2-40B4-BE49-F238E27FC236}">
                  <a16:creationId xmlns:a16="http://schemas.microsoft.com/office/drawing/2014/main" id="{00000000-0008-0000-1C00-000029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C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C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C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C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C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C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C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C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C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C00-000002000000}"/>
            </a:ext>
          </a:extLst>
        </xdr:cNvPr>
        <xdr:cNvGrpSpPr/>
      </xdr:nvGrpSpPr>
      <xdr:grpSpPr>
        <a:xfrm>
          <a:off x="0" y="0"/>
          <a:ext cx="15345335" cy="605118"/>
          <a:chOff x="0" y="0"/>
          <a:chExt cx="15813741" cy="591671"/>
        </a:xfrm>
      </xdr:grpSpPr>
      <xdr:grpSp>
        <xdr:nvGrpSpPr>
          <xdr:cNvPr id="26" name="Header">
            <a:extLst>
              <a:ext uri="{FF2B5EF4-FFF2-40B4-BE49-F238E27FC236}">
                <a16:creationId xmlns:a16="http://schemas.microsoft.com/office/drawing/2014/main" id="{00000000-0008-0000-1C00-00001A000000}"/>
              </a:ext>
            </a:extLst>
          </xdr:cNvPr>
          <xdr:cNvGrpSpPr/>
        </xdr:nvGrpSpPr>
        <xdr:grpSpPr>
          <a:xfrm>
            <a:off x="0" y="0"/>
            <a:ext cx="15813741" cy="591671"/>
            <a:chOff x="0" y="0"/>
            <a:chExt cx="15813741" cy="591671"/>
          </a:xfrm>
        </xdr:grpSpPr>
        <xdr:sp macro="" textlink="">
          <xdr:nvSpPr>
            <xdr:cNvPr id="32" name="Reference">
              <a:extLst>
                <a:ext uri="{FF2B5EF4-FFF2-40B4-BE49-F238E27FC236}">
                  <a16:creationId xmlns:a16="http://schemas.microsoft.com/office/drawing/2014/main" id="{00000000-0008-0000-1C00-000020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Contact">
              <a:hlinkClick xmlns:r="http://schemas.openxmlformats.org/officeDocument/2006/relationships" r:id="rId19" tooltip="Contact"/>
              <a:extLst>
                <a:ext uri="{FF2B5EF4-FFF2-40B4-BE49-F238E27FC236}">
                  <a16:creationId xmlns:a16="http://schemas.microsoft.com/office/drawing/2014/main" id="{00000000-0008-0000-1C00-000021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20" tooltip=" "/>
              <a:extLst>
                <a:ext uri="{FF2B5EF4-FFF2-40B4-BE49-F238E27FC236}">
                  <a16:creationId xmlns:a16="http://schemas.microsoft.com/office/drawing/2014/main" id="{00000000-0008-0000-1C00-000022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21" tooltip=" "/>
              <a:extLst>
                <a:ext uri="{FF2B5EF4-FFF2-40B4-BE49-F238E27FC236}">
                  <a16:creationId xmlns:a16="http://schemas.microsoft.com/office/drawing/2014/main" id="{00000000-0008-0000-1C00-000023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structions">
              <a:hlinkClick xmlns:r="http://schemas.openxmlformats.org/officeDocument/2006/relationships" r:id="rId22" tooltip="Instructions"/>
              <a:extLst>
                <a:ext uri="{FF2B5EF4-FFF2-40B4-BE49-F238E27FC236}">
                  <a16:creationId xmlns:a16="http://schemas.microsoft.com/office/drawing/2014/main" id="{00000000-0008-0000-1C00-000024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Welcome">
              <a:hlinkClick xmlns:r="http://schemas.openxmlformats.org/officeDocument/2006/relationships" r:id="rId23" tooltip="Welcome"/>
              <a:extLst>
                <a:ext uri="{FF2B5EF4-FFF2-40B4-BE49-F238E27FC236}">
                  <a16:creationId xmlns:a16="http://schemas.microsoft.com/office/drawing/2014/main" id="{00000000-0008-0000-1C00-000025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8" name="Evergy Logo">
              <a:extLst>
                <a:ext uri="{FF2B5EF4-FFF2-40B4-BE49-F238E27FC236}">
                  <a16:creationId xmlns:a16="http://schemas.microsoft.com/office/drawing/2014/main" id="{00000000-0008-0000-1C00-000026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9" name="State">
              <a:extLst>
                <a:ext uri="{FF2B5EF4-FFF2-40B4-BE49-F238E27FC236}">
                  <a16:creationId xmlns:a16="http://schemas.microsoft.com/office/drawing/2014/main" id="{00000000-0008-0000-1C00-000027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1C00-00001B000000}"/>
              </a:ext>
            </a:extLst>
          </xdr:cNvPr>
          <xdr:cNvGrpSpPr/>
        </xdr:nvGrpSpPr>
        <xdr:grpSpPr>
          <a:xfrm>
            <a:off x="1613717" y="85337"/>
            <a:ext cx="11618762" cy="422893"/>
            <a:chOff x="1612951" y="85725"/>
            <a:chExt cx="11618931" cy="423022"/>
          </a:xfrm>
        </xdr:grpSpPr>
        <xdr:cxnSp macro="">
          <xdr:nvCxnSpPr>
            <xdr:cNvPr id="28" name="Divider 4">
              <a:extLst>
                <a:ext uri="{FF2B5EF4-FFF2-40B4-BE49-F238E27FC236}">
                  <a16:creationId xmlns:a16="http://schemas.microsoft.com/office/drawing/2014/main" id="{00000000-0008-0000-1C00-00001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1C00-00001D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2">
              <a:extLst>
                <a:ext uri="{FF2B5EF4-FFF2-40B4-BE49-F238E27FC236}">
                  <a16:creationId xmlns:a16="http://schemas.microsoft.com/office/drawing/2014/main" id="{00000000-0008-0000-1C00-00001E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1">
              <a:extLst>
                <a:ext uri="{FF2B5EF4-FFF2-40B4-BE49-F238E27FC236}">
                  <a16:creationId xmlns:a16="http://schemas.microsoft.com/office/drawing/2014/main" id="{00000000-0008-0000-1C00-00001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57" name="Arrow: Left M4S6">
          <a:hlinkClick xmlns:r="http://schemas.openxmlformats.org/officeDocument/2006/relationships" r:id="rId1" tooltip="Back: Motors and Drives"/>
          <a:extLst>
            <a:ext uri="{FF2B5EF4-FFF2-40B4-BE49-F238E27FC236}">
              <a16:creationId xmlns:a16="http://schemas.microsoft.com/office/drawing/2014/main" id="{00000000-0008-0000-1D00-000039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5" name="Arrow: Right M4S6">
          <a:hlinkClick xmlns:r="http://schemas.openxmlformats.org/officeDocument/2006/relationships" r:id="rId2" tooltip="Forward: Water Heating / Cooking"/>
          <a:extLst>
            <a:ext uri="{FF2B5EF4-FFF2-40B4-BE49-F238E27FC236}">
              <a16:creationId xmlns:a16="http://schemas.microsoft.com/office/drawing/2014/main" id="{00000000-0008-0000-1D00-000041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D00-000003000000}"/>
            </a:ext>
          </a:extLst>
        </xdr:cNvPr>
        <xdr:cNvGrpSpPr/>
      </xdr:nvGrpSpPr>
      <xdr:grpSpPr>
        <a:xfrm>
          <a:off x="2196353" y="2622176"/>
          <a:ext cx="2346251" cy="279448"/>
          <a:chOff x="1037447" y="2413275"/>
          <a:chExt cx="2409004" cy="276137"/>
        </a:xfrm>
      </xdr:grpSpPr>
      <xdr:cxnSp macro="">
        <xdr:nvCxnSpPr>
          <xdr:cNvPr id="4" name="Reference - V">
            <a:extLst>
              <a:ext uri="{FF2B5EF4-FFF2-40B4-BE49-F238E27FC236}">
                <a16:creationId xmlns:a16="http://schemas.microsoft.com/office/drawing/2014/main" id="{00000000-0008-0000-1D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D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D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D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D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8</xdr:col>
      <xdr:colOff>322729</xdr:colOff>
      <xdr:row>7</xdr:row>
      <xdr:rowOff>194806</xdr:rowOff>
    </xdr:from>
    <xdr:to>
      <xdr:col>41</xdr:col>
      <xdr:colOff>0</xdr:colOff>
      <xdr:row>11</xdr:row>
      <xdr:rowOff>0</xdr:rowOff>
    </xdr:to>
    <xdr:grpSp>
      <xdr:nvGrpSpPr>
        <xdr:cNvPr id="9" name="Measure Categories">
          <a:extLst>
            <a:ext uri="{FF2B5EF4-FFF2-40B4-BE49-F238E27FC236}">
              <a16:creationId xmlns:a16="http://schemas.microsoft.com/office/drawing/2014/main" id="{00000000-0008-0000-1D00-000009000000}"/>
            </a:ext>
          </a:extLst>
        </xdr:cNvPr>
        <xdr:cNvGrpSpPr/>
      </xdr:nvGrpSpPr>
      <xdr:grpSpPr>
        <a:xfrm>
          <a:off x="2823322" y="1606747"/>
          <a:ext cx="10041031" cy="612018"/>
          <a:chOff x="2240280" y="1582544"/>
          <a:chExt cx="10241281" cy="596777"/>
        </a:xfrm>
      </xdr:grpSpPr>
      <xdr:grpSp>
        <xdr:nvGrpSpPr>
          <xdr:cNvPr id="10" name="Categories">
            <a:extLst>
              <a:ext uri="{FF2B5EF4-FFF2-40B4-BE49-F238E27FC236}">
                <a16:creationId xmlns:a16="http://schemas.microsoft.com/office/drawing/2014/main" id="{00000000-0008-0000-1D00-00000A000000}"/>
              </a:ext>
            </a:extLst>
          </xdr:cNvPr>
          <xdr:cNvGrpSpPr/>
        </xdr:nvGrpSpPr>
        <xdr:grpSpPr>
          <a:xfrm>
            <a:off x="2240280" y="1584961"/>
            <a:ext cx="10241281" cy="594360"/>
            <a:chOff x="2240280" y="1584961"/>
            <a:chExt cx="10241281" cy="594360"/>
          </a:xfrm>
        </xdr:grpSpPr>
        <xdr:sp macro="" textlink="">
          <xdr:nvSpPr>
            <xdr:cNvPr id="56" name="Lighting" hidden="1">
              <a:hlinkClick xmlns:r="http://schemas.openxmlformats.org/officeDocument/2006/relationships" r:id="rId4" tooltip="Lighting"/>
              <a:extLst>
                <a:ext uri="{FF2B5EF4-FFF2-40B4-BE49-F238E27FC236}">
                  <a16:creationId xmlns:a16="http://schemas.microsoft.com/office/drawing/2014/main" id="{00000000-0008-0000-1D00-000038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Lighting Controls">
              <a:hlinkClick xmlns:r="http://schemas.openxmlformats.org/officeDocument/2006/relationships" r:id="rId5" tooltip="Lighting Controls"/>
              <a:extLst>
                <a:ext uri="{FF2B5EF4-FFF2-40B4-BE49-F238E27FC236}">
                  <a16:creationId xmlns:a16="http://schemas.microsoft.com/office/drawing/2014/main" id="{00000000-0008-0000-1D00-00003A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Refrigeration">
              <a:hlinkClick xmlns:r="http://schemas.openxmlformats.org/officeDocument/2006/relationships" r:id="rId6" tooltip="Refrigeration"/>
              <a:extLst>
                <a:ext uri="{FF2B5EF4-FFF2-40B4-BE49-F238E27FC236}">
                  <a16:creationId xmlns:a16="http://schemas.microsoft.com/office/drawing/2014/main" id="{00000000-0008-0000-1D00-00003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HVAC">
              <a:hlinkClick xmlns:r="http://schemas.openxmlformats.org/officeDocument/2006/relationships" r:id="rId7" tooltip="HVAC"/>
              <a:extLst>
                <a:ext uri="{FF2B5EF4-FFF2-40B4-BE49-F238E27FC236}">
                  <a16:creationId xmlns:a16="http://schemas.microsoft.com/office/drawing/2014/main" id="{00000000-0008-0000-1D00-00004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D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D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D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D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D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D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D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D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D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D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4" name="Divider 2">
              <a:extLst>
                <a:ext uri="{FF2B5EF4-FFF2-40B4-BE49-F238E27FC236}">
                  <a16:creationId xmlns:a16="http://schemas.microsoft.com/office/drawing/2014/main" id="{00000000-0008-0000-1D00-000036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5" name="Divider 1">
              <a:extLst>
                <a:ext uri="{FF2B5EF4-FFF2-40B4-BE49-F238E27FC236}">
                  <a16:creationId xmlns:a16="http://schemas.microsoft.com/office/drawing/2014/main" id="{00000000-0008-0000-1D00-000037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D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D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D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D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D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D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D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D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D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D00-000002000000}"/>
            </a:ext>
          </a:extLst>
        </xdr:cNvPr>
        <xdr:cNvGrpSpPr/>
      </xdr:nvGrpSpPr>
      <xdr:grpSpPr>
        <a:xfrm>
          <a:off x="0" y="0"/>
          <a:ext cx="15345335" cy="605118"/>
          <a:chOff x="0" y="0"/>
          <a:chExt cx="15813741" cy="591671"/>
        </a:xfrm>
      </xdr:grpSpPr>
      <xdr:grpSp>
        <xdr:nvGrpSpPr>
          <xdr:cNvPr id="38" name="Header">
            <a:extLst>
              <a:ext uri="{FF2B5EF4-FFF2-40B4-BE49-F238E27FC236}">
                <a16:creationId xmlns:a16="http://schemas.microsoft.com/office/drawing/2014/main" id="{00000000-0008-0000-1D00-000026000000}"/>
              </a:ext>
            </a:extLst>
          </xdr:cNvPr>
          <xdr:cNvGrpSpPr/>
        </xdr:nvGrpSpPr>
        <xdr:grpSpPr>
          <a:xfrm>
            <a:off x="0" y="0"/>
            <a:ext cx="15813741" cy="591671"/>
            <a:chOff x="0" y="0"/>
            <a:chExt cx="15813741" cy="591671"/>
          </a:xfrm>
        </xdr:grpSpPr>
        <xdr:sp macro="" textlink="">
          <xdr:nvSpPr>
            <xdr:cNvPr id="46" name="Reference">
              <a:extLst>
                <a:ext uri="{FF2B5EF4-FFF2-40B4-BE49-F238E27FC236}">
                  <a16:creationId xmlns:a16="http://schemas.microsoft.com/office/drawing/2014/main" id="{00000000-0008-0000-1D00-00002E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ontact">
              <a:hlinkClick xmlns:r="http://schemas.openxmlformats.org/officeDocument/2006/relationships" r:id="rId19" tooltip="Contact"/>
              <a:extLst>
                <a:ext uri="{FF2B5EF4-FFF2-40B4-BE49-F238E27FC236}">
                  <a16:creationId xmlns:a16="http://schemas.microsoft.com/office/drawing/2014/main" id="{00000000-0008-0000-1D00-00002F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ompletion Form">
              <a:hlinkClick xmlns:r="http://schemas.openxmlformats.org/officeDocument/2006/relationships" r:id="rId20" tooltip=" "/>
              <a:extLst>
                <a:ext uri="{FF2B5EF4-FFF2-40B4-BE49-F238E27FC236}">
                  <a16:creationId xmlns:a16="http://schemas.microsoft.com/office/drawing/2014/main" id="{00000000-0008-0000-1D00-000030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Offer Form">
              <a:hlinkClick xmlns:r="http://schemas.openxmlformats.org/officeDocument/2006/relationships" r:id="rId21" tooltip=" "/>
              <a:extLst>
                <a:ext uri="{FF2B5EF4-FFF2-40B4-BE49-F238E27FC236}">
                  <a16:creationId xmlns:a16="http://schemas.microsoft.com/office/drawing/2014/main" id="{00000000-0008-0000-1D00-000031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Instructions">
              <a:hlinkClick xmlns:r="http://schemas.openxmlformats.org/officeDocument/2006/relationships" r:id="rId22" tooltip="Instructions"/>
              <a:extLst>
                <a:ext uri="{FF2B5EF4-FFF2-40B4-BE49-F238E27FC236}">
                  <a16:creationId xmlns:a16="http://schemas.microsoft.com/office/drawing/2014/main" id="{00000000-0008-0000-1D00-000032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elcome">
              <a:hlinkClick xmlns:r="http://schemas.openxmlformats.org/officeDocument/2006/relationships" r:id="rId23" tooltip="Welcome"/>
              <a:extLst>
                <a:ext uri="{FF2B5EF4-FFF2-40B4-BE49-F238E27FC236}">
                  <a16:creationId xmlns:a16="http://schemas.microsoft.com/office/drawing/2014/main" id="{00000000-0008-0000-1D00-000033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2" name="Evergy Logo">
              <a:extLst>
                <a:ext uri="{FF2B5EF4-FFF2-40B4-BE49-F238E27FC236}">
                  <a16:creationId xmlns:a16="http://schemas.microsoft.com/office/drawing/2014/main" id="{00000000-0008-0000-1D00-000034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3" name="State">
              <a:extLst>
                <a:ext uri="{FF2B5EF4-FFF2-40B4-BE49-F238E27FC236}">
                  <a16:creationId xmlns:a16="http://schemas.microsoft.com/office/drawing/2014/main" id="{00000000-0008-0000-1D00-000035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9" name="Dividers">
            <a:extLst>
              <a:ext uri="{FF2B5EF4-FFF2-40B4-BE49-F238E27FC236}">
                <a16:creationId xmlns:a16="http://schemas.microsoft.com/office/drawing/2014/main" id="{00000000-0008-0000-1D00-000027000000}"/>
              </a:ext>
            </a:extLst>
          </xdr:cNvPr>
          <xdr:cNvGrpSpPr/>
        </xdr:nvGrpSpPr>
        <xdr:grpSpPr>
          <a:xfrm>
            <a:off x="1613717" y="85337"/>
            <a:ext cx="11618762" cy="422893"/>
            <a:chOff x="1612951" y="85725"/>
            <a:chExt cx="11618931" cy="423022"/>
          </a:xfrm>
        </xdr:grpSpPr>
        <xdr:cxnSp macro="">
          <xdr:nvCxnSpPr>
            <xdr:cNvPr id="40" name="Divider 4">
              <a:extLst>
                <a:ext uri="{FF2B5EF4-FFF2-40B4-BE49-F238E27FC236}">
                  <a16:creationId xmlns:a16="http://schemas.microsoft.com/office/drawing/2014/main" id="{00000000-0008-0000-1D00-00002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D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D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1">
              <a:extLst>
                <a:ext uri="{FF2B5EF4-FFF2-40B4-BE49-F238E27FC236}">
                  <a16:creationId xmlns:a16="http://schemas.microsoft.com/office/drawing/2014/main" id="{00000000-0008-0000-1D00-00002D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xdr:wsDr xmlns:xdr="http://schemas.openxmlformats.org/drawingml/2006/spreadsheetDrawing" xmlns:a="http://schemas.openxmlformats.org/drawingml/2006/main">
  <xdr:oneCellAnchor>
    <xdr:from>
      <xdr:col>1</xdr:col>
      <xdr:colOff>94883</xdr:colOff>
      <xdr:row>8</xdr:row>
      <xdr:rowOff>96712</xdr:rowOff>
    </xdr:from>
    <xdr:ext cx="540407" cy="404308"/>
    <xdr:sp macro="" textlink="">
      <xdr:nvSpPr>
        <xdr:cNvPr id="53" name="Arrow: Left M4S7">
          <a:hlinkClick xmlns:r="http://schemas.openxmlformats.org/officeDocument/2006/relationships" r:id="rId1" tooltip="Back: Compressed Air / Process"/>
          <a:extLst>
            <a:ext uri="{FF2B5EF4-FFF2-40B4-BE49-F238E27FC236}">
              <a16:creationId xmlns:a16="http://schemas.microsoft.com/office/drawing/2014/main" id="{00000000-0008-0000-1E00-000035000000}"/>
            </a:ext>
          </a:extLst>
        </xdr:cNvPr>
        <xdr:cNvSpPr/>
      </xdr:nvSpPr>
      <xdr:spPr>
        <a:xfrm>
          <a:off x="415834" y="1686973"/>
          <a:ext cx="541318" cy="40563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46</xdr:col>
      <xdr:colOff>6942</xdr:colOff>
      <xdr:row>8</xdr:row>
      <xdr:rowOff>96713</xdr:rowOff>
    </xdr:from>
    <xdr:ext cx="540407" cy="404308"/>
    <xdr:sp macro="" textlink="">
      <xdr:nvSpPr>
        <xdr:cNvPr id="54" name="Arrow: Right M4S7">
          <a:hlinkClick xmlns:r="http://schemas.openxmlformats.org/officeDocument/2006/relationships" r:id="rId2" tooltip="Forward: Miscellaneous"/>
          <a:extLst>
            <a:ext uri="{FF2B5EF4-FFF2-40B4-BE49-F238E27FC236}">
              <a16:creationId xmlns:a16="http://schemas.microsoft.com/office/drawing/2014/main" id="{00000000-0008-0000-1E00-000036000000}"/>
            </a:ext>
          </a:extLst>
        </xdr:cNvPr>
        <xdr:cNvSpPr/>
      </xdr:nvSpPr>
      <xdr:spPr>
        <a:xfrm>
          <a:off x="13486888" y="1686974"/>
          <a:ext cx="541318" cy="40563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xdr:from>
      <xdr:col>7</xdr:col>
      <xdr:colOff>0</xdr:colOff>
      <xdr:row>13</xdr:row>
      <xdr:rowOff>0</xdr:rowOff>
    </xdr:from>
    <xdr:to>
      <xdr:col>14</xdr:col>
      <xdr:colOff>149898</xdr:colOff>
      <xdr:row>14</xdr:row>
      <xdr:rowOff>77742</xdr:rowOff>
    </xdr:to>
    <xdr:grpSp>
      <xdr:nvGrpSpPr>
        <xdr:cNvPr id="17" name="Select 2">
          <a:extLst>
            <a:ext uri="{FF2B5EF4-FFF2-40B4-BE49-F238E27FC236}">
              <a16:creationId xmlns:a16="http://schemas.microsoft.com/office/drawing/2014/main" id="{00000000-0008-0000-1E00-000011000000}"/>
            </a:ext>
          </a:extLst>
        </xdr:cNvPr>
        <xdr:cNvGrpSpPr/>
      </xdr:nvGrpSpPr>
      <xdr:grpSpPr>
        <a:xfrm>
          <a:off x="2196353" y="2622176"/>
          <a:ext cx="2346251" cy="279448"/>
          <a:chOff x="1037447" y="2413275"/>
          <a:chExt cx="2409004" cy="276137"/>
        </a:xfrm>
      </xdr:grpSpPr>
      <xdr:cxnSp macro="">
        <xdr:nvCxnSpPr>
          <xdr:cNvPr id="18" name="Reference - V">
            <a:extLst>
              <a:ext uri="{FF2B5EF4-FFF2-40B4-BE49-F238E27FC236}">
                <a16:creationId xmlns:a16="http://schemas.microsoft.com/office/drawing/2014/main" id="{00000000-0008-0000-1E00-000012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19" name="Reference - H">
            <a:extLst>
              <a:ext uri="{FF2B5EF4-FFF2-40B4-BE49-F238E27FC236}">
                <a16:creationId xmlns:a16="http://schemas.microsoft.com/office/drawing/2014/main" id="{00000000-0008-0000-1E00-000013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20" name="Options">
            <a:extLst>
              <a:ext uri="{FF2B5EF4-FFF2-40B4-BE49-F238E27FC236}">
                <a16:creationId xmlns:a16="http://schemas.microsoft.com/office/drawing/2014/main" id="{00000000-0008-0000-1E00-000014000000}"/>
              </a:ext>
            </a:extLst>
          </xdr:cNvPr>
          <xdr:cNvGrpSpPr/>
        </xdr:nvGrpSpPr>
        <xdr:grpSpPr>
          <a:xfrm>
            <a:off x="1219200" y="2510935"/>
            <a:ext cx="2227251" cy="178477"/>
            <a:chOff x="1219200" y="2510935"/>
            <a:chExt cx="2227251" cy="178477"/>
          </a:xfrm>
        </xdr:grpSpPr>
        <xdr:sp macro="" textlink="">
          <xdr:nvSpPr>
            <xdr:cNvPr id="21" name="Custom">
              <a:extLst>
                <a:ext uri="{FF2B5EF4-FFF2-40B4-BE49-F238E27FC236}">
                  <a16:creationId xmlns:a16="http://schemas.microsoft.com/office/drawing/2014/main" id="{00000000-0008-0000-1E00-000015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22" name="Standard">
              <a:hlinkClick xmlns:r="http://schemas.openxmlformats.org/officeDocument/2006/relationships" r:id="rId3"/>
              <a:extLst>
                <a:ext uri="{FF2B5EF4-FFF2-40B4-BE49-F238E27FC236}">
                  <a16:creationId xmlns:a16="http://schemas.microsoft.com/office/drawing/2014/main" id="{00000000-0008-0000-1E00-000016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7</xdr:row>
      <xdr:rowOff>194806</xdr:rowOff>
    </xdr:from>
    <xdr:to>
      <xdr:col>41</xdr:col>
      <xdr:colOff>1</xdr:colOff>
      <xdr:row>11</xdr:row>
      <xdr:rowOff>0</xdr:rowOff>
    </xdr:to>
    <xdr:grpSp>
      <xdr:nvGrpSpPr>
        <xdr:cNvPr id="23" name="Measure Categories">
          <a:extLst>
            <a:ext uri="{FF2B5EF4-FFF2-40B4-BE49-F238E27FC236}">
              <a16:creationId xmlns:a16="http://schemas.microsoft.com/office/drawing/2014/main" id="{00000000-0008-0000-1E00-000017000000}"/>
            </a:ext>
          </a:extLst>
        </xdr:cNvPr>
        <xdr:cNvGrpSpPr/>
      </xdr:nvGrpSpPr>
      <xdr:grpSpPr>
        <a:xfrm>
          <a:off x="2823882" y="1606747"/>
          <a:ext cx="10040472" cy="612018"/>
          <a:chOff x="2240280" y="1582544"/>
          <a:chExt cx="10241281" cy="596777"/>
        </a:xfrm>
      </xdr:grpSpPr>
      <xdr:grpSp>
        <xdr:nvGrpSpPr>
          <xdr:cNvPr id="24" name="Categories">
            <a:extLst>
              <a:ext uri="{FF2B5EF4-FFF2-40B4-BE49-F238E27FC236}">
                <a16:creationId xmlns:a16="http://schemas.microsoft.com/office/drawing/2014/main" id="{00000000-0008-0000-1E00-000018000000}"/>
              </a:ext>
            </a:extLst>
          </xdr:cNvPr>
          <xdr:cNvGrpSpPr/>
        </xdr:nvGrpSpPr>
        <xdr:grpSpPr>
          <a:xfrm>
            <a:off x="2240280" y="1584961"/>
            <a:ext cx="10241281" cy="594360"/>
            <a:chOff x="2240280" y="1584961"/>
            <a:chExt cx="10241281" cy="594360"/>
          </a:xfrm>
        </xdr:grpSpPr>
        <xdr:sp macro="" textlink="">
          <xdr:nvSpPr>
            <xdr:cNvPr id="58" name="Lighting" hidden="1">
              <a:hlinkClick xmlns:r="http://schemas.openxmlformats.org/officeDocument/2006/relationships" r:id="rId4" tooltip="Lighting"/>
              <a:extLst>
                <a:ext uri="{FF2B5EF4-FFF2-40B4-BE49-F238E27FC236}">
                  <a16:creationId xmlns:a16="http://schemas.microsoft.com/office/drawing/2014/main" id="{00000000-0008-0000-1E00-00003A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Lighting Controls">
              <a:hlinkClick xmlns:r="http://schemas.openxmlformats.org/officeDocument/2006/relationships" r:id="rId5" tooltip="Lighting Controls"/>
              <a:extLst>
                <a:ext uri="{FF2B5EF4-FFF2-40B4-BE49-F238E27FC236}">
                  <a16:creationId xmlns:a16="http://schemas.microsoft.com/office/drawing/2014/main" id="{00000000-0008-0000-1E00-00003B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Refrigeration">
              <a:hlinkClick xmlns:r="http://schemas.openxmlformats.org/officeDocument/2006/relationships" r:id="rId6" tooltip="Refrigeration"/>
              <a:extLst>
                <a:ext uri="{FF2B5EF4-FFF2-40B4-BE49-F238E27FC236}">
                  <a16:creationId xmlns:a16="http://schemas.microsoft.com/office/drawing/2014/main" id="{00000000-0008-0000-1E00-00003C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HVAC">
              <a:hlinkClick xmlns:r="http://schemas.openxmlformats.org/officeDocument/2006/relationships" r:id="rId7" tooltip="HVAC"/>
              <a:extLst>
                <a:ext uri="{FF2B5EF4-FFF2-40B4-BE49-F238E27FC236}">
                  <a16:creationId xmlns:a16="http://schemas.microsoft.com/office/drawing/2014/main" id="{00000000-0008-0000-1E00-00004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E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E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E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E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5" name="Dividers">
            <a:extLst>
              <a:ext uri="{FF2B5EF4-FFF2-40B4-BE49-F238E27FC236}">
                <a16:creationId xmlns:a16="http://schemas.microsoft.com/office/drawing/2014/main" id="{00000000-0008-0000-1E00-000019000000}"/>
              </a:ext>
            </a:extLst>
          </xdr:cNvPr>
          <xdr:cNvGrpSpPr/>
        </xdr:nvGrpSpPr>
        <xdr:grpSpPr>
          <a:xfrm>
            <a:off x="3521022" y="1582544"/>
            <a:ext cx="7680961" cy="551056"/>
            <a:chOff x="3520440" y="1580822"/>
            <a:chExt cx="7680960" cy="552779"/>
          </a:xfrm>
        </xdr:grpSpPr>
        <xdr:cxnSp macro="">
          <xdr:nvCxnSpPr>
            <xdr:cNvPr id="26" name="Divider 7">
              <a:extLst>
                <a:ext uri="{FF2B5EF4-FFF2-40B4-BE49-F238E27FC236}">
                  <a16:creationId xmlns:a16="http://schemas.microsoft.com/office/drawing/2014/main" id="{00000000-0008-0000-1E00-00001A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7" name="Divider 6">
              <a:extLst>
                <a:ext uri="{FF2B5EF4-FFF2-40B4-BE49-F238E27FC236}">
                  <a16:creationId xmlns:a16="http://schemas.microsoft.com/office/drawing/2014/main" id="{00000000-0008-0000-1E00-00001B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5">
              <a:extLst>
                <a:ext uri="{FF2B5EF4-FFF2-40B4-BE49-F238E27FC236}">
                  <a16:creationId xmlns:a16="http://schemas.microsoft.com/office/drawing/2014/main" id="{00000000-0008-0000-1E00-00001C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4">
              <a:extLst>
                <a:ext uri="{FF2B5EF4-FFF2-40B4-BE49-F238E27FC236}">
                  <a16:creationId xmlns:a16="http://schemas.microsoft.com/office/drawing/2014/main" id="{00000000-0008-0000-1E00-00001D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3">
              <a:extLst>
                <a:ext uri="{FF2B5EF4-FFF2-40B4-BE49-F238E27FC236}">
                  <a16:creationId xmlns:a16="http://schemas.microsoft.com/office/drawing/2014/main" id="{00000000-0008-0000-1E00-00001E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6" name="Divider 2">
              <a:extLst>
                <a:ext uri="{FF2B5EF4-FFF2-40B4-BE49-F238E27FC236}">
                  <a16:creationId xmlns:a16="http://schemas.microsoft.com/office/drawing/2014/main" id="{00000000-0008-0000-1E00-000038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Divider 1">
              <a:extLst>
                <a:ext uri="{FF2B5EF4-FFF2-40B4-BE49-F238E27FC236}">
                  <a16:creationId xmlns:a16="http://schemas.microsoft.com/office/drawing/2014/main" id="{00000000-0008-0000-1E00-000039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2" name="Navigation">
          <a:extLst>
            <a:ext uri="{FF2B5EF4-FFF2-40B4-BE49-F238E27FC236}">
              <a16:creationId xmlns:a16="http://schemas.microsoft.com/office/drawing/2014/main" id="{00000000-0008-0000-1E00-000002000000}"/>
            </a:ext>
          </a:extLst>
        </xdr:cNvPr>
        <xdr:cNvGrpSpPr/>
      </xdr:nvGrpSpPr>
      <xdr:grpSpPr>
        <a:xfrm>
          <a:off x="2196353" y="605118"/>
          <a:ext cx="11219890" cy="1008529"/>
          <a:chOff x="1610956" y="594360"/>
          <a:chExt cx="11437620" cy="990600"/>
        </a:xfrm>
      </xdr:grpSpPr>
      <xdr:cxnSp macro="">
        <xdr:nvCxnSpPr>
          <xdr:cNvPr id="3" name="Reference">
            <a:extLst>
              <a:ext uri="{FF2B5EF4-FFF2-40B4-BE49-F238E27FC236}">
                <a16:creationId xmlns:a16="http://schemas.microsoft.com/office/drawing/2014/main" id="{00000000-0008-0000-1E00-00000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4" name="7: Project Review">
            <a:hlinkClick xmlns:r="http://schemas.openxmlformats.org/officeDocument/2006/relationships" r:id="rId12" tooltip="Project Review"/>
            <a:extLst>
              <a:ext uri="{FF2B5EF4-FFF2-40B4-BE49-F238E27FC236}">
                <a16:creationId xmlns:a16="http://schemas.microsoft.com/office/drawing/2014/main" id="{00000000-0008-0000-1E00-00000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5" name="6: Payment">
            <a:hlinkClick xmlns:r="http://schemas.openxmlformats.org/officeDocument/2006/relationships" r:id="rId13" tooltip="Payment"/>
            <a:extLst>
              <a:ext uri="{FF2B5EF4-FFF2-40B4-BE49-F238E27FC236}">
                <a16:creationId xmlns:a16="http://schemas.microsoft.com/office/drawing/2014/main" id="{00000000-0008-0000-1E00-00000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6" name="5: Equipment Input">
            <a:hlinkClick xmlns:r="http://schemas.openxmlformats.org/officeDocument/2006/relationships" r:id="rId14" tooltip="Equipment Input"/>
            <a:extLst>
              <a:ext uri="{FF2B5EF4-FFF2-40B4-BE49-F238E27FC236}">
                <a16:creationId xmlns:a16="http://schemas.microsoft.com/office/drawing/2014/main" id="{00000000-0008-0000-1E00-000006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7" name="4: Building Information">
            <a:hlinkClick xmlns:r="http://schemas.openxmlformats.org/officeDocument/2006/relationships" r:id="rId15" tooltip="Building Information"/>
            <a:extLst>
              <a:ext uri="{FF2B5EF4-FFF2-40B4-BE49-F238E27FC236}">
                <a16:creationId xmlns:a16="http://schemas.microsoft.com/office/drawing/2014/main" id="{00000000-0008-0000-1E00-00000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8" name="3: Customer Information">
            <a:hlinkClick xmlns:r="http://schemas.openxmlformats.org/officeDocument/2006/relationships" r:id="rId16" tooltip="Customer Information"/>
            <a:extLst>
              <a:ext uri="{FF2B5EF4-FFF2-40B4-BE49-F238E27FC236}">
                <a16:creationId xmlns:a16="http://schemas.microsoft.com/office/drawing/2014/main" id="{00000000-0008-0000-1E00-00000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9"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E00-00000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10" name="1: T&amp;C's">
            <a:hlinkClick xmlns:r="http://schemas.openxmlformats.org/officeDocument/2006/relationships" r:id="rId18" tooltip="Terms &amp; Conditions"/>
            <a:extLst>
              <a:ext uri="{FF2B5EF4-FFF2-40B4-BE49-F238E27FC236}">
                <a16:creationId xmlns:a16="http://schemas.microsoft.com/office/drawing/2014/main" id="{00000000-0008-0000-1E00-00000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1" name="Header">
          <a:extLst>
            <a:ext uri="{FF2B5EF4-FFF2-40B4-BE49-F238E27FC236}">
              <a16:creationId xmlns:a16="http://schemas.microsoft.com/office/drawing/2014/main" id="{00000000-0008-0000-1E00-00001F000000}"/>
            </a:ext>
          </a:extLst>
        </xdr:cNvPr>
        <xdr:cNvGrpSpPr/>
      </xdr:nvGrpSpPr>
      <xdr:grpSpPr>
        <a:xfrm>
          <a:off x="0" y="0"/>
          <a:ext cx="15345335" cy="605118"/>
          <a:chOff x="0" y="0"/>
          <a:chExt cx="15813741" cy="591671"/>
        </a:xfrm>
      </xdr:grpSpPr>
      <xdr:grpSp>
        <xdr:nvGrpSpPr>
          <xdr:cNvPr id="32" name="Header">
            <a:extLst>
              <a:ext uri="{FF2B5EF4-FFF2-40B4-BE49-F238E27FC236}">
                <a16:creationId xmlns:a16="http://schemas.microsoft.com/office/drawing/2014/main" id="{00000000-0008-0000-1E00-000020000000}"/>
              </a:ext>
            </a:extLst>
          </xdr:cNvPr>
          <xdr:cNvGrpSpPr/>
        </xdr:nvGrpSpPr>
        <xdr:grpSpPr>
          <a:xfrm>
            <a:off x="0" y="0"/>
            <a:ext cx="15813741" cy="591671"/>
            <a:chOff x="0" y="0"/>
            <a:chExt cx="15813741" cy="591671"/>
          </a:xfrm>
        </xdr:grpSpPr>
        <xdr:sp macro="" textlink="">
          <xdr:nvSpPr>
            <xdr:cNvPr id="38" name="Reference">
              <a:extLst>
                <a:ext uri="{FF2B5EF4-FFF2-40B4-BE49-F238E27FC236}">
                  <a16:creationId xmlns:a16="http://schemas.microsoft.com/office/drawing/2014/main" id="{00000000-0008-0000-1E00-000026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Contact">
              <a:hlinkClick xmlns:r="http://schemas.openxmlformats.org/officeDocument/2006/relationships" r:id="rId19" tooltip="Contact"/>
              <a:extLst>
                <a:ext uri="{FF2B5EF4-FFF2-40B4-BE49-F238E27FC236}">
                  <a16:creationId xmlns:a16="http://schemas.microsoft.com/office/drawing/2014/main" id="{00000000-0008-0000-1E00-000027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ompletion Form">
              <a:hlinkClick xmlns:r="http://schemas.openxmlformats.org/officeDocument/2006/relationships" r:id="rId20" tooltip=" "/>
              <a:extLst>
                <a:ext uri="{FF2B5EF4-FFF2-40B4-BE49-F238E27FC236}">
                  <a16:creationId xmlns:a16="http://schemas.microsoft.com/office/drawing/2014/main" id="{00000000-0008-0000-1E00-00002B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Offer Form">
              <a:hlinkClick xmlns:r="http://schemas.openxmlformats.org/officeDocument/2006/relationships" r:id="rId21" tooltip=" "/>
              <a:extLst>
                <a:ext uri="{FF2B5EF4-FFF2-40B4-BE49-F238E27FC236}">
                  <a16:creationId xmlns:a16="http://schemas.microsoft.com/office/drawing/2014/main" id="{00000000-0008-0000-1E00-00002C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Instructions">
              <a:hlinkClick xmlns:r="http://schemas.openxmlformats.org/officeDocument/2006/relationships" r:id="rId22" tooltip="Instructions"/>
              <a:extLst>
                <a:ext uri="{FF2B5EF4-FFF2-40B4-BE49-F238E27FC236}">
                  <a16:creationId xmlns:a16="http://schemas.microsoft.com/office/drawing/2014/main" id="{00000000-0008-0000-1E00-00002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Welcome">
              <a:hlinkClick xmlns:r="http://schemas.openxmlformats.org/officeDocument/2006/relationships" r:id="rId23" tooltip="Welcome"/>
              <a:extLst>
                <a:ext uri="{FF2B5EF4-FFF2-40B4-BE49-F238E27FC236}">
                  <a16:creationId xmlns:a16="http://schemas.microsoft.com/office/drawing/2014/main" id="{00000000-0008-0000-1E00-000037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E00-00003F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4" name="State">
              <a:extLst>
                <a:ext uri="{FF2B5EF4-FFF2-40B4-BE49-F238E27FC236}">
                  <a16:creationId xmlns:a16="http://schemas.microsoft.com/office/drawing/2014/main" id="{00000000-0008-0000-1E00-00004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3" name="Dividers">
            <a:extLst>
              <a:ext uri="{FF2B5EF4-FFF2-40B4-BE49-F238E27FC236}">
                <a16:creationId xmlns:a16="http://schemas.microsoft.com/office/drawing/2014/main" id="{00000000-0008-0000-1E00-000021000000}"/>
              </a:ext>
            </a:extLst>
          </xdr:cNvPr>
          <xdr:cNvGrpSpPr/>
        </xdr:nvGrpSpPr>
        <xdr:grpSpPr>
          <a:xfrm>
            <a:off x="1613717" y="85337"/>
            <a:ext cx="11618762" cy="422893"/>
            <a:chOff x="1612951" y="85725"/>
            <a:chExt cx="11618931" cy="423022"/>
          </a:xfrm>
        </xdr:grpSpPr>
        <xdr:cxnSp macro="">
          <xdr:nvCxnSpPr>
            <xdr:cNvPr id="34" name="Divider 4">
              <a:extLst>
                <a:ext uri="{FF2B5EF4-FFF2-40B4-BE49-F238E27FC236}">
                  <a16:creationId xmlns:a16="http://schemas.microsoft.com/office/drawing/2014/main" id="{00000000-0008-0000-1E00-000022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3">
              <a:extLst>
                <a:ext uri="{FF2B5EF4-FFF2-40B4-BE49-F238E27FC236}">
                  <a16:creationId xmlns:a16="http://schemas.microsoft.com/office/drawing/2014/main" id="{00000000-0008-0000-1E00-000023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2">
              <a:extLst>
                <a:ext uri="{FF2B5EF4-FFF2-40B4-BE49-F238E27FC236}">
                  <a16:creationId xmlns:a16="http://schemas.microsoft.com/office/drawing/2014/main" id="{00000000-0008-0000-1E00-00002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1">
              <a:extLst>
                <a:ext uri="{FF2B5EF4-FFF2-40B4-BE49-F238E27FC236}">
                  <a16:creationId xmlns:a16="http://schemas.microsoft.com/office/drawing/2014/main" id="{00000000-0008-0000-1E00-00002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15" name="Arrow: Left M4S9">
          <a:hlinkClick xmlns:r="http://schemas.openxmlformats.org/officeDocument/2006/relationships" r:id="rId1" tooltip="Back: Water Heating / Cooking"/>
          <a:extLst>
            <a:ext uri="{FF2B5EF4-FFF2-40B4-BE49-F238E27FC236}">
              <a16:creationId xmlns:a16="http://schemas.microsoft.com/office/drawing/2014/main" id="{00000000-0008-0000-1F00-00000F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16" name="Arrow: Right M4S9">
          <a:hlinkClick xmlns:r="http://schemas.openxmlformats.org/officeDocument/2006/relationships" r:id="rId2" tooltip="Forward: Payment"/>
          <a:extLst>
            <a:ext uri="{FF2B5EF4-FFF2-40B4-BE49-F238E27FC236}">
              <a16:creationId xmlns:a16="http://schemas.microsoft.com/office/drawing/2014/main" id="{00000000-0008-0000-1F00-000010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78666</xdr:rowOff>
    </xdr:to>
    <xdr:grpSp>
      <xdr:nvGrpSpPr>
        <xdr:cNvPr id="2" name="Select 3">
          <a:extLst>
            <a:ext uri="{FF2B5EF4-FFF2-40B4-BE49-F238E27FC236}">
              <a16:creationId xmlns:a16="http://schemas.microsoft.com/office/drawing/2014/main" id="{00000000-0008-0000-1F00-000002000000}"/>
            </a:ext>
          </a:extLst>
        </xdr:cNvPr>
        <xdr:cNvGrpSpPr/>
      </xdr:nvGrpSpPr>
      <xdr:grpSpPr>
        <a:xfrm>
          <a:off x="2196353" y="2622176"/>
          <a:ext cx="2346251" cy="280372"/>
          <a:chOff x="1828800" y="4376057"/>
          <a:chExt cx="2409004" cy="276517"/>
        </a:xfrm>
      </xdr:grpSpPr>
      <xdr:cxnSp macro="">
        <xdr:nvCxnSpPr>
          <xdr:cNvPr id="3" name="Reference - V">
            <a:extLst>
              <a:ext uri="{FF2B5EF4-FFF2-40B4-BE49-F238E27FC236}">
                <a16:creationId xmlns:a16="http://schemas.microsoft.com/office/drawing/2014/main" id="{00000000-0008-0000-1F00-000003000000}"/>
              </a:ext>
            </a:extLst>
          </xdr:cNvPr>
          <xdr:cNvCxnSpPr/>
        </xdr:nvCxnSpPr>
        <xdr:spPr>
          <a:xfrm>
            <a:off x="2016412" y="4376057"/>
            <a:ext cx="0" cy="97468"/>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F00-000004000000}"/>
              </a:ext>
            </a:extLst>
          </xdr:cNvPr>
          <xdr:cNvCxnSpPr/>
        </xdr:nvCxnSpPr>
        <xdr:spPr>
          <a:xfrm flipH="1">
            <a:off x="1828800" y="447352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F00-000005000000}"/>
              </a:ext>
            </a:extLst>
          </xdr:cNvPr>
          <xdr:cNvGrpSpPr/>
        </xdr:nvGrpSpPr>
        <xdr:grpSpPr>
          <a:xfrm>
            <a:off x="2010553" y="4473525"/>
            <a:ext cx="2227251" cy="179049"/>
            <a:chOff x="2010553" y="4473525"/>
            <a:chExt cx="2227251" cy="179049"/>
          </a:xfrm>
        </xdr:grpSpPr>
        <xdr:sp macro="" textlink="">
          <xdr:nvSpPr>
            <xdr:cNvPr id="6" name="Custom">
              <a:extLst>
                <a:ext uri="{FF2B5EF4-FFF2-40B4-BE49-F238E27FC236}">
                  <a16:creationId xmlns:a16="http://schemas.microsoft.com/office/drawing/2014/main" id="{00000000-0008-0000-1F00-000006000000}"/>
                </a:ext>
              </a:extLst>
            </xdr:cNvPr>
            <xdr:cNvSpPr/>
          </xdr:nvSpPr>
          <xdr:spPr>
            <a:xfrm>
              <a:off x="3131380" y="4473525"/>
              <a:ext cx="1106424" cy="178125"/>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7" name="Standard">
              <a:extLst>
                <a:ext uri="{FF2B5EF4-FFF2-40B4-BE49-F238E27FC236}">
                  <a16:creationId xmlns:a16="http://schemas.microsoft.com/office/drawing/2014/main" id="{00000000-0008-0000-1F00-000007000000}"/>
                </a:ext>
              </a:extLst>
            </xdr:cNvPr>
            <xdr:cNvSpPr/>
          </xdr:nvSpPr>
          <xdr:spPr>
            <a:xfrm>
              <a:off x="2010553" y="4473525"/>
              <a:ext cx="1106424" cy="178125"/>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Standard</a:t>
              </a:r>
            </a:p>
          </xdr:txBody>
        </xdr:sp>
        <xdr:grpSp>
          <xdr:nvGrpSpPr>
            <xdr:cNvPr id="8" name="X">
              <a:extLst>
                <a:ext uri="{FF2B5EF4-FFF2-40B4-BE49-F238E27FC236}">
                  <a16:creationId xmlns:a16="http://schemas.microsoft.com/office/drawing/2014/main" id="{00000000-0008-0000-1F00-000008000000}"/>
                </a:ext>
              </a:extLst>
            </xdr:cNvPr>
            <xdr:cNvGrpSpPr/>
          </xdr:nvGrpSpPr>
          <xdr:grpSpPr>
            <a:xfrm>
              <a:off x="2011135" y="4476749"/>
              <a:ext cx="1107759" cy="175825"/>
              <a:chOff x="2011135" y="4476749"/>
              <a:chExt cx="1107759" cy="175825"/>
            </a:xfrm>
          </xdr:grpSpPr>
          <xdr:cxnSp macro="">
            <xdr:nvCxnSpPr>
              <xdr:cNvPr id="9" name="2">
                <a:extLst>
                  <a:ext uri="{FF2B5EF4-FFF2-40B4-BE49-F238E27FC236}">
                    <a16:creationId xmlns:a16="http://schemas.microsoft.com/office/drawing/2014/main" id="{00000000-0008-0000-1F00-000009000000}"/>
                  </a:ext>
                </a:extLst>
              </xdr:cNvPr>
              <xdr:cNvCxnSpPr/>
            </xdr:nvCxnSpPr>
            <xdr:spPr>
              <a:xfrm>
                <a:off x="2011135" y="4476749"/>
                <a:ext cx="1106424" cy="17560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10" name="1">
                <a:extLst>
                  <a:ext uri="{FF2B5EF4-FFF2-40B4-BE49-F238E27FC236}">
                    <a16:creationId xmlns:a16="http://schemas.microsoft.com/office/drawing/2014/main" id="{00000000-0008-0000-1F00-00000A000000}"/>
                  </a:ext>
                </a:extLst>
              </xdr:cNvPr>
              <xdr:cNvCxnSpPr/>
            </xdr:nvCxnSpPr>
            <xdr:spPr>
              <a:xfrm flipH="1">
                <a:off x="2012470" y="4476971"/>
                <a:ext cx="1106424" cy="17560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8" name="Navigation">
          <a:extLst>
            <a:ext uri="{FF2B5EF4-FFF2-40B4-BE49-F238E27FC236}">
              <a16:creationId xmlns:a16="http://schemas.microsoft.com/office/drawing/2014/main" id="{00000000-0008-0000-1F00-000012000000}"/>
            </a:ext>
          </a:extLst>
        </xdr:cNvPr>
        <xdr:cNvGrpSpPr/>
      </xdr:nvGrpSpPr>
      <xdr:grpSpPr>
        <a:xfrm>
          <a:off x="2196353" y="605118"/>
          <a:ext cx="11219890" cy="1008529"/>
          <a:chOff x="1610956" y="594360"/>
          <a:chExt cx="11437620" cy="990600"/>
        </a:xfrm>
      </xdr:grpSpPr>
      <xdr:cxnSp macro="">
        <xdr:nvCxnSpPr>
          <xdr:cNvPr id="19" name="Reference">
            <a:extLst>
              <a:ext uri="{FF2B5EF4-FFF2-40B4-BE49-F238E27FC236}">
                <a16:creationId xmlns:a16="http://schemas.microsoft.com/office/drawing/2014/main" id="{00000000-0008-0000-1F00-00001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0" name="7: Project Review">
            <a:hlinkClick xmlns:r="http://schemas.openxmlformats.org/officeDocument/2006/relationships" r:id="rId3" tooltip="Project Review"/>
            <a:extLst>
              <a:ext uri="{FF2B5EF4-FFF2-40B4-BE49-F238E27FC236}">
                <a16:creationId xmlns:a16="http://schemas.microsoft.com/office/drawing/2014/main" id="{00000000-0008-0000-1F00-00001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1" name="6: Payment">
            <a:hlinkClick xmlns:r="http://schemas.openxmlformats.org/officeDocument/2006/relationships" r:id="rId2" tooltip="Payment"/>
            <a:extLst>
              <a:ext uri="{FF2B5EF4-FFF2-40B4-BE49-F238E27FC236}">
                <a16:creationId xmlns:a16="http://schemas.microsoft.com/office/drawing/2014/main" id="{00000000-0008-0000-1F00-00001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2" name="5: Equipment Input">
            <a:hlinkClick xmlns:r="http://schemas.openxmlformats.org/officeDocument/2006/relationships" r:id="rId4" tooltip="Equipment Input"/>
            <a:extLst>
              <a:ext uri="{FF2B5EF4-FFF2-40B4-BE49-F238E27FC236}">
                <a16:creationId xmlns:a16="http://schemas.microsoft.com/office/drawing/2014/main" id="{00000000-0008-0000-1F00-000016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3" name="4: Building Information">
            <a:hlinkClick xmlns:r="http://schemas.openxmlformats.org/officeDocument/2006/relationships" r:id="rId5" tooltip="Building Information"/>
            <a:extLst>
              <a:ext uri="{FF2B5EF4-FFF2-40B4-BE49-F238E27FC236}">
                <a16:creationId xmlns:a16="http://schemas.microsoft.com/office/drawing/2014/main" id="{00000000-0008-0000-1F00-00001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4" name="3: Customer Information">
            <a:hlinkClick xmlns:r="http://schemas.openxmlformats.org/officeDocument/2006/relationships" r:id="rId6" tooltip="Customer Information"/>
            <a:extLst>
              <a:ext uri="{FF2B5EF4-FFF2-40B4-BE49-F238E27FC236}">
                <a16:creationId xmlns:a16="http://schemas.microsoft.com/office/drawing/2014/main" id="{00000000-0008-0000-1F00-00001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7" tooltip="Trade Ally/Vendor Information"/>
            <a:extLst>
              <a:ext uri="{FF2B5EF4-FFF2-40B4-BE49-F238E27FC236}">
                <a16:creationId xmlns:a16="http://schemas.microsoft.com/office/drawing/2014/main" id="{00000000-0008-0000-1F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8" tooltip="Terms &amp; Conditions"/>
            <a:extLst>
              <a:ext uri="{FF2B5EF4-FFF2-40B4-BE49-F238E27FC236}">
                <a16:creationId xmlns:a16="http://schemas.microsoft.com/office/drawing/2014/main" id="{00000000-0008-0000-1F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1" name="Header">
          <a:extLst>
            <a:ext uri="{FF2B5EF4-FFF2-40B4-BE49-F238E27FC236}">
              <a16:creationId xmlns:a16="http://schemas.microsoft.com/office/drawing/2014/main" id="{00000000-0008-0000-1F00-00001F000000}"/>
            </a:ext>
          </a:extLst>
        </xdr:cNvPr>
        <xdr:cNvGrpSpPr/>
      </xdr:nvGrpSpPr>
      <xdr:grpSpPr>
        <a:xfrm>
          <a:off x="0" y="0"/>
          <a:ext cx="15345335" cy="605118"/>
          <a:chOff x="0" y="0"/>
          <a:chExt cx="15813741" cy="591671"/>
        </a:xfrm>
      </xdr:grpSpPr>
      <xdr:grpSp>
        <xdr:nvGrpSpPr>
          <xdr:cNvPr id="39" name="Header">
            <a:extLst>
              <a:ext uri="{FF2B5EF4-FFF2-40B4-BE49-F238E27FC236}">
                <a16:creationId xmlns:a16="http://schemas.microsoft.com/office/drawing/2014/main" id="{00000000-0008-0000-1F00-000027000000}"/>
              </a:ext>
            </a:extLst>
          </xdr:cNvPr>
          <xdr:cNvGrpSpPr/>
        </xdr:nvGrpSpPr>
        <xdr:grpSpPr>
          <a:xfrm>
            <a:off x="0" y="0"/>
            <a:ext cx="15813741" cy="591671"/>
            <a:chOff x="0" y="0"/>
            <a:chExt cx="15813741" cy="591671"/>
          </a:xfrm>
        </xdr:grpSpPr>
        <xdr:sp macro="" textlink="">
          <xdr:nvSpPr>
            <xdr:cNvPr id="45" name="Reference">
              <a:extLst>
                <a:ext uri="{FF2B5EF4-FFF2-40B4-BE49-F238E27FC236}">
                  <a16:creationId xmlns:a16="http://schemas.microsoft.com/office/drawing/2014/main" id="{00000000-0008-0000-1F00-00002D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ontact">
              <a:hlinkClick xmlns:r="http://schemas.openxmlformats.org/officeDocument/2006/relationships" r:id="rId9" tooltip="Contact"/>
              <a:extLst>
                <a:ext uri="{FF2B5EF4-FFF2-40B4-BE49-F238E27FC236}">
                  <a16:creationId xmlns:a16="http://schemas.microsoft.com/office/drawing/2014/main" id="{00000000-0008-0000-1F00-000035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mpletion Form">
              <a:hlinkClick xmlns:r="http://schemas.openxmlformats.org/officeDocument/2006/relationships" r:id="rId10" tooltip=" "/>
              <a:extLst>
                <a:ext uri="{FF2B5EF4-FFF2-40B4-BE49-F238E27FC236}">
                  <a16:creationId xmlns:a16="http://schemas.microsoft.com/office/drawing/2014/main" id="{00000000-0008-0000-1F00-000036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Offer Form">
              <a:hlinkClick xmlns:r="http://schemas.openxmlformats.org/officeDocument/2006/relationships" r:id="rId11" tooltip=" "/>
              <a:extLst>
                <a:ext uri="{FF2B5EF4-FFF2-40B4-BE49-F238E27FC236}">
                  <a16:creationId xmlns:a16="http://schemas.microsoft.com/office/drawing/2014/main" id="{00000000-0008-0000-1F00-000037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Instructions">
              <a:hlinkClick xmlns:r="http://schemas.openxmlformats.org/officeDocument/2006/relationships" r:id="rId12" tooltip="Instructions"/>
              <a:extLst>
                <a:ext uri="{FF2B5EF4-FFF2-40B4-BE49-F238E27FC236}">
                  <a16:creationId xmlns:a16="http://schemas.microsoft.com/office/drawing/2014/main" id="{00000000-0008-0000-1F00-000038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Welcome">
              <a:hlinkClick xmlns:r="http://schemas.openxmlformats.org/officeDocument/2006/relationships" r:id="rId13" tooltip="Welcome"/>
              <a:extLst>
                <a:ext uri="{FF2B5EF4-FFF2-40B4-BE49-F238E27FC236}">
                  <a16:creationId xmlns:a16="http://schemas.microsoft.com/office/drawing/2014/main" id="{00000000-0008-0000-1F00-000039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8" name="Evergy Logo">
              <a:extLst>
                <a:ext uri="{FF2B5EF4-FFF2-40B4-BE49-F238E27FC236}">
                  <a16:creationId xmlns:a16="http://schemas.microsoft.com/office/drawing/2014/main" id="{00000000-0008-0000-1F00-00003A000000}"/>
                </a:ext>
              </a:extLst>
            </xdr:cNvPr>
            <xdr:cNvPicPr>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9" name="State">
              <a:extLst>
                <a:ext uri="{FF2B5EF4-FFF2-40B4-BE49-F238E27FC236}">
                  <a16:creationId xmlns:a16="http://schemas.microsoft.com/office/drawing/2014/main" id="{00000000-0008-0000-1F00-00003B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0" name="Dividers">
            <a:extLst>
              <a:ext uri="{FF2B5EF4-FFF2-40B4-BE49-F238E27FC236}">
                <a16:creationId xmlns:a16="http://schemas.microsoft.com/office/drawing/2014/main" id="{00000000-0008-0000-1F00-000028000000}"/>
              </a:ext>
            </a:extLst>
          </xdr:cNvPr>
          <xdr:cNvGrpSpPr/>
        </xdr:nvGrpSpPr>
        <xdr:grpSpPr>
          <a:xfrm>
            <a:off x="1613717" y="85337"/>
            <a:ext cx="11618762" cy="422893"/>
            <a:chOff x="1612951" y="85725"/>
            <a:chExt cx="11618931" cy="423022"/>
          </a:xfrm>
        </xdr:grpSpPr>
        <xdr:cxnSp macro="">
          <xdr:nvCxnSpPr>
            <xdr:cNvPr id="41" name="Divider 4">
              <a:extLst>
                <a:ext uri="{FF2B5EF4-FFF2-40B4-BE49-F238E27FC236}">
                  <a16:creationId xmlns:a16="http://schemas.microsoft.com/office/drawing/2014/main" id="{00000000-0008-0000-1F00-000029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3">
              <a:extLst>
                <a:ext uri="{FF2B5EF4-FFF2-40B4-BE49-F238E27FC236}">
                  <a16:creationId xmlns:a16="http://schemas.microsoft.com/office/drawing/2014/main" id="{00000000-0008-0000-1F00-00002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2">
              <a:extLst>
                <a:ext uri="{FF2B5EF4-FFF2-40B4-BE49-F238E27FC236}">
                  <a16:creationId xmlns:a16="http://schemas.microsoft.com/office/drawing/2014/main" id="{00000000-0008-0000-1F00-00002B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1">
              <a:extLst>
                <a:ext uri="{FF2B5EF4-FFF2-40B4-BE49-F238E27FC236}">
                  <a16:creationId xmlns:a16="http://schemas.microsoft.com/office/drawing/2014/main" id="{00000000-0008-0000-1F00-00002C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9</xdr:col>
      <xdr:colOff>0</xdr:colOff>
      <xdr:row>7</xdr:row>
      <xdr:rowOff>194806</xdr:rowOff>
    </xdr:from>
    <xdr:to>
      <xdr:col>41</xdr:col>
      <xdr:colOff>1</xdr:colOff>
      <xdr:row>11</xdr:row>
      <xdr:rowOff>0</xdr:rowOff>
    </xdr:to>
    <xdr:grpSp>
      <xdr:nvGrpSpPr>
        <xdr:cNvPr id="11" name="Measure Categories">
          <a:extLst>
            <a:ext uri="{FF2B5EF4-FFF2-40B4-BE49-F238E27FC236}">
              <a16:creationId xmlns:a16="http://schemas.microsoft.com/office/drawing/2014/main" id="{00000000-0008-0000-1F00-00000B000000}"/>
            </a:ext>
          </a:extLst>
        </xdr:cNvPr>
        <xdr:cNvGrpSpPr/>
      </xdr:nvGrpSpPr>
      <xdr:grpSpPr>
        <a:xfrm>
          <a:off x="2823882" y="1606747"/>
          <a:ext cx="10040472" cy="612018"/>
          <a:chOff x="2240280" y="1582544"/>
          <a:chExt cx="10241281" cy="596777"/>
        </a:xfrm>
      </xdr:grpSpPr>
      <xdr:grpSp>
        <xdr:nvGrpSpPr>
          <xdr:cNvPr id="12" name="Categories">
            <a:extLst>
              <a:ext uri="{FF2B5EF4-FFF2-40B4-BE49-F238E27FC236}">
                <a16:creationId xmlns:a16="http://schemas.microsoft.com/office/drawing/2014/main" id="{00000000-0008-0000-1F00-00000C000000}"/>
              </a:ext>
            </a:extLst>
          </xdr:cNvPr>
          <xdr:cNvGrpSpPr/>
        </xdr:nvGrpSpPr>
        <xdr:grpSpPr>
          <a:xfrm>
            <a:off x="2240280" y="1584961"/>
            <a:ext cx="10241281" cy="594360"/>
            <a:chOff x="2240280" y="1584961"/>
            <a:chExt cx="10241281" cy="594360"/>
          </a:xfrm>
        </xdr:grpSpPr>
        <xdr:sp macro="" textlink="">
          <xdr:nvSpPr>
            <xdr:cNvPr id="65" name="Lighting" hidden="1">
              <a:hlinkClick xmlns:r="http://schemas.openxmlformats.org/officeDocument/2006/relationships" r:id="rId15" tooltip="Lighting"/>
              <a:extLst>
                <a:ext uri="{FF2B5EF4-FFF2-40B4-BE49-F238E27FC236}">
                  <a16:creationId xmlns:a16="http://schemas.microsoft.com/office/drawing/2014/main" id="{00000000-0008-0000-1F00-000041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Lighting Controls">
              <a:hlinkClick xmlns:r="http://schemas.openxmlformats.org/officeDocument/2006/relationships" r:id="rId16" tooltip="Lighting Controls"/>
              <a:extLst>
                <a:ext uri="{FF2B5EF4-FFF2-40B4-BE49-F238E27FC236}">
                  <a16:creationId xmlns:a16="http://schemas.microsoft.com/office/drawing/2014/main" id="{00000000-0008-0000-1F00-000042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Refrigeration">
              <a:hlinkClick xmlns:r="http://schemas.openxmlformats.org/officeDocument/2006/relationships" r:id="rId17" tooltip="Refrigeration"/>
              <a:extLst>
                <a:ext uri="{FF2B5EF4-FFF2-40B4-BE49-F238E27FC236}">
                  <a16:creationId xmlns:a16="http://schemas.microsoft.com/office/drawing/2014/main" id="{00000000-0008-0000-1F00-000043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HVAC">
              <a:hlinkClick xmlns:r="http://schemas.openxmlformats.org/officeDocument/2006/relationships" r:id="rId18" tooltip="HVAC"/>
              <a:extLst>
                <a:ext uri="{FF2B5EF4-FFF2-40B4-BE49-F238E27FC236}">
                  <a16:creationId xmlns:a16="http://schemas.microsoft.com/office/drawing/2014/main" id="{00000000-0008-0000-1F00-000044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otors and Drives">
              <a:hlinkClick xmlns:r="http://schemas.openxmlformats.org/officeDocument/2006/relationships" r:id="rId19" tooltip="Motors and Drives"/>
              <a:extLst>
                <a:ext uri="{FF2B5EF4-FFF2-40B4-BE49-F238E27FC236}">
                  <a16:creationId xmlns:a16="http://schemas.microsoft.com/office/drawing/2014/main" id="{00000000-0008-0000-1F00-000045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0" name="CAP">
              <a:hlinkClick xmlns:r="http://schemas.openxmlformats.org/officeDocument/2006/relationships" r:id="rId20" tooltip="Compressed Air / Process"/>
              <a:extLst>
                <a:ext uri="{FF2B5EF4-FFF2-40B4-BE49-F238E27FC236}">
                  <a16:creationId xmlns:a16="http://schemas.microsoft.com/office/drawing/2014/main" id="{00000000-0008-0000-1F00-000046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1" name="WHFS">
              <a:hlinkClick xmlns:r="http://schemas.openxmlformats.org/officeDocument/2006/relationships" r:id="rId21" tooltip="Water Heating / Food Services"/>
              <a:extLst>
                <a:ext uri="{FF2B5EF4-FFF2-40B4-BE49-F238E27FC236}">
                  <a16:creationId xmlns:a16="http://schemas.microsoft.com/office/drawing/2014/main" id="{00000000-0008-0000-1F00-000047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2" name="Miscellaneous">
              <a:hlinkClick xmlns:r="http://schemas.openxmlformats.org/officeDocument/2006/relationships" r:id="rId22" tooltip="Miscellaneous"/>
              <a:extLst>
                <a:ext uri="{FF2B5EF4-FFF2-40B4-BE49-F238E27FC236}">
                  <a16:creationId xmlns:a16="http://schemas.microsoft.com/office/drawing/2014/main" id="{00000000-0008-0000-1F00-000048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3" name="Dividers">
            <a:extLst>
              <a:ext uri="{FF2B5EF4-FFF2-40B4-BE49-F238E27FC236}">
                <a16:creationId xmlns:a16="http://schemas.microsoft.com/office/drawing/2014/main" id="{00000000-0008-0000-1F00-00000D000000}"/>
              </a:ext>
            </a:extLst>
          </xdr:cNvPr>
          <xdr:cNvGrpSpPr/>
        </xdr:nvGrpSpPr>
        <xdr:grpSpPr>
          <a:xfrm>
            <a:off x="3521022" y="1582544"/>
            <a:ext cx="7680961" cy="551056"/>
            <a:chOff x="3520440" y="1580822"/>
            <a:chExt cx="7680960" cy="552779"/>
          </a:xfrm>
        </xdr:grpSpPr>
        <xdr:cxnSp macro="">
          <xdr:nvCxnSpPr>
            <xdr:cNvPr id="14" name="Divider 7">
              <a:extLst>
                <a:ext uri="{FF2B5EF4-FFF2-40B4-BE49-F238E27FC236}">
                  <a16:creationId xmlns:a16="http://schemas.microsoft.com/office/drawing/2014/main" id="{00000000-0008-0000-1F00-00000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6">
              <a:extLst>
                <a:ext uri="{FF2B5EF4-FFF2-40B4-BE49-F238E27FC236}">
                  <a16:creationId xmlns:a16="http://schemas.microsoft.com/office/drawing/2014/main" id="{00000000-0008-0000-1F00-000011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0" name="Divider 5">
              <a:extLst>
                <a:ext uri="{FF2B5EF4-FFF2-40B4-BE49-F238E27FC236}">
                  <a16:creationId xmlns:a16="http://schemas.microsoft.com/office/drawing/2014/main" id="{00000000-0008-0000-1F00-00003C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1" name="Divider 4">
              <a:extLst>
                <a:ext uri="{FF2B5EF4-FFF2-40B4-BE49-F238E27FC236}">
                  <a16:creationId xmlns:a16="http://schemas.microsoft.com/office/drawing/2014/main" id="{00000000-0008-0000-1F00-00003D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2" name="Divider 3">
              <a:extLst>
                <a:ext uri="{FF2B5EF4-FFF2-40B4-BE49-F238E27FC236}">
                  <a16:creationId xmlns:a16="http://schemas.microsoft.com/office/drawing/2014/main" id="{00000000-0008-0000-1F00-00003E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3" name="Divider 2">
              <a:extLst>
                <a:ext uri="{FF2B5EF4-FFF2-40B4-BE49-F238E27FC236}">
                  <a16:creationId xmlns:a16="http://schemas.microsoft.com/office/drawing/2014/main" id="{00000000-0008-0000-1F00-00003F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4" name="Divider 1" hidden="1">
              <a:extLst>
                <a:ext uri="{FF2B5EF4-FFF2-40B4-BE49-F238E27FC236}">
                  <a16:creationId xmlns:a16="http://schemas.microsoft.com/office/drawing/2014/main" id="{00000000-0008-0000-1F00-000040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19</xdr:row>
          <xdr:rowOff>171450</xdr:rowOff>
        </xdr:from>
        <xdr:to>
          <xdr:col>7</xdr:col>
          <xdr:colOff>209550</xdr:colOff>
          <xdr:row>22</xdr:row>
          <xdr:rowOff>28575</xdr:rowOff>
        </xdr:to>
        <xdr:sp macro="" textlink="">
          <xdr:nvSpPr>
            <xdr:cNvPr id="55738" name="M05S01TB1" hidden="1">
              <a:extLst>
                <a:ext uri="{63B3BB69-23CF-44E3-9099-C40C66FF867C}">
                  <a14:compatExt spid="_x0000_s55738"/>
                </a:ext>
                <a:ext uri="{FF2B5EF4-FFF2-40B4-BE49-F238E27FC236}">
                  <a16:creationId xmlns:a16="http://schemas.microsoft.com/office/drawing/2014/main" id="{00000000-0008-0000-2000-0000BAD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46</xdr:col>
      <xdr:colOff>8516</xdr:colOff>
      <xdr:row>8</xdr:row>
      <xdr:rowOff>97044</xdr:rowOff>
    </xdr:from>
    <xdr:to>
      <xdr:col>47</xdr:col>
      <xdr:colOff>227972</xdr:colOff>
      <xdr:row>10</xdr:row>
      <xdr:rowOff>101302</xdr:rowOff>
    </xdr:to>
    <xdr:sp macro="" textlink="">
      <xdr:nvSpPr>
        <xdr:cNvPr id="15" name="Arrow: Right M5S1">
          <a:hlinkClick xmlns:r="http://schemas.openxmlformats.org/officeDocument/2006/relationships" r:id="rId1" tooltip="Forward: Project Review"/>
          <a:extLst>
            <a:ext uri="{FF2B5EF4-FFF2-40B4-BE49-F238E27FC236}">
              <a16:creationId xmlns:a16="http://schemas.microsoft.com/office/drawing/2014/main" id="{00000000-0008-0000-2000-00000F000000}"/>
            </a:ext>
          </a:extLst>
        </xdr:cNvPr>
        <xdr:cNvSpPr/>
      </xdr:nvSpPr>
      <xdr:spPr>
        <a:xfrm>
          <a:off x="13450196" y="1682004"/>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99087</xdr:colOff>
      <xdr:row>8</xdr:row>
      <xdr:rowOff>93711</xdr:rowOff>
    </xdr:from>
    <xdr:to>
      <xdr:col>3</xdr:col>
      <xdr:colOff>4218</xdr:colOff>
      <xdr:row>10</xdr:row>
      <xdr:rowOff>95997</xdr:rowOff>
    </xdr:to>
    <xdr:sp macro="" textlink="">
      <xdr:nvSpPr>
        <xdr:cNvPr id="16" name="Arrow: Left M5S1">
          <a:hlinkClick xmlns:r="http://schemas.openxmlformats.org/officeDocument/2006/relationships" r:id="rId2" tooltip="Back: Equipment Input"/>
          <a:extLst>
            <a:ext uri="{FF2B5EF4-FFF2-40B4-BE49-F238E27FC236}">
              <a16:creationId xmlns:a16="http://schemas.microsoft.com/office/drawing/2014/main" id="{00000000-0008-0000-2000-000010000000}"/>
            </a:ext>
          </a:extLst>
        </xdr:cNvPr>
        <xdr:cNvSpPr/>
      </xdr:nvSpPr>
      <xdr:spPr>
        <a:xfrm>
          <a:off x="422937" y="1693911"/>
          <a:ext cx="543306" cy="40233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17" name="Navigation">
          <a:extLst>
            <a:ext uri="{FF2B5EF4-FFF2-40B4-BE49-F238E27FC236}">
              <a16:creationId xmlns:a16="http://schemas.microsoft.com/office/drawing/2014/main" id="{00000000-0008-0000-2000-000011000000}"/>
            </a:ext>
          </a:extLst>
        </xdr:cNvPr>
        <xdr:cNvGrpSpPr/>
      </xdr:nvGrpSpPr>
      <xdr:grpSpPr>
        <a:xfrm>
          <a:off x="2196353" y="605118"/>
          <a:ext cx="11217985" cy="1008529"/>
          <a:chOff x="1610956" y="594360"/>
          <a:chExt cx="11437620" cy="990600"/>
        </a:xfrm>
      </xdr:grpSpPr>
      <xdr:cxnSp macro="">
        <xdr:nvCxnSpPr>
          <xdr:cNvPr id="18" name="Reference">
            <a:extLst>
              <a:ext uri="{FF2B5EF4-FFF2-40B4-BE49-F238E27FC236}">
                <a16:creationId xmlns:a16="http://schemas.microsoft.com/office/drawing/2014/main" id="{00000000-0008-0000-20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0" name="7: Project Review">
            <a:hlinkClick xmlns:r="http://schemas.openxmlformats.org/officeDocument/2006/relationships" r:id="rId3" tooltip="Project Review"/>
            <a:extLst>
              <a:ext uri="{FF2B5EF4-FFF2-40B4-BE49-F238E27FC236}">
                <a16:creationId xmlns:a16="http://schemas.microsoft.com/office/drawing/2014/main" id="{00000000-0008-0000-2000-00001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1" name="6: Payment">
            <a:hlinkClick xmlns:r="http://schemas.openxmlformats.org/officeDocument/2006/relationships" r:id="rId4" tooltip="Payment"/>
            <a:extLst>
              <a:ext uri="{FF2B5EF4-FFF2-40B4-BE49-F238E27FC236}">
                <a16:creationId xmlns:a16="http://schemas.microsoft.com/office/drawing/2014/main" id="{00000000-0008-0000-2000-000015000000}"/>
              </a:ext>
            </a:extLst>
          </xdr:cNvPr>
          <xdr:cNvSpPr/>
        </xdr:nvSpPr>
        <xdr:spPr>
          <a:xfrm>
            <a:off x="962719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2" name="5: Equipment Input">
            <a:hlinkClick xmlns:r="http://schemas.openxmlformats.org/officeDocument/2006/relationships" r:id="rId5" tooltip="Equipment Input"/>
            <a:extLst>
              <a:ext uri="{FF2B5EF4-FFF2-40B4-BE49-F238E27FC236}">
                <a16:creationId xmlns:a16="http://schemas.microsoft.com/office/drawing/2014/main" id="{00000000-0008-0000-2000-000016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3" name="4: Building Information">
            <a:hlinkClick xmlns:r="http://schemas.openxmlformats.org/officeDocument/2006/relationships" r:id="rId6" tooltip="Building Information"/>
            <a:extLst>
              <a:ext uri="{FF2B5EF4-FFF2-40B4-BE49-F238E27FC236}">
                <a16:creationId xmlns:a16="http://schemas.microsoft.com/office/drawing/2014/main" id="{00000000-0008-0000-2000-00001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1" name="3: Customer Information">
            <a:hlinkClick xmlns:r="http://schemas.openxmlformats.org/officeDocument/2006/relationships" r:id="rId7" tooltip="Customer Information"/>
            <a:extLst>
              <a:ext uri="{FF2B5EF4-FFF2-40B4-BE49-F238E27FC236}">
                <a16:creationId xmlns:a16="http://schemas.microsoft.com/office/drawing/2014/main" id="{00000000-0008-0000-2000-00001F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2" name="2: Trade Ally Info">
            <a:hlinkClick xmlns:r="http://schemas.openxmlformats.org/officeDocument/2006/relationships" r:id="rId8" tooltip="Trade Ally/Vendor Information"/>
            <a:extLst>
              <a:ext uri="{FF2B5EF4-FFF2-40B4-BE49-F238E27FC236}">
                <a16:creationId xmlns:a16="http://schemas.microsoft.com/office/drawing/2014/main" id="{00000000-0008-0000-2000-000020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3" name="1: T&amp;C's">
            <a:hlinkClick xmlns:r="http://schemas.openxmlformats.org/officeDocument/2006/relationships" r:id="rId9" tooltip="Terms &amp; Conditions"/>
            <a:extLst>
              <a:ext uri="{FF2B5EF4-FFF2-40B4-BE49-F238E27FC236}">
                <a16:creationId xmlns:a16="http://schemas.microsoft.com/office/drawing/2014/main" id="{00000000-0008-0000-2000-000021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4" name="Header">
          <a:extLst>
            <a:ext uri="{FF2B5EF4-FFF2-40B4-BE49-F238E27FC236}">
              <a16:creationId xmlns:a16="http://schemas.microsoft.com/office/drawing/2014/main" id="{00000000-0008-0000-2000-000018000000}"/>
            </a:ext>
          </a:extLst>
        </xdr:cNvPr>
        <xdr:cNvGrpSpPr/>
      </xdr:nvGrpSpPr>
      <xdr:grpSpPr>
        <a:xfrm>
          <a:off x="0" y="0"/>
          <a:ext cx="15345335" cy="605118"/>
          <a:chOff x="0" y="0"/>
          <a:chExt cx="15813741" cy="591671"/>
        </a:xfrm>
      </xdr:grpSpPr>
      <xdr:grpSp>
        <xdr:nvGrpSpPr>
          <xdr:cNvPr id="25" name="Header">
            <a:extLst>
              <a:ext uri="{FF2B5EF4-FFF2-40B4-BE49-F238E27FC236}">
                <a16:creationId xmlns:a16="http://schemas.microsoft.com/office/drawing/2014/main" id="{00000000-0008-0000-2000-000019000000}"/>
              </a:ext>
            </a:extLst>
          </xdr:cNvPr>
          <xdr:cNvGrpSpPr/>
        </xdr:nvGrpSpPr>
        <xdr:grpSpPr>
          <a:xfrm>
            <a:off x="0" y="0"/>
            <a:ext cx="15813741" cy="591671"/>
            <a:chOff x="0" y="0"/>
            <a:chExt cx="15813741" cy="591671"/>
          </a:xfrm>
        </xdr:grpSpPr>
        <xdr:sp macro="" textlink="">
          <xdr:nvSpPr>
            <xdr:cNvPr id="34" name="Reference">
              <a:extLst>
                <a:ext uri="{FF2B5EF4-FFF2-40B4-BE49-F238E27FC236}">
                  <a16:creationId xmlns:a16="http://schemas.microsoft.com/office/drawing/2014/main" id="{00000000-0008-0000-2000-00002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10" tooltip="Contact"/>
              <a:extLst>
                <a:ext uri="{FF2B5EF4-FFF2-40B4-BE49-F238E27FC236}">
                  <a16:creationId xmlns:a16="http://schemas.microsoft.com/office/drawing/2014/main" id="{00000000-0008-0000-2000-000023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11" tooltip=" "/>
              <a:extLst>
                <a:ext uri="{FF2B5EF4-FFF2-40B4-BE49-F238E27FC236}">
                  <a16:creationId xmlns:a16="http://schemas.microsoft.com/office/drawing/2014/main" id="{00000000-0008-0000-2000-000024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2" tooltip=" "/>
              <a:extLst>
                <a:ext uri="{FF2B5EF4-FFF2-40B4-BE49-F238E27FC236}">
                  <a16:creationId xmlns:a16="http://schemas.microsoft.com/office/drawing/2014/main" id="{00000000-0008-0000-2000-000025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structions">
              <a:hlinkClick xmlns:r="http://schemas.openxmlformats.org/officeDocument/2006/relationships" r:id="rId13" tooltip="Instructions"/>
              <a:extLst>
                <a:ext uri="{FF2B5EF4-FFF2-40B4-BE49-F238E27FC236}">
                  <a16:creationId xmlns:a16="http://schemas.microsoft.com/office/drawing/2014/main" id="{00000000-0008-0000-2000-000026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Welcome">
              <a:hlinkClick xmlns:r="http://schemas.openxmlformats.org/officeDocument/2006/relationships" r:id="rId14" tooltip="Welcome"/>
              <a:extLst>
                <a:ext uri="{FF2B5EF4-FFF2-40B4-BE49-F238E27FC236}">
                  <a16:creationId xmlns:a16="http://schemas.microsoft.com/office/drawing/2014/main" id="{00000000-0008-0000-2000-000027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2000-000028000000}"/>
                </a:ext>
              </a:extLst>
            </xdr:cNvPr>
            <xdr:cNvPicPr>
              <a:picLocks/>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1" name="State">
              <a:extLst>
                <a:ext uri="{FF2B5EF4-FFF2-40B4-BE49-F238E27FC236}">
                  <a16:creationId xmlns:a16="http://schemas.microsoft.com/office/drawing/2014/main" id="{00000000-0008-0000-2000-000029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6" name="Dividers">
            <a:extLst>
              <a:ext uri="{FF2B5EF4-FFF2-40B4-BE49-F238E27FC236}">
                <a16:creationId xmlns:a16="http://schemas.microsoft.com/office/drawing/2014/main" id="{00000000-0008-0000-2000-00001A000000}"/>
              </a:ext>
            </a:extLst>
          </xdr:cNvPr>
          <xdr:cNvGrpSpPr/>
        </xdr:nvGrpSpPr>
        <xdr:grpSpPr>
          <a:xfrm>
            <a:off x="1613717" y="85337"/>
            <a:ext cx="11618762" cy="422893"/>
            <a:chOff x="1612951" y="85725"/>
            <a:chExt cx="11618931" cy="423022"/>
          </a:xfrm>
        </xdr:grpSpPr>
        <xdr:cxnSp macro="">
          <xdr:nvCxnSpPr>
            <xdr:cNvPr id="27" name="Divider 4">
              <a:extLst>
                <a:ext uri="{FF2B5EF4-FFF2-40B4-BE49-F238E27FC236}">
                  <a16:creationId xmlns:a16="http://schemas.microsoft.com/office/drawing/2014/main" id="{00000000-0008-0000-2000-00001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3">
              <a:extLst>
                <a:ext uri="{FF2B5EF4-FFF2-40B4-BE49-F238E27FC236}">
                  <a16:creationId xmlns:a16="http://schemas.microsoft.com/office/drawing/2014/main" id="{00000000-0008-0000-2000-00001C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2">
              <a:extLst>
                <a:ext uri="{FF2B5EF4-FFF2-40B4-BE49-F238E27FC236}">
                  <a16:creationId xmlns:a16="http://schemas.microsoft.com/office/drawing/2014/main" id="{00000000-0008-0000-2000-00001D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1">
              <a:extLst>
                <a:ext uri="{FF2B5EF4-FFF2-40B4-BE49-F238E27FC236}">
                  <a16:creationId xmlns:a16="http://schemas.microsoft.com/office/drawing/2014/main" id="{00000000-0008-0000-2000-00001E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28</xdr:col>
      <xdr:colOff>0</xdr:colOff>
      <xdr:row>24</xdr:row>
      <xdr:rowOff>11207</xdr:rowOff>
    </xdr:from>
    <xdr:to>
      <xdr:col>35</xdr:col>
      <xdr:colOff>0</xdr:colOff>
      <xdr:row>30</xdr:row>
      <xdr:rowOff>190498</xdr:rowOff>
    </xdr:to>
    <xdr:grpSp>
      <xdr:nvGrpSpPr>
        <xdr:cNvPr id="28" name="Custom Categories">
          <a:extLst>
            <a:ext uri="{FF2B5EF4-FFF2-40B4-BE49-F238E27FC236}">
              <a16:creationId xmlns:a16="http://schemas.microsoft.com/office/drawing/2014/main" id="{00000000-0008-0000-2100-00001C000000}"/>
            </a:ext>
          </a:extLst>
        </xdr:cNvPr>
        <xdr:cNvGrpSpPr/>
      </xdr:nvGrpSpPr>
      <xdr:grpSpPr>
        <a:xfrm>
          <a:off x="8785412" y="4852148"/>
          <a:ext cx="2196353" cy="1389526"/>
          <a:chOff x="8420100" y="4811711"/>
          <a:chExt cx="2266950" cy="1377960"/>
        </a:xfrm>
      </xdr:grpSpPr>
      <xdr:sp macro="" textlink="">
        <xdr:nvSpPr>
          <xdr:cNvPr id="54" name="Custom Misc">
            <a:hlinkClick xmlns:r="http://schemas.openxmlformats.org/officeDocument/2006/relationships" r:id="rId1" tooltip="View: Custom Miscellaneous"/>
            <a:extLst>
              <a:ext uri="{FF2B5EF4-FFF2-40B4-BE49-F238E27FC236}">
                <a16:creationId xmlns:a16="http://schemas.microsoft.com/office/drawing/2014/main" id="{00000000-0008-0000-2100-000036000000}"/>
              </a:ext>
            </a:extLst>
          </xdr:cNvPr>
          <xdr:cNvSpPr/>
        </xdr:nvSpPr>
        <xdr:spPr>
          <a:xfrm>
            <a:off x="8420101" y="5989646"/>
            <a:ext cx="971549"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ustom WHFS">
            <a:hlinkClick xmlns:r="http://schemas.openxmlformats.org/officeDocument/2006/relationships" r:id="rId2" tooltip="View: Custom Water Heating / Cooking"/>
            <a:extLst>
              <a:ext uri="{FF2B5EF4-FFF2-40B4-BE49-F238E27FC236}">
                <a16:creationId xmlns:a16="http://schemas.microsoft.com/office/drawing/2014/main" id="{00000000-0008-0000-2100-000035000000}"/>
              </a:ext>
            </a:extLst>
          </xdr:cNvPr>
          <xdr:cNvSpPr/>
        </xdr:nvSpPr>
        <xdr:spPr>
          <a:xfrm>
            <a:off x="8420100" y="5811845"/>
            <a:ext cx="2266950" cy="201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ustom CAP">
            <a:hlinkClick xmlns:r="http://schemas.openxmlformats.org/officeDocument/2006/relationships" r:id="rId3" tooltip="View: Custom Compressed Air / Process"/>
            <a:extLst>
              <a:ext uri="{FF2B5EF4-FFF2-40B4-BE49-F238E27FC236}">
                <a16:creationId xmlns:a16="http://schemas.microsoft.com/office/drawing/2014/main" id="{00000000-0008-0000-2100-000034000000}"/>
              </a:ext>
            </a:extLst>
          </xdr:cNvPr>
          <xdr:cNvSpPr/>
        </xdr:nvSpPr>
        <xdr:spPr>
          <a:xfrm>
            <a:off x="8420100" y="5589593"/>
            <a:ext cx="1945996"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ustom Motors">
            <a:hlinkClick xmlns:r="http://schemas.openxmlformats.org/officeDocument/2006/relationships" r:id="rId4" tooltip="View: Custom Motors and Drives"/>
            <a:extLst>
              <a:ext uri="{FF2B5EF4-FFF2-40B4-BE49-F238E27FC236}">
                <a16:creationId xmlns:a16="http://schemas.microsoft.com/office/drawing/2014/main" id="{00000000-0008-0000-2100-000033000000}"/>
              </a:ext>
            </a:extLst>
          </xdr:cNvPr>
          <xdr:cNvSpPr/>
        </xdr:nvSpPr>
        <xdr:spPr>
          <a:xfrm>
            <a:off x="8420100" y="5400678"/>
            <a:ext cx="129829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ustom HVAC">
            <a:hlinkClick xmlns:r="http://schemas.openxmlformats.org/officeDocument/2006/relationships" r:id="rId5" tooltip="View: Custom HVAC"/>
            <a:extLst>
              <a:ext uri="{FF2B5EF4-FFF2-40B4-BE49-F238E27FC236}">
                <a16:creationId xmlns:a16="http://schemas.microsoft.com/office/drawing/2014/main" id="{00000000-0008-0000-2100-000032000000}"/>
              </a:ext>
            </a:extLst>
          </xdr:cNvPr>
          <xdr:cNvSpPr/>
        </xdr:nvSpPr>
        <xdr:spPr>
          <a:xfrm>
            <a:off x="8420100" y="5211767"/>
            <a:ext cx="647699"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ustom Refrigeration">
            <a:hlinkClick xmlns:r="http://schemas.openxmlformats.org/officeDocument/2006/relationships" r:id="rId6" tooltip="View: Custom Refrigeration"/>
            <a:extLst>
              <a:ext uri="{FF2B5EF4-FFF2-40B4-BE49-F238E27FC236}">
                <a16:creationId xmlns:a16="http://schemas.microsoft.com/office/drawing/2014/main" id="{00000000-0008-0000-2100-000031000000}"/>
              </a:ext>
            </a:extLst>
          </xdr:cNvPr>
          <xdr:cNvSpPr/>
        </xdr:nvSpPr>
        <xdr:spPr>
          <a:xfrm>
            <a:off x="8420101" y="5002531"/>
            <a:ext cx="971549"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ustom LC">
            <a:hlinkClick xmlns:r="http://schemas.openxmlformats.org/officeDocument/2006/relationships" r:id="rId7" tooltip="View: Custom Lighting Controls"/>
            <a:extLst>
              <a:ext uri="{FF2B5EF4-FFF2-40B4-BE49-F238E27FC236}">
                <a16:creationId xmlns:a16="http://schemas.microsoft.com/office/drawing/2014/main" id="{00000000-0008-0000-2100-000030000000}"/>
              </a:ext>
            </a:extLst>
          </xdr:cNvPr>
          <xdr:cNvSpPr/>
        </xdr:nvSpPr>
        <xdr:spPr>
          <a:xfrm>
            <a:off x="8420100" y="4811711"/>
            <a:ext cx="1298295" cy="2019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ustom Lighting" hidden="1">
            <a:hlinkClick xmlns:r="http://schemas.openxmlformats.org/officeDocument/2006/relationships" r:id="rId8" tooltip="View: Custom Lighting"/>
            <a:extLst>
              <a:ext uri="{FF2B5EF4-FFF2-40B4-BE49-F238E27FC236}">
                <a16:creationId xmlns:a16="http://schemas.microsoft.com/office/drawing/2014/main" id="{00000000-0008-0000-2100-00002F000000}"/>
              </a:ext>
            </a:extLst>
          </xdr:cNvPr>
          <xdr:cNvSpPr/>
        </xdr:nvSpPr>
        <xdr:spPr>
          <a:xfrm>
            <a:off x="8420101" y="5000625"/>
            <a:ext cx="647699" cy="2008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27</xdr:col>
      <xdr:colOff>313712</xdr:colOff>
      <xdr:row>17</xdr:row>
      <xdr:rowOff>0</xdr:rowOff>
    </xdr:from>
    <xdr:to>
      <xdr:col>35</xdr:col>
      <xdr:colOff>2896</xdr:colOff>
      <xdr:row>23</xdr:row>
      <xdr:rowOff>2</xdr:rowOff>
    </xdr:to>
    <xdr:grpSp>
      <xdr:nvGrpSpPr>
        <xdr:cNvPr id="27" name="Standard Categories">
          <a:extLst>
            <a:ext uri="{FF2B5EF4-FFF2-40B4-BE49-F238E27FC236}">
              <a16:creationId xmlns:a16="http://schemas.microsoft.com/office/drawing/2014/main" id="{00000000-0008-0000-2100-00001B000000}"/>
            </a:ext>
          </a:extLst>
        </xdr:cNvPr>
        <xdr:cNvGrpSpPr/>
      </xdr:nvGrpSpPr>
      <xdr:grpSpPr>
        <a:xfrm>
          <a:off x="8785359" y="3429000"/>
          <a:ext cx="2199302" cy="1210237"/>
          <a:chOff x="8420047" y="3400441"/>
          <a:chExt cx="2269901" cy="1200138"/>
        </a:xfrm>
      </xdr:grpSpPr>
      <xdr:sp macro="" textlink="">
        <xdr:nvSpPr>
          <xdr:cNvPr id="45" name="Standard WHFS">
            <a:hlinkClick xmlns:r="http://schemas.openxmlformats.org/officeDocument/2006/relationships" r:id="rId9" tooltip="View: Standard Water Heating / Cooking"/>
            <a:extLst>
              <a:ext uri="{FF2B5EF4-FFF2-40B4-BE49-F238E27FC236}">
                <a16:creationId xmlns:a16="http://schemas.microsoft.com/office/drawing/2014/main" id="{00000000-0008-0000-2100-00002D000000}"/>
              </a:ext>
            </a:extLst>
          </xdr:cNvPr>
          <xdr:cNvSpPr/>
        </xdr:nvSpPr>
        <xdr:spPr>
          <a:xfrm>
            <a:off x="8420102" y="4400554"/>
            <a:ext cx="2269846"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Standard CAP">
            <a:hlinkClick xmlns:r="http://schemas.openxmlformats.org/officeDocument/2006/relationships" r:id="rId10" tooltip="View: Standard Compressed Air / Process"/>
            <a:extLst>
              <a:ext uri="{FF2B5EF4-FFF2-40B4-BE49-F238E27FC236}">
                <a16:creationId xmlns:a16="http://schemas.microsoft.com/office/drawing/2014/main" id="{00000000-0008-0000-2100-00002C000000}"/>
              </a:ext>
            </a:extLst>
          </xdr:cNvPr>
          <xdr:cNvSpPr/>
        </xdr:nvSpPr>
        <xdr:spPr>
          <a:xfrm>
            <a:off x="8431667" y="4200532"/>
            <a:ext cx="19431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Standard Motors">
            <a:hlinkClick xmlns:r="http://schemas.openxmlformats.org/officeDocument/2006/relationships" r:id="rId11" tooltip="View: Standard Motors and Drives"/>
            <a:extLst>
              <a:ext uri="{FF2B5EF4-FFF2-40B4-BE49-F238E27FC236}">
                <a16:creationId xmlns:a16="http://schemas.microsoft.com/office/drawing/2014/main" id="{00000000-0008-0000-2100-00002B000000}"/>
              </a:ext>
            </a:extLst>
          </xdr:cNvPr>
          <xdr:cNvSpPr/>
        </xdr:nvSpPr>
        <xdr:spPr>
          <a:xfrm>
            <a:off x="8420102" y="4024638"/>
            <a:ext cx="1295400"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Standard HVAC">
            <a:hlinkClick xmlns:r="http://schemas.openxmlformats.org/officeDocument/2006/relationships" r:id="rId12" tooltip="View: Standard HVAC"/>
            <a:extLst>
              <a:ext uri="{FF2B5EF4-FFF2-40B4-BE49-F238E27FC236}">
                <a16:creationId xmlns:a16="http://schemas.microsoft.com/office/drawing/2014/main" id="{00000000-0008-0000-2100-00002A000000}"/>
              </a:ext>
            </a:extLst>
          </xdr:cNvPr>
          <xdr:cNvSpPr/>
        </xdr:nvSpPr>
        <xdr:spPr>
          <a:xfrm>
            <a:off x="8420102" y="3822712"/>
            <a:ext cx="6477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Standard Refrigeration">
            <a:hlinkClick xmlns:r="http://schemas.openxmlformats.org/officeDocument/2006/relationships" r:id="rId13" tooltip="View: Standard Refrigeration"/>
            <a:extLst>
              <a:ext uri="{FF2B5EF4-FFF2-40B4-BE49-F238E27FC236}">
                <a16:creationId xmlns:a16="http://schemas.microsoft.com/office/drawing/2014/main" id="{00000000-0008-0000-2100-000029000000}"/>
              </a:ext>
            </a:extLst>
          </xdr:cNvPr>
          <xdr:cNvSpPr/>
        </xdr:nvSpPr>
        <xdr:spPr>
          <a:xfrm>
            <a:off x="8420061" y="3600464"/>
            <a:ext cx="971550" cy="201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Standard LC">
            <a:hlinkClick xmlns:r="http://schemas.openxmlformats.org/officeDocument/2006/relationships" r:id="rId14" tooltip="View: Standard Lighting Controls"/>
            <a:extLst>
              <a:ext uri="{FF2B5EF4-FFF2-40B4-BE49-F238E27FC236}">
                <a16:creationId xmlns:a16="http://schemas.microsoft.com/office/drawing/2014/main" id="{00000000-0008-0000-2100-000028000000}"/>
              </a:ext>
            </a:extLst>
          </xdr:cNvPr>
          <xdr:cNvSpPr/>
        </xdr:nvSpPr>
        <xdr:spPr>
          <a:xfrm>
            <a:off x="8420047" y="3400441"/>
            <a:ext cx="12954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Standard Lighting" hidden="1">
            <a:hlinkClick xmlns:r="http://schemas.openxmlformats.org/officeDocument/2006/relationships" r:id="rId15" tooltip="View: Standard Lighting"/>
            <a:extLst>
              <a:ext uri="{FF2B5EF4-FFF2-40B4-BE49-F238E27FC236}">
                <a16:creationId xmlns:a16="http://schemas.microsoft.com/office/drawing/2014/main" id="{00000000-0008-0000-2100-000004000000}"/>
              </a:ext>
            </a:extLst>
          </xdr:cNvPr>
          <xdr:cNvSpPr/>
        </xdr:nvSpPr>
        <xdr:spPr>
          <a:xfrm>
            <a:off x="8420100" y="3402330"/>
            <a:ext cx="647700"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28</xdr:col>
      <xdr:colOff>3413</xdr:colOff>
      <xdr:row>12</xdr:row>
      <xdr:rowOff>115722</xdr:rowOff>
    </xdr:from>
    <xdr:to>
      <xdr:col>36</xdr:col>
      <xdr:colOff>145279</xdr:colOff>
      <xdr:row>14</xdr:row>
      <xdr:rowOff>78071</xdr:rowOff>
    </xdr:to>
    <xdr:grpSp>
      <xdr:nvGrpSpPr>
        <xdr:cNvPr id="69" name="Incentive Report">
          <a:extLst>
            <a:ext uri="{FF2B5EF4-FFF2-40B4-BE49-F238E27FC236}">
              <a16:creationId xmlns:a16="http://schemas.microsoft.com/office/drawing/2014/main" id="{00000000-0008-0000-2100-000045000000}"/>
            </a:ext>
          </a:extLst>
        </xdr:cNvPr>
        <xdr:cNvGrpSpPr/>
      </xdr:nvGrpSpPr>
      <xdr:grpSpPr>
        <a:xfrm>
          <a:off x="8788825" y="2536193"/>
          <a:ext cx="2651983" cy="365760"/>
          <a:chOff x="8165387" y="2581256"/>
          <a:chExt cx="2657644" cy="363641"/>
        </a:xfrm>
      </xdr:grpSpPr>
      <xdr:sp macro="" textlink="">
        <xdr:nvSpPr>
          <xdr:cNvPr id="2" name="Button">
            <a:hlinkClick xmlns:r="http://schemas.openxmlformats.org/officeDocument/2006/relationships" r:id="rId16" tooltip="View Incentive Report"/>
            <a:extLst>
              <a:ext uri="{FF2B5EF4-FFF2-40B4-BE49-F238E27FC236}">
                <a16:creationId xmlns:a16="http://schemas.microsoft.com/office/drawing/2014/main" id="{00000000-0008-0000-2100-000002000000}"/>
              </a:ext>
            </a:extLst>
          </xdr:cNvPr>
          <xdr:cNvSpPr/>
        </xdr:nvSpPr>
        <xdr:spPr>
          <a:xfrm>
            <a:off x="8165387" y="2581256"/>
            <a:ext cx="2657644" cy="363641"/>
          </a:xfrm>
          <a:prstGeom prst="rect">
            <a:avLst/>
          </a:prstGeom>
          <a:solidFill>
            <a:srgbClr val="76BB40"/>
          </a:solidFill>
          <a:ln>
            <a:solidFill>
              <a:srgbClr val="76BB40"/>
            </a:solidFill>
          </a:ln>
          <a:effectLst>
            <a:softEdge rad="0"/>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View</a:t>
            </a:r>
            <a:r>
              <a:rPr lang="en-US" sz="1600" b="1" baseline="0">
                <a:latin typeface="Arial" panose="020B0604020202020204" pitchFamily="34" charset="0"/>
                <a:cs typeface="Arial" panose="020B0604020202020204" pitchFamily="34" charset="0"/>
              </a:rPr>
              <a:t> </a:t>
            </a:r>
            <a:r>
              <a:rPr lang="en-US" sz="1600" b="1">
                <a:latin typeface="Arial" panose="020B0604020202020204" pitchFamily="34" charset="0"/>
                <a:cs typeface="Arial" panose="020B0604020202020204" pitchFamily="34" charset="0"/>
              </a:rPr>
              <a:t>Incentive Report </a:t>
            </a:r>
          </a:p>
        </xdr:txBody>
      </xdr:sp>
      <xdr:pic>
        <xdr:nvPicPr>
          <xdr:cNvPr id="68" name="Arrow 2" descr="Play">
            <a:hlinkClick xmlns:r="http://schemas.openxmlformats.org/officeDocument/2006/relationships" r:id="rId16" tooltip="View Incentive Report"/>
            <a:extLst>
              <a:ext uri="{FF2B5EF4-FFF2-40B4-BE49-F238E27FC236}">
                <a16:creationId xmlns:a16="http://schemas.microsoft.com/office/drawing/2014/main" id="{00000000-0008-0000-2100-000044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a:off x="10614212" y="2635626"/>
            <a:ext cx="179293" cy="268938"/>
          </a:xfrm>
          <a:prstGeom prst="rect">
            <a:avLst/>
          </a:prstGeom>
        </xdr:spPr>
      </xdr:pic>
      <xdr:pic>
        <xdr:nvPicPr>
          <xdr:cNvPr id="64" name="Arrow 1" descr="Play">
            <a:hlinkClick xmlns:r="http://schemas.openxmlformats.org/officeDocument/2006/relationships" r:id="rId16" tooltip="View Incentive Report"/>
            <a:extLst>
              <a:ext uri="{FF2B5EF4-FFF2-40B4-BE49-F238E27FC236}">
                <a16:creationId xmlns:a16="http://schemas.microsoft.com/office/drawing/2014/main" id="{00000000-0008-0000-2100-000040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a:off x="10450606" y="2628902"/>
            <a:ext cx="179293" cy="268938"/>
          </a:xfrm>
          <a:prstGeom prst="rect">
            <a:avLst/>
          </a:prstGeom>
        </xdr:spPr>
      </xdr:pic>
    </xdr:grpSp>
    <xdr:clientData/>
  </xdr:twoCellAnchor>
  <xdr:twoCellAnchor>
    <xdr:from>
      <xdr:col>24</xdr:col>
      <xdr:colOff>237228</xdr:colOff>
      <xdr:row>13</xdr:row>
      <xdr:rowOff>0</xdr:rowOff>
    </xdr:from>
    <xdr:to>
      <xdr:col>26</xdr:col>
      <xdr:colOff>302558</xdr:colOff>
      <xdr:row>34</xdr:row>
      <xdr:rowOff>19498</xdr:rowOff>
    </xdr:to>
    <xdr:grpSp>
      <xdr:nvGrpSpPr>
        <xdr:cNvPr id="10" name="Update Buttons">
          <a:extLst>
            <a:ext uri="{FF2B5EF4-FFF2-40B4-BE49-F238E27FC236}">
              <a16:creationId xmlns:a16="http://schemas.microsoft.com/office/drawing/2014/main" id="{00000000-0008-0000-2100-00000A000000}"/>
            </a:ext>
          </a:extLst>
        </xdr:cNvPr>
        <xdr:cNvGrpSpPr/>
      </xdr:nvGrpSpPr>
      <xdr:grpSpPr>
        <a:xfrm>
          <a:off x="7767581" y="2622176"/>
          <a:ext cx="692859" cy="4255322"/>
          <a:chOff x="7361928" y="2600325"/>
          <a:chExt cx="713030" cy="4220023"/>
        </a:xfrm>
      </xdr:grpSpPr>
      <xdr:sp macro="" textlink="">
        <xdr:nvSpPr>
          <xdr:cNvPr id="60" name="Update: Payment">
            <a:hlinkClick xmlns:r="http://schemas.openxmlformats.org/officeDocument/2006/relationships" r:id="rId19" tooltip="Update: Payment Information"/>
            <a:extLst>
              <a:ext uri="{FF2B5EF4-FFF2-40B4-BE49-F238E27FC236}">
                <a16:creationId xmlns:a16="http://schemas.microsoft.com/office/drawing/2014/main" id="{00000000-0008-0000-2100-00003C000000}"/>
              </a:ext>
            </a:extLst>
          </xdr:cNvPr>
          <xdr:cNvSpPr/>
        </xdr:nvSpPr>
        <xdr:spPr>
          <a:xfrm>
            <a:off x="7361928" y="6620324"/>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Update: Building">
            <a:hlinkClick xmlns:r="http://schemas.openxmlformats.org/officeDocument/2006/relationships" r:id="rId20" tooltip="Update: Building Information"/>
            <a:extLst>
              <a:ext uri="{FF2B5EF4-FFF2-40B4-BE49-F238E27FC236}">
                <a16:creationId xmlns:a16="http://schemas.microsoft.com/office/drawing/2014/main" id="{00000000-0008-0000-2100-00003B000000}"/>
              </a:ext>
            </a:extLst>
          </xdr:cNvPr>
          <xdr:cNvSpPr/>
        </xdr:nvSpPr>
        <xdr:spPr>
          <a:xfrm>
            <a:off x="7361928" y="4788833"/>
            <a:ext cx="71303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Update: Customer">
            <a:hlinkClick xmlns:r="http://schemas.openxmlformats.org/officeDocument/2006/relationships" r:id="rId21" tooltip="Update: Customer Information"/>
            <a:extLst>
              <a:ext uri="{FF2B5EF4-FFF2-40B4-BE49-F238E27FC236}">
                <a16:creationId xmlns:a16="http://schemas.microsoft.com/office/drawing/2014/main" id="{00000000-0008-0000-2100-00002E000000}"/>
              </a:ext>
            </a:extLst>
          </xdr:cNvPr>
          <xdr:cNvSpPr/>
        </xdr:nvSpPr>
        <xdr:spPr>
          <a:xfrm>
            <a:off x="7361928" y="3993216"/>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Update: TA">
            <a:hlinkClick xmlns:r="http://schemas.openxmlformats.org/officeDocument/2006/relationships" r:id="rId22" tooltip="Update: Trade Ally / Contractor Information"/>
            <a:extLst>
              <a:ext uri="{FF2B5EF4-FFF2-40B4-BE49-F238E27FC236}">
                <a16:creationId xmlns:a16="http://schemas.microsoft.com/office/drawing/2014/main" id="{00000000-0008-0000-2100-000037000000}"/>
              </a:ext>
            </a:extLst>
          </xdr:cNvPr>
          <xdr:cNvSpPr/>
        </xdr:nvSpPr>
        <xdr:spPr>
          <a:xfrm>
            <a:off x="7361928" y="2999479"/>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Update: T&amp;C's">
            <a:hlinkClick xmlns:r="http://schemas.openxmlformats.org/officeDocument/2006/relationships" r:id="rId23" tooltip="Update: Terms and Condtions"/>
            <a:extLst>
              <a:ext uri="{FF2B5EF4-FFF2-40B4-BE49-F238E27FC236}">
                <a16:creationId xmlns:a16="http://schemas.microsoft.com/office/drawing/2014/main" id="{00000000-0008-0000-2100-000005000000}"/>
              </a:ext>
            </a:extLst>
          </xdr:cNvPr>
          <xdr:cNvSpPr/>
        </xdr:nvSpPr>
        <xdr:spPr>
          <a:xfrm>
            <a:off x="7361928" y="2600325"/>
            <a:ext cx="71303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42</xdr:col>
      <xdr:colOff>24304</xdr:colOff>
      <xdr:row>8</xdr:row>
      <xdr:rowOff>66571</xdr:rowOff>
    </xdr:from>
    <xdr:to>
      <xdr:col>47</xdr:col>
      <xdr:colOff>301093</xdr:colOff>
      <xdr:row>11</xdr:row>
      <xdr:rowOff>137818</xdr:rowOff>
    </xdr:to>
    <xdr:grpSp>
      <xdr:nvGrpSpPr>
        <xdr:cNvPr id="29" name="Submission">
          <a:extLst>
            <a:ext uri="{FF2B5EF4-FFF2-40B4-BE49-F238E27FC236}">
              <a16:creationId xmlns:a16="http://schemas.microsoft.com/office/drawing/2014/main" id="{00000000-0008-0000-2100-00001D000000}"/>
            </a:ext>
          </a:extLst>
        </xdr:cNvPr>
        <xdr:cNvGrpSpPr/>
      </xdr:nvGrpSpPr>
      <xdr:grpSpPr>
        <a:xfrm>
          <a:off x="13202422" y="1680218"/>
          <a:ext cx="1845612" cy="676365"/>
          <a:chOff x="13578939" y="1644359"/>
          <a:chExt cx="1890436" cy="662918"/>
        </a:xfrm>
      </xdr:grpSpPr>
      <xdr:sp macro="" textlink="">
        <xdr:nvSpPr>
          <xdr:cNvPr id="61" name="Submission">
            <a:hlinkClick xmlns:r="http://schemas.openxmlformats.org/officeDocument/2006/relationships" r:id="rId24" tooltip="Submission Instructions"/>
            <a:extLst>
              <a:ext uri="{FF2B5EF4-FFF2-40B4-BE49-F238E27FC236}">
                <a16:creationId xmlns:a16="http://schemas.microsoft.com/office/drawing/2014/main" id="{00000000-0008-0000-2100-00003D000000}"/>
              </a:ext>
            </a:extLst>
          </xdr:cNvPr>
          <xdr:cNvSpPr/>
        </xdr:nvSpPr>
        <xdr:spPr>
          <a:xfrm>
            <a:off x="13578939" y="1644359"/>
            <a:ext cx="1890436" cy="662918"/>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63" name="Arrow: Right M5S2">
            <a:hlinkClick xmlns:r="http://schemas.openxmlformats.org/officeDocument/2006/relationships" r:id="rId24" tooltip="Submission Instructions"/>
            <a:extLst>
              <a:ext uri="{FF2B5EF4-FFF2-40B4-BE49-F238E27FC236}">
                <a16:creationId xmlns:a16="http://schemas.microsoft.com/office/drawing/2014/main" id="{00000000-0008-0000-2100-00003F000000}"/>
              </a:ext>
            </a:extLst>
          </xdr:cNvPr>
          <xdr:cNvSpPr/>
        </xdr:nvSpPr>
        <xdr:spPr>
          <a:xfrm>
            <a:off x="14848589" y="1762695"/>
            <a:ext cx="542810" cy="406112"/>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94800</xdr:colOff>
      <xdr:row>8</xdr:row>
      <xdr:rowOff>98949</xdr:rowOff>
    </xdr:from>
    <xdr:to>
      <xdr:col>2</xdr:col>
      <xdr:colOff>310446</xdr:colOff>
      <xdr:row>10</xdr:row>
      <xdr:rowOff>97492</xdr:rowOff>
    </xdr:to>
    <xdr:sp macro="" textlink="">
      <xdr:nvSpPr>
        <xdr:cNvPr id="16" name="Arrow: Left M5S2">
          <a:hlinkClick xmlns:r="http://schemas.openxmlformats.org/officeDocument/2006/relationships" r:id="rId25" tooltip="Back: Payment"/>
          <a:extLst>
            <a:ext uri="{FF2B5EF4-FFF2-40B4-BE49-F238E27FC236}">
              <a16:creationId xmlns:a16="http://schemas.microsoft.com/office/drawing/2014/main" id="{00000000-0008-0000-2100-000010000000}"/>
            </a:ext>
          </a:extLst>
        </xdr:cNvPr>
        <xdr:cNvSpPr/>
      </xdr:nvSpPr>
      <xdr:spPr>
        <a:xfrm>
          <a:off x="418650" y="1699149"/>
          <a:ext cx="539496" cy="39859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21" name="Navigation">
          <a:extLst>
            <a:ext uri="{FF2B5EF4-FFF2-40B4-BE49-F238E27FC236}">
              <a16:creationId xmlns:a16="http://schemas.microsoft.com/office/drawing/2014/main" id="{00000000-0008-0000-2100-000015000000}"/>
            </a:ext>
          </a:extLst>
        </xdr:cNvPr>
        <xdr:cNvGrpSpPr/>
      </xdr:nvGrpSpPr>
      <xdr:grpSpPr>
        <a:xfrm>
          <a:off x="2196353" y="605118"/>
          <a:ext cx="11217985" cy="1008529"/>
          <a:chOff x="1610956" y="594360"/>
          <a:chExt cx="11437620" cy="990600"/>
        </a:xfrm>
      </xdr:grpSpPr>
      <xdr:cxnSp macro="">
        <xdr:nvCxnSpPr>
          <xdr:cNvPr id="22" name="Reference">
            <a:extLst>
              <a:ext uri="{FF2B5EF4-FFF2-40B4-BE49-F238E27FC236}">
                <a16:creationId xmlns:a16="http://schemas.microsoft.com/office/drawing/2014/main" id="{00000000-0008-0000-2100-000016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3" name="7: Project Review">
            <a:hlinkClick xmlns:r="http://schemas.openxmlformats.org/officeDocument/2006/relationships" r:id="rId26" tooltip="Project Review"/>
            <a:extLst>
              <a:ext uri="{FF2B5EF4-FFF2-40B4-BE49-F238E27FC236}">
                <a16:creationId xmlns:a16="http://schemas.microsoft.com/office/drawing/2014/main" id="{00000000-0008-0000-2100-000017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4" name="6: Payment">
            <a:hlinkClick xmlns:r="http://schemas.openxmlformats.org/officeDocument/2006/relationships" r:id="rId25" tooltip="Payment"/>
            <a:extLst>
              <a:ext uri="{FF2B5EF4-FFF2-40B4-BE49-F238E27FC236}">
                <a16:creationId xmlns:a16="http://schemas.microsoft.com/office/drawing/2014/main" id="{00000000-0008-0000-2100-000018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5" name="5: Equipment Input">
            <a:hlinkClick xmlns:r="http://schemas.openxmlformats.org/officeDocument/2006/relationships" r:id="rId27" tooltip="Equipment Input"/>
            <a:extLst>
              <a:ext uri="{FF2B5EF4-FFF2-40B4-BE49-F238E27FC236}">
                <a16:creationId xmlns:a16="http://schemas.microsoft.com/office/drawing/2014/main" id="{00000000-0008-0000-2100-000019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3" name="4: Building Information">
            <a:hlinkClick xmlns:r="http://schemas.openxmlformats.org/officeDocument/2006/relationships" r:id="rId28" tooltip="Building Information"/>
            <a:extLst>
              <a:ext uri="{FF2B5EF4-FFF2-40B4-BE49-F238E27FC236}">
                <a16:creationId xmlns:a16="http://schemas.microsoft.com/office/drawing/2014/main" id="{00000000-0008-0000-2100-000021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4" name="3: Customer Information">
            <a:hlinkClick xmlns:r="http://schemas.openxmlformats.org/officeDocument/2006/relationships" r:id="rId29" tooltip="Customer Information"/>
            <a:extLst>
              <a:ext uri="{FF2B5EF4-FFF2-40B4-BE49-F238E27FC236}">
                <a16:creationId xmlns:a16="http://schemas.microsoft.com/office/drawing/2014/main" id="{00000000-0008-0000-2100-000022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5" name="2: Trade Ally Info">
            <a:hlinkClick xmlns:r="http://schemas.openxmlformats.org/officeDocument/2006/relationships" r:id="rId30" tooltip="Trade Ally/Vendor Information"/>
            <a:extLst>
              <a:ext uri="{FF2B5EF4-FFF2-40B4-BE49-F238E27FC236}">
                <a16:creationId xmlns:a16="http://schemas.microsoft.com/office/drawing/2014/main" id="{00000000-0008-0000-2100-000023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6" name="1: T&amp;C's">
            <a:hlinkClick xmlns:r="http://schemas.openxmlformats.org/officeDocument/2006/relationships" r:id="rId31" tooltip="Terms &amp; Conditions"/>
            <a:extLst>
              <a:ext uri="{FF2B5EF4-FFF2-40B4-BE49-F238E27FC236}">
                <a16:creationId xmlns:a16="http://schemas.microsoft.com/office/drawing/2014/main" id="{00000000-0008-0000-2100-000024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6" name="Header">
          <a:extLst>
            <a:ext uri="{FF2B5EF4-FFF2-40B4-BE49-F238E27FC236}">
              <a16:creationId xmlns:a16="http://schemas.microsoft.com/office/drawing/2014/main" id="{00000000-0008-0000-2100-00001A000000}"/>
            </a:ext>
          </a:extLst>
        </xdr:cNvPr>
        <xdr:cNvGrpSpPr/>
      </xdr:nvGrpSpPr>
      <xdr:grpSpPr>
        <a:xfrm>
          <a:off x="0" y="0"/>
          <a:ext cx="15345335" cy="605118"/>
          <a:chOff x="0" y="0"/>
          <a:chExt cx="15813741" cy="591671"/>
        </a:xfrm>
      </xdr:grpSpPr>
      <xdr:grpSp>
        <xdr:nvGrpSpPr>
          <xdr:cNvPr id="30" name="Header">
            <a:extLst>
              <a:ext uri="{FF2B5EF4-FFF2-40B4-BE49-F238E27FC236}">
                <a16:creationId xmlns:a16="http://schemas.microsoft.com/office/drawing/2014/main" id="{00000000-0008-0000-2100-00001E000000}"/>
              </a:ext>
            </a:extLst>
          </xdr:cNvPr>
          <xdr:cNvGrpSpPr/>
        </xdr:nvGrpSpPr>
        <xdr:grpSpPr>
          <a:xfrm>
            <a:off x="0" y="0"/>
            <a:ext cx="15813741" cy="591671"/>
            <a:chOff x="0" y="0"/>
            <a:chExt cx="15813741" cy="591671"/>
          </a:xfrm>
        </xdr:grpSpPr>
        <xdr:sp macro="" textlink="">
          <xdr:nvSpPr>
            <xdr:cNvPr id="56" name="Reference">
              <a:extLst>
                <a:ext uri="{FF2B5EF4-FFF2-40B4-BE49-F238E27FC236}">
                  <a16:creationId xmlns:a16="http://schemas.microsoft.com/office/drawing/2014/main" id="{00000000-0008-0000-2100-000038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Contact">
              <a:hlinkClick xmlns:r="http://schemas.openxmlformats.org/officeDocument/2006/relationships" r:id="rId32" tooltip="Contact"/>
              <a:extLst>
                <a:ext uri="{FF2B5EF4-FFF2-40B4-BE49-F238E27FC236}">
                  <a16:creationId xmlns:a16="http://schemas.microsoft.com/office/drawing/2014/main" id="{00000000-0008-0000-2100-000039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33" tooltip=" "/>
              <a:extLst>
                <a:ext uri="{FF2B5EF4-FFF2-40B4-BE49-F238E27FC236}">
                  <a16:creationId xmlns:a16="http://schemas.microsoft.com/office/drawing/2014/main" id="{00000000-0008-0000-2100-00003A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Offer Form">
              <a:hlinkClick xmlns:r="http://schemas.openxmlformats.org/officeDocument/2006/relationships" r:id="rId34" tooltip=" "/>
              <a:extLst>
                <a:ext uri="{FF2B5EF4-FFF2-40B4-BE49-F238E27FC236}">
                  <a16:creationId xmlns:a16="http://schemas.microsoft.com/office/drawing/2014/main" id="{00000000-0008-0000-2100-00003E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Instructions">
              <a:hlinkClick xmlns:r="http://schemas.openxmlformats.org/officeDocument/2006/relationships" r:id="rId35" tooltip="Instructions"/>
              <a:extLst>
                <a:ext uri="{FF2B5EF4-FFF2-40B4-BE49-F238E27FC236}">
                  <a16:creationId xmlns:a16="http://schemas.microsoft.com/office/drawing/2014/main" id="{00000000-0008-0000-2100-000041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Welcome">
              <a:hlinkClick xmlns:r="http://schemas.openxmlformats.org/officeDocument/2006/relationships" r:id="rId36" tooltip="Welcome"/>
              <a:extLst>
                <a:ext uri="{FF2B5EF4-FFF2-40B4-BE49-F238E27FC236}">
                  <a16:creationId xmlns:a16="http://schemas.microsoft.com/office/drawing/2014/main" id="{00000000-0008-0000-2100-000042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7" name="Evergy Logo">
              <a:extLst>
                <a:ext uri="{FF2B5EF4-FFF2-40B4-BE49-F238E27FC236}">
                  <a16:creationId xmlns:a16="http://schemas.microsoft.com/office/drawing/2014/main" id="{00000000-0008-0000-2100-000043000000}"/>
                </a:ext>
              </a:extLst>
            </xdr:cNvPr>
            <xdr:cNvPicPr>
              <a:picLocks/>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70" name="State">
              <a:extLst>
                <a:ext uri="{FF2B5EF4-FFF2-40B4-BE49-F238E27FC236}">
                  <a16:creationId xmlns:a16="http://schemas.microsoft.com/office/drawing/2014/main" id="{00000000-0008-0000-2100-000046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100-00001F000000}"/>
              </a:ext>
            </a:extLst>
          </xdr:cNvPr>
          <xdr:cNvGrpSpPr/>
        </xdr:nvGrpSpPr>
        <xdr:grpSpPr>
          <a:xfrm>
            <a:off x="1613717" y="85337"/>
            <a:ext cx="11618762" cy="422893"/>
            <a:chOff x="1612951" y="85725"/>
            <a:chExt cx="11618931" cy="423022"/>
          </a:xfrm>
        </xdr:grpSpPr>
        <xdr:cxnSp macro="">
          <xdr:nvCxnSpPr>
            <xdr:cNvPr id="32" name="Divider 4">
              <a:extLst>
                <a:ext uri="{FF2B5EF4-FFF2-40B4-BE49-F238E27FC236}">
                  <a16:creationId xmlns:a16="http://schemas.microsoft.com/office/drawing/2014/main" id="{00000000-0008-0000-2100-00002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3">
              <a:extLst>
                <a:ext uri="{FF2B5EF4-FFF2-40B4-BE49-F238E27FC236}">
                  <a16:creationId xmlns:a16="http://schemas.microsoft.com/office/drawing/2014/main" id="{00000000-0008-0000-2100-000025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8" name="Divider 2">
              <a:extLst>
                <a:ext uri="{FF2B5EF4-FFF2-40B4-BE49-F238E27FC236}">
                  <a16:creationId xmlns:a16="http://schemas.microsoft.com/office/drawing/2014/main" id="{00000000-0008-0000-2100-00002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1">
              <a:extLst>
                <a:ext uri="{FF2B5EF4-FFF2-40B4-BE49-F238E27FC236}">
                  <a16:creationId xmlns:a16="http://schemas.microsoft.com/office/drawing/2014/main" id="{00000000-0008-0000-2100-00002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22</xdr:col>
      <xdr:colOff>0</xdr:colOff>
      <xdr:row>14</xdr:row>
      <xdr:rowOff>156882</xdr:rowOff>
    </xdr:from>
    <xdr:to>
      <xdr:col>28</xdr:col>
      <xdr:colOff>59842</xdr:colOff>
      <xdr:row>15</xdr:row>
      <xdr:rowOff>162597</xdr:rowOff>
    </xdr:to>
    <xdr:sp macro="" textlink="">
      <xdr:nvSpPr>
        <xdr:cNvPr id="19" name="Email">
          <a:hlinkClick xmlns:r="http://schemas.openxmlformats.org/officeDocument/2006/relationships" r:id="rId1"/>
          <a:extLst>
            <a:ext uri="{FF2B5EF4-FFF2-40B4-BE49-F238E27FC236}">
              <a16:creationId xmlns:a16="http://schemas.microsoft.com/office/drawing/2014/main" id="{00000000-0008-0000-2200-000013000000}"/>
            </a:ext>
          </a:extLst>
        </xdr:cNvPr>
        <xdr:cNvSpPr/>
      </xdr:nvSpPr>
      <xdr:spPr>
        <a:xfrm>
          <a:off x="6589059" y="2980764"/>
          <a:ext cx="1938620"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93843</xdr:colOff>
      <xdr:row>8</xdr:row>
      <xdr:rowOff>92758</xdr:rowOff>
    </xdr:from>
    <xdr:to>
      <xdr:col>3</xdr:col>
      <xdr:colOff>2515</xdr:colOff>
      <xdr:row>10</xdr:row>
      <xdr:rowOff>94831</xdr:rowOff>
    </xdr:to>
    <xdr:sp macro="" textlink="">
      <xdr:nvSpPr>
        <xdr:cNvPr id="32" name="Arrow: Left M5S2-1">
          <a:hlinkClick xmlns:r="http://schemas.openxmlformats.org/officeDocument/2006/relationships" r:id="rId2" tooltip="Back: Project Review"/>
          <a:extLst>
            <a:ext uri="{FF2B5EF4-FFF2-40B4-BE49-F238E27FC236}">
              <a16:creationId xmlns:a16="http://schemas.microsoft.com/office/drawing/2014/main" id="{00000000-0008-0000-2200-000020000000}"/>
            </a:ext>
          </a:extLst>
        </xdr:cNvPr>
        <xdr:cNvSpPr/>
      </xdr:nvSpPr>
      <xdr:spPr>
        <a:xfrm>
          <a:off x="417693" y="1692958"/>
          <a:ext cx="552562" cy="40212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34" name="Navigation">
          <a:extLst>
            <a:ext uri="{FF2B5EF4-FFF2-40B4-BE49-F238E27FC236}">
              <a16:creationId xmlns:a16="http://schemas.microsoft.com/office/drawing/2014/main" id="{00000000-0008-0000-2200-000022000000}"/>
            </a:ext>
          </a:extLst>
        </xdr:cNvPr>
        <xdr:cNvGrpSpPr/>
      </xdr:nvGrpSpPr>
      <xdr:grpSpPr>
        <a:xfrm>
          <a:off x="2196353" y="605118"/>
          <a:ext cx="11217985" cy="1008529"/>
          <a:chOff x="1610956" y="594360"/>
          <a:chExt cx="11437620" cy="990600"/>
        </a:xfrm>
      </xdr:grpSpPr>
      <xdr:cxnSp macro="">
        <xdr:nvCxnSpPr>
          <xdr:cNvPr id="35" name="Reference">
            <a:extLst>
              <a:ext uri="{FF2B5EF4-FFF2-40B4-BE49-F238E27FC236}">
                <a16:creationId xmlns:a16="http://schemas.microsoft.com/office/drawing/2014/main" id="{00000000-0008-0000-2200-00002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36" name="7: Project Review">
            <a:hlinkClick xmlns:r="http://schemas.openxmlformats.org/officeDocument/2006/relationships" r:id="rId3" tooltip="Project Review"/>
            <a:extLst>
              <a:ext uri="{FF2B5EF4-FFF2-40B4-BE49-F238E27FC236}">
                <a16:creationId xmlns:a16="http://schemas.microsoft.com/office/drawing/2014/main" id="{00000000-0008-0000-2200-000024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7" name="6: Payment">
            <a:hlinkClick xmlns:r="http://schemas.openxmlformats.org/officeDocument/2006/relationships" r:id="rId4" tooltip="Payment"/>
            <a:extLst>
              <a:ext uri="{FF2B5EF4-FFF2-40B4-BE49-F238E27FC236}">
                <a16:creationId xmlns:a16="http://schemas.microsoft.com/office/drawing/2014/main" id="{00000000-0008-0000-2200-00002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8" name="5: Equipment Input">
            <a:hlinkClick xmlns:r="http://schemas.openxmlformats.org/officeDocument/2006/relationships" r:id="rId5" tooltip="Equipment Input"/>
            <a:extLst>
              <a:ext uri="{FF2B5EF4-FFF2-40B4-BE49-F238E27FC236}">
                <a16:creationId xmlns:a16="http://schemas.microsoft.com/office/drawing/2014/main" id="{00000000-0008-0000-2200-000026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9" name="4: Building Information">
            <a:hlinkClick xmlns:r="http://schemas.openxmlformats.org/officeDocument/2006/relationships" r:id="rId6" tooltip="Building Information"/>
            <a:extLst>
              <a:ext uri="{FF2B5EF4-FFF2-40B4-BE49-F238E27FC236}">
                <a16:creationId xmlns:a16="http://schemas.microsoft.com/office/drawing/2014/main" id="{00000000-0008-0000-2200-00002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40" name="3: Customer Information">
            <a:hlinkClick xmlns:r="http://schemas.openxmlformats.org/officeDocument/2006/relationships" r:id="rId7" tooltip="Customer Information"/>
            <a:extLst>
              <a:ext uri="{FF2B5EF4-FFF2-40B4-BE49-F238E27FC236}">
                <a16:creationId xmlns:a16="http://schemas.microsoft.com/office/drawing/2014/main" id="{00000000-0008-0000-2200-00002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41" name="2: Trade Ally Info">
            <a:hlinkClick xmlns:r="http://schemas.openxmlformats.org/officeDocument/2006/relationships" r:id="rId8" tooltip="Trade Ally/Vendor Information"/>
            <a:extLst>
              <a:ext uri="{FF2B5EF4-FFF2-40B4-BE49-F238E27FC236}">
                <a16:creationId xmlns:a16="http://schemas.microsoft.com/office/drawing/2014/main" id="{00000000-0008-0000-2200-00002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42" name="1: T&amp;C's">
            <a:hlinkClick xmlns:r="http://schemas.openxmlformats.org/officeDocument/2006/relationships" r:id="rId9" tooltip="Terms &amp; Conditions"/>
            <a:extLst>
              <a:ext uri="{FF2B5EF4-FFF2-40B4-BE49-F238E27FC236}">
                <a16:creationId xmlns:a16="http://schemas.microsoft.com/office/drawing/2014/main" id="{00000000-0008-0000-2200-00002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16" name="Header">
          <a:extLst>
            <a:ext uri="{FF2B5EF4-FFF2-40B4-BE49-F238E27FC236}">
              <a16:creationId xmlns:a16="http://schemas.microsoft.com/office/drawing/2014/main" id="{00000000-0008-0000-2200-000010000000}"/>
            </a:ext>
          </a:extLst>
        </xdr:cNvPr>
        <xdr:cNvGrpSpPr/>
      </xdr:nvGrpSpPr>
      <xdr:grpSpPr>
        <a:xfrm>
          <a:off x="0" y="0"/>
          <a:ext cx="15345335" cy="605118"/>
          <a:chOff x="0" y="0"/>
          <a:chExt cx="15813741" cy="591671"/>
        </a:xfrm>
      </xdr:grpSpPr>
      <xdr:grpSp>
        <xdr:nvGrpSpPr>
          <xdr:cNvPr id="17" name="Header">
            <a:extLst>
              <a:ext uri="{FF2B5EF4-FFF2-40B4-BE49-F238E27FC236}">
                <a16:creationId xmlns:a16="http://schemas.microsoft.com/office/drawing/2014/main" id="{00000000-0008-0000-2200-000011000000}"/>
              </a:ext>
            </a:extLst>
          </xdr:cNvPr>
          <xdr:cNvGrpSpPr/>
        </xdr:nvGrpSpPr>
        <xdr:grpSpPr>
          <a:xfrm>
            <a:off x="0" y="0"/>
            <a:ext cx="15813741" cy="591671"/>
            <a:chOff x="0" y="0"/>
            <a:chExt cx="15813741" cy="591671"/>
          </a:xfrm>
        </xdr:grpSpPr>
        <xdr:sp macro="" textlink="">
          <xdr:nvSpPr>
            <xdr:cNvPr id="24" name="Reference">
              <a:extLst>
                <a:ext uri="{FF2B5EF4-FFF2-40B4-BE49-F238E27FC236}">
                  <a16:creationId xmlns:a16="http://schemas.microsoft.com/office/drawing/2014/main" id="{00000000-0008-0000-2200-000018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Contact">
              <a:hlinkClick xmlns:r="http://schemas.openxmlformats.org/officeDocument/2006/relationships" r:id="rId10" tooltip="Contact"/>
              <a:extLst>
                <a:ext uri="{FF2B5EF4-FFF2-40B4-BE49-F238E27FC236}">
                  <a16:creationId xmlns:a16="http://schemas.microsoft.com/office/drawing/2014/main" id="{00000000-0008-0000-2200-000019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ompletion Form">
              <a:hlinkClick xmlns:r="http://schemas.openxmlformats.org/officeDocument/2006/relationships" r:id="rId11" tooltip=" "/>
              <a:extLst>
                <a:ext uri="{FF2B5EF4-FFF2-40B4-BE49-F238E27FC236}">
                  <a16:creationId xmlns:a16="http://schemas.microsoft.com/office/drawing/2014/main" id="{00000000-0008-0000-2200-00001A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Offer Form">
              <a:hlinkClick xmlns:r="http://schemas.openxmlformats.org/officeDocument/2006/relationships" r:id="rId12" tooltip=" "/>
              <a:extLst>
                <a:ext uri="{FF2B5EF4-FFF2-40B4-BE49-F238E27FC236}">
                  <a16:creationId xmlns:a16="http://schemas.microsoft.com/office/drawing/2014/main" id="{00000000-0008-0000-2200-00001B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Instructions">
              <a:hlinkClick xmlns:r="http://schemas.openxmlformats.org/officeDocument/2006/relationships" r:id="rId13" tooltip="Instructions"/>
              <a:extLst>
                <a:ext uri="{FF2B5EF4-FFF2-40B4-BE49-F238E27FC236}">
                  <a16:creationId xmlns:a16="http://schemas.microsoft.com/office/drawing/2014/main" id="{00000000-0008-0000-2200-00001C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Welcome">
              <a:hlinkClick xmlns:r="http://schemas.openxmlformats.org/officeDocument/2006/relationships" r:id="rId14" tooltip="Welcome"/>
              <a:extLst>
                <a:ext uri="{FF2B5EF4-FFF2-40B4-BE49-F238E27FC236}">
                  <a16:creationId xmlns:a16="http://schemas.microsoft.com/office/drawing/2014/main" id="{00000000-0008-0000-2200-00001D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0" name="Evergy Logo">
              <a:extLst>
                <a:ext uri="{FF2B5EF4-FFF2-40B4-BE49-F238E27FC236}">
                  <a16:creationId xmlns:a16="http://schemas.microsoft.com/office/drawing/2014/main" id="{00000000-0008-0000-2200-00001E000000}"/>
                </a:ext>
              </a:extLst>
            </xdr:cNvPr>
            <xdr:cNvPicPr>
              <a:picLocks/>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1" name="State">
              <a:extLst>
                <a:ext uri="{FF2B5EF4-FFF2-40B4-BE49-F238E27FC236}">
                  <a16:creationId xmlns:a16="http://schemas.microsoft.com/office/drawing/2014/main" id="{00000000-0008-0000-2200-00001F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18" name="Dividers">
            <a:extLst>
              <a:ext uri="{FF2B5EF4-FFF2-40B4-BE49-F238E27FC236}">
                <a16:creationId xmlns:a16="http://schemas.microsoft.com/office/drawing/2014/main" id="{00000000-0008-0000-2200-000012000000}"/>
              </a:ext>
            </a:extLst>
          </xdr:cNvPr>
          <xdr:cNvGrpSpPr/>
        </xdr:nvGrpSpPr>
        <xdr:grpSpPr>
          <a:xfrm>
            <a:off x="1613717" y="85337"/>
            <a:ext cx="11618762" cy="422893"/>
            <a:chOff x="1612951" y="85725"/>
            <a:chExt cx="11618931" cy="423022"/>
          </a:xfrm>
        </xdr:grpSpPr>
        <xdr:cxnSp macro="">
          <xdr:nvCxnSpPr>
            <xdr:cNvPr id="20" name="Divider 4">
              <a:extLst>
                <a:ext uri="{FF2B5EF4-FFF2-40B4-BE49-F238E27FC236}">
                  <a16:creationId xmlns:a16="http://schemas.microsoft.com/office/drawing/2014/main" id="{00000000-0008-0000-2200-000014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Divider 3">
              <a:extLst>
                <a:ext uri="{FF2B5EF4-FFF2-40B4-BE49-F238E27FC236}">
                  <a16:creationId xmlns:a16="http://schemas.microsoft.com/office/drawing/2014/main" id="{00000000-0008-0000-2200-000015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2">
              <a:extLst>
                <a:ext uri="{FF2B5EF4-FFF2-40B4-BE49-F238E27FC236}">
                  <a16:creationId xmlns:a16="http://schemas.microsoft.com/office/drawing/2014/main" id="{00000000-0008-0000-2200-00001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1">
              <a:extLst>
                <a:ext uri="{FF2B5EF4-FFF2-40B4-BE49-F238E27FC236}">
                  <a16:creationId xmlns:a16="http://schemas.microsoft.com/office/drawing/2014/main" id="{00000000-0008-0000-2200-00001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17076</xdr:colOff>
      <xdr:row>15</xdr:row>
      <xdr:rowOff>0</xdr:rowOff>
    </xdr:from>
    <xdr:to>
      <xdr:col>37</xdr:col>
      <xdr:colOff>134694</xdr:colOff>
      <xdr:row>76</xdr:row>
      <xdr:rowOff>132890</xdr:rowOff>
    </xdr:to>
    <xdr:grpSp>
      <xdr:nvGrpSpPr>
        <xdr:cNvPr id="29" name="Report">
          <a:extLst>
            <a:ext uri="{FF2B5EF4-FFF2-40B4-BE49-F238E27FC236}">
              <a16:creationId xmlns:a16="http://schemas.microsoft.com/office/drawing/2014/main" id="{00000000-0008-0000-2300-00001D000000}"/>
            </a:ext>
          </a:extLst>
        </xdr:cNvPr>
        <xdr:cNvGrpSpPr/>
      </xdr:nvGrpSpPr>
      <xdr:grpSpPr>
        <a:xfrm>
          <a:off x="3468488" y="3025588"/>
          <a:ext cx="8275500" cy="12470567"/>
          <a:chOff x="3567100" y="2958353"/>
          <a:chExt cx="8508582" cy="12199384"/>
        </a:xfrm>
      </xdr:grpSpPr>
      <xdr:pic>
        <xdr:nvPicPr>
          <xdr:cNvPr id="56" name="TRC">
            <a:extLst>
              <a:ext uri="{FF2B5EF4-FFF2-40B4-BE49-F238E27FC236}">
                <a16:creationId xmlns:a16="http://schemas.microsoft.com/office/drawing/2014/main" id="{00000000-0008-0000-23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067837" y="14883654"/>
            <a:ext cx="1007845" cy="274083"/>
          </a:xfrm>
          <a:prstGeom prst="rect">
            <a:avLst/>
          </a:prstGeom>
        </xdr:spPr>
      </xdr:pic>
      <xdr:pic>
        <xdr:nvPicPr>
          <xdr:cNvPr id="60" name="Truck">
            <a:extLst>
              <a:ext uri="{FF2B5EF4-FFF2-40B4-BE49-F238E27FC236}">
                <a16:creationId xmlns:a16="http://schemas.microsoft.com/office/drawing/2014/main" id="{00000000-0008-0000-2300-00003C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9559230" y="12257478"/>
            <a:ext cx="785576" cy="798162"/>
          </a:xfrm>
          <a:prstGeom prst="rect">
            <a:avLst/>
          </a:prstGeom>
        </xdr:spPr>
      </xdr:pic>
      <xdr:pic>
        <xdr:nvPicPr>
          <xdr:cNvPr id="59" name="House">
            <a:extLst>
              <a:ext uri="{FF2B5EF4-FFF2-40B4-BE49-F238E27FC236}">
                <a16:creationId xmlns:a16="http://schemas.microsoft.com/office/drawing/2014/main" id="{00000000-0008-0000-2300-00003B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72627" y="12093011"/>
            <a:ext cx="934031" cy="935543"/>
          </a:xfrm>
          <a:prstGeom prst="rect">
            <a:avLst/>
          </a:prstGeom>
        </xdr:spPr>
      </xdr:pic>
      <xdr:pic>
        <xdr:nvPicPr>
          <xdr:cNvPr id="58" name="Car">
            <a:extLst>
              <a:ext uri="{FF2B5EF4-FFF2-40B4-BE49-F238E27FC236}">
                <a16:creationId xmlns:a16="http://schemas.microsoft.com/office/drawing/2014/main" id="{00000000-0008-0000-2300-00003A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3863295" y="12219398"/>
            <a:ext cx="923856" cy="851667"/>
          </a:xfrm>
          <a:prstGeom prst="rect">
            <a:avLst/>
          </a:prstGeom>
        </xdr:spPr>
      </xdr:pic>
      <xdr:pic>
        <xdr:nvPicPr>
          <xdr:cNvPr id="51" name="City">
            <a:extLst>
              <a:ext uri="{FF2B5EF4-FFF2-40B4-BE49-F238E27FC236}">
                <a16:creationId xmlns:a16="http://schemas.microsoft.com/office/drawing/2014/main" id="{00000000-0008-0000-2300-00003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68351" y="10260857"/>
            <a:ext cx="5245811" cy="1269887"/>
          </a:xfrm>
          <a:prstGeom prst="rect">
            <a:avLst/>
          </a:prstGeom>
        </xdr:spPr>
      </xdr:pic>
      <xdr:pic>
        <xdr:nvPicPr>
          <xdr:cNvPr id="52" name="Piggy Bank">
            <a:extLst>
              <a:ext uri="{FF2B5EF4-FFF2-40B4-BE49-F238E27FC236}">
                <a16:creationId xmlns:a16="http://schemas.microsoft.com/office/drawing/2014/main" id="{00000000-0008-0000-2300-00003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7213230" y="6434418"/>
            <a:ext cx="1751806" cy="1670349"/>
          </a:xfrm>
          <a:prstGeom prst="rect">
            <a:avLst/>
          </a:prstGeom>
        </xdr:spPr>
      </xdr:pic>
      <xdr:sp macro="" textlink="">
        <xdr:nvSpPr>
          <xdr:cNvPr id="57" name="Bar">
            <a:extLst>
              <a:ext uri="{FF2B5EF4-FFF2-40B4-BE49-F238E27FC236}">
                <a16:creationId xmlns:a16="http://schemas.microsoft.com/office/drawing/2014/main" id="{00000000-0008-0000-2300-000039000000}"/>
              </a:ext>
            </a:extLst>
          </xdr:cNvPr>
          <xdr:cNvSpPr/>
        </xdr:nvSpPr>
        <xdr:spPr>
          <a:xfrm flipV="1">
            <a:off x="3567100" y="3737212"/>
            <a:ext cx="6099978" cy="24129"/>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5" name="Evergy 2">
            <a:extLst>
              <a:ext uri="{FF2B5EF4-FFF2-40B4-BE49-F238E27FC236}">
                <a16:creationId xmlns:a16="http://schemas.microsoft.com/office/drawing/2014/main" id="{00000000-0008-0000-2300-000023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907829" y="2958353"/>
            <a:ext cx="2165802" cy="791001"/>
          </a:xfrm>
          <a:prstGeom prst="rect">
            <a:avLst/>
          </a:prstGeom>
        </xdr:spPr>
      </xdr:pic>
    </xdr:grpSp>
    <xdr:clientData/>
  </xdr:twoCellAnchor>
  <xdr:twoCellAnchor>
    <xdr:from>
      <xdr:col>11</xdr:col>
      <xdr:colOff>100852</xdr:colOff>
      <xdr:row>10</xdr:row>
      <xdr:rowOff>100855</xdr:rowOff>
    </xdr:from>
    <xdr:to>
      <xdr:col>12</xdr:col>
      <xdr:colOff>257734</xdr:colOff>
      <xdr:row>12</xdr:row>
      <xdr:rowOff>112060</xdr:rowOff>
    </xdr:to>
    <xdr:grpSp>
      <xdr:nvGrpSpPr>
        <xdr:cNvPr id="28" name="Print">
          <a:extLst>
            <a:ext uri="{FF2B5EF4-FFF2-40B4-BE49-F238E27FC236}">
              <a16:creationId xmlns:a16="http://schemas.microsoft.com/office/drawing/2014/main" id="{00000000-0008-0000-2300-00001C000000}"/>
            </a:ext>
          </a:extLst>
        </xdr:cNvPr>
        <xdr:cNvGrpSpPr/>
      </xdr:nvGrpSpPr>
      <xdr:grpSpPr>
        <a:xfrm>
          <a:off x="3552264" y="2117914"/>
          <a:ext cx="470646" cy="414617"/>
          <a:chOff x="3650876" y="2073090"/>
          <a:chExt cx="479611" cy="405652"/>
        </a:xfrm>
      </xdr:grpSpPr>
      <xdr:pic>
        <xdr:nvPicPr>
          <xdr:cNvPr id="5" name="Char" descr="Exclamation mark">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3717205" y="2132247"/>
            <a:ext cx="346953" cy="287336"/>
          </a:xfrm>
          <a:prstGeom prst="rect">
            <a:avLst/>
          </a:prstGeom>
        </xdr:spPr>
      </xdr:pic>
      <xdr:sp macro="" textlink="">
        <xdr:nvSpPr>
          <xdr:cNvPr id="7" name="Oval">
            <a:extLst>
              <a:ext uri="{FF2B5EF4-FFF2-40B4-BE49-F238E27FC236}">
                <a16:creationId xmlns:a16="http://schemas.microsoft.com/office/drawing/2014/main" id="{00000000-0008-0000-2300-000007000000}"/>
              </a:ext>
            </a:extLst>
          </xdr:cNvPr>
          <xdr:cNvSpPr/>
        </xdr:nvSpPr>
        <xdr:spPr>
          <a:xfrm>
            <a:off x="3650876" y="2073090"/>
            <a:ext cx="479611" cy="405652"/>
          </a:xfrm>
          <a:prstGeom prst="ellipse">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42</xdr:col>
      <xdr:colOff>17323</xdr:colOff>
      <xdr:row>8</xdr:row>
      <xdr:rowOff>70718</xdr:rowOff>
    </xdr:from>
    <xdr:to>
      <xdr:col>47</xdr:col>
      <xdr:colOff>306681</xdr:colOff>
      <xdr:row>11</xdr:row>
      <xdr:rowOff>138827</xdr:rowOff>
    </xdr:to>
    <xdr:grpSp>
      <xdr:nvGrpSpPr>
        <xdr:cNvPr id="53" name="Submission">
          <a:extLst>
            <a:ext uri="{FF2B5EF4-FFF2-40B4-BE49-F238E27FC236}">
              <a16:creationId xmlns:a16="http://schemas.microsoft.com/office/drawing/2014/main" id="{00000000-0008-0000-2300-000035000000}"/>
            </a:ext>
          </a:extLst>
        </xdr:cNvPr>
        <xdr:cNvGrpSpPr/>
      </xdr:nvGrpSpPr>
      <xdr:grpSpPr>
        <a:xfrm>
          <a:off x="13195441" y="1684365"/>
          <a:ext cx="1858181" cy="673227"/>
          <a:chOff x="11900637" y="1692088"/>
          <a:chExt cx="1841241" cy="667513"/>
        </a:xfrm>
      </xdr:grpSpPr>
      <xdr:sp macro="" textlink="">
        <xdr:nvSpPr>
          <xdr:cNvPr id="54" name="Submission">
            <a:hlinkClick xmlns:r="http://schemas.openxmlformats.org/officeDocument/2006/relationships" r:id="rId10" tooltip="Submission Instructions"/>
            <a:extLst>
              <a:ext uri="{FF2B5EF4-FFF2-40B4-BE49-F238E27FC236}">
                <a16:creationId xmlns:a16="http://schemas.microsoft.com/office/drawing/2014/main" id="{00000000-0008-0000-2300-000036000000}"/>
              </a:ext>
            </a:extLst>
          </xdr:cNvPr>
          <xdr:cNvSpPr/>
        </xdr:nvSpPr>
        <xdr:spPr>
          <a:xfrm>
            <a:off x="11900637" y="1692088"/>
            <a:ext cx="1841241" cy="667513"/>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55" name="Arrow: Right M5S3">
            <a:hlinkClick xmlns:r="http://schemas.openxmlformats.org/officeDocument/2006/relationships" r:id="rId10" tooltip="Submission Instructions"/>
            <a:extLst>
              <a:ext uri="{FF2B5EF4-FFF2-40B4-BE49-F238E27FC236}">
                <a16:creationId xmlns:a16="http://schemas.microsoft.com/office/drawing/2014/main" id="{00000000-0008-0000-2300-000037000000}"/>
              </a:ext>
            </a:extLst>
          </xdr:cNvPr>
          <xdr:cNvSpPr/>
        </xdr:nvSpPr>
        <xdr:spPr>
          <a:xfrm>
            <a:off x="13144501" y="1822972"/>
            <a:ext cx="535221" cy="396484"/>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212910</xdr:colOff>
      <xdr:row>8</xdr:row>
      <xdr:rowOff>100854</xdr:rowOff>
    </xdr:from>
    <xdr:to>
      <xdr:col>3</xdr:col>
      <xdr:colOff>112057</xdr:colOff>
      <xdr:row>10</xdr:row>
      <xdr:rowOff>108922</xdr:rowOff>
    </xdr:to>
    <xdr:sp macro="" textlink="">
      <xdr:nvSpPr>
        <xdr:cNvPr id="32" name="Arrow: Left M5S3">
          <a:hlinkClick xmlns:r="http://schemas.openxmlformats.org/officeDocument/2006/relationships" r:id="rId11" tooltip="Back: Project Review"/>
          <a:extLst>
            <a:ext uri="{FF2B5EF4-FFF2-40B4-BE49-F238E27FC236}">
              <a16:creationId xmlns:a16="http://schemas.microsoft.com/office/drawing/2014/main" id="{00000000-0008-0000-2300-000020000000}"/>
            </a:ext>
          </a:extLst>
        </xdr:cNvPr>
        <xdr:cNvSpPr/>
      </xdr:nvSpPr>
      <xdr:spPr>
        <a:xfrm>
          <a:off x="526675" y="1714501"/>
          <a:ext cx="526676" cy="42268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2" name="Navigation">
          <a:extLst>
            <a:ext uri="{FF2B5EF4-FFF2-40B4-BE49-F238E27FC236}">
              <a16:creationId xmlns:a16="http://schemas.microsoft.com/office/drawing/2014/main" id="{00000000-0008-0000-2300-000002000000}"/>
            </a:ext>
          </a:extLst>
        </xdr:cNvPr>
        <xdr:cNvGrpSpPr/>
      </xdr:nvGrpSpPr>
      <xdr:grpSpPr>
        <a:xfrm>
          <a:off x="2196353" y="605118"/>
          <a:ext cx="11217985" cy="1008529"/>
          <a:chOff x="1610956" y="594360"/>
          <a:chExt cx="11437620" cy="990600"/>
        </a:xfrm>
      </xdr:grpSpPr>
      <xdr:cxnSp macro="">
        <xdr:nvCxnSpPr>
          <xdr:cNvPr id="3" name="Reference">
            <a:extLst>
              <a:ext uri="{FF2B5EF4-FFF2-40B4-BE49-F238E27FC236}">
                <a16:creationId xmlns:a16="http://schemas.microsoft.com/office/drawing/2014/main" id="{00000000-0008-0000-2300-00000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4" name="7: Project Review">
            <a:hlinkClick xmlns:r="http://schemas.openxmlformats.org/officeDocument/2006/relationships" r:id="rId12" tooltip="Project Review"/>
            <a:extLst>
              <a:ext uri="{FF2B5EF4-FFF2-40B4-BE49-F238E27FC236}">
                <a16:creationId xmlns:a16="http://schemas.microsoft.com/office/drawing/2014/main" id="{00000000-0008-0000-2300-000004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6" name="6: Payment">
            <a:hlinkClick xmlns:r="http://schemas.openxmlformats.org/officeDocument/2006/relationships" r:id="rId13" tooltip="Payment"/>
            <a:extLst>
              <a:ext uri="{FF2B5EF4-FFF2-40B4-BE49-F238E27FC236}">
                <a16:creationId xmlns:a16="http://schemas.microsoft.com/office/drawing/2014/main" id="{00000000-0008-0000-2300-000006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3" name="5: Equipment Input">
            <a:hlinkClick xmlns:r="http://schemas.openxmlformats.org/officeDocument/2006/relationships" r:id="rId14" tooltip="Equipment Input"/>
            <a:extLst>
              <a:ext uri="{FF2B5EF4-FFF2-40B4-BE49-F238E27FC236}">
                <a16:creationId xmlns:a16="http://schemas.microsoft.com/office/drawing/2014/main" id="{00000000-0008-0000-2300-000017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4" name="4: Building Information">
            <a:hlinkClick xmlns:r="http://schemas.openxmlformats.org/officeDocument/2006/relationships" r:id="rId15" tooltip="Building Information"/>
            <a:extLst>
              <a:ext uri="{FF2B5EF4-FFF2-40B4-BE49-F238E27FC236}">
                <a16:creationId xmlns:a16="http://schemas.microsoft.com/office/drawing/2014/main" id="{00000000-0008-0000-2300-000018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5" name="3: Customer Information">
            <a:hlinkClick xmlns:r="http://schemas.openxmlformats.org/officeDocument/2006/relationships" r:id="rId16" tooltip="Customer Information"/>
            <a:extLst>
              <a:ext uri="{FF2B5EF4-FFF2-40B4-BE49-F238E27FC236}">
                <a16:creationId xmlns:a16="http://schemas.microsoft.com/office/drawing/2014/main" id="{00000000-0008-0000-2300-000019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6"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2300-00001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7" name="1: T&amp;C's">
            <a:hlinkClick xmlns:r="http://schemas.openxmlformats.org/officeDocument/2006/relationships" r:id="rId18" tooltip="Terms &amp; Conditions"/>
            <a:extLst>
              <a:ext uri="{FF2B5EF4-FFF2-40B4-BE49-F238E27FC236}">
                <a16:creationId xmlns:a16="http://schemas.microsoft.com/office/drawing/2014/main" id="{00000000-0008-0000-2300-00001B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8" name="Header">
          <a:extLst>
            <a:ext uri="{FF2B5EF4-FFF2-40B4-BE49-F238E27FC236}">
              <a16:creationId xmlns:a16="http://schemas.microsoft.com/office/drawing/2014/main" id="{00000000-0008-0000-2300-000008000000}"/>
            </a:ext>
          </a:extLst>
        </xdr:cNvPr>
        <xdr:cNvGrpSpPr/>
      </xdr:nvGrpSpPr>
      <xdr:grpSpPr>
        <a:xfrm>
          <a:off x="0" y="0"/>
          <a:ext cx="15345335" cy="605118"/>
          <a:chOff x="0" y="0"/>
          <a:chExt cx="15813741" cy="591671"/>
        </a:xfrm>
      </xdr:grpSpPr>
      <xdr:grpSp>
        <xdr:nvGrpSpPr>
          <xdr:cNvPr id="30" name="Header">
            <a:extLst>
              <a:ext uri="{FF2B5EF4-FFF2-40B4-BE49-F238E27FC236}">
                <a16:creationId xmlns:a16="http://schemas.microsoft.com/office/drawing/2014/main" id="{00000000-0008-0000-2300-00001E000000}"/>
              </a:ext>
            </a:extLst>
          </xdr:cNvPr>
          <xdr:cNvGrpSpPr/>
        </xdr:nvGrpSpPr>
        <xdr:grpSpPr>
          <a:xfrm>
            <a:off x="0" y="0"/>
            <a:ext cx="15813741" cy="591671"/>
            <a:chOff x="0" y="0"/>
            <a:chExt cx="15813741" cy="591671"/>
          </a:xfrm>
        </xdr:grpSpPr>
        <xdr:sp macro="" textlink="">
          <xdr:nvSpPr>
            <xdr:cNvPr id="38" name="Reference">
              <a:extLst>
                <a:ext uri="{FF2B5EF4-FFF2-40B4-BE49-F238E27FC236}">
                  <a16:creationId xmlns:a16="http://schemas.microsoft.com/office/drawing/2014/main" id="{00000000-0008-0000-2300-000026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Contact">
              <a:hlinkClick xmlns:r="http://schemas.openxmlformats.org/officeDocument/2006/relationships" r:id="rId19" tooltip="Contact"/>
              <a:extLst>
                <a:ext uri="{FF2B5EF4-FFF2-40B4-BE49-F238E27FC236}">
                  <a16:creationId xmlns:a16="http://schemas.microsoft.com/office/drawing/2014/main" id="{00000000-0008-0000-2300-000027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Completion Form">
              <a:hlinkClick xmlns:r="http://schemas.openxmlformats.org/officeDocument/2006/relationships" r:id="rId20" tooltip=" "/>
              <a:extLst>
                <a:ext uri="{FF2B5EF4-FFF2-40B4-BE49-F238E27FC236}">
                  <a16:creationId xmlns:a16="http://schemas.microsoft.com/office/drawing/2014/main" id="{00000000-0008-0000-2300-000028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Offer Form">
              <a:hlinkClick xmlns:r="http://schemas.openxmlformats.org/officeDocument/2006/relationships" r:id="rId21" tooltip=" "/>
              <a:extLst>
                <a:ext uri="{FF2B5EF4-FFF2-40B4-BE49-F238E27FC236}">
                  <a16:creationId xmlns:a16="http://schemas.microsoft.com/office/drawing/2014/main" id="{00000000-0008-0000-2300-000029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Instructions">
              <a:hlinkClick xmlns:r="http://schemas.openxmlformats.org/officeDocument/2006/relationships" r:id="rId22" tooltip="Instructions"/>
              <a:extLst>
                <a:ext uri="{FF2B5EF4-FFF2-40B4-BE49-F238E27FC236}">
                  <a16:creationId xmlns:a16="http://schemas.microsoft.com/office/drawing/2014/main" id="{00000000-0008-0000-2300-00002A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Welcome">
              <a:hlinkClick xmlns:r="http://schemas.openxmlformats.org/officeDocument/2006/relationships" r:id="rId23" tooltip="Welcome"/>
              <a:extLst>
                <a:ext uri="{FF2B5EF4-FFF2-40B4-BE49-F238E27FC236}">
                  <a16:creationId xmlns:a16="http://schemas.microsoft.com/office/drawing/2014/main" id="{00000000-0008-0000-2300-00002B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4" name="Evergy Logo">
              <a:extLst>
                <a:ext uri="{FF2B5EF4-FFF2-40B4-BE49-F238E27FC236}">
                  <a16:creationId xmlns:a16="http://schemas.microsoft.com/office/drawing/2014/main" id="{00000000-0008-0000-2300-00002C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5" name="State">
              <a:extLst>
                <a:ext uri="{FF2B5EF4-FFF2-40B4-BE49-F238E27FC236}">
                  <a16:creationId xmlns:a16="http://schemas.microsoft.com/office/drawing/2014/main" id="{00000000-0008-0000-2300-00002D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300-00001F000000}"/>
              </a:ext>
            </a:extLst>
          </xdr:cNvPr>
          <xdr:cNvGrpSpPr/>
        </xdr:nvGrpSpPr>
        <xdr:grpSpPr>
          <a:xfrm>
            <a:off x="1613717" y="85337"/>
            <a:ext cx="11618762" cy="422893"/>
            <a:chOff x="1612951" y="85725"/>
            <a:chExt cx="11618931" cy="423022"/>
          </a:xfrm>
        </xdr:grpSpPr>
        <xdr:cxnSp macro="">
          <xdr:nvCxnSpPr>
            <xdr:cNvPr id="33" name="Divider 4">
              <a:extLst>
                <a:ext uri="{FF2B5EF4-FFF2-40B4-BE49-F238E27FC236}">
                  <a16:creationId xmlns:a16="http://schemas.microsoft.com/office/drawing/2014/main" id="{00000000-0008-0000-2300-000021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2300-000022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2">
              <a:extLst>
                <a:ext uri="{FF2B5EF4-FFF2-40B4-BE49-F238E27FC236}">
                  <a16:creationId xmlns:a16="http://schemas.microsoft.com/office/drawing/2014/main" id="{00000000-0008-0000-2300-00002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1">
              <a:extLst>
                <a:ext uri="{FF2B5EF4-FFF2-40B4-BE49-F238E27FC236}">
                  <a16:creationId xmlns:a16="http://schemas.microsoft.com/office/drawing/2014/main" id="{00000000-0008-0000-2300-00002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8.xml><?xml version="1.0" encoding="utf-8"?>
<xdr:wsDr xmlns:xdr="http://schemas.openxmlformats.org/drawingml/2006/spreadsheetDrawing" xmlns:a="http://schemas.openxmlformats.org/drawingml/2006/main">
  <xdr:twoCellAnchor editAs="oneCell">
    <xdr:from>
      <xdr:col>31</xdr:col>
      <xdr:colOff>119530</xdr:colOff>
      <xdr:row>13</xdr:row>
      <xdr:rowOff>164353</xdr:rowOff>
    </xdr:from>
    <xdr:to>
      <xdr:col>38</xdr:col>
      <xdr:colOff>19503</xdr:colOff>
      <xdr:row>17</xdr:row>
      <xdr:rowOff>135026</xdr:rowOff>
    </xdr:to>
    <xdr:pic>
      <xdr:nvPicPr>
        <xdr:cNvPr id="28" name="Evergy 2">
          <a:extLst>
            <a:ext uri="{FF2B5EF4-FFF2-40B4-BE49-F238E27FC236}">
              <a16:creationId xmlns:a16="http://schemas.microsoft.com/office/drawing/2014/main" id="{00000000-0008-0000-2400-00001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xdr:from>
      <xdr:col>7</xdr:col>
      <xdr:colOff>0</xdr:colOff>
      <xdr:row>3</xdr:row>
      <xdr:rowOff>0</xdr:rowOff>
    </xdr:from>
    <xdr:to>
      <xdr:col>42</xdr:col>
      <xdr:colOff>236220</xdr:colOff>
      <xdr:row>8</xdr:row>
      <xdr:rowOff>0</xdr:rowOff>
    </xdr:to>
    <xdr:grpSp>
      <xdr:nvGrpSpPr>
        <xdr:cNvPr id="16" name="Navigation">
          <a:extLst>
            <a:ext uri="{FF2B5EF4-FFF2-40B4-BE49-F238E27FC236}">
              <a16:creationId xmlns:a16="http://schemas.microsoft.com/office/drawing/2014/main" id="{00000000-0008-0000-2400-000010000000}"/>
            </a:ext>
          </a:extLst>
        </xdr:cNvPr>
        <xdr:cNvGrpSpPr/>
      </xdr:nvGrpSpPr>
      <xdr:grpSpPr>
        <a:xfrm>
          <a:off x="2196353" y="605118"/>
          <a:ext cx="11217985" cy="1008529"/>
          <a:chOff x="1610956" y="594360"/>
          <a:chExt cx="11437620" cy="990600"/>
        </a:xfrm>
      </xdr:grpSpPr>
      <xdr:cxnSp macro="">
        <xdr:nvCxnSpPr>
          <xdr:cNvPr id="17" name="Reference">
            <a:extLst>
              <a:ext uri="{FF2B5EF4-FFF2-40B4-BE49-F238E27FC236}">
                <a16:creationId xmlns:a16="http://schemas.microsoft.com/office/drawing/2014/main" id="{00000000-0008-0000-24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2" tooltip="Project Review"/>
            <a:extLst>
              <a:ext uri="{FF2B5EF4-FFF2-40B4-BE49-F238E27FC236}">
                <a16:creationId xmlns:a16="http://schemas.microsoft.com/office/drawing/2014/main" id="{00000000-0008-0000-2400-000012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3" tooltip="Payment"/>
            <a:extLst>
              <a:ext uri="{FF2B5EF4-FFF2-40B4-BE49-F238E27FC236}">
                <a16:creationId xmlns:a16="http://schemas.microsoft.com/office/drawing/2014/main" id="{00000000-0008-0000-24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4" tooltip="Equipment Input"/>
            <a:extLst>
              <a:ext uri="{FF2B5EF4-FFF2-40B4-BE49-F238E27FC236}">
                <a16:creationId xmlns:a16="http://schemas.microsoft.com/office/drawing/2014/main" id="{00000000-0008-0000-2400-000014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5" tooltip="Building Information"/>
            <a:extLst>
              <a:ext uri="{FF2B5EF4-FFF2-40B4-BE49-F238E27FC236}">
                <a16:creationId xmlns:a16="http://schemas.microsoft.com/office/drawing/2014/main" id="{00000000-0008-0000-24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6" tooltip="Customer Information"/>
            <a:extLst>
              <a:ext uri="{FF2B5EF4-FFF2-40B4-BE49-F238E27FC236}">
                <a16:creationId xmlns:a16="http://schemas.microsoft.com/office/drawing/2014/main" id="{00000000-0008-0000-24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7" tooltip="Trade Ally/Vendor Information"/>
            <a:extLst>
              <a:ext uri="{FF2B5EF4-FFF2-40B4-BE49-F238E27FC236}">
                <a16:creationId xmlns:a16="http://schemas.microsoft.com/office/drawing/2014/main" id="{00000000-0008-0000-24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8" tooltip="Terms &amp; Conditions"/>
            <a:extLst>
              <a:ext uri="{FF2B5EF4-FFF2-40B4-BE49-F238E27FC236}">
                <a16:creationId xmlns:a16="http://schemas.microsoft.com/office/drawing/2014/main" id="{00000000-0008-0000-24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5" name="Header">
          <a:extLst>
            <a:ext uri="{FF2B5EF4-FFF2-40B4-BE49-F238E27FC236}">
              <a16:creationId xmlns:a16="http://schemas.microsoft.com/office/drawing/2014/main" id="{00000000-0008-0000-2400-000019000000}"/>
            </a:ext>
          </a:extLst>
        </xdr:cNvPr>
        <xdr:cNvGrpSpPr/>
      </xdr:nvGrpSpPr>
      <xdr:grpSpPr>
        <a:xfrm>
          <a:off x="0" y="0"/>
          <a:ext cx="15345335" cy="605118"/>
          <a:chOff x="0" y="0"/>
          <a:chExt cx="15813741" cy="591671"/>
        </a:xfrm>
      </xdr:grpSpPr>
      <xdr:grpSp>
        <xdr:nvGrpSpPr>
          <xdr:cNvPr id="26" name="Header">
            <a:extLst>
              <a:ext uri="{FF2B5EF4-FFF2-40B4-BE49-F238E27FC236}">
                <a16:creationId xmlns:a16="http://schemas.microsoft.com/office/drawing/2014/main" id="{00000000-0008-0000-2400-00001A000000}"/>
              </a:ext>
            </a:extLst>
          </xdr:cNvPr>
          <xdr:cNvGrpSpPr/>
        </xdr:nvGrpSpPr>
        <xdr:grpSpPr>
          <a:xfrm>
            <a:off x="0" y="0"/>
            <a:ext cx="15813741" cy="591671"/>
            <a:chOff x="0" y="0"/>
            <a:chExt cx="15813741" cy="591671"/>
          </a:xfrm>
        </xdr:grpSpPr>
        <xdr:sp macro="" textlink="">
          <xdr:nvSpPr>
            <xdr:cNvPr id="33" name="Reference">
              <a:extLst>
                <a:ext uri="{FF2B5EF4-FFF2-40B4-BE49-F238E27FC236}">
                  <a16:creationId xmlns:a16="http://schemas.microsoft.com/office/drawing/2014/main" id="{00000000-0008-0000-2400-000021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ntact">
              <a:hlinkClick xmlns:r="http://schemas.openxmlformats.org/officeDocument/2006/relationships" r:id="rId9" tooltip="Contact"/>
              <a:extLst>
                <a:ext uri="{FF2B5EF4-FFF2-40B4-BE49-F238E27FC236}">
                  <a16:creationId xmlns:a16="http://schemas.microsoft.com/office/drawing/2014/main" id="{00000000-0008-0000-2400-000022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mpletion Form">
              <a:hlinkClick xmlns:r="http://schemas.openxmlformats.org/officeDocument/2006/relationships" r:id="rId10" tooltip=" "/>
              <a:extLst>
                <a:ext uri="{FF2B5EF4-FFF2-40B4-BE49-F238E27FC236}">
                  <a16:creationId xmlns:a16="http://schemas.microsoft.com/office/drawing/2014/main" id="{00000000-0008-0000-2400-000023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Offer Form">
              <a:hlinkClick xmlns:r="http://schemas.openxmlformats.org/officeDocument/2006/relationships" r:id="rId11" tooltip=" "/>
              <a:extLst>
                <a:ext uri="{FF2B5EF4-FFF2-40B4-BE49-F238E27FC236}">
                  <a16:creationId xmlns:a16="http://schemas.microsoft.com/office/drawing/2014/main" id="{00000000-0008-0000-2400-000024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Instructions">
              <a:hlinkClick xmlns:r="http://schemas.openxmlformats.org/officeDocument/2006/relationships" r:id="rId12" tooltip="Instructions"/>
              <a:extLst>
                <a:ext uri="{FF2B5EF4-FFF2-40B4-BE49-F238E27FC236}">
                  <a16:creationId xmlns:a16="http://schemas.microsoft.com/office/drawing/2014/main" id="{00000000-0008-0000-2400-000025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Welcome">
              <a:hlinkClick xmlns:r="http://schemas.openxmlformats.org/officeDocument/2006/relationships" r:id="rId13" tooltip="Welcome"/>
              <a:extLst>
                <a:ext uri="{FF2B5EF4-FFF2-40B4-BE49-F238E27FC236}">
                  <a16:creationId xmlns:a16="http://schemas.microsoft.com/office/drawing/2014/main" id="{00000000-0008-0000-2400-000026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9" name="Evergy Logo">
              <a:extLst>
                <a:ext uri="{FF2B5EF4-FFF2-40B4-BE49-F238E27FC236}">
                  <a16:creationId xmlns:a16="http://schemas.microsoft.com/office/drawing/2014/main" id="{00000000-0008-0000-2400-000027000000}"/>
                </a:ext>
              </a:extLst>
            </xdr:cNvPr>
            <xdr:cNvPicPr>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0" name="State">
              <a:extLst>
                <a:ext uri="{FF2B5EF4-FFF2-40B4-BE49-F238E27FC236}">
                  <a16:creationId xmlns:a16="http://schemas.microsoft.com/office/drawing/2014/main" id="{00000000-0008-0000-2400-000028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2400-00001B000000}"/>
              </a:ext>
            </a:extLst>
          </xdr:cNvPr>
          <xdr:cNvGrpSpPr/>
        </xdr:nvGrpSpPr>
        <xdr:grpSpPr>
          <a:xfrm>
            <a:off x="1613717" y="85337"/>
            <a:ext cx="11618762" cy="422893"/>
            <a:chOff x="1612951" y="85725"/>
            <a:chExt cx="11618931" cy="423022"/>
          </a:xfrm>
        </xdr:grpSpPr>
        <xdr:cxnSp macro="">
          <xdr:nvCxnSpPr>
            <xdr:cNvPr id="29" name="Divider 4">
              <a:extLst>
                <a:ext uri="{FF2B5EF4-FFF2-40B4-BE49-F238E27FC236}">
                  <a16:creationId xmlns:a16="http://schemas.microsoft.com/office/drawing/2014/main" id="{00000000-0008-0000-2400-00001D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3">
              <a:extLst>
                <a:ext uri="{FF2B5EF4-FFF2-40B4-BE49-F238E27FC236}">
                  <a16:creationId xmlns:a16="http://schemas.microsoft.com/office/drawing/2014/main" id="{00000000-0008-0000-2400-00001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2">
              <a:extLst>
                <a:ext uri="{FF2B5EF4-FFF2-40B4-BE49-F238E27FC236}">
                  <a16:creationId xmlns:a16="http://schemas.microsoft.com/office/drawing/2014/main" id="{00000000-0008-0000-2400-00001F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1">
              <a:extLst>
                <a:ext uri="{FF2B5EF4-FFF2-40B4-BE49-F238E27FC236}">
                  <a16:creationId xmlns:a16="http://schemas.microsoft.com/office/drawing/2014/main" id="{00000000-0008-0000-2400-00002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30480</xdr:colOff>
          <xdr:row>44</xdr:row>
          <xdr:rowOff>106680</xdr:rowOff>
        </xdr:from>
        <xdr:to>
          <xdr:col>12</xdr:col>
          <xdr:colOff>259080</xdr:colOff>
          <xdr:row>47</xdr:row>
          <xdr:rowOff>30480</xdr:rowOff>
        </xdr:to>
        <xdr:grpSp>
          <xdr:nvGrpSpPr>
            <xdr:cNvPr id="27" name="Review">
              <a:extLst>
                <a:ext uri="{FF2B5EF4-FFF2-40B4-BE49-F238E27FC236}">
                  <a16:creationId xmlns:a16="http://schemas.microsoft.com/office/drawing/2014/main" id="{00000000-0008-0000-2500-00001B000000}"/>
                </a:ext>
              </a:extLst>
            </xdr:cNvPr>
            <xdr:cNvGrpSpPr/>
          </xdr:nvGrpSpPr>
          <xdr:grpSpPr>
            <a:xfrm>
              <a:off x="3795656" y="8981739"/>
              <a:ext cx="228600" cy="528917"/>
              <a:chOff x="3903233" y="8784490"/>
              <a:chExt cx="228600" cy="515489"/>
            </a:xfrm>
          </xdr:grpSpPr>
          <xdr:sp macro="" textlink="">
            <xdr:nvSpPr>
              <xdr:cNvPr id="59394" name="Review: Custom" hidden="1">
                <a:extLst>
                  <a:ext uri="{63B3BB69-23CF-44E3-9099-C40C66FF867C}">
                    <a14:compatExt spid="_x0000_s59394"/>
                  </a:ext>
                  <a:ext uri="{FF2B5EF4-FFF2-40B4-BE49-F238E27FC236}">
                    <a16:creationId xmlns:a16="http://schemas.microsoft.com/office/drawing/2014/main" id="{00000000-0008-0000-2500-000002E80000}"/>
                  </a:ext>
                </a:extLst>
              </xdr:cNvPr>
              <xdr:cNvSpPr/>
            </xdr:nvSpPr>
            <xdr:spPr bwMode="auto">
              <a:xfrm>
                <a:off x="3903233" y="9079895"/>
                <a:ext cx="228600" cy="22008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59393" name="Review Std" hidden="1">
                <a:extLst>
                  <a:ext uri="{63B3BB69-23CF-44E3-9099-C40C66FF867C}">
                    <a14:compatExt spid="_x0000_s59393"/>
                  </a:ext>
                  <a:ext uri="{FF2B5EF4-FFF2-40B4-BE49-F238E27FC236}">
                    <a16:creationId xmlns:a16="http://schemas.microsoft.com/office/drawing/2014/main" id="{00000000-0008-0000-2500-000001E80000}"/>
                  </a:ext>
                </a:extLst>
              </xdr:cNvPr>
              <xdr:cNvSpPr/>
            </xdr:nvSpPr>
            <xdr:spPr bwMode="auto">
              <a:xfrm>
                <a:off x="3903233" y="8784490"/>
                <a:ext cx="228600" cy="20484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xdr:twoCellAnchor>
    <xdr:from>
      <xdr:col>28</xdr:col>
      <xdr:colOff>29134</xdr:colOff>
      <xdr:row>40</xdr:row>
      <xdr:rowOff>197224</xdr:rowOff>
    </xdr:from>
    <xdr:to>
      <xdr:col>30</xdr:col>
      <xdr:colOff>0</xdr:colOff>
      <xdr:row>41</xdr:row>
      <xdr:rowOff>156883</xdr:rowOff>
    </xdr:to>
    <xdr:sp macro="" textlink="">
      <xdr:nvSpPr>
        <xdr:cNvPr id="20" name="Payment">
          <a:hlinkClick xmlns:r="http://schemas.openxmlformats.org/officeDocument/2006/relationships" r:id="rId1" tooltip="Payment"/>
          <a:extLst>
            <a:ext uri="{FF2B5EF4-FFF2-40B4-BE49-F238E27FC236}">
              <a16:creationId xmlns:a16="http://schemas.microsoft.com/office/drawing/2014/main" id="{00000000-0008-0000-2500-000014000000}"/>
            </a:ext>
          </a:extLst>
        </xdr:cNvPr>
        <xdr:cNvSpPr/>
      </xdr:nvSpPr>
      <xdr:spPr>
        <a:xfrm>
          <a:off x="8187016" y="8265459"/>
          <a:ext cx="598396"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119530</xdr:colOff>
      <xdr:row>13</xdr:row>
      <xdr:rowOff>164353</xdr:rowOff>
    </xdr:from>
    <xdr:to>
      <xdr:col>38</xdr:col>
      <xdr:colOff>19503</xdr:colOff>
      <xdr:row>17</xdr:row>
      <xdr:rowOff>135026</xdr:rowOff>
    </xdr:to>
    <xdr:pic>
      <xdr:nvPicPr>
        <xdr:cNvPr id="30" name="Evergy 2">
          <a:extLst>
            <a:ext uri="{FF2B5EF4-FFF2-40B4-BE49-F238E27FC236}">
              <a16:creationId xmlns:a16="http://schemas.microsoft.com/office/drawing/2014/main" id="{00000000-0008-0000-2500-00001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xdr:from>
      <xdr:col>28</xdr:col>
      <xdr:colOff>197223</xdr:colOff>
      <xdr:row>10</xdr:row>
      <xdr:rowOff>22412</xdr:rowOff>
    </xdr:from>
    <xdr:to>
      <xdr:col>32</xdr:col>
      <xdr:colOff>197223</xdr:colOff>
      <xdr:row>11</xdr:row>
      <xdr:rowOff>11206</xdr:rowOff>
    </xdr:to>
    <xdr:sp macro="" textlink="">
      <xdr:nvSpPr>
        <xdr:cNvPr id="26" name="Equipment Input">
          <a:hlinkClick xmlns:r="http://schemas.openxmlformats.org/officeDocument/2006/relationships" r:id="rId3" tooltip="Equipment Input"/>
          <a:extLst>
            <a:ext uri="{FF2B5EF4-FFF2-40B4-BE49-F238E27FC236}">
              <a16:creationId xmlns:a16="http://schemas.microsoft.com/office/drawing/2014/main" id="{00000000-0008-0000-2500-00001A000000}"/>
            </a:ext>
          </a:extLst>
        </xdr:cNvPr>
        <xdr:cNvSpPr/>
      </xdr:nvSpPr>
      <xdr:spPr>
        <a:xfrm>
          <a:off x="9233647" y="1994647"/>
          <a:ext cx="1290917" cy="1860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16" name="Navigation">
          <a:extLst>
            <a:ext uri="{FF2B5EF4-FFF2-40B4-BE49-F238E27FC236}">
              <a16:creationId xmlns:a16="http://schemas.microsoft.com/office/drawing/2014/main" id="{00000000-0008-0000-2500-000010000000}"/>
            </a:ext>
          </a:extLst>
        </xdr:cNvPr>
        <xdr:cNvGrpSpPr/>
      </xdr:nvGrpSpPr>
      <xdr:grpSpPr>
        <a:xfrm>
          <a:off x="2196353" y="605118"/>
          <a:ext cx="11217985" cy="1008529"/>
          <a:chOff x="1610956" y="594360"/>
          <a:chExt cx="11437620" cy="990600"/>
        </a:xfrm>
      </xdr:grpSpPr>
      <xdr:cxnSp macro="">
        <xdr:nvCxnSpPr>
          <xdr:cNvPr id="17" name="Reference">
            <a:extLst>
              <a:ext uri="{FF2B5EF4-FFF2-40B4-BE49-F238E27FC236}">
                <a16:creationId xmlns:a16="http://schemas.microsoft.com/office/drawing/2014/main" id="{00000000-0008-0000-25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4" tooltip="Project Review"/>
            <a:extLst>
              <a:ext uri="{FF2B5EF4-FFF2-40B4-BE49-F238E27FC236}">
                <a16:creationId xmlns:a16="http://schemas.microsoft.com/office/drawing/2014/main" id="{00000000-0008-0000-2500-000012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5" tooltip="Payment"/>
            <a:extLst>
              <a:ext uri="{FF2B5EF4-FFF2-40B4-BE49-F238E27FC236}">
                <a16:creationId xmlns:a16="http://schemas.microsoft.com/office/drawing/2014/main" id="{00000000-0008-0000-25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6" tooltip="Equipment Input"/>
            <a:extLst>
              <a:ext uri="{FF2B5EF4-FFF2-40B4-BE49-F238E27FC236}">
                <a16:creationId xmlns:a16="http://schemas.microsoft.com/office/drawing/2014/main" id="{00000000-0008-0000-25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7" tooltip="Building Information"/>
            <a:extLst>
              <a:ext uri="{FF2B5EF4-FFF2-40B4-BE49-F238E27FC236}">
                <a16:creationId xmlns:a16="http://schemas.microsoft.com/office/drawing/2014/main" id="{00000000-0008-0000-25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8" tooltip="Customer Information"/>
            <a:extLst>
              <a:ext uri="{FF2B5EF4-FFF2-40B4-BE49-F238E27FC236}">
                <a16:creationId xmlns:a16="http://schemas.microsoft.com/office/drawing/2014/main" id="{00000000-0008-0000-25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9" tooltip="Trade Ally/Vendor Information"/>
            <a:extLst>
              <a:ext uri="{FF2B5EF4-FFF2-40B4-BE49-F238E27FC236}">
                <a16:creationId xmlns:a16="http://schemas.microsoft.com/office/drawing/2014/main" id="{00000000-0008-0000-25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0" tooltip="Terms &amp; Conditions"/>
            <a:extLst>
              <a:ext uri="{FF2B5EF4-FFF2-40B4-BE49-F238E27FC236}">
                <a16:creationId xmlns:a16="http://schemas.microsoft.com/office/drawing/2014/main" id="{00000000-0008-0000-25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8" name="Header">
          <a:extLst>
            <a:ext uri="{FF2B5EF4-FFF2-40B4-BE49-F238E27FC236}">
              <a16:creationId xmlns:a16="http://schemas.microsoft.com/office/drawing/2014/main" id="{00000000-0008-0000-2500-00001C000000}"/>
            </a:ext>
          </a:extLst>
        </xdr:cNvPr>
        <xdr:cNvGrpSpPr/>
      </xdr:nvGrpSpPr>
      <xdr:grpSpPr>
        <a:xfrm>
          <a:off x="0" y="0"/>
          <a:ext cx="15345335" cy="605118"/>
          <a:chOff x="0" y="0"/>
          <a:chExt cx="15813741" cy="591671"/>
        </a:xfrm>
      </xdr:grpSpPr>
      <xdr:grpSp>
        <xdr:nvGrpSpPr>
          <xdr:cNvPr id="29" name="Header">
            <a:extLst>
              <a:ext uri="{FF2B5EF4-FFF2-40B4-BE49-F238E27FC236}">
                <a16:creationId xmlns:a16="http://schemas.microsoft.com/office/drawing/2014/main" id="{00000000-0008-0000-2500-00001D000000}"/>
              </a:ext>
            </a:extLst>
          </xdr:cNvPr>
          <xdr:cNvGrpSpPr/>
        </xdr:nvGrpSpPr>
        <xdr:grpSpPr>
          <a:xfrm>
            <a:off x="0" y="0"/>
            <a:ext cx="15813741" cy="591671"/>
            <a:chOff x="0" y="0"/>
            <a:chExt cx="15813741" cy="591671"/>
          </a:xfrm>
        </xdr:grpSpPr>
        <xdr:sp macro="" textlink="">
          <xdr:nvSpPr>
            <xdr:cNvPr id="36" name="Reference">
              <a:extLst>
                <a:ext uri="{FF2B5EF4-FFF2-40B4-BE49-F238E27FC236}">
                  <a16:creationId xmlns:a16="http://schemas.microsoft.com/office/drawing/2014/main" id="{00000000-0008-0000-2500-000024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ntact">
              <a:hlinkClick xmlns:r="http://schemas.openxmlformats.org/officeDocument/2006/relationships" r:id="rId11" tooltip="Contact"/>
              <a:extLst>
                <a:ext uri="{FF2B5EF4-FFF2-40B4-BE49-F238E27FC236}">
                  <a16:creationId xmlns:a16="http://schemas.microsoft.com/office/drawing/2014/main" id="{00000000-0008-0000-2500-000025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Completion Form">
              <a:hlinkClick xmlns:r="http://schemas.openxmlformats.org/officeDocument/2006/relationships" r:id="rId12" tooltip=" "/>
              <a:extLst>
                <a:ext uri="{FF2B5EF4-FFF2-40B4-BE49-F238E27FC236}">
                  <a16:creationId xmlns:a16="http://schemas.microsoft.com/office/drawing/2014/main" id="{00000000-0008-0000-2500-000026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Offer Form">
              <a:hlinkClick xmlns:r="http://schemas.openxmlformats.org/officeDocument/2006/relationships" r:id="rId13" tooltip=" "/>
              <a:extLst>
                <a:ext uri="{FF2B5EF4-FFF2-40B4-BE49-F238E27FC236}">
                  <a16:creationId xmlns:a16="http://schemas.microsoft.com/office/drawing/2014/main" id="{00000000-0008-0000-2500-000027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Instructions">
              <a:hlinkClick xmlns:r="http://schemas.openxmlformats.org/officeDocument/2006/relationships" r:id="rId14" tooltip="Instructions"/>
              <a:extLst>
                <a:ext uri="{FF2B5EF4-FFF2-40B4-BE49-F238E27FC236}">
                  <a16:creationId xmlns:a16="http://schemas.microsoft.com/office/drawing/2014/main" id="{00000000-0008-0000-2500-000028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Welcome">
              <a:hlinkClick xmlns:r="http://schemas.openxmlformats.org/officeDocument/2006/relationships" r:id="rId15" tooltip="Welcome"/>
              <a:extLst>
                <a:ext uri="{FF2B5EF4-FFF2-40B4-BE49-F238E27FC236}">
                  <a16:creationId xmlns:a16="http://schemas.microsoft.com/office/drawing/2014/main" id="{00000000-0008-0000-2500-000029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2" name="Evergy Logo">
              <a:extLst>
                <a:ext uri="{FF2B5EF4-FFF2-40B4-BE49-F238E27FC236}">
                  <a16:creationId xmlns:a16="http://schemas.microsoft.com/office/drawing/2014/main" id="{00000000-0008-0000-2500-00002A000000}"/>
                </a:ext>
              </a:extLst>
            </xdr:cNvPr>
            <xdr:cNvPicPr>
              <a:picLocks/>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3" name="State">
              <a:extLst>
                <a:ext uri="{FF2B5EF4-FFF2-40B4-BE49-F238E27FC236}">
                  <a16:creationId xmlns:a16="http://schemas.microsoft.com/office/drawing/2014/main" id="{00000000-0008-0000-2500-00002B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500-00001F000000}"/>
              </a:ext>
            </a:extLst>
          </xdr:cNvPr>
          <xdr:cNvGrpSpPr/>
        </xdr:nvGrpSpPr>
        <xdr:grpSpPr>
          <a:xfrm>
            <a:off x="1613717" y="85337"/>
            <a:ext cx="11618762" cy="422893"/>
            <a:chOff x="1612951" y="85725"/>
            <a:chExt cx="11618931" cy="423022"/>
          </a:xfrm>
        </xdr:grpSpPr>
        <xdr:cxnSp macro="">
          <xdr:nvCxnSpPr>
            <xdr:cNvPr id="32" name="Divider 4">
              <a:extLst>
                <a:ext uri="{FF2B5EF4-FFF2-40B4-BE49-F238E27FC236}">
                  <a16:creationId xmlns:a16="http://schemas.microsoft.com/office/drawing/2014/main" id="{00000000-0008-0000-2500-00002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3">
              <a:extLst>
                <a:ext uri="{FF2B5EF4-FFF2-40B4-BE49-F238E27FC236}">
                  <a16:creationId xmlns:a16="http://schemas.microsoft.com/office/drawing/2014/main" id="{00000000-0008-0000-2500-00002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2">
              <a:extLst>
                <a:ext uri="{FF2B5EF4-FFF2-40B4-BE49-F238E27FC236}">
                  <a16:creationId xmlns:a16="http://schemas.microsoft.com/office/drawing/2014/main" id="{00000000-0008-0000-2500-00002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1">
              <a:extLst>
                <a:ext uri="{FF2B5EF4-FFF2-40B4-BE49-F238E27FC236}">
                  <a16:creationId xmlns:a16="http://schemas.microsoft.com/office/drawing/2014/main" id="{00000000-0008-0000-2500-00002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0</xdr:colOff>
      <xdr:row>8</xdr:row>
      <xdr:rowOff>0</xdr:rowOff>
    </xdr:from>
    <xdr:to>
      <xdr:col>37</xdr:col>
      <xdr:colOff>33617</xdr:colOff>
      <xdr:row>9</xdr:row>
      <xdr:rowOff>30032</xdr:rowOff>
    </xdr:to>
    <xdr:sp macro="" textlink="">
      <xdr:nvSpPr>
        <xdr:cNvPr id="20" name="Email">
          <a:hlinkClick xmlns:r="http://schemas.openxmlformats.org/officeDocument/2006/relationships" r:id="rId1"/>
          <a:extLst>
            <a:ext uri="{FF2B5EF4-FFF2-40B4-BE49-F238E27FC236}">
              <a16:creationId xmlns:a16="http://schemas.microsoft.com/office/drawing/2014/main" id="{00000000-0008-0000-0B00-000014000000}"/>
            </a:ext>
          </a:extLst>
        </xdr:cNvPr>
        <xdr:cNvSpPr/>
      </xdr:nvSpPr>
      <xdr:spPr>
        <a:xfrm>
          <a:off x="9601200" y="1577340"/>
          <a:ext cx="2273897" cy="2281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49</xdr:col>
      <xdr:colOff>0</xdr:colOff>
      <xdr:row>3</xdr:row>
      <xdr:rowOff>0</xdr:rowOff>
    </xdr:to>
    <xdr:grpSp>
      <xdr:nvGrpSpPr>
        <xdr:cNvPr id="4" name="Header">
          <a:extLst>
            <a:ext uri="{FF2B5EF4-FFF2-40B4-BE49-F238E27FC236}">
              <a16:creationId xmlns:a16="http://schemas.microsoft.com/office/drawing/2014/main" id="{00000000-0008-0000-0B00-000004000000}"/>
            </a:ext>
          </a:extLst>
        </xdr:cNvPr>
        <xdr:cNvGrpSpPr/>
      </xdr:nvGrpSpPr>
      <xdr:grpSpPr>
        <a:xfrm>
          <a:off x="0" y="0"/>
          <a:ext cx="15374471" cy="605118"/>
          <a:chOff x="0" y="0"/>
          <a:chExt cx="15813741" cy="591671"/>
        </a:xfrm>
      </xdr:grpSpPr>
      <xdr:grpSp>
        <xdr:nvGrpSpPr>
          <xdr:cNvPr id="3" name="Header">
            <a:extLst>
              <a:ext uri="{FF2B5EF4-FFF2-40B4-BE49-F238E27FC236}">
                <a16:creationId xmlns:a16="http://schemas.microsoft.com/office/drawing/2014/main" id="{00000000-0008-0000-0B00-000003000000}"/>
              </a:ext>
            </a:extLst>
          </xdr:cNvPr>
          <xdr:cNvGrpSpPr/>
        </xdr:nvGrpSpPr>
        <xdr:grpSpPr>
          <a:xfrm>
            <a:off x="0" y="0"/>
            <a:ext cx="15813741" cy="591671"/>
            <a:chOff x="0" y="0"/>
            <a:chExt cx="15813741" cy="591671"/>
          </a:xfrm>
        </xdr:grpSpPr>
        <xdr:sp macro="" textlink="">
          <xdr:nvSpPr>
            <xdr:cNvPr id="12" name="Reference">
              <a:extLst>
                <a:ext uri="{FF2B5EF4-FFF2-40B4-BE49-F238E27FC236}">
                  <a16:creationId xmlns:a16="http://schemas.microsoft.com/office/drawing/2014/main" id="{00000000-0008-0000-0B00-00000C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Contact">
              <a:hlinkClick xmlns:r="http://schemas.openxmlformats.org/officeDocument/2006/relationships" r:id="rId2" tooltip="Contact"/>
              <a:extLst>
                <a:ext uri="{FF2B5EF4-FFF2-40B4-BE49-F238E27FC236}">
                  <a16:creationId xmlns:a16="http://schemas.microsoft.com/office/drawing/2014/main" id="{00000000-0008-0000-0B00-000013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Completion Form">
              <a:hlinkClick xmlns:r="http://schemas.openxmlformats.org/officeDocument/2006/relationships" r:id="rId3" tooltip=" "/>
              <a:extLst>
                <a:ext uri="{FF2B5EF4-FFF2-40B4-BE49-F238E27FC236}">
                  <a16:creationId xmlns:a16="http://schemas.microsoft.com/office/drawing/2014/main" id="{00000000-0008-0000-0B00-000016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Offer Form">
              <a:hlinkClick xmlns:r="http://schemas.openxmlformats.org/officeDocument/2006/relationships" r:id="rId4" tooltip=" "/>
              <a:extLst>
                <a:ext uri="{FF2B5EF4-FFF2-40B4-BE49-F238E27FC236}">
                  <a16:creationId xmlns:a16="http://schemas.microsoft.com/office/drawing/2014/main" id="{00000000-0008-0000-0B00-00001B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Instructions">
              <a:hlinkClick xmlns:r="http://schemas.openxmlformats.org/officeDocument/2006/relationships" r:id="rId5" tooltip="Instructions"/>
              <a:extLst>
                <a:ext uri="{FF2B5EF4-FFF2-40B4-BE49-F238E27FC236}">
                  <a16:creationId xmlns:a16="http://schemas.microsoft.com/office/drawing/2014/main" id="{00000000-0008-0000-0B00-00001C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Welcome">
              <a:hlinkClick xmlns:r="http://schemas.openxmlformats.org/officeDocument/2006/relationships" r:id="rId6" tooltip="Welcome"/>
              <a:extLst>
                <a:ext uri="{FF2B5EF4-FFF2-40B4-BE49-F238E27FC236}">
                  <a16:creationId xmlns:a16="http://schemas.microsoft.com/office/drawing/2014/main" id="{00000000-0008-0000-0B00-00001D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0" name="Evergy Logo">
              <a:extLst>
                <a:ext uri="{FF2B5EF4-FFF2-40B4-BE49-F238E27FC236}">
                  <a16:creationId xmlns:a16="http://schemas.microsoft.com/office/drawing/2014/main" id="{00000000-0008-0000-0B00-00001E000000}"/>
                </a:ext>
              </a:extLst>
            </xdr:cNvPr>
            <xdr:cNvPicPr>
              <a:picLocks/>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2" name="State">
              <a:extLst>
                <a:ext uri="{FF2B5EF4-FFF2-40B4-BE49-F238E27FC236}">
                  <a16:creationId xmlns:a16="http://schemas.microsoft.com/office/drawing/2014/main" id="{00000000-0008-0000-0B00-000002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14" name="Dividers">
            <a:extLst>
              <a:ext uri="{FF2B5EF4-FFF2-40B4-BE49-F238E27FC236}">
                <a16:creationId xmlns:a16="http://schemas.microsoft.com/office/drawing/2014/main" id="{00000000-0008-0000-0B00-00000E000000}"/>
              </a:ext>
            </a:extLst>
          </xdr:cNvPr>
          <xdr:cNvGrpSpPr/>
        </xdr:nvGrpSpPr>
        <xdr:grpSpPr>
          <a:xfrm>
            <a:off x="1613717" y="85337"/>
            <a:ext cx="11618762" cy="422893"/>
            <a:chOff x="1612951" y="85725"/>
            <a:chExt cx="11618931" cy="423022"/>
          </a:xfrm>
        </xdr:grpSpPr>
        <xdr:cxnSp macro="">
          <xdr:nvCxnSpPr>
            <xdr:cNvPr id="15" name="Divider 4">
              <a:extLst>
                <a:ext uri="{FF2B5EF4-FFF2-40B4-BE49-F238E27FC236}">
                  <a16:creationId xmlns:a16="http://schemas.microsoft.com/office/drawing/2014/main" id="{00000000-0008-0000-0B00-00000F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0B00-00001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2">
              <a:extLst>
                <a:ext uri="{FF2B5EF4-FFF2-40B4-BE49-F238E27FC236}">
                  <a16:creationId xmlns:a16="http://schemas.microsoft.com/office/drawing/2014/main" id="{00000000-0008-0000-0B00-00001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1">
              <a:extLst>
                <a:ext uri="{FF2B5EF4-FFF2-40B4-BE49-F238E27FC236}">
                  <a16:creationId xmlns:a16="http://schemas.microsoft.com/office/drawing/2014/main" id="{00000000-0008-0000-0B00-00001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0</xdr:colOff>
      <xdr:row>3</xdr:row>
      <xdr:rowOff>0</xdr:rowOff>
    </xdr:from>
    <xdr:to>
      <xdr:col>42</xdr:col>
      <xdr:colOff>236220</xdr:colOff>
      <xdr:row>8</xdr:row>
      <xdr:rowOff>0</xdr:rowOff>
    </xdr:to>
    <xdr:grpSp>
      <xdr:nvGrpSpPr>
        <xdr:cNvPr id="14" name="Navigation">
          <a:extLst>
            <a:ext uri="{FF2B5EF4-FFF2-40B4-BE49-F238E27FC236}">
              <a16:creationId xmlns:a16="http://schemas.microsoft.com/office/drawing/2014/main" id="{00000000-0008-0000-2600-00000E000000}"/>
            </a:ext>
          </a:extLst>
        </xdr:cNvPr>
        <xdr:cNvGrpSpPr/>
      </xdr:nvGrpSpPr>
      <xdr:grpSpPr>
        <a:xfrm>
          <a:off x="2196353" y="605118"/>
          <a:ext cx="11217985" cy="1008529"/>
          <a:chOff x="1610956" y="594360"/>
          <a:chExt cx="11437620" cy="990600"/>
        </a:xfrm>
      </xdr:grpSpPr>
      <xdr:cxnSp macro="">
        <xdr:nvCxnSpPr>
          <xdr:cNvPr id="15" name="Reference">
            <a:extLst>
              <a:ext uri="{FF2B5EF4-FFF2-40B4-BE49-F238E27FC236}">
                <a16:creationId xmlns:a16="http://schemas.microsoft.com/office/drawing/2014/main" id="{00000000-0008-0000-2600-00000F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6" name="7: Project Review">
            <a:hlinkClick xmlns:r="http://schemas.openxmlformats.org/officeDocument/2006/relationships" r:id="rId1" tooltip="Project Review"/>
            <a:extLst>
              <a:ext uri="{FF2B5EF4-FFF2-40B4-BE49-F238E27FC236}">
                <a16:creationId xmlns:a16="http://schemas.microsoft.com/office/drawing/2014/main" id="{00000000-0008-0000-2600-000010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7" name="6: Payment">
            <a:hlinkClick xmlns:r="http://schemas.openxmlformats.org/officeDocument/2006/relationships" r:id="rId2" tooltip="Payment"/>
            <a:extLst>
              <a:ext uri="{FF2B5EF4-FFF2-40B4-BE49-F238E27FC236}">
                <a16:creationId xmlns:a16="http://schemas.microsoft.com/office/drawing/2014/main" id="{00000000-0008-0000-2600-000011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9" name="5: Equipment Input">
            <a:hlinkClick xmlns:r="http://schemas.openxmlformats.org/officeDocument/2006/relationships" r:id="rId3" tooltip="Equipment Input"/>
            <a:extLst>
              <a:ext uri="{FF2B5EF4-FFF2-40B4-BE49-F238E27FC236}">
                <a16:creationId xmlns:a16="http://schemas.microsoft.com/office/drawing/2014/main" id="{00000000-0008-0000-2600-000013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0" name="4: Building Information">
            <a:hlinkClick xmlns:r="http://schemas.openxmlformats.org/officeDocument/2006/relationships" r:id="rId4" tooltip="Building Information"/>
            <a:extLst>
              <a:ext uri="{FF2B5EF4-FFF2-40B4-BE49-F238E27FC236}">
                <a16:creationId xmlns:a16="http://schemas.microsoft.com/office/drawing/2014/main" id="{00000000-0008-0000-2600-000014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5" tooltip="Customer Information"/>
            <a:extLst>
              <a:ext uri="{FF2B5EF4-FFF2-40B4-BE49-F238E27FC236}">
                <a16:creationId xmlns:a16="http://schemas.microsoft.com/office/drawing/2014/main" id="{00000000-0008-0000-26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6" name="2: Trade Ally Info">
            <a:hlinkClick xmlns:r="http://schemas.openxmlformats.org/officeDocument/2006/relationships" r:id="rId6" tooltip="Trade Ally/Vendor Information"/>
            <a:extLst>
              <a:ext uri="{FF2B5EF4-FFF2-40B4-BE49-F238E27FC236}">
                <a16:creationId xmlns:a16="http://schemas.microsoft.com/office/drawing/2014/main" id="{00000000-0008-0000-2600-00001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0" name="1: T&amp;C's">
            <a:hlinkClick xmlns:r="http://schemas.openxmlformats.org/officeDocument/2006/relationships" r:id="rId7" tooltip="Terms &amp; Conditions"/>
            <a:extLst>
              <a:ext uri="{FF2B5EF4-FFF2-40B4-BE49-F238E27FC236}">
                <a16:creationId xmlns:a16="http://schemas.microsoft.com/office/drawing/2014/main" id="{00000000-0008-0000-2600-00001E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3" name="Header">
          <a:extLst>
            <a:ext uri="{FF2B5EF4-FFF2-40B4-BE49-F238E27FC236}">
              <a16:creationId xmlns:a16="http://schemas.microsoft.com/office/drawing/2014/main" id="{00000000-0008-0000-2600-000017000000}"/>
            </a:ext>
          </a:extLst>
        </xdr:cNvPr>
        <xdr:cNvGrpSpPr/>
      </xdr:nvGrpSpPr>
      <xdr:grpSpPr>
        <a:xfrm>
          <a:off x="0" y="0"/>
          <a:ext cx="15345335" cy="605118"/>
          <a:chOff x="0" y="0"/>
          <a:chExt cx="15813741" cy="591671"/>
        </a:xfrm>
      </xdr:grpSpPr>
      <xdr:grpSp>
        <xdr:nvGrpSpPr>
          <xdr:cNvPr id="24" name="Header">
            <a:extLst>
              <a:ext uri="{FF2B5EF4-FFF2-40B4-BE49-F238E27FC236}">
                <a16:creationId xmlns:a16="http://schemas.microsoft.com/office/drawing/2014/main" id="{00000000-0008-0000-2600-000018000000}"/>
              </a:ext>
            </a:extLst>
          </xdr:cNvPr>
          <xdr:cNvGrpSpPr/>
        </xdr:nvGrpSpPr>
        <xdr:grpSpPr>
          <a:xfrm>
            <a:off x="0" y="0"/>
            <a:ext cx="15813741" cy="591671"/>
            <a:chOff x="0" y="0"/>
            <a:chExt cx="15813741" cy="591671"/>
          </a:xfrm>
        </xdr:grpSpPr>
        <xdr:sp macro="" textlink="">
          <xdr:nvSpPr>
            <xdr:cNvPr id="32" name="Reference">
              <a:extLst>
                <a:ext uri="{FF2B5EF4-FFF2-40B4-BE49-F238E27FC236}">
                  <a16:creationId xmlns:a16="http://schemas.microsoft.com/office/drawing/2014/main" id="{00000000-0008-0000-2600-000020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Contact">
              <a:hlinkClick xmlns:r="http://schemas.openxmlformats.org/officeDocument/2006/relationships" r:id="rId8" tooltip="Contact"/>
              <a:extLst>
                <a:ext uri="{FF2B5EF4-FFF2-40B4-BE49-F238E27FC236}">
                  <a16:creationId xmlns:a16="http://schemas.microsoft.com/office/drawing/2014/main" id="{00000000-0008-0000-2600-000021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9" tooltip=" "/>
              <a:extLst>
                <a:ext uri="{FF2B5EF4-FFF2-40B4-BE49-F238E27FC236}">
                  <a16:creationId xmlns:a16="http://schemas.microsoft.com/office/drawing/2014/main" id="{00000000-0008-0000-2600-000022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10" tooltip=" "/>
              <a:extLst>
                <a:ext uri="{FF2B5EF4-FFF2-40B4-BE49-F238E27FC236}">
                  <a16:creationId xmlns:a16="http://schemas.microsoft.com/office/drawing/2014/main" id="{00000000-0008-0000-2600-000023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structions">
              <a:hlinkClick xmlns:r="http://schemas.openxmlformats.org/officeDocument/2006/relationships" r:id="rId11" tooltip="Instructions"/>
              <a:extLst>
                <a:ext uri="{FF2B5EF4-FFF2-40B4-BE49-F238E27FC236}">
                  <a16:creationId xmlns:a16="http://schemas.microsoft.com/office/drawing/2014/main" id="{00000000-0008-0000-2600-000024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Welcome">
              <a:hlinkClick xmlns:r="http://schemas.openxmlformats.org/officeDocument/2006/relationships" r:id="rId12" tooltip="Welcome"/>
              <a:extLst>
                <a:ext uri="{FF2B5EF4-FFF2-40B4-BE49-F238E27FC236}">
                  <a16:creationId xmlns:a16="http://schemas.microsoft.com/office/drawing/2014/main" id="{00000000-0008-0000-2600-000025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8" name="Evergy Logo">
              <a:extLst>
                <a:ext uri="{FF2B5EF4-FFF2-40B4-BE49-F238E27FC236}">
                  <a16:creationId xmlns:a16="http://schemas.microsoft.com/office/drawing/2014/main" id="{00000000-0008-0000-2600-000026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9" name="State">
              <a:extLst>
                <a:ext uri="{FF2B5EF4-FFF2-40B4-BE49-F238E27FC236}">
                  <a16:creationId xmlns:a16="http://schemas.microsoft.com/office/drawing/2014/main" id="{00000000-0008-0000-2600-000027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5" name="Dividers">
            <a:extLst>
              <a:ext uri="{FF2B5EF4-FFF2-40B4-BE49-F238E27FC236}">
                <a16:creationId xmlns:a16="http://schemas.microsoft.com/office/drawing/2014/main" id="{00000000-0008-0000-2600-000019000000}"/>
              </a:ext>
            </a:extLst>
          </xdr:cNvPr>
          <xdr:cNvGrpSpPr/>
        </xdr:nvGrpSpPr>
        <xdr:grpSpPr>
          <a:xfrm>
            <a:off x="1613717" y="85337"/>
            <a:ext cx="11618762" cy="422893"/>
            <a:chOff x="1612951" y="85725"/>
            <a:chExt cx="11618931" cy="423022"/>
          </a:xfrm>
        </xdr:grpSpPr>
        <xdr:cxnSp macro="">
          <xdr:nvCxnSpPr>
            <xdr:cNvPr id="27" name="Divider 4">
              <a:extLst>
                <a:ext uri="{FF2B5EF4-FFF2-40B4-BE49-F238E27FC236}">
                  <a16:creationId xmlns:a16="http://schemas.microsoft.com/office/drawing/2014/main" id="{00000000-0008-0000-2600-00001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3">
              <a:extLst>
                <a:ext uri="{FF2B5EF4-FFF2-40B4-BE49-F238E27FC236}">
                  <a16:creationId xmlns:a16="http://schemas.microsoft.com/office/drawing/2014/main" id="{00000000-0008-0000-2600-00001C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2">
              <a:extLst>
                <a:ext uri="{FF2B5EF4-FFF2-40B4-BE49-F238E27FC236}">
                  <a16:creationId xmlns:a16="http://schemas.microsoft.com/office/drawing/2014/main" id="{00000000-0008-0000-2600-00001D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1">
              <a:extLst>
                <a:ext uri="{FF2B5EF4-FFF2-40B4-BE49-F238E27FC236}">
                  <a16:creationId xmlns:a16="http://schemas.microsoft.com/office/drawing/2014/main" id="{00000000-0008-0000-2600-00001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oneCellAnchor>
    <xdr:from>
      <xdr:col>46</xdr:col>
      <xdr:colOff>0</xdr:colOff>
      <xdr:row>8</xdr:row>
      <xdr:rowOff>189318</xdr:rowOff>
    </xdr:from>
    <xdr:ext cx="544188" cy="405042"/>
    <xdr:sp macro="" textlink="">
      <xdr:nvSpPr>
        <xdr:cNvPr id="2" name="Arrow: Right M2S1">
          <a:hlinkClick xmlns:r="http://schemas.openxmlformats.org/officeDocument/2006/relationships" r:id="rId1" tooltip="Forward: Trade Ally/Vendor Information"/>
          <a:extLst>
            <a:ext uri="{FF2B5EF4-FFF2-40B4-BE49-F238E27FC236}">
              <a16:creationId xmlns:a16="http://schemas.microsoft.com/office/drawing/2014/main" id="{00000000-0008-0000-0C00-000002000000}"/>
            </a:ext>
          </a:extLst>
        </xdr:cNvPr>
        <xdr:cNvSpPr/>
      </xdr:nvSpPr>
      <xdr:spPr>
        <a:xfrm>
          <a:off x="13495663" y="1768402"/>
          <a:ext cx="545473" cy="402839"/>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1</xdr:col>
      <xdr:colOff>100853</xdr:colOff>
      <xdr:row>8</xdr:row>
      <xdr:rowOff>189318</xdr:rowOff>
    </xdr:from>
    <xdr:ext cx="539227" cy="405042"/>
    <xdr:sp macro="" textlink="">
      <xdr:nvSpPr>
        <xdr:cNvPr id="25" name="Arrow: Left M2S1">
          <a:hlinkClick xmlns:r="http://schemas.openxmlformats.org/officeDocument/2006/relationships" r:id="rId2" tooltip="Back: Instructions"/>
          <a:extLst>
            <a:ext uri="{FF2B5EF4-FFF2-40B4-BE49-F238E27FC236}">
              <a16:creationId xmlns:a16="http://schemas.microsoft.com/office/drawing/2014/main" id="{00000000-0008-0000-0C00-000019000000}"/>
            </a:ext>
          </a:extLst>
        </xdr:cNvPr>
        <xdr:cNvSpPr/>
      </xdr:nvSpPr>
      <xdr:spPr>
        <a:xfrm>
          <a:off x="422178" y="1768402"/>
          <a:ext cx="541798" cy="402839"/>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xdr:from>
      <xdr:col>6</xdr:col>
      <xdr:colOff>302558</xdr:colOff>
      <xdr:row>13</xdr:row>
      <xdr:rowOff>145677</xdr:rowOff>
    </xdr:from>
    <xdr:to>
      <xdr:col>15</xdr:col>
      <xdr:colOff>257736</xdr:colOff>
      <xdr:row>14</xdr:row>
      <xdr:rowOff>179294</xdr:rowOff>
    </xdr:to>
    <xdr:sp macro="" textlink="">
      <xdr:nvSpPr>
        <xdr:cNvPr id="18" name="Download">
          <a:hlinkClick xmlns:r="http://schemas.openxmlformats.org/officeDocument/2006/relationships" r:id="rId3" tooltip="Download Terms and Conditions"/>
          <a:extLst>
            <a:ext uri="{FF2B5EF4-FFF2-40B4-BE49-F238E27FC236}">
              <a16:creationId xmlns:a16="http://schemas.microsoft.com/office/drawing/2014/main" id="{00000000-0008-0000-0C00-000012000000}"/>
            </a:ext>
          </a:extLst>
        </xdr:cNvPr>
        <xdr:cNvSpPr/>
      </xdr:nvSpPr>
      <xdr:spPr>
        <a:xfrm>
          <a:off x="1557617" y="2767853"/>
          <a:ext cx="2779060" cy="2353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24" name="Navigation">
          <a:extLst>
            <a:ext uri="{FF2B5EF4-FFF2-40B4-BE49-F238E27FC236}">
              <a16:creationId xmlns:a16="http://schemas.microsoft.com/office/drawing/2014/main" id="{00000000-0008-0000-0C00-000018000000}"/>
            </a:ext>
          </a:extLst>
        </xdr:cNvPr>
        <xdr:cNvGrpSpPr/>
      </xdr:nvGrpSpPr>
      <xdr:grpSpPr>
        <a:xfrm>
          <a:off x="2196353" y="605118"/>
          <a:ext cx="11217985" cy="1008529"/>
          <a:chOff x="1610956" y="594360"/>
          <a:chExt cx="11437620" cy="990600"/>
        </a:xfrm>
      </xdr:grpSpPr>
      <xdr:cxnSp macro="">
        <xdr:nvCxnSpPr>
          <xdr:cNvPr id="21" name="Reference">
            <a:extLst>
              <a:ext uri="{FF2B5EF4-FFF2-40B4-BE49-F238E27FC236}">
                <a16:creationId xmlns:a16="http://schemas.microsoft.com/office/drawing/2014/main" id="{00000000-0008-0000-0C00-000015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5" name="7: Project Review">
            <a:hlinkClick xmlns:r="http://schemas.openxmlformats.org/officeDocument/2006/relationships" r:id="rId4" tooltip="Project Review"/>
            <a:extLst>
              <a:ext uri="{FF2B5EF4-FFF2-40B4-BE49-F238E27FC236}">
                <a16:creationId xmlns:a16="http://schemas.microsoft.com/office/drawing/2014/main" id="{00000000-0008-0000-0C00-00000F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4" name="6: Payment">
            <a:hlinkClick xmlns:r="http://schemas.openxmlformats.org/officeDocument/2006/relationships" r:id="rId5" tooltip="Payment"/>
            <a:extLst>
              <a:ext uri="{FF2B5EF4-FFF2-40B4-BE49-F238E27FC236}">
                <a16:creationId xmlns:a16="http://schemas.microsoft.com/office/drawing/2014/main" id="{00000000-0008-0000-0C00-00000E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3" name="5: Equipment Input">
            <a:hlinkClick xmlns:r="http://schemas.openxmlformats.org/officeDocument/2006/relationships" r:id="rId6" tooltip="Equipment Input"/>
            <a:extLst>
              <a:ext uri="{FF2B5EF4-FFF2-40B4-BE49-F238E27FC236}">
                <a16:creationId xmlns:a16="http://schemas.microsoft.com/office/drawing/2014/main" id="{00000000-0008-0000-0C00-00000D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12" name="4: Building Information">
            <a:hlinkClick xmlns:r="http://schemas.openxmlformats.org/officeDocument/2006/relationships" r:id="rId7" tooltip="Building Information"/>
            <a:extLst>
              <a:ext uri="{FF2B5EF4-FFF2-40B4-BE49-F238E27FC236}">
                <a16:creationId xmlns:a16="http://schemas.microsoft.com/office/drawing/2014/main" id="{00000000-0008-0000-0C00-00000C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1" name="3: Customer Information">
            <a:hlinkClick xmlns:r="http://schemas.openxmlformats.org/officeDocument/2006/relationships" r:id="rId8" tooltip="Customer Information"/>
            <a:extLst>
              <a:ext uri="{FF2B5EF4-FFF2-40B4-BE49-F238E27FC236}">
                <a16:creationId xmlns:a16="http://schemas.microsoft.com/office/drawing/2014/main" id="{00000000-0008-0000-0C00-00000B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10" name="2: Trade Ally Info">
            <a:hlinkClick xmlns:r="http://schemas.openxmlformats.org/officeDocument/2006/relationships" r:id="rId1" tooltip="Trade Ally/Vendor Information"/>
            <a:extLst>
              <a:ext uri="{FF2B5EF4-FFF2-40B4-BE49-F238E27FC236}">
                <a16:creationId xmlns:a16="http://schemas.microsoft.com/office/drawing/2014/main" id="{00000000-0008-0000-0C00-00000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9" name="1: T&amp;C's">
            <a:hlinkClick xmlns:r="http://schemas.openxmlformats.org/officeDocument/2006/relationships" r:id="rId9" tooltip="Terms &amp; Conditions"/>
            <a:extLst>
              <a:ext uri="{FF2B5EF4-FFF2-40B4-BE49-F238E27FC236}">
                <a16:creationId xmlns:a16="http://schemas.microsoft.com/office/drawing/2014/main" id="{00000000-0008-0000-0C00-000009000000}"/>
              </a:ext>
            </a:extLst>
          </xdr:cNvPr>
          <xdr:cNvSpPr/>
        </xdr:nvSpPr>
        <xdr:spPr>
          <a:xfrm>
            <a:off x="1610956"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8" name="Header">
          <a:extLst>
            <a:ext uri="{FF2B5EF4-FFF2-40B4-BE49-F238E27FC236}">
              <a16:creationId xmlns:a16="http://schemas.microsoft.com/office/drawing/2014/main" id="{00000000-0008-0000-0C00-00001C000000}"/>
            </a:ext>
          </a:extLst>
        </xdr:cNvPr>
        <xdr:cNvGrpSpPr/>
      </xdr:nvGrpSpPr>
      <xdr:grpSpPr>
        <a:xfrm>
          <a:off x="0" y="0"/>
          <a:ext cx="15374471" cy="605118"/>
          <a:chOff x="0" y="0"/>
          <a:chExt cx="15813741" cy="591671"/>
        </a:xfrm>
      </xdr:grpSpPr>
      <xdr:grpSp>
        <xdr:nvGrpSpPr>
          <xdr:cNvPr id="29" name="Header">
            <a:extLst>
              <a:ext uri="{FF2B5EF4-FFF2-40B4-BE49-F238E27FC236}">
                <a16:creationId xmlns:a16="http://schemas.microsoft.com/office/drawing/2014/main" id="{00000000-0008-0000-0C00-00001D000000}"/>
              </a:ext>
            </a:extLst>
          </xdr:cNvPr>
          <xdr:cNvGrpSpPr/>
        </xdr:nvGrpSpPr>
        <xdr:grpSpPr>
          <a:xfrm>
            <a:off x="0" y="0"/>
            <a:ext cx="15813741" cy="591671"/>
            <a:chOff x="0" y="0"/>
            <a:chExt cx="15813741" cy="591671"/>
          </a:xfrm>
        </xdr:grpSpPr>
        <xdr:sp macro="" textlink="">
          <xdr:nvSpPr>
            <xdr:cNvPr id="35" name="Reference">
              <a:extLst>
                <a:ext uri="{FF2B5EF4-FFF2-40B4-BE49-F238E27FC236}">
                  <a16:creationId xmlns:a16="http://schemas.microsoft.com/office/drawing/2014/main" id="{00000000-0008-0000-0C00-000023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ntact">
              <a:hlinkClick xmlns:r="http://schemas.openxmlformats.org/officeDocument/2006/relationships" r:id="rId10" tooltip="Contact"/>
              <a:extLst>
                <a:ext uri="{FF2B5EF4-FFF2-40B4-BE49-F238E27FC236}">
                  <a16:creationId xmlns:a16="http://schemas.microsoft.com/office/drawing/2014/main" id="{00000000-0008-0000-0C00-000024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mpletion Form">
              <a:hlinkClick xmlns:r="http://schemas.openxmlformats.org/officeDocument/2006/relationships" r:id="rId11" tooltip=" "/>
              <a:extLst>
                <a:ext uri="{FF2B5EF4-FFF2-40B4-BE49-F238E27FC236}">
                  <a16:creationId xmlns:a16="http://schemas.microsoft.com/office/drawing/2014/main" id="{00000000-0008-0000-0C00-000025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Offer Form">
              <a:hlinkClick xmlns:r="http://schemas.openxmlformats.org/officeDocument/2006/relationships" r:id="rId12" tooltip=" "/>
              <a:extLst>
                <a:ext uri="{FF2B5EF4-FFF2-40B4-BE49-F238E27FC236}">
                  <a16:creationId xmlns:a16="http://schemas.microsoft.com/office/drawing/2014/main" id="{00000000-0008-0000-0C00-000026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Instructions">
              <a:hlinkClick xmlns:r="http://schemas.openxmlformats.org/officeDocument/2006/relationships" r:id="rId2" tooltip="Instructions"/>
              <a:extLst>
                <a:ext uri="{FF2B5EF4-FFF2-40B4-BE49-F238E27FC236}">
                  <a16:creationId xmlns:a16="http://schemas.microsoft.com/office/drawing/2014/main" id="{00000000-0008-0000-0C00-000027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Welcome">
              <a:hlinkClick xmlns:r="http://schemas.openxmlformats.org/officeDocument/2006/relationships" r:id="rId13" tooltip="Welcome"/>
              <a:extLst>
                <a:ext uri="{FF2B5EF4-FFF2-40B4-BE49-F238E27FC236}">
                  <a16:creationId xmlns:a16="http://schemas.microsoft.com/office/drawing/2014/main" id="{00000000-0008-0000-0C00-000028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1" name="Evergy Logo">
              <a:extLst>
                <a:ext uri="{FF2B5EF4-FFF2-40B4-BE49-F238E27FC236}">
                  <a16:creationId xmlns:a16="http://schemas.microsoft.com/office/drawing/2014/main" id="{00000000-0008-0000-0C00-000029000000}"/>
                </a:ext>
              </a:extLst>
            </xdr:cNvPr>
            <xdr:cNvPicPr>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2" name="State">
              <a:extLst>
                <a:ext uri="{FF2B5EF4-FFF2-40B4-BE49-F238E27FC236}">
                  <a16:creationId xmlns:a16="http://schemas.microsoft.com/office/drawing/2014/main" id="{00000000-0008-0000-0C00-00002A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0" name="Dividers">
            <a:extLst>
              <a:ext uri="{FF2B5EF4-FFF2-40B4-BE49-F238E27FC236}">
                <a16:creationId xmlns:a16="http://schemas.microsoft.com/office/drawing/2014/main" id="{00000000-0008-0000-0C00-00001E000000}"/>
              </a:ext>
            </a:extLst>
          </xdr:cNvPr>
          <xdr:cNvGrpSpPr/>
        </xdr:nvGrpSpPr>
        <xdr:grpSpPr>
          <a:xfrm>
            <a:off x="1613717" y="85337"/>
            <a:ext cx="11618762" cy="422893"/>
            <a:chOff x="1612951" y="85725"/>
            <a:chExt cx="11618931" cy="423022"/>
          </a:xfrm>
        </xdr:grpSpPr>
        <xdr:cxnSp macro="">
          <xdr:nvCxnSpPr>
            <xdr:cNvPr id="31" name="Divider 4">
              <a:extLst>
                <a:ext uri="{FF2B5EF4-FFF2-40B4-BE49-F238E27FC236}">
                  <a16:creationId xmlns:a16="http://schemas.microsoft.com/office/drawing/2014/main" id="{00000000-0008-0000-0C00-00001F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0C00-00002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0C00-00002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0C00-00002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oneCellAnchor>
    <xdr:from>
      <xdr:col>46</xdr:col>
      <xdr:colOff>5602</xdr:colOff>
      <xdr:row>8</xdr:row>
      <xdr:rowOff>194311</xdr:rowOff>
    </xdr:from>
    <xdr:ext cx="539496" cy="404308"/>
    <xdr:sp macro="" textlink="">
      <xdr:nvSpPr>
        <xdr:cNvPr id="15" name="Arrow: Right 14">
          <a:hlinkClick xmlns:r="http://schemas.openxmlformats.org/officeDocument/2006/relationships" r:id="rId1" tooltip="Forward: Customer Information"/>
          <a:extLst>
            <a:ext uri="{FF2B5EF4-FFF2-40B4-BE49-F238E27FC236}">
              <a16:creationId xmlns:a16="http://schemas.microsoft.com/office/drawing/2014/main" id="{00000000-0008-0000-0D00-00000F000000}"/>
            </a:ext>
          </a:extLst>
        </xdr:cNvPr>
        <xdr:cNvSpPr/>
      </xdr:nvSpPr>
      <xdr:spPr>
        <a:xfrm>
          <a:off x="13447282" y="1779271"/>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1</xdr:col>
      <xdr:colOff>94869</xdr:colOff>
      <xdr:row>8</xdr:row>
      <xdr:rowOff>193862</xdr:rowOff>
    </xdr:from>
    <xdr:ext cx="539496" cy="404308"/>
    <xdr:sp macro="" textlink="">
      <xdr:nvSpPr>
        <xdr:cNvPr id="16" name="Arrow: Left 15">
          <a:hlinkClick xmlns:r="http://schemas.openxmlformats.org/officeDocument/2006/relationships" r:id="rId2" tooltip="Back: Terms &amp; Conditions"/>
          <a:extLst>
            <a:ext uri="{FF2B5EF4-FFF2-40B4-BE49-F238E27FC236}">
              <a16:creationId xmlns:a16="http://schemas.microsoft.com/office/drawing/2014/main" id="{00000000-0008-0000-0D00-000010000000}"/>
            </a:ext>
          </a:extLst>
        </xdr:cNvPr>
        <xdr:cNvSpPr/>
      </xdr:nvSpPr>
      <xdr:spPr>
        <a:xfrm>
          <a:off x="414909" y="1778822"/>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editAs="oneCell">
    <xdr:from>
      <xdr:col>7</xdr:col>
      <xdr:colOff>0</xdr:colOff>
      <xdr:row>3</xdr:row>
      <xdr:rowOff>0</xdr:rowOff>
    </xdr:from>
    <xdr:to>
      <xdr:col>42</xdr:col>
      <xdr:colOff>236220</xdr:colOff>
      <xdr:row>8</xdr:row>
      <xdr:rowOff>0</xdr:rowOff>
    </xdr:to>
    <xdr:grpSp>
      <xdr:nvGrpSpPr>
        <xdr:cNvPr id="49" name="Navigation">
          <a:extLst>
            <a:ext uri="{FF2B5EF4-FFF2-40B4-BE49-F238E27FC236}">
              <a16:creationId xmlns:a16="http://schemas.microsoft.com/office/drawing/2014/main" id="{00000000-0008-0000-0D00-000031000000}"/>
            </a:ext>
          </a:extLst>
        </xdr:cNvPr>
        <xdr:cNvGrpSpPr/>
      </xdr:nvGrpSpPr>
      <xdr:grpSpPr>
        <a:xfrm>
          <a:off x="2196353" y="605118"/>
          <a:ext cx="11217985" cy="1008529"/>
          <a:chOff x="1610956" y="594360"/>
          <a:chExt cx="11437620" cy="990600"/>
        </a:xfrm>
      </xdr:grpSpPr>
      <xdr:cxnSp macro="">
        <xdr:nvCxnSpPr>
          <xdr:cNvPr id="57" name="Reference">
            <a:extLst>
              <a:ext uri="{FF2B5EF4-FFF2-40B4-BE49-F238E27FC236}">
                <a16:creationId xmlns:a16="http://schemas.microsoft.com/office/drawing/2014/main" id="{00000000-0008-0000-0D00-000039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50" name="7: Project Review">
            <a:hlinkClick xmlns:r="http://schemas.openxmlformats.org/officeDocument/2006/relationships" r:id="rId3" tooltip="Project Review"/>
            <a:extLst>
              <a:ext uri="{FF2B5EF4-FFF2-40B4-BE49-F238E27FC236}">
                <a16:creationId xmlns:a16="http://schemas.microsoft.com/office/drawing/2014/main" id="{00000000-0008-0000-0D00-00003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51" name="6: Payment">
            <a:hlinkClick xmlns:r="http://schemas.openxmlformats.org/officeDocument/2006/relationships" r:id="rId4" tooltip="Payment"/>
            <a:extLst>
              <a:ext uri="{FF2B5EF4-FFF2-40B4-BE49-F238E27FC236}">
                <a16:creationId xmlns:a16="http://schemas.microsoft.com/office/drawing/2014/main" id="{00000000-0008-0000-0D00-00003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52" name="5: Equipment Input">
            <a:hlinkClick xmlns:r="http://schemas.openxmlformats.org/officeDocument/2006/relationships" r:id="rId5" tooltip="Equipment Input"/>
            <a:extLst>
              <a:ext uri="{FF2B5EF4-FFF2-40B4-BE49-F238E27FC236}">
                <a16:creationId xmlns:a16="http://schemas.microsoft.com/office/drawing/2014/main" id="{00000000-0008-0000-0D00-000034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53" name="4: Building Information">
            <a:hlinkClick xmlns:r="http://schemas.openxmlformats.org/officeDocument/2006/relationships" r:id="rId6" tooltip="Building Information"/>
            <a:extLst>
              <a:ext uri="{FF2B5EF4-FFF2-40B4-BE49-F238E27FC236}">
                <a16:creationId xmlns:a16="http://schemas.microsoft.com/office/drawing/2014/main" id="{00000000-0008-0000-0D00-00003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54" name="3: Customer Information">
            <a:hlinkClick xmlns:r="http://schemas.openxmlformats.org/officeDocument/2006/relationships" r:id="rId1" tooltip="Customer Information"/>
            <a:extLst>
              <a:ext uri="{FF2B5EF4-FFF2-40B4-BE49-F238E27FC236}">
                <a16:creationId xmlns:a16="http://schemas.microsoft.com/office/drawing/2014/main" id="{00000000-0008-0000-0D00-00003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55" name="2: Trade Ally Info">
            <a:hlinkClick xmlns:r="http://schemas.openxmlformats.org/officeDocument/2006/relationships" r:id="rId7" tooltip="Trade Ally/Vendor Information"/>
            <a:extLst>
              <a:ext uri="{FF2B5EF4-FFF2-40B4-BE49-F238E27FC236}">
                <a16:creationId xmlns:a16="http://schemas.microsoft.com/office/drawing/2014/main" id="{00000000-0008-0000-0D00-000037000000}"/>
              </a:ext>
            </a:extLst>
          </xdr:cNvPr>
          <xdr:cNvSpPr/>
        </xdr:nvSpPr>
        <xdr:spPr>
          <a:xfrm>
            <a:off x="3203536"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56" name="1: T&amp;C's">
            <a:hlinkClick xmlns:r="http://schemas.openxmlformats.org/officeDocument/2006/relationships" r:id="rId2" tooltip="Terms &amp; Conditions"/>
            <a:extLst>
              <a:ext uri="{FF2B5EF4-FFF2-40B4-BE49-F238E27FC236}">
                <a16:creationId xmlns:a16="http://schemas.microsoft.com/office/drawing/2014/main" id="{00000000-0008-0000-0D00-00003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18" name="Header">
          <a:extLst>
            <a:ext uri="{FF2B5EF4-FFF2-40B4-BE49-F238E27FC236}">
              <a16:creationId xmlns:a16="http://schemas.microsoft.com/office/drawing/2014/main" id="{00000000-0008-0000-0D00-000012000000}"/>
            </a:ext>
          </a:extLst>
        </xdr:cNvPr>
        <xdr:cNvGrpSpPr/>
      </xdr:nvGrpSpPr>
      <xdr:grpSpPr>
        <a:xfrm>
          <a:off x="0" y="0"/>
          <a:ext cx="15374471" cy="605118"/>
          <a:chOff x="0" y="0"/>
          <a:chExt cx="15813741" cy="591671"/>
        </a:xfrm>
      </xdr:grpSpPr>
      <xdr:grpSp>
        <xdr:nvGrpSpPr>
          <xdr:cNvPr id="19" name="Header">
            <a:extLst>
              <a:ext uri="{FF2B5EF4-FFF2-40B4-BE49-F238E27FC236}">
                <a16:creationId xmlns:a16="http://schemas.microsoft.com/office/drawing/2014/main" id="{00000000-0008-0000-0D00-000013000000}"/>
              </a:ext>
            </a:extLst>
          </xdr:cNvPr>
          <xdr:cNvGrpSpPr/>
        </xdr:nvGrpSpPr>
        <xdr:grpSpPr>
          <a:xfrm>
            <a:off x="0" y="0"/>
            <a:ext cx="15813741" cy="591671"/>
            <a:chOff x="0" y="0"/>
            <a:chExt cx="15813741" cy="591671"/>
          </a:xfrm>
        </xdr:grpSpPr>
        <xdr:sp macro="" textlink="">
          <xdr:nvSpPr>
            <xdr:cNvPr id="25" name="Reference">
              <a:extLst>
                <a:ext uri="{FF2B5EF4-FFF2-40B4-BE49-F238E27FC236}">
                  <a16:creationId xmlns:a16="http://schemas.microsoft.com/office/drawing/2014/main" id="{00000000-0008-0000-0D00-000019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ontact">
              <a:hlinkClick xmlns:r="http://schemas.openxmlformats.org/officeDocument/2006/relationships" r:id="rId8" tooltip="Contact"/>
              <a:extLst>
                <a:ext uri="{FF2B5EF4-FFF2-40B4-BE49-F238E27FC236}">
                  <a16:creationId xmlns:a16="http://schemas.microsoft.com/office/drawing/2014/main" id="{00000000-0008-0000-0D00-00001A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Completion Form">
              <a:hlinkClick xmlns:r="http://schemas.openxmlformats.org/officeDocument/2006/relationships" r:id="rId9" tooltip=" "/>
              <a:extLst>
                <a:ext uri="{FF2B5EF4-FFF2-40B4-BE49-F238E27FC236}">
                  <a16:creationId xmlns:a16="http://schemas.microsoft.com/office/drawing/2014/main" id="{00000000-0008-0000-0D00-00001B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Offer Form">
              <a:hlinkClick xmlns:r="http://schemas.openxmlformats.org/officeDocument/2006/relationships" r:id="rId10" tooltip=" "/>
              <a:extLst>
                <a:ext uri="{FF2B5EF4-FFF2-40B4-BE49-F238E27FC236}">
                  <a16:creationId xmlns:a16="http://schemas.microsoft.com/office/drawing/2014/main" id="{00000000-0008-0000-0D00-00001C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Instructions">
              <a:hlinkClick xmlns:r="http://schemas.openxmlformats.org/officeDocument/2006/relationships" r:id="rId11" tooltip="Instructions"/>
              <a:extLst>
                <a:ext uri="{FF2B5EF4-FFF2-40B4-BE49-F238E27FC236}">
                  <a16:creationId xmlns:a16="http://schemas.microsoft.com/office/drawing/2014/main" id="{00000000-0008-0000-0D00-00001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Welcome">
              <a:hlinkClick xmlns:r="http://schemas.openxmlformats.org/officeDocument/2006/relationships" r:id="rId12" tooltip="Welcome"/>
              <a:extLst>
                <a:ext uri="{FF2B5EF4-FFF2-40B4-BE49-F238E27FC236}">
                  <a16:creationId xmlns:a16="http://schemas.microsoft.com/office/drawing/2014/main" id="{00000000-0008-0000-0D00-00001E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1" name="Evergy Logo">
              <a:extLst>
                <a:ext uri="{FF2B5EF4-FFF2-40B4-BE49-F238E27FC236}">
                  <a16:creationId xmlns:a16="http://schemas.microsoft.com/office/drawing/2014/main" id="{00000000-0008-0000-0D00-00001F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2" name="State">
              <a:extLst>
                <a:ext uri="{FF2B5EF4-FFF2-40B4-BE49-F238E27FC236}">
                  <a16:creationId xmlns:a16="http://schemas.microsoft.com/office/drawing/2014/main" id="{00000000-0008-0000-0D00-00002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0" name="Dividers">
            <a:extLst>
              <a:ext uri="{FF2B5EF4-FFF2-40B4-BE49-F238E27FC236}">
                <a16:creationId xmlns:a16="http://schemas.microsoft.com/office/drawing/2014/main" id="{00000000-0008-0000-0D00-000014000000}"/>
              </a:ext>
            </a:extLst>
          </xdr:cNvPr>
          <xdr:cNvGrpSpPr/>
        </xdr:nvGrpSpPr>
        <xdr:grpSpPr>
          <a:xfrm>
            <a:off x="1613717" y="85337"/>
            <a:ext cx="11618762" cy="422893"/>
            <a:chOff x="1612951" y="85725"/>
            <a:chExt cx="11618931" cy="423022"/>
          </a:xfrm>
        </xdr:grpSpPr>
        <xdr:cxnSp macro="">
          <xdr:nvCxnSpPr>
            <xdr:cNvPr id="21" name="Divider 4">
              <a:extLst>
                <a:ext uri="{FF2B5EF4-FFF2-40B4-BE49-F238E27FC236}">
                  <a16:creationId xmlns:a16="http://schemas.microsoft.com/office/drawing/2014/main" id="{00000000-0008-0000-0D00-00001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3">
              <a:extLst>
                <a:ext uri="{FF2B5EF4-FFF2-40B4-BE49-F238E27FC236}">
                  <a16:creationId xmlns:a16="http://schemas.microsoft.com/office/drawing/2014/main" id="{00000000-0008-0000-0D00-00001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2">
              <a:extLst>
                <a:ext uri="{FF2B5EF4-FFF2-40B4-BE49-F238E27FC236}">
                  <a16:creationId xmlns:a16="http://schemas.microsoft.com/office/drawing/2014/main" id="{00000000-0008-0000-0D00-00001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 name="Divider 1">
              <a:extLst>
                <a:ext uri="{FF2B5EF4-FFF2-40B4-BE49-F238E27FC236}">
                  <a16:creationId xmlns:a16="http://schemas.microsoft.com/office/drawing/2014/main" id="{00000000-0008-0000-0D00-00001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46</xdr:col>
      <xdr:colOff>8004</xdr:colOff>
      <xdr:row>8</xdr:row>
      <xdr:rowOff>196904</xdr:rowOff>
    </xdr:from>
    <xdr:to>
      <xdr:col>47</xdr:col>
      <xdr:colOff>227588</xdr:colOff>
      <xdr:row>11</xdr:row>
      <xdr:rowOff>6468</xdr:rowOff>
    </xdr:to>
    <xdr:sp macro="" textlink="">
      <xdr:nvSpPr>
        <xdr:cNvPr id="15" name="Arrow: Right M2S3">
          <a:hlinkClick xmlns:r="http://schemas.openxmlformats.org/officeDocument/2006/relationships" r:id="rId1" tooltip="Forward: Building Information"/>
          <a:extLst>
            <a:ext uri="{FF2B5EF4-FFF2-40B4-BE49-F238E27FC236}">
              <a16:creationId xmlns:a16="http://schemas.microsoft.com/office/drawing/2014/main" id="{00000000-0008-0000-0E00-00000F000000}"/>
            </a:ext>
          </a:extLst>
        </xdr:cNvPr>
        <xdr:cNvSpPr/>
      </xdr:nvSpPr>
      <xdr:spPr>
        <a:xfrm>
          <a:off x="13455063" y="1784938"/>
          <a:ext cx="539752" cy="405076"/>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94448</xdr:colOff>
      <xdr:row>8</xdr:row>
      <xdr:rowOff>196905</xdr:rowOff>
    </xdr:from>
    <xdr:to>
      <xdr:col>3</xdr:col>
      <xdr:colOff>267</xdr:colOff>
      <xdr:row>11</xdr:row>
      <xdr:rowOff>6469</xdr:rowOff>
    </xdr:to>
    <xdr:sp macro="" textlink="">
      <xdr:nvSpPr>
        <xdr:cNvPr id="16" name="Arrow: Left M2S3">
          <a:hlinkClick xmlns:r="http://schemas.openxmlformats.org/officeDocument/2006/relationships" r:id="rId2" tooltip="Back: Trade Ally/Vendor Information"/>
          <a:extLst>
            <a:ext uri="{FF2B5EF4-FFF2-40B4-BE49-F238E27FC236}">
              <a16:creationId xmlns:a16="http://schemas.microsoft.com/office/drawing/2014/main" id="{00000000-0008-0000-0E00-000010000000}"/>
            </a:ext>
          </a:extLst>
        </xdr:cNvPr>
        <xdr:cNvSpPr/>
      </xdr:nvSpPr>
      <xdr:spPr>
        <a:xfrm>
          <a:off x="414616" y="1784939"/>
          <a:ext cx="539752" cy="40507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17" name="Navigation">
          <a:extLst>
            <a:ext uri="{FF2B5EF4-FFF2-40B4-BE49-F238E27FC236}">
              <a16:creationId xmlns:a16="http://schemas.microsoft.com/office/drawing/2014/main" id="{00000000-0008-0000-0E00-000011000000}"/>
            </a:ext>
          </a:extLst>
        </xdr:cNvPr>
        <xdr:cNvGrpSpPr/>
      </xdr:nvGrpSpPr>
      <xdr:grpSpPr>
        <a:xfrm>
          <a:off x="2196353" y="605118"/>
          <a:ext cx="11217985" cy="1008529"/>
          <a:chOff x="1610956" y="594360"/>
          <a:chExt cx="11437620" cy="990600"/>
        </a:xfrm>
      </xdr:grpSpPr>
      <xdr:cxnSp macro="">
        <xdr:nvCxnSpPr>
          <xdr:cNvPr id="26" name="Reference">
            <a:extLst>
              <a:ext uri="{FF2B5EF4-FFF2-40B4-BE49-F238E27FC236}">
                <a16:creationId xmlns:a16="http://schemas.microsoft.com/office/drawing/2014/main" id="{00000000-0008-0000-0E00-00001A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3" tooltip="Project Review"/>
            <a:extLst>
              <a:ext uri="{FF2B5EF4-FFF2-40B4-BE49-F238E27FC236}">
                <a16:creationId xmlns:a16="http://schemas.microsoft.com/office/drawing/2014/main" id="{00000000-0008-0000-0E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4" tooltip="Payment"/>
            <a:extLst>
              <a:ext uri="{FF2B5EF4-FFF2-40B4-BE49-F238E27FC236}">
                <a16:creationId xmlns:a16="http://schemas.microsoft.com/office/drawing/2014/main" id="{00000000-0008-0000-0E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5" tooltip="Equipment Input"/>
            <a:extLst>
              <a:ext uri="{FF2B5EF4-FFF2-40B4-BE49-F238E27FC236}">
                <a16:creationId xmlns:a16="http://schemas.microsoft.com/office/drawing/2014/main" id="{00000000-0008-0000-0E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 tooltip="Building Information"/>
            <a:extLst>
              <a:ext uri="{FF2B5EF4-FFF2-40B4-BE49-F238E27FC236}">
                <a16:creationId xmlns:a16="http://schemas.microsoft.com/office/drawing/2014/main" id="{00000000-0008-0000-0E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6" tooltip="Customer Information"/>
            <a:extLst>
              <a:ext uri="{FF2B5EF4-FFF2-40B4-BE49-F238E27FC236}">
                <a16:creationId xmlns:a16="http://schemas.microsoft.com/office/drawing/2014/main" id="{00000000-0008-0000-0E00-000017000000}"/>
              </a:ext>
            </a:extLst>
          </xdr:cNvPr>
          <xdr:cNvSpPr/>
        </xdr:nvSpPr>
        <xdr:spPr>
          <a:xfrm>
            <a:off x="4792542" y="653805"/>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2" tooltip="Trade Ally/Vendor Information"/>
            <a:extLst>
              <a:ext uri="{FF2B5EF4-FFF2-40B4-BE49-F238E27FC236}">
                <a16:creationId xmlns:a16="http://schemas.microsoft.com/office/drawing/2014/main" id="{00000000-0008-0000-0E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7" tooltip="Terms &amp; Conditions"/>
            <a:extLst>
              <a:ext uri="{FF2B5EF4-FFF2-40B4-BE49-F238E27FC236}">
                <a16:creationId xmlns:a16="http://schemas.microsoft.com/office/drawing/2014/main" id="{00000000-0008-0000-0E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7" name="Header">
          <a:extLst>
            <a:ext uri="{FF2B5EF4-FFF2-40B4-BE49-F238E27FC236}">
              <a16:creationId xmlns:a16="http://schemas.microsoft.com/office/drawing/2014/main" id="{00000000-0008-0000-0E00-00001B000000}"/>
            </a:ext>
          </a:extLst>
        </xdr:cNvPr>
        <xdr:cNvGrpSpPr/>
      </xdr:nvGrpSpPr>
      <xdr:grpSpPr>
        <a:xfrm>
          <a:off x="0" y="0"/>
          <a:ext cx="15374471" cy="605118"/>
          <a:chOff x="0" y="0"/>
          <a:chExt cx="15813741" cy="591671"/>
        </a:xfrm>
      </xdr:grpSpPr>
      <xdr:grpSp>
        <xdr:nvGrpSpPr>
          <xdr:cNvPr id="28" name="Header">
            <a:extLst>
              <a:ext uri="{FF2B5EF4-FFF2-40B4-BE49-F238E27FC236}">
                <a16:creationId xmlns:a16="http://schemas.microsoft.com/office/drawing/2014/main" id="{00000000-0008-0000-0E00-00001C000000}"/>
              </a:ext>
            </a:extLst>
          </xdr:cNvPr>
          <xdr:cNvGrpSpPr/>
        </xdr:nvGrpSpPr>
        <xdr:grpSpPr>
          <a:xfrm>
            <a:off x="0" y="0"/>
            <a:ext cx="15813741" cy="591671"/>
            <a:chOff x="0" y="0"/>
            <a:chExt cx="15813741" cy="591671"/>
          </a:xfrm>
        </xdr:grpSpPr>
        <xdr:sp macro="" textlink="">
          <xdr:nvSpPr>
            <xdr:cNvPr id="34" name="Reference">
              <a:extLst>
                <a:ext uri="{FF2B5EF4-FFF2-40B4-BE49-F238E27FC236}">
                  <a16:creationId xmlns:a16="http://schemas.microsoft.com/office/drawing/2014/main" id="{00000000-0008-0000-0E00-00002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8" tooltip="Contact"/>
              <a:extLst>
                <a:ext uri="{FF2B5EF4-FFF2-40B4-BE49-F238E27FC236}">
                  <a16:creationId xmlns:a16="http://schemas.microsoft.com/office/drawing/2014/main" id="{00000000-0008-0000-0E00-000023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9" tooltip=" "/>
              <a:extLst>
                <a:ext uri="{FF2B5EF4-FFF2-40B4-BE49-F238E27FC236}">
                  <a16:creationId xmlns:a16="http://schemas.microsoft.com/office/drawing/2014/main" id="{00000000-0008-0000-0E00-000024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0" tooltip=" "/>
              <a:extLst>
                <a:ext uri="{FF2B5EF4-FFF2-40B4-BE49-F238E27FC236}">
                  <a16:creationId xmlns:a16="http://schemas.microsoft.com/office/drawing/2014/main" id="{00000000-0008-0000-0E00-000025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structions">
              <a:hlinkClick xmlns:r="http://schemas.openxmlformats.org/officeDocument/2006/relationships" r:id="rId11" tooltip="Instructions"/>
              <a:extLst>
                <a:ext uri="{FF2B5EF4-FFF2-40B4-BE49-F238E27FC236}">
                  <a16:creationId xmlns:a16="http://schemas.microsoft.com/office/drawing/2014/main" id="{00000000-0008-0000-0E00-000026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Welcome">
              <a:hlinkClick xmlns:r="http://schemas.openxmlformats.org/officeDocument/2006/relationships" r:id="rId12" tooltip="Welcome"/>
              <a:extLst>
                <a:ext uri="{FF2B5EF4-FFF2-40B4-BE49-F238E27FC236}">
                  <a16:creationId xmlns:a16="http://schemas.microsoft.com/office/drawing/2014/main" id="{00000000-0008-0000-0E00-000027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0E00-000028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1" name="State">
              <a:extLst>
                <a:ext uri="{FF2B5EF4-FFF2-40B4-BE49-F238E27FC236}">
                  <a16:creationId xmlns:a16="http://schemas.microsoft.com/office/drawing/2014/main" id="{00000000-0008-0000-0E00-000029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9" name="Dividers">
            <a:extLst>
              <a:ext uri="{FF2B5EF4-FFF2-40B4-BE49-F238E27FC236}">
                <a16:creationId xmlns:a16="http://schemas.microsoft.com/office/drawing/2014/main" id="{00000000-0008-0000-0E00-00001D000000}"/>
              </a:ext>
            </a:extLst>
          </xdr:cNvPr>
          <xdr:cNvGrpSpPr/>
        </xdr:nvGrpSpPr>
        <xdr:grpSpPr>
          <a:xfrm>
            <a:off x="1613717" y="85337"/>
            <a:ext cx="11618762" cy="422893"/>
            <a:chOff x="1612951" y="85725"/>
            <a:chExt cx="11618931" cy="423022"/>
          </a:xfrm>
        </xdr:grpSpPr>
        <xdr:cxnSp macro="">
          <xdr:nvCxnSpPr>
            <xdr:cNvPr id="30" name="Divider 4">
              <a:extLst>
                <a:ext uri="{FF2B5EF4-FFF2-40B4-BE49-F238E27FC236}">
                  <a16:creationId xmlns:a16="http://schemas.microsoft.com/office/drawing/2014/main" id="{00000000-0008-0000-0E00-00001E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3">
              <a:extLst>
                <a:ext uri="{FF2B5EF4-FFF2-40B4-BE49-F238E27FC236}">
                  <a16:creationId xmlns:a16="http://schemas.microsoft.com/office/drawing/2014/main" id="{00000000-0008-0000-0E00-00001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2">
              <a:extLst>
                <a:ext uri="{FF2B5EF4-FFF2-40B4-BE49-F238E27FC236}">
                  <a16:creationId xmlns:a16="http://schemas.microsoft.com/office/drawing/2014/main" id="{00000000-0008-0000-0E00-00002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1">
              <a:extLst>
                <a:ext uri="{FF2B5EF4-FFF2-40B4-BE49-F238E27FC236}">
                  <a16:creationId xmlns:a16="http://schemas.microsoft.com/office/drawing/2014/main" id="{00000000-0008-0000-0E00-00002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46</xdr:col>
      <xdr:colOff>5602</xdr:colOff>
      <xdr:row>8</xdr:row>
      <xdr:rowOff>193303</xdr:rowOff>
    </xdr:from>
    <xdr:to>
      <xdr:col>47</xdr:col>
      <xdr:colOff>224385</xdr:colOff>
      <xdr:row>11</xdr:row>
      <xdr:rowOff>2466</xdr:rowOff>
    </xdr:to>
    <xdr:sp macro="" textlink="">
      <xdr:nvSpPr>
        <xdr:cNvPr id="15" name="Arrow: Right M2S4">
          <a:hlinkClick xmlns:r="http://schemas.openxmlformats.org/officeDocument/2006/relationships" r:id="rId1" tooltip="Forward: Equipment Input"/>
          <a:extLst>
            <a:ext uri="{FF2B5EF4-FFF2-40B4-BE49-F238E27FC236}">
              <a16:creationId xmlns:a16="http://schemas.microsoft.com/office/drawing/2014/main" id="{00000000-0008-0000-0F00-00000F000000}"/>
            </a:ext>
          </a:extLst>
        </xdr:cNvPr>
        <xdr:cNvSpPr/>
      </xdr:nvSpPr>
      <xdr:spPr>
        <a:xfrm>
          <a:off x="13419043" y="1784538"/>
          <a:ext cx="538151" cy="405877"/>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95248</xdr:colOff>
      <xdr:row>8</xdr:row>
      <xdr:rowOff>193302</xdr:rowOff>
    </xdr:from>
    <xdr:to>
      <xdr:col>3</xdr:col>
      <xdr:colOff>267</xdr:colOff>
      <xdr:row>11</xdr:row>
      <xdr:rowOff>2465</xdr:rowOff>
    </xdr:to>
    <xdr:sp macro="" textlink="">
      <xdr:nvSpPr>
        <xdr:cNvPr id="16" name="Arrow: Left M2S4">
          <a:hlinkClick xmlns:r="http://schemas.openxmlformats.org/officeDocument/2006/relationships" r:id="rId2" tooltip="Back: Customer Information"/>
          <a:extLst>
            <a:ext uri="{FF2B5EF4-FFF2-40B4-BE49-F238E27FC236}">
              <a16:creationId xmlns:a16="http://schemas.microsoft.com/office/drawing/2014/main" id="{00000000-0008-0000-0F00-000010000000}"/>
            </a:ext>
          </a:extLst>
        </xdr:cNvPr>
        <xdr:cNvSpPr/>
      </xdr:nvSpPr>
      <xdr:spPr>
        <a:xfrm>
          <a:off x="414616" y="1784537"/>
          <a:ext cx="538151" cy="405877"/>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18" name="Navigation">
          <a:extLst>
            <a:ext uri="{FF2B5EF4-FFF2-40B4-BE49-F238E27FC236}">
              <a16:creationId xmlns:a16="http://schemas.microsoft.com/office/drawing/2014/main" id="{00000000-0008-0000-0F00-000012000000}"/>
            </a:ext>
          </a:extLst>
        </xdr:cNvPr>
        <xdr:cNvGrpSpPr/>
      </xdr:nvGrpSpPr>
      <xdr:grpSpPr>
        <a:xfrm>
          <a:off x="2196353" y="605118"/>
          <a:ext cx="11217985" cy="1008529"/>
          <a:chOff x="1610956" y="594360"/>
          <a:chExt cx="11437620" cy="990600"/>
        </a:xfrm>
      </xdr:grpSpPr>
      <xdr:cxnSp macro="">
        <xdr:nvCxnSpPr>
          <xdr:cNvPr id="26" name="Reference">
            <a:extLst>
              <a:ext uri="{FF2B5EF4-FFF2-40B4-BE49-F238E27FC236}">
                <a16:creationId xmlns:a16="http://schemas.microsoft.com/office/drawing/2014/main" id="{00000000-0008-0000-0F00-00001A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3" tooltip="Project Review"/>
            <a:extLst>
              <a:ext uri="{FF2B5EF4-FFF2-40B4-BE49-F238E27FC236}">
                <a16:creationId xmlns:a16="http://schemas.microsoft.com/office/drawing/2014/main" id="{00000000-0008-0000-0F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4" tooltip="Payment"/>
            <a:extLst>
              <a:ext uri="{FF2B5EF4-FFF2-40B4-BE49-F238E27FC236}">
                <a16:creationId xmlns:a16="http://schemas.microsoft.com/office/drawing/2014/main" id="{00000000-0008-0000-0F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 tooltip="Equipment Input"/>
            <a:extLst>
              <a:ext uri="{FF2B5EF4-FFF2-40B4-BE49-F238E27FC236}">
                <a16:creationId xmlns:a16="http://schemas.microsoft.com/office/drawing/2014/main" id="{00000000-0008-0000-0F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5" tooltip="Building Information"/>
            <a:extLst>
              <a:ext uri="{FF2B5EF4-FFF2-40B4-BE49-F238E27FC236}">
                <a16:creationId xmlns:a16="http://schemas.microsoft.com/office/drawing/2014/main" id="{00000000-0008-0000-0F00-000016000000}"/>
              </a:ext>
            </a:extLst>
          </xdr:cNvPr>
          <xdr:cNvSpPr/>
        </xdr:nvSpPr>
        <xdr:spPr>
          <a:xfrm>
            <a:off x="6406868"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2" tooltip="Customer Information"/>
            <a:extLst>
              <a:ext uri="{FF2B5EF4-FFF2-40B4-BE49-F238E27FC236}">
                <a16:creationId xmlns:a16="http://schemas.microsoft.com/office/drawing/2014/main" id="{00000000-0008-0000-0F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6" tooltip="Trade Ally/Vendor Information"/>
            <a:extLst>
              <a:ext uri="{FF2B5EF4-FFF2-40B4-BE49-F238E27FC236}">
                <a16:creationId xmlns:a16="http://schemas.microsoft.com/office/drawing/2014/main" id="{00000000-0008-0000-0F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7" tooltip="Terms &amp; Conditions"/>
            <a:extLst>
              <a:ext uri="{FF2B5EF4-FFF2-40B4-BE49-F238E27FC236}">
                <a16:creationId xmlns:a16="http://schemas.microsoft.com/office/drawing/2014/main" id="{00000000-0008-0000-0F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7" name="Header">
          <a:extLst>
            <a:ext uri="{FF2B5EF4-FFF2-40B4-BE49-F238E27FC236}">
              <a16:creationId xmlns:a16="http://schemas.microsoft.com/office/drawing/2014/main" id="{00000000-0008-0000-0F00-00001B000000}"/>
            </a:ext>
          </a:extLst>
        </xdr:cNvPr>
        <xdr:cNvGrpSpPr/>
      </xdr:nvGrpSpPr>
      <xdr:grpSpPr>
        <a:xfrm>
          <a:off x="0" y="0"/>
          <a:ext cx="15374471" cy="605118"/>
          <a:chOff x="0" y="0"/>
          <a:chExt cx="15813741" cy="591671"/>
        </a:xfrm>
      </xdr:grpSpPr>
      <xdr:grpSp>
        <xdr:nvGrpSpPr>
          <xdr:cNvPr id="28" name="Header">
            <a:extLst>
              <a:ext uri="{FF2B5EF4-FFF2-40B4-BE49-F238E27FC236}">
                <a16:creationId xmlns:a16="http://schemas.microsoft.com/office/drawing/2014/main" id="{00000000-0008-0000-0F00-00001C000000}"/>
              </a:ext>
            </a:extLst>
          </xdr:cNvPr>
          <xdr:cNvGrpSpPr/>
        </xdr:nvGrpSpPr>
        <xdr:grpSpPr>
          <a:xfrm>
            <a:off x="0" y="0"/>
            <a:ext cx="15813741" cy="591671"/>
            <a:chOff x="0" y="0"/>
            <a:chExt cx="15813741" cy="591671"/>
          </a:xfrm>
        </xdr:grpSpPr>
        <xdr:sp macro="" textlink="">
          <xdr:nvSpPr>
            <xdr:cNvPr id="34" name="Reference">
              <a:extLst>
                <a:ext uri="{FF2B5EF4-FFF2-40B4-BE49-F238E27FC236}">
                  <a16:creationId xmlns:a16="http://schemas.microsoft.com/office/drawing/2014/main" id="{00000000-0008-0000-0F00-00002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8" tooltip="Contact"/>
              <a:extLst>
                <a:ext uri="{FF2B5EF4-FFF2-40B4-BE49-F238E27FC236}">
                  <a16:creationId xmlns:a16="http://schemas.microsoft.com/office/drawing/2014/main" id="{00000000-0008-0000-0F00-000023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9" tooltip=" "/>
              <a:extLst>
                <a:ext uri="{FF2B5EF4-FFF2-40B4-BE49-F238E27FC236}">
                  <a16:creationId xmlns:a16="http://schemas.microsoft.com/office/drawing/2014/main" id="{00000000-0008-0000-0F00-000024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0" tooltip=" "/>
              <a:extLst>
                <a:ext uri="{FF2B5EF4-FFF2-40B4-BE49-F238E27FC236}">
                  <a16:creationId xmlns:a16="http://schemas.microsoft.com/office/drawing/2014/main" id="{00000000-0008-0000-0F00-000025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structions">
              <a:hlinkClick xmlns:r="http://schemas.openxmlformats.org/officeDocument/2006/relationships" r:id="rId11" tooltip="Instructions"/>
              <a:extLst>
                <a:ext uri="{FF2B5EF4-FFF2-40B4-BE49-F238E27FC236}">
                  <a16:creationId xmlns:a16="http://schemas.microsoft.com/office/drawing/2014/main" id="{00000000-0008-0000-0F00-000026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Welcome">
              <a:hlinkClick xmlns:r="http://schemas.openxmlformats.org/officeDocument/2006/relationships" r:id="rId12" tooltip="Welcome"/>
              <a:extLst>
                <a:ext uri="{FF2B5EF4-FFF2-40B4-BE49-F238E27FC236}">
                  <a16:creationId xmlns:a16="http://schemas.microsoft.com/office/drawing/2014/main" id="{00000000-0008-0000-0F00-000027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0F00-000028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1" name="State">
              <a:extLst>
                <a:ext uri="{FF2B5EF4-FFF2-40B4-BE49-F238E27FC236}">
                  <a16:creationId xmlns:a16="http://schemas.microsoft.com/office/drawing/2014/main" id="{00000000-0008-0000-0F00-000029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9" name="Dividers">
            <a:extLst>
              <a:ext uri="{FF2B5EF4-FFF2-40B4-BE49-F238E27FC236}">
                <a16:creationId xmlns:a16="http://schemas.microsoft.com/office/drawing/2014/main" id="{00000000-0008-0000-0F00-00001D000000}"/>
              </a:ext>
            </a:extLst>
          </xdr:cNvPr>
          <xdr:cNvGrpSpPr/>
        </xdr:nvGrpSpPr>
        <xdr:grpSpPr>
          <a:xfrm>
            <a:off x="1613717" y="85337"/>
            <a:ext cx="11618762" cy="422893"/>
            <a:chOff x="1612951" y="85725"/>
            <a:chExt cx="11618931" cy="423022"/>
          </a:xfrm>
        </xdr:grpSpPr>
        <xdr:cxnSp macro="">
          <xdr:nvCxnSpPr>
            <xdr:cNvPr id="30" name="Divider 4">
              <a:extLst>
                <a:ext uri="{FF2B5EF4-FFF2-40B4-BE49-F238E27FC236}">
                  <a16:creationId xmlns:a16="http://schemas.microsoft.com/office/drawing/2014/main" id="{00000000-0008-0000-0F00-00001E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3">
              <a:extLst>
                <a:ext uri="{FF2B5EF4-FFF2-40B4-BE49-F238E27FC236}">
                  <a16:creationId xmlns:a16="http://schemas.microsoft.com/office/drawing/2014/main" id="{00000000-0008-0000-0F00-00001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2">
              <a:extLst>
                <a:ext uri="{FF2B5EF4-FFF2-40B4-BE49-F238E27FC236}">
                  <a16:creationId xmlns:a16="http://schemas.microsoft.com/office/drawing/2014/main" id="{00000000-0008-0000-0F00-00002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1">
              <a:extLst>
                <a:ext uri="{FF2B5EF4-FFF2-40B4-BE49-F238E27FC236}">
                  <a16:creationId xmlns:a16="http://schemas.microsoft.com/office/drawing/2014/main" id="{00000000-0008-0000-0F00-00002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46</xdr:col>
      <xdr:colOff>6073</xdr:colOff>
      <xdr:row>8</xdr:row>
      <xdr:rowOff>193923</xdr:rowOff>
    </xdr:from>
    <xdr:to>
      <xdr:col>47</xdr:col>
      <xdr:colOff>225412</xdr:colOff>
      <xdr:row>11</xdr:row>
      <xdr:rowOff>6125</xdr:rowOff>
    </xdr:to>
    <xdr:sp macro="" textlink="">
      <xdr:nvSpPr>
        <xdr:cNvPr id="38" name="Arrow: Right M3S1">
          <a:hlinkClick xmlns:r="http://schemas.openxmlformats.org/officeDocument/2006/relationships" r:id="rId1"/>
          <a:extLst>
            <a:ext uri="{FF2B5EF4-FFF2-40B4-BE49-F238E27FC236}">
              <a16:creationId xmlns:a16="http://schemas.microsoft.com/office/drawing/2014/main" id="{00000000-0008-0000-1000-000026000000}"/>
            </a:ext>
          </a:extLst>
        </xdr:cNvPr>
        <xdr:cNvSpPr/>
      </xdr:nvSpPr>
      <xdr:spPr>
        <a:xfrm>
          <a:off x="13442867" y="1776091"/>
          <a:ext cx="539263" cy="403610"/>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96575</xdr:colOff>
      <xdr:row>8</xdr:row>
      <xdr:rowOff>193923</xdr:rowOff>
    </xdr:from>
    <xdr:to>
      <xdr:col>3</xdr:col>
      <xdr:colOff>4055</xdr:colOff>
      <xdr:row>11</xdr:row>
      <xdr:rowOff>6125</xdr:rowOff>
    </xdr:to>
    <xdr:sp macro="" textlink="">
      <xdr:nvSpPr>
        <xdr:cNvPr id="39" name="Arrow: Left M3S1">
          <a:hlinkClick xmlns:r="http://schemas.openxmlformats.org/officeDocument/2006/relationships" r:id="rId2" tooltip="Back: Building Information"/>
          <a:extLst>
            <a:ext uri="{FF2B5EF4-FFF2-40B4-BE49-F238E27FC236}">
              <a16:creationId xmlns:a16="http://schemas.microsoft.com/office/drawing/2014/main" id="{00000000-0008-0000-1000-000027000000}"/>
            </a:ext>
          </a:extLst>
        </xdr:cNvPr>
        <xdr:cNvSpPr/>
      </xdr:nvSpPr>
      <xdr:spPr>
        <a:xfrm>
          <a:off x="416499" y="1776091"/>
          <a:ext cx="539263" cy="403610"/>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172015</xdr:colOff>
      <xdr:row>12</xdr:row>
      <xdr:rowOff>32876</xdr:rowOff>
    </xdr:from>
    <xdr:to>
      <xdr:col>40</xdr:col>
      <xdr:colOff>95848</xdr:colOff>
      <xdr:row>28</xdr:row>
      <xdr:rowOff>91655</xdr:rowOff>
    </xdr:to>
    <xdr:grpSp>
      <xdr:nvGrpSpPr>
        <xdr:cNvPr id="11" name="Measure Categories">
          <a:extLst>
            <a:ext uri="{FF2B5EF4-FFF2-40B4-BE49-F238E27FC236}">
              <a16:creationId xmlns:a16="http://schemas.microsoft.com/office/drawing/2014/main" id="{37067B2B-93DC-0F0C-C961-0DAF88A1940B}"/>
            </a:ext>
          </a:extLst>
        </xdr:cNvPr>
        <xdr:cNvGrpSpPr/>
      </xdr:nvGrpSpPr>
      <xdr:grpSpPr>
        <a:xfrm>
          <a:off x="2995897" y="2453347"/>
          <a:ext cx="9650539" cy="3286073"/>
          <a:chOff x="2995897" y="2453347"/>
          <a:chExt cx="9650539" cy="3286073"/>
        </a:xfrm>
      </xdr:grpSpPr>
      <xdr:pic>
        <xdr:nvPicPr>
          <xdr:cNvPr id="70" name="Lighting" hidden="1">
            <a:hlinkClick xmlns:r="http://schemas.openxmlformats.org/officeDocument/2006/relationships" r:id="rId3" tooltip="Lighting"/>
            <a:extLst>
              <a:ext uri="{FF2B5EF4-FFF2-40B4-BE49-F238E27FC236}">
                <a16:creationId xmlns:a16="http://schemas.microsoft.com/office/drawing/2014/main" id="{00000000-0008-0000-1000-00004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995897" y="2509316"/>
            <a:ext cx="1182991" cy="1181171"/>
          </a:xfrm>
          <a:prstGeom prst="rect">
            <a:avLst/>
          </a:prstGeom>
        </xdr:spPr>
      </xdr:pic>
      <xdr:pic>
        <xdr:nvPicPr>
          <xdr:cNvPr id="75" name="Misc">
            <a:hlinkClick xmlns:r="http://schemas.openxmlformats.org/officeDocument/2006/relationships" r:id="rId5" tooltip="Miscellaneous"/>
            <a:extLst>
              <a:ext uri="{FF2B5EF4-FFF2-40B4-BE49-F238E27FC236}">
                <a16:creationId xmlns:a16="http://schemas.microsoft.com/office/drawing/2014/main" id="{00000000-0008-0000-1000-00004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1482094" y="4522043"/>
            <a:ext cx="1164342" cy="1142408"/>
          </a:xfrm>
          <a:prstGeom prst="rect">
            <a:avLst/>
          </a:prstGeom>
        </xdr:spPr>
      </xdr:pic>
      <xdr:pic>
        <xdr:nvPicPr>
          <xdr:cNvPr id="74" name="WHFS">
            <a:hlinkClick xmlns:r="http://schemas.openxmlformats.org/officeDocument/2006/relationships" r:id="rId7" tooltip="Water Heating / Cooking"/>
            <a:extLst>
              <a:ext uri="{FF2B5EF4-FFF2-40B4-BE49-F238E27FC236}">
                <a16:creationId xmlns:a16="http://schemas.microsoft.com/office/drawing/2014/main" id="{00000000-0008-0000-1000-00004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8654435" y="4504925"/>
            <a:ext cx="1188038" cy="1196037"/>
          </a:xfrm>
          <a:prstGeom prst="rect">
            <a:avLst/>
          </a:prstGeom>
        </xdr:spPr>
      </xdr:pic>
      <xdr:pic>
        <xdr:nvPicPr>
          <xdr:cNvPr id="72" name="CAP">
            <a:hlinkClick xmlns:r="http://schemas.openxmlformats.org/officeDocument/2006/relationships" r:id="rId9" tooltip="Compressed Air / Process"/>
            <a:extLst>
              <a:ext uri="{FF2B5EF4-FFF2-40B4-BE49-F238E27FC236}">
                <a16:creationId xmlns:a16="http://schemas.microsoft.com/office/drawing/2014/main" id="{00000000-0008-0000-1000-00004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833039" y="4517267"/>
            <a:ext cx="1162971" cy="1150680"/>
          </a:xfrm>
          <a:prstGeom prst="rect">
            <a:avLst/>
          </a:prstGeom>
        </xdr:spPr>
      </xdr:pic>
      <xdr:pic>
        <xdr:nvPicPr>
          <xdr:cNvPr id="73" name="Motors">
            <a:hlinkClick xmlns:r="http://schemas.openxmlformats.org/officeDocument/2006/relationships" r:id="rId11" tooltip="Motors and Drives"/>
            <a:extLst>
              <a:ext uri="{FF2B5EF4-FFF2-40B4-BE49-F238E27FC236}">
                <a16:creationId xmlns:a16="http://schemas.microsoft.com/office/drawing/2014/main" id="{00000000-0008-0000-1000-00004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996519" y="4549202"/>
            <a:ext cx="1180500" cy="1190218"/>
          </a:xfrm>
          <a:prstGeom prst="rect">
            <a:avLst/>
          </a:prstGeom>
        </xdr:spPr>
      </xdr:pic>
      <xdr:pic>
        <xdr:nvPicPr>
          <xdr:cNvPr id="68" name="HVAC">
            <a:hlinkClick xmlns:r="http://schemas.openxmlformats.org/officeDocument/2006/relationships" r:id="rId13" tooltip="HVAC"/>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9963870" y="2510118"/>
            <a:ext cx="1163571" cy="1147448"/>
          </a:xfrm>
          <a:prstGeom prst="rect">
            <a:avLst/>
          </a:prstGeom>
        </xdr:spPr>
      </xdr:pic>
      <xdr:pic>
        <xdr:nvPicPr>
          <xdr:cNvPr id="71" name="Refrigeration">
            <a:hlinkClick xmlns:r="http://schemas.openxmlformats.org/officeDocument/2006/relationships" r:id="rId15" tooltip="Refrigeration"/>
            <a:extLst>
              <a:ext uri="{FF2B5EF4-FFF2-40B4-BE49-F238E27FC236}">
                <a16:creationId xmlns:a16="http://schemas.microsoft.com/office/drawing/2014/main" id="{00000000-0008-0000-1000-000047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7216588" y="2453347"/>
            <a:ext cx="1184859" cy="1177359"/>
          </a:xfrm>
          <a:prstGeom prst="rect">
            <a:avLst/>
          </a:prstGeom>
        </xdr:spPr>
      </xdr:pic>
      <xdr:pic>
        <xdr:nvPicPr>
          <xdr:cNvPr id="69" name="LC">
            <a:hlinkClick xmlns:r="http://schemas.openxmlformats.org/officeDocument/2006/relationships" r:id="rId17" tooltip="Lighting Controls"/>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269441" y="2466624"/>
            <a:ext cx="1179257" cy="1175287"/>
          </a:xfrm>
          <a:prstGeom prst="rect">
            <a:avLst/>
          </a:prstGeom>
        </xdr:spPr>
      </xdr:pic>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000-000011000000}"/>
            </a:ext>
          </a:extLst>
        </xdr:cNvPr>
        <xdr:cNvGrpSpPr/>
      </xdr:nvGrpSpPr>
      <xdr:grpSpPr>
        <a:xfrm>
          <a:off x="2196353" y="605118"/>
          <a:ext cx="11219890" cy="1008529"/>
          <a:chOff x="1610956" y="594360"/>
          <a:chExt cx="11437620" cy="990600"/>
        </a:xfrm>
      </xdr:grpSpPr>
      <xdr:cxnSp macro="">
        <xdr:nvCxnSpPr>
          <xdr:cNvPr id="26" name="Reference">
            <a:extLst>
              <a:ext uri="{FF2B5EF4-FFF2-40B4-BE49-F238E27FC236}">
                <a16:creationId xmlns:a16="http://schemas.microsoft.com/office/drawing/2014/main" id="{00000000-0008-0000-1000-00001A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9" tooltip="Project Review"/>
            <a:extLst>
              <a:ext uri="{FF2B5EF4-FFF2-40B4-BE49-F238E27FC236}">
                <a16:creationId xmlns:a16="http://schemas.microsoft.com/office/drawing/2014/main" id="{00000000-0008-0000-10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20" tooltip="Payment"/>
            <a:extLst>
              <a:ext uri="{FF2B5EF4-FFF2-40B4-BE49-F238E27FC236}">
                <a16:creationId xmlns:a16="http://schemas.microsoft.com/office/drawing/2014/main" id="{00000000-0008-0000-10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21" tooltip="Equipment Input"/>
            <a:extLst>
              <a:ext uri="{FF2B5EF4-FFF2-40B4-BE49-F238E27FC236}">
                <a16:creationId xmlns:a16="http://schemas.microsoft.com/office/drawing/2014/main" id="{00000000-0008-0000-10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22" tooltip="Building Information"/>
            <a:extLst>
              <a:ext uri="{FF2B5EF4-FFF2-40B4-BE49-F238E27FC236}">
                <a16:creationId xmlns:a16="http://schemas.microsoft.com/office/drawing/2014/main" id="{00000000-0008-0000-10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23" tooltip="Customer Information"/>
            <a:extLst>
              <a:ext uri="{FF2B5EF4-FFF2-40B4-BE49-F238E27FC236}">
                <a16:creationId xmlns:a16="http://schemas.microsoft.com/office/drawing/2014/main" id="{00000000-0008-0000-10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24" tooltip="Trade Ally/Vendor Information"/>
            <a:extLst>
              <a:ext uri="{FF2B5EF4-FFF2-40B4-BE49-F238E27FC236}">
                <a16:creationId xmlns:a16="http://schemas.microsoft.com/office/drawing/2014/main" id="{00000000-0008-0000-10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25" tooltip="Terms &amp; Conditions"/>
            <a:extLst>
              <a:ext uri="{FF2B5EF4-FFF2-40B4-BE49-F238E27FC236}">
                <a16:creationId xmlns:a16="http://schemas.microsoft.com/office/drawing/2014/main" id="{00000000-0008-0000-10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15" name="Header">
          <a:extLst>
            <a:ext uri="{FF2B5EF4-FFF2-40B4-BE49-F238E27FC236}">
              <a16:creationId xmlns:a16="http://schemas.microsoft.com/office/drawing/2014/main" id="{00000000-0008-0000-1000-00000F000000}"/>
            </a:ext>
          </a:extLst>
        </xdr:cNvPr>
        <xdr:cNvGrpSpPr/>
      </xdr:nvGrpSpPr>
      <xdr:grpSpPr>
        <a:xfrm>
          <a:off x="0" y="0"/>
          <a:ext cx="15374471" cy="605118"/>
          <a:chOff x="0" y="0"/>
          <a:chExt cx="15813741" cy="591671"/>
        </a:xfrm>
      </xdr:grpSpPr>
      <xdr:grpSp>
        <xdr:nvGrpSpPr>
          <xdr:cNvPr id="20" name="Header">
            <a:extLst>
              <a:ext uri="{FF2B5EF4-FFF2-40B4-BE49-F238E27FC236}">
                <a16:creationId xmlns:a16="http://schemas.microsoft.com/office/drawing/2014/main" id="{00000000-0008-0000-1000-000014000000}"/>
              </a:ext>
            </a:extLst>
          </xdr:cNvPr>
          <xdr:cNvGrpSpPr/>
        </xdr:nvGrpSpPr>
        <xdr:grpSpPr>
          <a:xfrm>
            <a:off x="0" y="0"/>
            <a:ext cx="15813741" cy="591671"/>
            <a:chOff x="0" y="0"/>
            <a:chExt cx="15813741" cy="591671"/>
          </a:xfrm>
        </xdr:grpSpPr>
        <xdr:sp macro="" textlink="">
          <xdr:nvSpPr>
            <xdr:cNvPr id="32" name="Reference">
              <a:extLst>
                <a:ext uri="{FF2B5EF4-FFF2-40B4-BE49-F238E27FC236}">
                  <a16:creationId xmlns:a16="http://schemas.microsoft.com/office/drawing/2014/main" id="{00000000-0008-0000-1000-000020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Contact">
              <a:hlinkClick xmlns:r="http://schemas.openxmlformats.org/officeDocument/2006/relationships" r:id="rId26" tooltip="Contact"/>
              <a:extLst>
                <a:ext uri="{FF2B5EF4-FFF2-40B4-BE49-F238E27FC236}">
                  <a16:creationId xmlns:a16="http://schemas.microsoft.com/office/drawing/2014/main" id="{00000000-0008-0000-1000-000021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27" tooltip=" "/>
              <a:extLst>
                <a:ext uri="{FF2B5EF4-FFF2-40B4-BE49-F238E27FC236}">
                  <a16:creationId xmlns:a16="http://schemas.microsoft.com/office/drawing/2014/main" id="{00000000-0008-0000-1000-000022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28" tooltip=" "/>
              <a:extLst>
                <a:ext uri="{FF2B5EF4-FFF2-40B4-BE49-F238E27FC236}">
                  <a16:creationId xmlns:a16="http://schemas.microsoft.com/office/drawing/2014/main" id="{00000000-0008-0000-1000-000023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structions">
              <a:hlinkClick xmlns:r="http://schemas.openxmlformats.org/officeDocument/2006/relationships" r:id="rId29" tooltip="Instructions"/>
              <a:extLst>
                <a:ext uri="{FF2B5EF4-FFF2-40B4-BE49-F238E27FC236}">
                  <a16:creationId xmlns:a16="http://schemas.microsoft.com/office/drawing/2014/main" id="{00000000-0008-0000-1000-000024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Welcome">
              <a:hlinkClick xmlns:r="http://schemas.openxmlformats.org/officeDocument/2006/relationships" r:id="rId30" tooltip="Welcome"/>
              <a:extLst>
                <a:ext uri="{FF2B5EF4-FFF2-40B4-BE49-F238E27FC236}">
                  <a16:creationId xmlns:a16="http://schemas.microsoft.com/office/drawing/2014/main" id="{00000000-0008-0000-1000-000025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1000-000028000000}"/>
                </a:ext>
              </a:extLst>
            </xdr:cNvPr>
            <xdr:cNvPicPr>
              <a:picLocks/>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2" name="State">
              <a:extLst>
                <a:ext uri="{FF2B5EF4-FFF2-40B4-BE49-F238E27FC236}">
                  <a16:creationId xmlns:a16="http://schemas.microsoft.com/office/drawing/2014/main" id="{00000000-0008-0000-1000-00002A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1000-00001B000000}"/>
              </a:ext>
            </a:extLst>
          </xdr:cNvPr>
          <xdr:cNvGrpSpPr/>
        </xdr:nvGrpSpPr>
        <xdr:grpSpPr>
          <a:xfrm>
            <a:off x="1613717" y="85337"/>
            <a:ext cx="11618762" cy="422893"/>
            <a:chOff x="1612951" y="85725"/>
            <a:chExt cx="11618931" cy="423022"/>
          </a:xfrm>
        </xdr:grpSpPr>
        <xdr:cxnSp macro="">
          <xdr:nvCxnSpPr>
            <xdr:cNvPr id="28" name="Divider 4">
              <a:extLst>
                <a:ext uri="{FF2B5EF4-FFF2-40B4-BE49-F238E27FC236}">
                  <a16:creationId xmlns:a16="http://schemas.microsoft.com/office/drawing/2014/main" id="{00000000-0008-0000-1000-00001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1000-00001D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2">
              <a:extLst>
                <a:ext uri="{FF2B5EF4-FFF2-40B4-BE49-F238E27FC236}">
                  <a16:creationId xmlns:a16="http://schemas.microsoft.com/office/drawing/2014/main" id="{00000000-0008-0000-1000-00001E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1">
              <a:extLst>
                <a:ext uri="{FF2B5EF4-FFF2-40B4-BE49-F238E27FC236}">
                  <a16:creationId xmlns:a16="http://schemas.microsoft.com/office/drawing/2014/main" id="{00000000-0008-0000-1000-00001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95032</xdr:colOff>
      <xdr:row>8</xdr:row>
      <xdr:rowOff>96644</xdr:rowOff>
    </xdr:from>
    <xdr:to>
      <xdr:col>3</xdr:col>
      <xdr:colOff>2543</xdr:colOff>
      <xdr:row>10</xdr:row>
      <xdr:rowOff>102807</xdr:rowOff>
    </xdr:to>
    <xdr:sp macro="" textlink="">
      <xdr:nvSpPr>
        <xdr:cNvPr id="35" name="Arrow: Left M3S2">
          <a:hlinkClick xmlns:r="http://schemas.openxmlformats.org/officeDocument/2006/relationships" r:id="rId1" tooltip="Back: Equipment Type"/>
          <a:extLst>
            <a:ext uri="{FF2B5EF4-FFF2-40B4-BE49-F238E27FC236}">
              <a16:creationId xmlns:a16="http://schemas.microsoft.com/office/drawing/2014/main" id="{00000000-0008-0000-1100-000023000000}"/>
            </a:ext>
          </a:extLst>
        </xdr:cNvPr>
        <xdr:cNvSpPr/>
      </xdr:nvSpPr>
      <xdr:spPr>
        <a:xfrm>
          <a:off x="414988" y="1679583"/>
          <a:ext cx="539327" cy="40380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6747</xdr:colOff>
      <xdr:row>8</xdr:row>
      <xdr:rowOff>96644</xdr:rowOff>
    </xdr:from>
    <xdr:to>
      <xdr:col>47</xdr:col>
      <xdr:colOff>226119</xdr:colOff>
      <xdr:row>10</xdr:row>
      <xdr:rowOff>102807</xdr:rowOff>
    </xdr:to>
    <xdr:sp macro="" textlink="">
      <xdr:nvSpPr>
        <xdr:cNvPr id="38" name="Arrow: Right M3S2">
          <a:hlinkClick xmlns:r="http://schemas.openxmlformats.org/officeDocument/2006/relationships" r:id="rId2" tooltip="Foward: Lighting Controls"/>
          <a:extLst>
            <a:ext uri="{FF2B5EF4-FFF2-40B4-BE49-F238E27FC236}">
              <a16:creationId xmlns:a16="http://schemas.microsoft.com/office/drawing/2014/main" id="{00000000-0008-0000-1100-000026000000}"/>
            </a:ext>
          </a:extLst>
        </xdr:cNvPr>
        <xdr:cNvSpPr/>
      </xdr:nvSpPr>
      <xdr:spPr>
        <a:xfrm>
          <a:off x="13444891" y="1679583"/>
          <a:ext cx="539327" cy="40380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9" name="Select 1">
          <a:extLst>
            <a:ext uri="{FF2B5EF4-FFF2-40B4-BE49-F238E27FC236}">
              <a16:creationId xmlns:a16="http://schemas.microsoft.com/office/drawing/2014/main" id="{00000000-0008-0000-1100-000009000000}"/>
            </a:ext>
          </a:extLst>
        </xdr:cNvPr>
        <xdr:cNvGrpSpPr/>
      </xdr:nvGrpSpPr>
      <xdr:grpSpPr>
        <a:xfrm>
          <a:off x="2196353" y="2622176"/>
          <a:ext cx="2345716" cy="280043"/>
          <a:chOff x="1037447" y="2413275"/>
          <a:chExt cx="2408469" cy="277332"/>
        </a:xfrm>
      </xdr:grpSpPr>
      <xdr:cxnSp macro="">
        <xdr:nvCxnSpPr>
          <xdr:cNvPr id="10" name="Reference - V">
            <a:extLst>
              <a:ext uri="{FF2B5EF4-FFF2-40B4-BE49-F238E27FC236}">
                <a16:creationId xmlns:a16="http://schemas.microsoft.com/office/drawing/2014/main" id="{00000000-0008-0000-1100-00000A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11" name="Reference - H">
            <a:extLst>
              <a:ext uri="{FF2B5EF4-FFF2-40B4-BE49-F238E27FC236}">
                <a16:creationId xmlns:a16="http://schemas.microsoft.com/office/drawing/2014/main" id="{00000000-0008-0000-1100-00000B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12" name="Options">
            <a:extLst>
              <a:ext uri="{FF2B5EF4-FFF2-40B4-BE49-F238E27FC236}">
                <a16:creationId xmlns:a16="http://schemas.microsoft.com/office/drawing/2014/main" id="{00000000-0008-0000-1100-00000C000000}"/>
              </a:ext>
            </a:extLst>
          </xdr:cNvPr>
          <xdr:cNvGrpSpPr/>
        </xdr:nvGrpSpPr>
        <xdr:grpSpPr>
          <a:xfrm>
            <a:off x="1219200" y="2510935"/>
            <a:ext cx="2226716" cy="179672"/>
            <a:chOff x="1219200" y="2510935"/>
            <a:chExt cx="2226716" cy="179672"/>
          </a:xfrm>
        </xdr:grpSpPr>
        <xdr:sp macro="" textlink="">
          <xdr:nvSpPr>
            <xdr:cNvPr id="13" name="Custom">
              <a:hlinkClick xmlns:r="http://schemas.openxmlformats.org/officeDocument/2006/relationships" r:id="rId3"/>
              <a:extLst>
                <a:ext uri="{FF2B5EF4-FFF2-40B4-BE49-F238E27FC236}">
                  <a16:creationId xmlns:a16="http://schemas.microsoft.com/office/drawing/2014/main" id="{00000000-0008-0000-1100-00000D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14" name="Standard">
              <a:extLst>
                <a:ext uri="{FF2B5EF4-FFF2-40B4-BE49-F238E27FC236}">
                  <a16:creationId xmlns:a16="http://schemas.microsoft.com/office/drawing/2014/main" id="{00000000-0008-0000-1100-00000E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8</xdr:col>
      <xdr:colOff>320039</xdr:colOff>
      <xdr:row>7</xdr:row>
      <xdr:rowOff>195703</xdr:rowOff>
    </xdr:from>
    <xdr:to>
      <xdr:col>41</xdr:col>
      <xdr:colOff>0</xdr:colOff>
      <xdr:row>11</xdr:row>
      <xdr:rowOff>0</xdr:rowOff>
    </xdr:to>
    <xdr:grpSp>
      <xdr:nvGrpSpPr>
        <xdr:cNvPr id="69" name="Measure Categories">
          <a:extLst>
            <a:ext uri="{FF2B5EF4-FFF2-40B4-BE49-F238E27FC236}">
              <a16:creationId xmlns:a16="http://schemas.microsoft.com/office/drawing/2014/main" id="{00000000-0008-0000-1100-000045000000}"/>
            </a:ext>
          </a:extLst>
        </xdr:cNvPr>
        <xdr:cNvGrpSpPr/>
      </xdr:nvGrpSpPr>
      <xdr:grpSpPr>
        <a:xfrm>
          <a:off x="2820632" y="1607644"/>
          <a:ext cx="10043721" cy="611121"/>
          <a:chOff x="2240280" y="1582544"/>
          <a:chExt cx="10241281" cy="596777"/>
        </a:xfrm>
      </xdr:grpSpPr>
      <xdr:grpSp>
        <xdr:nvGrpSpPr>
          <xdr:cNvPr id="67" name="Categories">
            <a:extLst>
              <a:ext uri="{FF2B5EF4-FFF2-40B4-BE49-F238E27FC236}">
                <a16:creationId xmlns:a16="http://schemas.microsoft.com/office/drawing/2014/main" id="{00000000-0008-0000-1100-000043000000}"/>
              </a:ext>
            </a:extLst>
          </xdr:cNvPr>
          <xdr:cNvGrpSpPr/>
        </xdr:nvGrpSpPr>
        <xdr:grpSpPr>
          <a:xfrm>
            <a:off x="2240280" y="1584961"/>
            <a:ext cx="10241281" cy="594360"/>
            <a:chOff x="2240280" y="1584961"/>
            <a:chExt cx="10241281" cy="594360"/>
          </a:xfrm>
        </xdr:grpSpPr>
        <xdr:sp macro="" textlink="">
          <xdr:nvSpPr>
            <xdr:cNvPr id="3" name="Lighting">
              <a:hlinkClick xmlns:r="http://schemas.openxmlformats.org/officeDocument/2006/relationships" r:id="rId4" tooltip="Lighting"/>
              <a:extLst>
                <a:ext uri="{FF2B5EF4-FFF2-40B4-BE49-F238E27FC236}">
                  <a16:creationId xmlns:a16="http://schemas.microsoft.com/office/drawing/2014/main" id="{00000000-0008-0000-1100-00000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Lighting Controls">
              <a:hlinkClick xmlns:r="http://schemas.openxmlformats.org/officeDocument/2006/relationships" r:id="rId5" tooltip="Lighting Controls"/>
              <a:extLst>
                <a:ext uri="{FF2B5EF4-FFF2-40B4-BE49-F238E27FC236}">
                  <a16:creationId xmlns:a16="http://schemas.microsoft.com/office/drawing/2014/main" id="{00000000-0008-0000-1100-000034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Refrigeration">
              <a:hlinkClick xmlns:r="http://schemas.openxmlformats.org/officeDocument/2006/relationships" r:id="rId6" tooltip="Refrigeration"/>
              <a:extLst>
                <a:ext uri="{FF2B5EF4-FFF2-40B4-BE49-F238E27FC236}">
                  <a16:creationId xmlns:a16="http://schemas.microsoft.com/office/drawing/2014/main" id="{00000000-0008-0000-1100-000035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HVAC">
              <a:hlinkClick xmlns:r="http://schemas.openxmlformats.org/officeDocument/2006/relationships" r:id="rId7" tooltip="HVAC"/>
              <a:extLst>
                <a:ext uri="{FF2B5EF4-FFF2-40B4-BE49-F238E27FC236}">
                  <a16:creationId xmlns:a16="http://schemas.microsoft.com/office/drawing/2014/main" id="{00000000-0008-0000-1100-00003D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Motors and Drives">
              <a:hlinkClick xmlns:r="http://schemas.openxmlformats.org/officeDocument/2006/relationships" r:id="rId8" tooltip="Motors and Drives"/>
              <a:extLst>
                <a:ext uri="{FF2B5EF4-FFF2-40B4-BE49-F238E27FC236}">
                  <a16:creationId xmlns:a16="http://schemas.microsoft.com/office/drawing/2014/main" id="{00000000-0008-0000-1100-00003E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CAP">
              <a:hlinkClick xmlns:r="http://schemas.openxmlformats.org/officeDocument/2006/relationships" r:id="rId9" tooltip="Compressed Air / Process"/>
              <a:extLst>
                <a:ext uri="{FF2B5EF4-FFF2-40B4-BE49-F238E27FC236}">
                  <a16:creationId xmlns:a16="http://schemas.microsoft.com/office/drawing/2014/main" id="{00000000-0008-0000-1100-00003F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WHFS">
              <a:hlinkClick xmlns:r="http://schemas.openxmlformats.org/officeDocument/2006/relationships" r:id="rId10" tooltip="Water Heating / Food Services"/>
              <a:extLst>
                <a:ext uri="{FF2B5EF4-FFF2-40B4-BE49-F238E27FC236}">
                  <a16:creationId xmlns:a16="http://schemas.microsoft.com/office/drawing/2014/main" id="{00000000-0008-0000-1100-000040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Miscellaneous">
              <a:hlinkClick xmlns:r="http://schemas.openxmlformats.org/officeDocument/2006/relationships" r:id="rId11" tooltip="Miscellaneous"/>
              <a:extLst>
                <a:ext uri="{FF2B5EF4-FFF2-40B4-BE49-F238E27FC236}">
                  <a16:creationId xmlns:a16="http://schemas.microsoft.com/office/drawing/2014/main" id="{00000000-0008-0000-1100-000041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66" name="Dividers">
            <a:extLst>
              <a:ext uri="{FF2B5EF4-FFF2-40B4-BE49-F238E27FC236}">
                <a16:creationId xmlns:a16="http://schemas.microsoft.com/office/drawing/2014/main" id="{00000000-0008-0000-1100-000042000000}"/>
              </a:ext>
            </a:extLst>
          </xdr:cNvPr>
          <xdr:cNvGrpSpPr/>
        </xdr:nvGrpSpPr>
        <xdr:grpSpPr>
          <a:xfrm>
            <a:off x="3521022" y="1582544"/>
            <a:ext cx="7680961" cy="551056"/>
            <a:chOff x="3520440" y="1580822"/>
            <a:chExt cx="7680960" cy="552779"/>
          </a:xfrm>
        </xdr:grpSpPr>
        <xdr:cxnSp macro="">
          <xdr:nvCxnSpPr>
            <xdr:cNvPr id="34" name="Divider 7">
              <a:extLst>
                <a:ext uri="{FF2B5EF4-FFF2-40B4-BE49-F238E27FC236}">
                  <a16:creationId xmlns:a16="http://schemas.microsoft.com/office/drawing/2014/main" id="{00000000-0008-0000-1100-000022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6">
              <a:extLst>
                <a:ext uri="{FF2B5EF4-FFF2-40B4-BE49-F238E27FC236}">
                  <a16:creationId xmlns:a16="http://schemas.microsoft.com/office/drawing/2014/main" id="{00000000-0008-0000-1100-00001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5">
              <a:extLst>
                <a:ext uri="{FF2B5EF4-FFF2-40B4-BE49-F238E27FC236}">
                  <a16:creationId xmlns:a16="http://schemas.microsoft.com/office/drawing/2014/main" id="{00000000-0008-0000-1100-00002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4">
              <a:extLst>
                <a:ext uri="{FF2B5EF4-FFF2-40B4-BE49-F238E27FC236}">
                  <a16:creationId xmlns:a16="http://schemas.microsoft.com/office/drawing/2014/main" id="{00000000-0008-0000-1100-00001E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1100-00001D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2">
              <a:extLst>
                <a:ext uri="{FF2B5EF4-FFF2-40B4-BE49-F238E27FC236}">
                  <a16:creationId xmlns:a16="http://schemas.microsoft.com/office/drawing/2014/main" id="{00000000-0008-0000-1100-00001C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1">
              <a:extLst>
                <a:ext uri="{FF2B5EF4-FFF2-40B4-BE49-F238E27FC236}">
                  <a16:creationId xmlns:a16="http://schemas.microsoft.com/office/drawing/2014/main" id="{00000000-0008-0000-1100-000017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1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1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1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1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 tooltip="Equipment Input"/>
            <a:extLst>
              <a:ext uri="{FF2B5EF4-FFF2-40B4-BE49-F238E27FC236}">
                <a16:creationId xmlns:a16="http://schemas.microsoft.com/office/drawing/2014/main" id="{00000000-0008-0000-11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4" tooltip="Building Information"/>
            <a:extLst>
              <a:ext uri="{FF2B5EF4-FFF2-40B4-BE49-F238E27FC236}">
                <a16:creationId xmlns:a16="http://schemas.microsoft.com/office/drawing/2014/main" id="{00000000-0008-0000-11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4" name="3: Customer Information">
            <a:hlinkClick xmlns:r="http://schemas.openxmlformats.org/officeDocument/2006/relationships" r:id="rId15" tooltip="Customer Information"/>
            <a:extLst>
              <a:ext uri="{FF2B5EF4-FFF2-40B4-BE49-F238E27FC236}">
                <a16:creationId xmlns:a16="http://schemas.microsoft.com/office/drawing/2014/main" id="{00000000-0008-0000-1100-00001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6" tooltip="Trade Ally/Vendor Information"/>
            <a:extLst>
              <a:ext uri="{FF2B5EF4-FFF2-40B4-BE49-F238E27FC236}">
                <a16:creationId xmlns:a16="http://schemas.microsoft.com/office/drawing/2014/main" id="{00000000-0008-0000-11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7" tooltip="Terms &amp; Conditions"/>
            <a:extLst>
              <a:ext uri="{FF2B5EF4-FFF2-40B4-BE49-F238E27FC236}">
                <a16:creationId xmlns:a16="http://schemas.microsoft.com/office/drawing/2014/main" id="{00000000-0008-0000-11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7" name="Header">
          <a:extLst>
            <a:ext uri="{FF2B5EF4-FFF2-40B4-BE49-F238E27FC236}">
              <a16:creationId xmlns:a16="http://schemas.microsoft.com/office/drawing/2014/main" id="{00000000-0008-0000-1100-00001B000000}"/>
            </a:ext>
          </a:extLst>
        </xdr:cNvPr>
        <xdr:cNvGrpSpPr/>
      </xdr:nvGrpSpPr>
      <xdr:grpSpPr>
        <a:xfrm>
          <a:off x="0" y="0"/>
          <a:ext cx="15374471" cy="605118"/>
          <a:chOff x="0" y="0"/>
          <a:chExt cx="15813741" cy="591671"/>
        </a:xfrm>
      </xdr:grpSpPr>
      <xdr:grpSp>
        <xdr:nvGrpSpPr>
          <xdr:cNvPr id="33" name="Header">
            <a:extLst>
              <a:ext uri="{FF2B5EF4-FFF2-40B4-BE49-F238E27FC236}">
                <a16:creationId xmlns:a16="http://schemas.microsoft.com/office/drawing/2014/main" id="{00000000-0008-0000-1100-000021000000}"/>
              </a:ext>
            </a:extLst>
          </xdr:cNvPr>
          <xdr:cNvGrpSpPr/>
        </xdr:nvGrpSpPr>
        <xdr:grpSpPr>
          <a:xfrm>
            <a:off x="0" y="0"/>
            <a:ext cx="15813741" cy="591671"/>
            <a:chOff x="0" y="0"/>
            <a:chExt cx="15813741" cy="591671"/>
          </a:xfrm>
        </xdr:grpSpPr>
        <xdr:sp macro="" textlink="">
          <xdr:nvSpPr>
            <xdr:cNvPr id="42" name="Reference">
              <a:extLst>
                <a:ext uri="{FF2B5EF4-FFF2-40B4-BE49-F238E27FC236}">
                  <a16:creationId xmlns:a16="http://schemas.microsoft.com/office/drawing/2014/main" id="{00000000-0008-0000-1100-00002A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ontact">
              <a:hlinkClick xmlns:r="http://schemas.openxmlformats.org/officeDocument/2006/relationships" r:id="rId18" tooltip="Contact"/>
              <a:extLst>
                <a:ext uri="{FF2B5EF4-FFF2-40B4-BE49-F238E27FC236}">
                  <a16:creationId xmlns:a16="http://schemas.microsoft.com/office/drawing/2014/main" id="{00000000-0008-0000-1100-00002B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Completion Form">
              <a:hlinkClick xmlns:r="http://schemas.openxmlformats.org/officeDocument/2006/relationships" r:id="rId19" tooltip=" "/>
              <a:extLst>
                <a:ext uri="{FF2B5EF4-FFF2-40B4-BE49-F238E27FC236}">
                  <a16:creationId xmlns:a16="http://schemas.microsoft.com/office/drawing/2014/main" id="{00000000-0008-0000-1100-00002C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Offer Form">
              <a:hlinkClick xmlns:r="http://schemas.openxmlformats.org/officeDocument/2006/relationships" r:id="rId20" tooltip=" "/>
              <a:extLst>
                <a:ext uri="{FF2B5EF4-FFF2-40B4-BE49-F238E27FC236}">
                  <a16:creationId xmlns:a16="http://schemas.microsoft.com/office/drawing/2014/main" id="{00000000-0008-0000-1100-00002D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Instructions">
              <a:hlinkClick xmlns:r="http://schemas.openxmlformats.org/officeDocument/2006/relationships" r:id="rId21" tooltip="Instructions"/>
              <a:extLst>
                <a:ext uri="{FF2B5EF4-FFF2-40B4-BE49-F238E27FC236}">
                  <a16:creationId xmlns:a16="http://schemas.microsoft.com/office/drawing/2014/main" id="{00000000-0008-0000-1100-00002E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Welcome">
              <a:hlinkClick xmlns:r="http://schemas.openxmlformats.org/officeDocument/2006/relationships" r:id="rId22" tooltip="Welcome"/>
              <a:extLst>
                <a:ext uri="{FF2B5EF4-FFF2-40B4-BE49-F238E27FC236}">
                  <a16:creationId xmlns:a16="http://schemas.microsoft.com/office/drawing/2014/main" id="{00000000-0008-0000-1100-00002F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8" name="Evergy Logo">
              <a:extLst>
                <a:ext uri="{FF2B5EF4-FFF2-40B4-BE49-F238E27FC236}">
                  <a16:creationId xmlns:a16="http://schemas.microsoft.com/office/drawing/2014/main" id="{00000000-0008-0000-1100-00003000000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1" name="State">
              <a:extLst>
                <a:ext uri="{FF2B5EF4-FFF2-40B4-BE49-F238E27FC236}">
                  <a16:creationId xmlns:a16="http://schemas.microsoft.com/office/drawing/2014/main" id="{00000000-0008-0000-1100-000033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6" name="Dividers">
            <a:extLst>
              <a:ext uri="{FF2B5EF4-FFF2-40B4-BE49-F238E27FC236}">
                <a16:creationId xmlns:a16="http://schemas.microsoft.com/office/drawing/2014/main" id="{00000000-0008-0000-1100-000024000000}"/>
              </a:ext>
            </a:extLst>
          </xdr:cNvPr>
          <xdr:cNvGrpSpPr/>
        </xdr:nvGrpSpPr>
        <xdr:grpSpPr>
          <a:xfrm>
            <a:off x="1613717" y="85337"/>
            <a:ext cx="11618762" cy="422893"/>
            <a:chOff x="1612951" y="85725"/>
            <a:chExt cx="11618931" cy="423022"/>
          </a:xfrm>
        </xdr:grpSpPr>
        <xdr:cxnSp macro="">
          <xdr:nvCxnSpPr>
            <xdr:cNvPr id="37" name="Divider 4">
              <a:extLst>
                <a:ext uri="{FF2B5EF4-FFF2-40B4-BE49-F238E27FC236}">
                  <a16:creationId xmlns:a16="http://schemas.microsoft.com/office/drawing/2014/main" id="{00000000-0008-0000-1100-00002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3">
              <a:extLst>
                <a:ext uri="{FF2B5EF4-FFF2-40B4-BE49-F238E27FC236}">
                  <a16:creationId xmlns:a16="http://schemas.microsoft.com/office/drawing/2014/main" id="{00000000-0008-0000-1100-000027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2">
              <a:extLst>
                <a:ext uri="{FF2B5EF4-FFF2-40B4-BE49-F238E27FC236}">
                  <a16:creationId xmlns:a16="http://schemas.microsoft.com/office/drawing/2014/main" id="{00000000-0008-0000-1100-000028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1">
              <a:extLst>
                <a:ext uri="{FF2B5EF4-FFF2-40B4-BE49-F238E27FC236}">
                  <a16:creationId xmlns:a16="http://schemas.microsoft.com/office/drawing/2014/main" id="{00000000-0008-0000-1100-000029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F000000}" name="BUILDINGTYPE" displayName="BUILDINGTYPE" ref="O11:S41" totalsRowShown="0">
  <autoFilter ref="O11:S41" xr:uid="{00000000-0009-0000-0100-000016000000}"/>
  <sortState xmlns:xlrd2="http://schemas.microsoft.com/office/spreadsheetml/2017/richdata2" ref="O12:Q27">
    <sortCondition ref="O11:O27"/>
  </sortState>
  <tableColumns count="5">
    <tableColumn id="1" xr3:uid="{00000000-0010-0000-0F00-000001000000}" name="Building Type"/>
    <tableColumn id="2" xr3:uid="{012EE1D3-CD84-485D-B59E-074B7EDC9514}" name="Waste Heat Factor (e)"/>
    <tableColumn id="3" xr3:uid="{E371E3AC-A18A-417A-AFAC-FA46190A5616}" name="Lighting Coincidence Factor"/>
    <tableColumn id="4" xr3:uid="{F554119E-477A-48E8-8827-0E49C12C2770}" name="WHFd" dataDxfId="724"/>
    <tableColumn id="5" xr3:uid="{EF282AF5-C332-4CBC-8A51-7039730A0F86}" name="Transformer LF" dataDxfId="723"/>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B000000}" name="SPILLOVER" displayName="SPILLOVER" ref="C90:D106" totalsRowShown="0">
  <autoFilter ref="C90:D106" xr:uid="{00000000-0009-0000-0100-00002A000000}"/>
  <tableColumns count="2">
    <tableColumn id="1" xr3:uid="{00000000-0010-0000-1B00-000001000000}" name="Spillover Text"/>
    <tableColumn id="2" xr3:uid="{00000000-0010-0000-1B00-000002000000}" name="Spillover Reaso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C000000}" name="RATECLASS" displayName="RATECLASS" ref="F23:H32" totalsRowShown="0">
  <autoFilter ref="F23:H32" xr:uid="{00000000-0009-0000-0100-00002B000000}"/>
  <tableColumns count="3">
    <tableColumn id="1" xr3:uid="{00000000-0010-0000-1C00-000001000000}" name="Rate Schedules"/>
    <tableColumn id="2" xr3:uid="{00000000-0010-0000-1C00-000002000000}" name="Rate"/>
    <tableColumn id="3" xr3:uid="{F75EC826-F983-4249-BE3A-444641AAD133}" name="Territory"/>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D000000}" name="IMPLSPEC" displayName="IMPLSPEC" ref="A60:A68" totalsRowShown="0">
  <autoFilter ref="A60:A68" xr:uid="{00000000-0009-0000-0100-00002C000000}"/>
  <sortState xmlns:xlrd2="http://schemas.microsoft.com/office/spreadsheetml/2017/richdata2" ref="A61:A67">
    <sortCondition ref="A60:A67"/>
  </sortState>
  <tableColumns count="1">
    <tableColumn id="1" xr3:uid="{00000000-0010-0000-1D00-000001000000}" name="Impl. Specialist"/>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E000000}" name="BUSDEVEL" displayName="BUSDEVEL" ref="F11:H20" totalsRowShown="0">
  <autoFilter ref="F11:H20" xr:uid="{00000000-0009-0000-0100-00002E000000}"/>
  <sortState xmlns:xlrd2="http://schemas.microsoft.com/office/spreadsheetml/2017/richdata2" ref="F12:H21">
    <sortCondition ref="F11:F21"/>
  </sortState>
  <tableColumns count="3">
    <tableColumn id="1" xr3:uid="{00000000-0010-0000-1E00-000001000000}" name="Business Development Lead"/>
    <tableColumn id="2" xr3:uid="{FD636281-4318-4E4B-935B-215B27CE0BC3}" name="Phone"/>
    <tableColumn id="3" xr3:uid="{3F0A7499-23F1-4F40-8C09-5955EA8C3B40}" name="Email"/>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F000000}" name="ENGNRS" displayName="ENGNRS" ref="A71:A78" totalsRowShown="0">
  <autoFilter ref="A71:A78" xr:uid="{00000000-0009-0000-0100-00002F000000}"/>
  <sortState xmlns:xlrd2="http://schemas.microsoft.com/office/spreadsheetml/2017/richdata2" ref="A72:A77">
    <sortCondition ref="A71:A77"/>
  </sortState>
  <tableColumns count="1">
    <tableColumn id="1" xr3:uid="{00000000-0010-0000-1F00-000001000000}" name="Engineers"/>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3E4EAF9-CB5D-49CB-963B-939E4C16D045}" name="YESNO" displayName="YESNO" ref="A11:A13" totalsRowShown="0">
  <autoFilter ref="A11:A13" xr:uid="{A6059E43-0D4F-4EDC-B6C6-32C8E8CDE87C}"/>
  <tableColumns count="1">
    <tableColumn id="1" xr3:uid="{AF0FAF91-C860-4BA5-A1C3-12FE5D70A4A1}" name="Options"/>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361541E-3F26-4FDB-82A6-511251F8ADEA}" name="TESTS" displayName="TESTS" ref="C108:D122" totalsRowShown="0">
  <autoFilter ref="C108:D122" xr:uid="{9919102D-53DA-4750-B123-AE16CB929FEB}"/>
  <tableColumns count="2">
    <tableColumn id="1" xr3:uid="{E971C422-A0DF-407A-810E-59EFF0DE1F82}" name="Tests/Rates/Caps"/>
    <tableColumn id="2" xr3:uid="{E6B94532-F98C-4B3E-9352-D56CE4FDE74E}" name="Value" dataDxfId="7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268EF9C-6D87-4B2E-AC83-2246C06DA679}" name="CUSTINFO" displayName="CUSTINFO" ref="A36:A44" totalsRowShown="0">
  <autoFilter ref="A36:A44" xr:uid="{94EE1ABB-9FC2-40A8-898D-1542F3F57D3D}"/>
  <tableColumns count="1">
    <tableColumn id="1" xr3:uid="{CABFE4E0-0F38-4CBF-8BD2-FCA931FECC14}" name="Customer Info"/>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28B2A2E-95AE-46DD-8E85-FECFEDEE9012}" name="INCENTTYPE" displayName="INCENTTYPE" ref="A80:A82" totalsRowShown="0">
  <autoFilter ref="A80:A82" xr:uid="{B67C4D0F-1A60-421C-B9DB-3C9AD2AFCA4C}"/>
  <tableColumns count="1">
    <tableColumn id="1" xr3:uid="{DB3B4897-1316-4BBF-B264-533AA0316E41}" name="Incentive Typ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5AF143-55B1-4407-BDEF-202738C129CC}" name="PAYMENT_X" displayName="PAYMENT_X" ref="AU18:BF23" totalsRowShown="0">
  <autoFilter ref="AU18:BF23" xr:uid="{0862F6BE-6689-4E94-8380-725C6AE2599D}"/>
  <tableColumns count="12">
    <tableColumn id="1" xr3:uid="{43EF493E-3768-4697-B4AF-0A98C71A925F}" name="Payment to"/>
    <tableColumn id="2" xr3:uid="{D3318855-A63D-4387-BA7E-ABEDEDD244B4}" name="Company" dataDxfId="714">
      <calculatedColumnFormula>M02S04F07</calculatedColumnFormula>
    </tableColumn>
    <tableColumn id="7" xr3:uid="{5F99523A-C655-4A78-9869-84680E3C109B}" name="Address"/>
    <tableColumn id="8" xr3:uid="{F38F3B6C-3A47-45BC-9EBB-848610D2F701}" name="City"/>
    <tableColumn id="9" xr3:uid="{DD3CC199-1E3A-4F06-B352-344F43D047E7}" name="State"/>
    <tableColumn id="10" xr3:uid="{F76E68AD-8596-48F4-9CC8-90D429E66A91}" name="Zip"/>
    <tableColumn id="3" xr3:uid="{0E21235D-B253-4DDA-9E53-353CE48A73AE}" name="First"/>
    <tableColumn id="4" xr3:uid="{AD75D21E-ED2B-42C1-9A8E-866137F6B719}" name="Last"/>
    <tableColumn id="5" xr3:uid="{F473A955-AFE0-4B56-903A-077CBF05F34A}" name="Phone"/>
    <tableColumn id="6" xr3:uid="{A06EDBE0-3CE9-4CB8-8024-64E048F1C15F}" name="Email" dataDxfId="713">
      <calculatedColumnFormula>M02S02F10</calculatedColumnFormula>
    </tableColumn>
    <tableColumn id="11" xr3:uid="{DC001D56-D5F6-4621-8637-AD1661DE37E7}" name="Terms"/>
    <tableColumn id="12" xr3:uid="{86C7B9A6-5073-446C-A31E-FA21DD28EBB8}" name="Payment Preferenc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0000000}" name="STATES" displayName="STATES" ref="C22:D88" totalsRowShown="0">
  <autoFilter ref="C22:D88" xr:uid="{00000000-0009-0000-0100-000018000000}"/>
  <sortState xmlns:xlrd2="http://schemas.microsoft.com/office/spreadsheetml/2017/richdata2" ref="C23:D75">
    <sortCondition ref="D22:D75"/>
  </sortState>
  <tableColumns count="2">
    <tableColumn id="1" xr3:uid="{00000000-0010-0000-1000-000001000000}" name="States"/>
    <tableColumn id="2" xr3:uid="{00000000-0010-0000-1000-000002000000}" name="Abbrev"/>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2858CC00-E98B-419E-8C13-F7C72EA80508}" name="PROJTYPE_N" displayName="PROJTYPE_N" ref="A84:A87" totalsRowShown="0">
  <autoFilter ref="A84:A87" xr:uid="{A4573037-93EC-4C77-A0E9-30627426FF33}"/>
  <tableColumns count="1">
    <tableColumn id="1" xr3:uid="{513F9AA1-2538-498A-AF1B-E9D1FE4F5A54}" name="New Construction Project Typ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BFFCD029-7CD7-44AF-8F51-234421264041}" name="WBPINCENT" displayName="WBPINCENT" ref="C123:D125" totalsRowShown="0" headerRowDxfId="712" dataDxfId="711">
  <autoFilter ref="C123:D125" xr:uid="{4006C8D3-4E41-433A-8082-3DB838C080D7}"/>
  <tableColumns count="2">
    <tableColumn id="1" xr3:uid="{3AD87508-FC4D-4B42-BB18-789A39A72F02}" name="WBP Energy Savings % Below Baseline" dataDxfId="710"/>
    <tableColumn id="2" xr3:uid="{C53A8002-A38F-4660-BAB0-2CC0907E8BCF}" name="Incentive Rate" dataDxfId="709"/>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E25871B-221A-468B-A67A-8B176C4C5F31}" name="ENERGYMODEL" displayName="ENERGYMODEL" ref="A89:A97" totalsRowShown="0">
  <autoFilter ref="A89:A97" xr:uid="{6F283F39-100C-4495-8665-57CDBE2EA3EC}"/>
  <sortState xmlns:xlrd2="http://schemas.microsoft.com/office/spreadsheetml/2017/richdata2" ref="A90:A96">
    <sortCondition ref="A89:A96"/>
  </sortState>
  <tableColumns count="1">
    <tableColumn id="1" xr3:uid="{3BBF8239-4829-4065-8582-FC4B5AC78DA1}" name="Energy Modeling Softwar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B4A6BE23-29DB-4CE8-9608-49DD638558C1}" name="PAYMENT_N" displayName="PAYMENT_N" ref="AU25:BF30" totalsRowShown="0">
  <autoFilter ref="AU25:BF30" xr:uid="{E444B727-113C-49A4-A17A-A8E783547E95}"/>
  <tableColumns count="12">
    <tableColumn id="1" xr3:uid="{B0D78A6C-B16B-4DF1-9AF4-5EDD28F0FE92}" name="Payment to"/>
    <tableColumn id="2" xr3:uid="{54FBAF29-726F-4651-950F-D2488E8A4A8E}" name="Company" dataDxfId="708">
      <calculatedColumnFormula>M02S04F07</calculatedColumnFormula>
    </tableColumn>
    <tableColumn id="7" xr3:uid="{15D42366-2E19-46BE-BE3A-E00410B03744}" name="Address"/>
    <tableColumn id="8" xr3:uid="{F3192651-46AE-4046-A9E1-C1178CAB9367}" name="City"/>
    <tableColumn id="9" xr3:uid="{085DAC77-BFE6-426C-81FF-E06F8EB6D74F}" name="State"/>
    <tableColumn id="10" xr3:uid="{DAEDAE3D-6EA3-49DA-B001-5C084510AF88}" name="Zip"/>
    <tableColumn id="3" xr3:uid="{0DFF9636-49F7-4D56-9A32-27BD209975EA}" name="First"/>
    <tableColumn id="4" xr3:uid="{654F4472-4E94-4192-90E9-AA860FBF2E25}" name="Last"/>
    <tableColumn id="5" xr3:uid="{E78F9CF8-D2CB-4364-9E70-73A7BEFD5A56}" name="Phone"/>
    <tableColumn id="6" xr3:uid="{2E849C54-50CB-462B-ABDB-5B236D3C3487}" name="Email" dataDxfId="707">
      <calculatedColumnFormula>M02S02F10</calculatedColumnFormula>
    </tableColumn>
    <tableColumn id="11" xr3:uid="{C8205A28-6A4F-4CDD-A2D6-F6501E49DC32}" name="Terms"/>
    <tableColumn id="12" xr3:uid="{C0AA20EC-C214-4326-AB0C-95DB86209F93}" name="Payment Preference"/>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1D892608-12D6-443E-B468-3CE881DE0E64}" name="DESIGNTEAM" displayName="DESIGNTEAM" ref="A112:A118" totalsRowShown="0">
  <autoFilter ref="A112:A118" xr:uid="{600DA09D-95CD-4196-96C7-8649347E33FB}"/>
  <tableColumns count="1">
    <tableColumn id="1" xr3:uid="{B2C41152-F9FA-4159-A1EC-3F582FFDB72D}" name="Design Team Options"/>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9AC5CDBF-1166-43D0-BB68-6376E8DE6717}" name="Table71" displayName="Table71" ref="C127:D145" totalsRowShown="0" tableBorderDxfId="706">
  <autoFilter ref="C127:D145" xr:uid="{F29D7758-5290-41D9-AFA4-46FAEDE431A0}"/>
  <tableColumns count="2">
    <tableColumn id="1" xr3:uid="{2B8EDE42-AFA0-4093-90C7-D4E1641FAD7C}" name="Principal building activity"/>
    <tableColumn id="2" xr3:uid="{BBCC6FFB-2CBB-4CEA-906D-59364A775A72}" name="CBECS 2012 Midwest Electricity Energy Intensity (kWh/sq ft)"/>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PROJECTTYPE" displayName="PROJECTTYPE" ref="A99:A103" totalsRowShown="0">
  <autoFilter ref="A99:A103" xr:uid="{00000000-0009-0000-0100-000003000000}"/>
  <sortState xmlns:xlrd2="http://schemas.microsoft.com/office/spreadsheetml/2017/richdata2" ref="A100:B102">
    <sortCondition descending="1" ref="A99:A102"/>
  </sortState>
  <tableColumns count="1">
    <tableColumn id="2" xr3:uid="{9A9CF9C8-2417-4A93-939B-9DDEC33DDB56}" name="Project Category"/>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150EDCC-1C0F-4BBE-8657-2DC1AF52F360}" name="COSTTYPE" displayName="COSTTYPE" ref="A105:A107" totalsRowShown="0">
  <autoFilter ref="A105:A107" xr:uid="{0E4FDCE4-66D1-4FBA-BDDA-ECA15BC8AF84}"/>
  <sortState xmlns:xlrd2="http://schemas.microsoft.com/office/spreadsheetml/2017/richdata2" ref="A106:B108">
    <sortCondition descending="1" ref="A99:A103"/>
  </sortState>
  <tableColumns count="1">
    <tableColumn id="2" xr3:uid="{AE6902E5-295B-4EC8-B7EE-A312017C5C70}" name="Cost Type"/>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33B22D8A-35A3-4902-90C3-AA86D167D52A}" name="Table72" displayName="Table72" ref="A120:A123" totalsRowShown="0">
  <autoFilter ref="A120:A123" xr:uid="{33B22D8A-35A3-4902-90C3-AA86D167D52A}"/>
  <tableColumns count="1">
    <tableColumn id="1" xr3:uid="{4D96E9DE-48B1-45D2-86AC-6D45184624CB}" name="RCx TA Options"/>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D9A9DE72-0A05-4378-9E4A-554A90FAB6D9}" name="Table83" displayName="Table83" ref="A125:A127" totalsRowShown="0">
  <autoFilter ref="A125:A127" xr:uid="{D9A9DE72-0A05-4378-9E4A-554A90FAB6D9}"/>
  <tableColumns count="1">
    <tableColumn id="1" xr3:uid="{A49C6107-753C-4AEA-B693-2466D4C38A61}" name="Electrical Phase Typ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1000000}" name="SPACEHEAT" displayName="SPACEHEAT" ref="C147:D153" totalsRowShown="0">
  <autoFilter ref="C147:D153" xr:uid="{00000000-0009-0000-0100-000019000000}"/>
  <tableColumns count="2">
    <tableColumn id="1" xr3:uid="{00000000-0010-0000-1100-000001000000}" name="Space Conditioning"/>
    <tableColumn id="2" xr3:uid="{C9000589-8D55-41D7-8572-FD80BEA47A5F}" name="ELECHEAT"/>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E6CC59E-0933-48A0-8E64-368F16B1652D}" name="TFBASEMV" displayName="TFBASEMV" ref="AK13:AS38" totalsRowShown="0" headerRowDxfId="705" dataDxfId="704" dataCellStyle="Percent">
  <autoFilter ref="AK13:AS38" xr:uid="{BE6CC59E-0933-48A0-8E64-368F16B1652D}"/>
  <tableColumns count="9">
    <tableColumn id="1" xr3:uid="{0863B01B-5915-4103-8AC1-7C0175172BAB}" name="kVA"/>
    <tableColumn id="2" xr3:uid="{40E4E194-7CDB-48F6-B9DA-EBD5436DD718}" name="1PH_Eff" dataDxfId="703"/>
    <tableColumn id="3" xr3:uid="{6E5A86E2-0FF8-48FD-9CB7-5CBEF96E5900}" name="20-45 kV" dataDxfId="702" dataCellStyle="Percent"/>
    <tableColumn id="4" xr3:uid="{DA54A620-DFE9-4C24-99E6-1D1C0EE45DAA}" name="46-95 kV" dataDxfId="701" dataCellStyle="Percent"/>
    <tableColumn id="5" xr3:uid="{1141E23A-AEE1-4456-9C69-B3C556662268}" name="≥96 kV" dataDxfId="700" dataCellStyle="Percent"/>
    <tableColumn id="6" xr3:uid="{AD7CD83F-2368-4BDA-A2C2-6313D87A7DFF}" name="3PH_Eff" dataDxfId="699">
      <calculatedColumnFormula>ROUND(AVERAGE(AQ14:AS14), 4)</calculatedColumnFormula>
    </tableColumn>
    <tableColumn id="7" xr3:uid="{FC02E669-E655-4666-AEC1-FFA46170FBBC}" name="20-45 kV2" dataDxfId="698" dataCellStyle="Percent"/>
    <tableColumn id="8" xr3:uid="{67CBA67F-A367-4069-BD68-74A5939D5F3D}" name="46-95 kV3" dataDxfId="697" dataCellStyle="Percent"/>
    <tableColumn id="9" xr3:uid="{3B09A59C-5B8E-4B0D-9A44-D88751CE437E}" name="≥96 kV4" dataDxfId="696" dataCellStyle="Percent"/>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BFFAD7E3-F985-4300-8052-F01864ABB8DF}" name="TFBASELI" displayName="TFBASELI" ref="AK41:AM66" totalsRowShown="0">
  <autoFilter ref="AK41:AM66" xr:uid="{BFFAD7E3-F985-4300-8052-F01864ABB8DF}"/>
  <tableColumns count="3">
    <tableColumn id="1" xr3:uid="{8A63B8C1-C9A9-483C-B1B2-07CAB769DB5F}" name="kVA"/>
    <tableColumn id="2" xr3:uid="{F9DB6AE8-3886-4792-9335-9FA07F6848E2}" name="1PH_Eff" dataDxfId="695"/>
    <tableColumn id="3" xr3:uid="{EF213BCE-96DA-405F-AED4-20017A0EBF19}" name="3PH_Eff" dataDxfId="694"/>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DBA06B36-C4F0-4743-A07E-E24D3F36C70D}" name="TFBASELV" displayName="TFBASELV" ref="AO41:AQ60" totalsRowShown="0">
  <autoFilter ref="AO41:AQ60" xr:uid="{DBA06B36-C4F0-4743-A07E-E24D3F36C70D}"/>
  <tableColumns count="3">
    <tableColumn id="1" xr3:uid="{C3E46C6A-4A4C-48A7-8E6B-913E7AF57D9E}" name="kVA"/>
    <tableColumn id="2" xr3:uid="{C2C7666A-DB37-4569-B3C6-AEB0D708C0B5}" name="1PH_Eff" dataDxfId="693"/>
    <tableColumn id="3" xr3:uid="{52B8B3F3-84C8-4520-9658-F7E1002DEA91}" name="3PH_Eff" dataDxfId="692"/>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7000000}" name="CITYCOUNTYCODES" displayName="CITYCOUNTYCODES" ref="AB11:AG518" totalsRowShown="0" dataDxfId="691">
  <autoFilter ref="AB11:AG518" xr:uid="{00000000-0009-0000-0100-000012000000}"/>
  <sortState xmlns:xlrd2="http://schemas.microsoft.com/office/spreadsheetml/2017/richdata2" ref="AB12:AG518">
    <sortCondition ref="AC11:AC518"/>
  </sortState>
  <tableColumns count="6">
    <tableColumn id="1" xr3:uid="{00000000-0010-0000-2700-000001000000}" name="ZIP Code" dataDxfId="690"/>
    <tableColumn id="2" xr3:uid="{00000000-0010-0000-2700-000002000000}" name="City" dataDxfId="689"/>
    <tableColumn id="4" xr3:uid="{00000000-0010-0000-2700-000004000000}" name="NC City Code" dataDxfId="688"/>
    <tableColumn id="5" xr3:uid="{00000000-0010-0000-2700-000005000000}" name="County" dataDxfId="687"/>
    <tableColumn id="7" xr3:uid="{00000000-0010-0000-2700-000007000000}" name="NC County Code" dataDxfId="686"/>
    <tableColumn id="9" xr3:uid="{00000000-0010-0000-2700-000009000000}" name="No Code" dataDxfId="685"/>
  </tableColumns>
  <tableStyleInfo name="TableStyleMedium7"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8000000}" name="CITIES" displayName="CITIES" ref="AI11:AI394" totalsRowShown="0">
  <autoFilter ref="AI11:AI394" xr:uid="{00000000-0009-0000-0100-000039000000}"/>
  <sortState xmlns:xlrd2="http://schemas.microsoft.com/office/spreadsheetml/2017/richdata2" ref="AI12:AI394">
    <sortCondition ref="AI11:AI394"/>
  </sortState>
  <tableColumns count="1">
    <tableColumn id="1" xr3:uid="{00000000-0010-0000-2800-000001000000}" name="City"/>
  </tableColumns>
  <tableStyleInfo name="TableStyleMedium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F086E38-DC07-4489-945F-0FFBC524A2A8}" name="ENERGYCODES" displayName="ENERGYCODES" ref="A28:A33" totalsRowShown="0">
  <autoFilter ref="A28:A33" xr:uid="{C54925B7-0CF2-49D6-A9A4-E1BBED33EF7B}"/>
  <tableColumns count="1">
    <tableColumn id="1" xr3:uid="{435B7D4D-67D7-4207-A53D-7C955507B7E6}" name="Codes"/>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AC5BECC-A2D0-4E4C-A8C6-2AB5BB0CA4FB}" name="Excel_Ack" displayName="Excel_Ack" ref="J11:M12" totalsRowShown="0" headerRowDxfId="684" dataDxfId="683">
  <autoFilter ref="J11:M12" xr:uid="{EAC5BECC-A2D0-4E4C-A8C6-2AB5BB0CA4FB}"/>
  <tableColumns count="4">
    <tableColumn id="1" xr3:uid="{3E38C536-C4D4-418F-B3ED-DE3084AA7A71}" name="Acknowledge" dataDxfId="682"/>
    <tableColumn id="2" xr3:uid="{60F03FC8-D543-4D16-A94E-0C87CFDA9861}" name="Main" dataDxfId="681">
      <calculatedColumnFormula>IF(Excel_Ack[[#This Row],[Acknowledge]]=TRUE, "'M02-S01'!A1", "'M01-S02'!A1")</calculatedColumnFormula>
    </tableColumn>
    <tableColumn id="3" xr3:uid="{58B1A54D-DF56-485D-8035-9B921404930D}" name="NC" dataDxfId="680">
      <calculatedColumnFormula>IF(Excel_Ack[[#This Row],[Acknowledge]]=TRUE, "'N02-S01'!A1", "'N01-S02'!A1")</calculatedColumnFormula>
    </tableColumn>
    <tableColumn id="4" xr3:uid="{F08F5BB1-80DC-4A2D-95C9-BEC51B3F2BFF}" name="RCx" dataDxfId="679">
      <calculatedColumnFormula>IF(Excel_Ack[[#This Row],[Acknowledge]]=TRUE, "'X02-S01'!A1", "'X01-S02'!A1")</calculatedColumnFormula>
    </tableColumn>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4421653-27C1-430D-98BB-82B415E9E41F}" name="Excel_Ack_Contact" displayName="Excel_Ack_Contact" ref="J15:M16" totalsRowShown="0" headerRowDxfId="678" dataDxfId="677">
  <autoFilter ref="J15:M16" xr:uid="{A4421653-27C1-430D-98BB-82B415E9E41F}"/>
  <tableColumns count="4">
    <tableColumn id="1" xr3:uid="{6F4E75C1-BF62-4B50-ACF6-8D59B8006D08}" name="Acknowledge" dataDxfId="676">
      <calculatedColumnFormula array="1">Excel_Ack[Acknowledge]</calculatedColumnFormula>
    </tableColumn>
    <tableColumn id="2" xr3:uid="{2CF075DA-FE4D-4AA5-96EC-EC901D15BC33}" name="Main" dataDxfId="675">
      <calculatedColumnFormula>"'M01-S03'!A1"</calculatedColumnFormula>
    </tableColumn>
    <tableColumn id="3" xr3:uid="{02CA9CC4-3799-49E0-A145-3C8F9F73D6EE}" name="NC" dataDxfId="674">
      <calculatedColumnFormula>"'N01-S03'!A1"</calculatedColumnFormula>
    </tableColumn>
    <tableColumn id="4" xr3:uid="{39220E7E-FDBF-4BC7-8EB6-C47EAAD69605}" name="RCx" dataDxfId="673">
      <calculatedColumnFormula>"'X01-S03'!A1"</calculatedColumnFormula>
    </tableColumn>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7F1A01E-56B7-4744-997F-4B52A5140371}" name="Excel_Ack_Offer" displayName="Excel_Ack_Offer" ref="J19:M20" totalsRowShown="0" headerRowDxfId="672" dataDxfId="671">
  <autoFilter ref="J19:M20" xr:uid="{07F1A01E-56B7-4744-997F-4B52A5140371}"/>
  <tableColumns count="4">
    <tableColumn id="1" xr3:uid="{978C0DD2-D78D-4FA3-8EA9-23C6635A9CC2}" name="Acknowledge" dataDxfId="670">
      <calculatedColumnFormula array="1">Excel_Ack[Acknowledge]</calculatedColumnFormula>
    </tableColumn>
    <tableColumn id="2" xr3:uid="{2DE8BA7B-D248-41C6-BE6A-22D4B0F0F090}" name="Main" dataDxfId="669">
      <calculatedColumnFormula>IF(Excel_Ack_Offer[[#This Row],[Acknowledge]]=TRUE, IF(ACTIVEOFFER="Yes", "'M05-S04'!A1", ""), "'M01-S02'!A1")</calculatedColumnFormula>
    </tableColumn>
    <tableColumn id="3" xr3:uid="{C91E2005-7400-403C-BB08-2B99E14B74C3}" name="NC" dataDxfId="668">
      <calculatedColumnFormula>IF(Excel_Ack_Offer[[#This Row],[Acknowledge]]=TRUE, IF(ACTIVEOFFER_N="Yes", "'N05-S04'!A1", ""), "'N01-S02'!A1")</calculatedColumnFormula>
    </tableColumn>
    <tableColumn id="4" xr3:uid="{AC2E7D63-05E2-422F-A9B6-4A22C6B206E9}" name="RCx" dataDxfId="667">
      <calculatedColumnFormula>IF(Excel_Ack_Offer[[#This Row],[Acknowledge]]=TRUE, IF(ACTIVEOFFER_X="Yes", "'X05-S04'!A1", ""), "'X01-S02'!A1")</calculatedColumnFormula>
    </tableColumn>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FD3E2BBE-2CC2-40CB-94E7-43C7F5D6D796}" name="Excel_Ack_Compl" displayName="Excel_Ack_Compl" ref="J23:M24" totalsRowShown="0" headerRowDxfId="666" dataDxfId="665">
  <autoFilter ref="J23:M24" xr:uid="{FD3E2BBE-2CC2-40CB-94E7-43C7F5D6D796}"/>
  <tableColumns count="4">
    <tableColumn id="1" xr3:uid="{50D22192-F5D8-4B9F-B9A9-D8C7A853E92A}" name="Acknowledge" dataDxfId="664">
      <calculatedColumnFormula array="1">Excel_Ack[Acknowledge]</calculatedColumnFormula>
    </tableColumn>
    <tableColumn id="2" xr3:uid="{9AA68F65-E5EE-49C4-9910-7F809573A3A1}" name="Main" dataDxfId="663">
      <calculatedColumnFormula>IF(Excel_Ack_Compl[[#This Row],[Acknowledge]]=TRUE, IF(ACTIVECOMPL="Yes", "'M05-S05'!A1", ""), "'M01-S02'!A1")</calculatedColumnFormula>
    </tableColumn>
    <tableColumn id="3" xr3:uid="{CCFDC59F-4192-4D8E-A07D-C8D020ED8FE8}" name="NC" dataDxfId="662">
      <calculatedColumnFormula>IF(Excel_Ack_Compl[[#This Row],[Acknowledge]]=TRUE, IF(ACTIVECOMPL_N="Yes", "'N05-S05'!A1", ""), "'N01-S02'!A1")</calculatedColumnFormula>
    </tableColumn>
    <tableColumn id="4" xr3:uid="{8300F579-E711-4EA3-BB36-0C0A92AC7479}" name="RCx" dataDxfId="661">
      <calculatedColumnFormula>IF(Excel_Ack_Compl[[#This Row],[Acknowledge]]=TRUE, IF(ACTIVECOMPL_X="Yes", "'X05-S05'!A1", ""), "'X01-S02'!A1")</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3000000}" name="PROGRAMTYPE" displayName="PROGRAMTYPE" ref="A19:A26" totalsRowShown="0">
  <autoFilter ref="A19:A26" xr:uid="{00000000-0009-0000-0100-00001B000000}"/>
  <sortState xmlns:xlrd2="http://schemas.microsoft.com/office/spreadsheetml/2017/richdata2" ref="A20:A25">
    <sortCondition ref="A19:A25"/>
  </sortState>
  <tableColumns count="1">
    <tableColumn id="1" xr3:uid="{00000000-0010-0000-1300-000001000000}" name="Project Type"/>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ELECCB" displayName="ELECCB" ref="A11:G36" totalsRowShown="0" headerRowDxfId="660">
  <autoFilter ref="A11:G36" xr:uid="{00000000-0009-0000-0100-000011000000}"/>
  <tableColumns count="7">
    <tableColumn id="1" xr3:uid="{00000000-0010-0000-0E00-000001000000}" name="Year" dataDxfId="659"/>
    <tableColumn id="2" xr3:uid="{00000000-0010-0000-0E00-000002000000}" name="Year Number"/>
    <tableColumn id="5" xr3:uid="{D4726E79-2B04-4F69-A6F9-BED1C7AC43FB}" name="Capacity Reserve Margin"/>
    <tableColumn id="4" xr3:uid="{1937B239-7B7E-4712-B404-9637E1920678}" name="Avoided Capacity Cost $/kW"/>
    <tableColumn id="3" xr3:uid="{28B6BC17-76FA-4DE4-B822-2631A6E4B9D6}" name="Avoided T&amp;D $/kW"/>
    <tableColumn id="9" xr3:uid="{00000000-0010-0000-0E00-000009000000}" name="NPV AEC $/kWh" dataDxfId="658">
      <calculatedColumnFormula>L49</calculatedColumnFormula>
    </tableColumn>
    <tableColumn id="10" xr3:uid="{00000000-0010-0000-0E00-00000A000000}" name="NPV ACC $/kW" dataDxfId="657">
      <calculatedColumnFormula>M49</calculatedColumnFormula>
    </tableColumn>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3069F86-EE70-4F0A-88C0-C0B9753EF296}" name="Table2" displayName="Table2" ref="K48:O73" totalsRowShown="0" headerRowDxfId="656" dataDxfId="654" headerRowBorderDxfId="655" tableBorderDxfId="653" totalsRowBorderDxfId="652" headerRowCellStyle="Normal 23" dataCellStyle="Normal 23">
  <autoFilter ref="K48:O73" xr:uid="{AB7D8CF8-70CE-4B46-B609-9F929D47C05F}"/>
  <tableColumns count="5">
    <tableColumn id="1" xr3:uid="{8458E4E7-D605-4A21-AE72-8CC4813417FA}" name="Measure Life" dataDxfId="651" dataCellStyle="Normal 23">
      <calculatedColumnFormula>IF(A52=YEAR(TODAY()),1,IF(K48&lt;&gt;"",K48+1,""))</calculatedColumnFormula>
    </tableColumn>
    <tableColumn id="2" xr3:uid="{19377D27-711C-46EF-BAB0-A1647EAADA1F}" name="$/kWh" dataDxfId="650" dataCellStyle="Normal 23">
      <calculatedColumnFormula>C52*(1+$C$7)^-(B52-1)</calculatedColumnFormula>
    </tableColumn>
    <tableColumn id="3" xr3:uid="{90BD78C4-F1B1-48FD-9BBA-6910903D0141}" name="$/kW-yr" dataDxfId="649" dataCellStyle="Normal 23">
      <calculatedColumnFormula>D52*(1+$C$7)^-(B52-1)</calculatedColumnFormula>
    </tableColumn>
    <tableColumn id="4" xr3:uid="{6D2E97D2-4C1D-4A48-884A-323DB0C5A2FE}" name="$/kWh " dataDxfId="648" dataCellStyle="Normal 23">
      <calculatedColumnFormula>E52*(1+$C$9)^-(B52-1)</calculatedColumnFormula>
    </tableColumn>
    <tableColumn id="5" xr3:uid="{06DA1FE7-5501-4970-A746-2B0992933A9E}" name="$/kW-yr " dataDxfId="647" dataCellStyle="Normal 23">
      <calculatedColumnFormula>F52*(1+$C$9)^-(B52-1)</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3CDF099-6C7A-4A02-870E-E09AEBA92FDC}" name="STDLIGHT" displayName="STDLIGHT" ref="B2:AE43" totalsRowShown="0" headerRowDxfId="646" dataDxfId="644" headerRowBorderDxfId="645" tableBorderDxfId="643" totalsRowBorderDxfId="642">
  <autoFilter ref="B2:AE43" xr:uid="{4895173A-855F-4E2D-AC5D-F9E9E41D1188}"/>
  <sortState xmlns:xlrd2="http://schemas.microsoft.com/office/spreadsheetml/2017/richdata2" ref="B3:AE43">
    <sortCondition ref="T2:T43"/>
  </sortState>
  <tableColumns count="30">
    <tableColumn id="4" xr3:uid="{B50287D4-9A5B-4479-9E21-9768FB203FF4}" name="Measure Number" dataDxfId="641"/>
    <tableColumn id="6" xr3:uid="{DE98E972-897B-4C73-8D3D-EE0A0686CEA2}" name="Measure Name" dataDxfId="640"/>
    <tableColumn id="3" xr3:uid="{2B262458-0F3F-4815-848B-15794C90CBC1}" name="Primary Key" dataDxfId="639"/>
    <tableColumn id="2" xr3:uid="{0EBDA415-A26A-4682-947A-DADB173F14A4}" name="TRM Measure Name" dataDxfId="638"/>
    <tableColumn id="1" xr3:uid="{3DCD48CC-CC9E-4205-91D4-554261CED467}" name="Program" dataDxfId="637"/>
    <tableColumn id="5" xr3:uid="{DEB1FA13-F476-420D-BC33-2F818663C744}" name="End Use" dataDxfId="636"/>
    <tableColumn id="11" xr3:uid="{CCA66FCC-BC9C-4340-9653-BCCD965F0D38}" name="Current Unit" dataDxfId="635"/>
    <tableColumn id="12" xr3:uid="{644D938F-6D77-4172-8FB4-6EF72CEB6F61}" name="Base Incentive" dataDxfId="634"/>
    <tableColumn id="20" xr3:uid="{C722D32F-F2D5-4D38-9FEB-C3BE8C65A774}" name="Bonus Incentive" dataDxfId="633"/>
    <tableColumn id="13" xr3:uid="{20ACE862-480F-402E-9B54-D6E0F102225C}" name="Incremental Measure Cost ($/Unit)" dataDxfId="632"/>
    <tableColumn id="14" xr3:uid="{D62D38F6-2C86-4505-8031-9D230C728057}" name="Electric Energy Savings (Annual kWh/unit)" dataDxfId="631" dataCellStyle="Comma"/>
    <tableColumn id="19" xr3:uid="{3A773825-9FAB-40E4-8654-EEB5C7A2421A}" name="Coincident Peak Demand Savings (kW/unit)" dataDxfId="630" dataCellStyle="Comma"/>
    <tableColumn id="23" xr3:uid="{125BF0C0-72FB-4C60-A66F-3F5AF909171D}" name="Measure Life (Years)" dataDxfId="629"/>
    <tableColumn id="24" xr3:uid="{BE25DCC4-F8E9-4B93-9BD0-64509F7C090D}" name="Efficient Definition" dataDxfId="628"/>
    <tableColumn id="25" xr3:uid="{319F27B7-8902-48DB-9ACA-D9262D36F815}" name="Measure Efficiency Value" dataDxfId="627"/>
    <tableColumn id="27" xr3:uid="{3E70ADD7-1287-4B4B-BD26-1CEA755E20D1}" name="Baseline Definition" dataDxfId="626"/>
    <tableColumn id="28" xr3:uid="{775DB3FA-2FFA-423A-BFF0-54FB1617E873}" name="Baseline Efficiency Value" dataDxfId="625"/>
    <tableColumn id="32" xr3:uid="{FEBD03E6-E46F-4FED-BBF8-6C4421D4D287}" name="Effective Start Date" dataDxfId="624"/>
    <tableColumn id="8" xr3:uid="{50EACB37-426F-4542-97EC-DBD66945DA21}" name="Order" dataDxfId="623"/>
    <tableColumn id="16" xr3:uid="{934AEC36-8C2D-472F-8252-5BA37A41AB4E}" name="Reporting Methodology" dataDxfId="622"/>
    <tableColumn id="7" xr3:uid="{887277F5-3A85-4129-9AAD-19F0A9A0F81E}" name="Eff Category 1" dataDxfId="621"/>
    <tableColumn id="18" xr3:uid="{3633352C-5B73-4757-A215-6D2A537DCA68}" name="Ineff Dropdown 1" dataDxfId="620"/>
    <tableColumn id="17" xr3:uid="{0BE5747A-0C12-4BD5-9281-33646F34B7ED}" name="Ineff Dropdown 2" dataDxfId="619"/>
    <tableColumn id="9" xr3:uid="{8CE2CEB6-1F50-4401-B50D-2B2BEDDB2ED7}" name="Baseline Min Wattage" dataDxfId="618"/>
    <tableColumn id="10" xr3:uid="{F80BFA11-A03D-45F7-9E74-66400A05CAA7}" name="Baseline Max Wattage" dataDxfId="617"/>
    <tableColumn id="21" xr3:uid="{709CBDAF-D0A3-41EF-B873-D462BCBA4317}" name="Eff Min Wattage" dataDxfId="616"/>
    <tableColumn id="22" xr3:uid="{07D4AA8C-45DF-41FB-9DA8-65D461BAB30F}" name="Eff Max Wattage" dataDxfId="615"/>
    <tableColumn id="15" xr3:uid="{AE2C127F-5D54-42AB-9016-8BE2DF9E9ED1}" name="Column1" dataDxfId="614"/>
    <tableColumn id="26" xr3:uid="{9C889C39-135B-4C7C-AE6C-C72AB618D788}" name="Column2" dataDxfId="613"/>
    <tableColumn id="29" xr3:uid="{766F9479-6E77-4DB7-AF44-F804D5C1419D}" name="Column3" dataDxfId="612"/>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4394F76-C3B1-4D27-8CEB-6570EC8A8C99}" name="STDWATER" displayName="STDWATER" ref="B50:AE58" totalsRowShown="0" headerRowDxfId="611" dataDxfId="609" headerRowBorderDxfId="610" tableBorderDxfId="608" totalsRowBorderDxfId="607">
  <autoFilter ref="B50:AE58" xr:uid="{747A3E90-CEBA-4A10-8B01-EA60600CF868}"/>
  <sortState xmlns:xlrd2="http://schemas.microsoft.com/office/spreadsheetml/2017/richdata2" ref="B51:AE58">
    <sortCondition ref="T50:T58"/>
  </sortState>
  <tableColumns count="30">
    <tableColumn id="8" xr3:uid="{FDC2648E-FE9D-4DE6-800D-0A6BCFB68755}" name="Measure Number" dataDxfId="606"/>
    <tableColumn id="9" xr3:uid="{9443964C-4DE3-4AC9-A717-FA221537F8F7}" name="Measure Name" dataDxfId="605"/>
    <tableColumn id="2" xr3:uid="{580E1CA2-E1FE-4D5C-819C-B33F2C812C52}" name="Primary Key" dataDxfId="604"/>
    <tableColumn id="1" xr3:uid="{091114A7-7258-4D8E-9F19-AE34E7328ABD}" name="TRM Measure Name" dataDxfId="603"/>
    <tableColumn id="3" xr3:uid="{D7F3515E-B418-4D48-AC6D-EACF949C125D}" name="Program" dataDxfId="602"/>
    <tableColumn id="4" xr3:uid="{001A4F95-6AF4-4322-84BB-39669907A6ED}" name="End Use" dataDxfId="601"/>
    <tableColumn id="10" xr3:uid="{75AD3656-C2FC-406C-AA1C-CB765542C05A}" name="Current Unit" dataDxfId="600"/>
    <tableColumn id="11" xr3:uid="{02B27251-CDDD-405A-8CA7-AFE8CB86BC6B}" name="Base Incentive" dataDxfId="599"/>
    <tableColumn id="27" xr3:uid="{0576F4BF-0AB9-46B8-9F70-F9A467323224}" name="Bonus Incentive" dataDxfId="598"/>
    <tableColumn id="12" xr3:uid="{2835465A-B00B-4979-91CE-86CBCCE6D9C1}" name="Incremental Measure Cost ($/Unit)" dataDxfId="597"/>
    <tableColumn id="13" xr3:uid="{C6C9DE10-3EEE-488A-98FF-AECB4E6FB03D}" name="Electric Energy Savings (Annual kWh/unit)" dataDxfId="596" dataCellStyle="Comma"/>
    <tableColumn id="18" xr3:uid="{5F6CED27-CCB8-4E5F-A5A2-E97A1C78478A}" name="Coincident Peak Demand Savings (kW/unit)" dataDxfId="595" dataCellStyle="Comma"/>
    <tableColumn id="22" xr3:uid="{376B6F99-609F-41BD-BFCA-43D14987181D}" name="Measure Life (Years)" dataDxfId="594"/>
    <tableColumn id="23" xr3:uid="{2A8FB1F4-A8EC-462D-A510-718FB0830B64}" name="Efficient Definition" dataDxfId="593"/>
    <tableColumn id="6" xr3:uid="{E3AD8E3C-0072-4033-802F-BADC0200C967}" name="Measure Efficiency Value" dataDxfId="592"/>
    <tableColumn id="26" xr3:uid="{290AA83B-7B1C-4A73-A707-3D5D684105C5}" name="Baseline Definition" dataDxfId="591"/>
    <tableColumn id="7" xr3:uid="{12D03A51-588B-4F2F-AF55-06F60DB400B4}" name="Baseline Efficiency Value" dataDxfId="590"/>
    <tableColumn id="31" xr3:uid="{AD455FBC-C675-44E7-8D06-82B334C2365B}" name="Effective Start Date" dataDxfId="589"/>
    <tableColumn id="5" xr3:uid="{494F2E2F-CDC0-4ECF-8A9D-36B48C00D495}" name="Order" dataDxfId="588"/>
    <tableColumn id="25" xr3:uid="{861D363D-19E5-4248-B01F-6CEFE08F13B7}" name="Reporting Methodology" dataDxfId="587"/>
    <tableColumn id="15" xr3:uid="{69633EB4-7565-419E-8811-C29B9B35FB0B}" name="Column1" dataDxfId="586"/>
    <tableColumn id="16" xr3:uid="{64A02FF5-7829-4627-96B9-26112BF1B264}" name="Column12" dataDxfId="585"/>
    <tableColumn id="17" xr3:uid="{E60E0210-AB94-4857-9232-3E0DB1A8EDEE}" name="Column13" dataDxfId="584"/>
    <tableColumn id="19" xr3:uid="{9932F5A7-4B22-440E-B8DE-485DB36FCC73}" name="Column14" dataDxfId="583"/>
    <tableColumn id="20" xr3:uid="{BFA934FC-60B6-436A-AC0E-C7E32330C147}" name="Column15" dataDxfId="582"/>
    <tableColumn id="21" xr3:uid="{D06F08DD-328E-4B62-B9CD-E11767B47426}" name="Column16" dataDxfId="581"/>
    <tableColumn id="24" xr3:uid="{8DFE7ECF-B0E0-458C-AF57-991656F4F55A}" name="Column17" dataDxfId="580"/>
    <tableColumn id="14" xr3:uid="{0BE83C23-21CD-40AA-96CB-61389B008ED4}" name="Column18" dataDxfId="579"/>
    <tableColumn id="28" xr3:uid="{94F860FD-EA7B-4DEF-8ECE-255BA6A8C6A3}" name="Column19" dataDxfId="578"/>
    <tableColumn id="29" xr3:uid="{E53CBE95-D56F-473E-BDFC-06B454D09F7E}" name="Column20" dataDxfId="577"/>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AFA5E0B-7490-489D-99EE-EC457ADAED40}" name="STDCOMPRESS" displayName="STDCOMPRESS" ref="B65:AE70" totalsRowShown="0" headerRowDxfId="576" dataDxfId="574" headerRowBorderDxfId="575" tableBorderDxfId="573" totalsRowBorderDxfId="572">
  <autoFilter ref="B65:AE70" xr:uid="{4DFAC92A-2E58-4E04-8C90-2CD673C74E58}"/>
  <sortState xmlns:xlrd2="http://schemas.microsoft.com/office/spreadsheetml/2017/richdata2" ref="B66:AE70">
    <sortCondition ref="T65:T70"/>
  </sortState>
  <tableColumns count="30">
    <tableColumn id="4" xr3:uid="{7396AA55-7F22-4742-8BCA-B431911FB667}" name="Measure Number" dataDxfId="571" dataCellStyle="Currency"/>
    <tableColumn id="6" xr3:uid="{EF59B868-3023-424F-B661-FD996B14CAC3}" name="Measure Name" dataDxfId="570" dataCellStyle="Currency"/>
    <tableColumn id="3" xr3:uid="{EBAF61C7-EF0B-4A45-A6D0-6A9D0CECAD3B}" name="Primary Key" dataDxfId="569"/>
    <tableColumn id="2" xr3:uid="{3A01A698-E800-46E3-9C02-AB1A0BF7016C}" name="TRM Measure Name" dataDxfId="568"/>
    <tableColumn id="1" xr3:uid="{6334B704-3F51-4842-BFB6-5DBF30694599}" name="Program" dataDxfId="567"/>
    <tableColumn id="5" xr3:uid="{319F8E1A-0F00-4444-8223-B42336D8E08D}" name="End Use" dataDxfId="566"/>
    <tableColumn id="11" xr3:uid="{8074B9B8-431C-4DC5-9209-B6CE88B36530}" name="Current Unit" dataDxfId="565"/>
    <tableColumn id="12" xr3:uid="{FB94462D-B4A6-4CA7-AA03-140EF8B5D3DA}" name="Base Incentive" dataDxfId="564"/>
    <tableColumn id="22" xr3:uid="{376B30BB-6119-40AF-865F-F11B5CE04AC1}" name="Bonus Incentive" dataDxfId="563"/>
    <tableColumn id="13" xr3:uid="{1EEBD042-0356-4850-BC09-A8D51754940A}" name="Incremental Measure Cost ($/Unit)" dataDxfId="562" dataCellStyle="Currency"/>
    <tableColumn id="14" xr3:uid="{382BC016-D2EE-46BA-808B-8E9BF6D2D965}" name="Electric Energy Savings (Annual kWh/unit)" dataDxfId="561" dataCellStyle="Comma"/>
    <tableColumn id="19" xr3:uid="{BC599A20-E7CE-4D1F-AD6D-8899782513A8}" name="Coincident Peak Demand Savings (kW/unit)" dataDxfId="560" dataCellStyle="Comma"/>
    <tableColumn id="23" xr3:uid="{453024FC-8B0C-4496-8297-95F7D9BB8377}" name="Measure Life (Years)" dataDxfId="559" dataCellStyle="Currency"/>
    <tableColumn id="48" xr3:uid="{66BB351A-88B6-4D25-9FCF-561DCC04EC0F}" name="Efficient Definition" dataDxfId="558" dataCellStyle="Currency"/>
    <tableColumn id="49" xr3:uid="{CC66C07E-2FAC-425B-8FA3-EB663A50489D}" name="Measure Efficiency Value" dataDxfId="557" dataCellStyle="Currency"/>
    <tableColumn id="47" xr3:uid="{F01DC29F-FB3A-4078-8162-7C4EDDE46DF1}" name="Baseline Definition" dataDxfId="556" dataCellStyle="Currency"/>
    <tableColumn id="50" xr3:uid="{8EE30D04-4CC5-40EE-89DA-E8F121829F36}" name="Baseline Efficiency Value" dataDxfId="555" dataCellStyle="Currency"/>
    <tableColumn id="32" xr3:uid="{6F7794D1-7561-4363-83C1-3A2BCCEAA0CE}" name="Effective Start Date" dataDxfId="554"/>
    <tableColumn id="8" xr3:uid="{623B4961-7F78-4163-9C64-18D8EFF544EE}" name="Order" dataDxfId="553" dataCellStyle="Currency"/>
    <tableColumn id="21" xr3:uid="{AF3B4455-19C1-47DD-8B3D-DFD5AD9E4A06}" name="Reporting Methodology" dataDxfId="552" dataCellStyle="Currency"/>
    <tableColumn id="9" xr3:uid="{5D94E84A-5241-473E-B4DF-1A5BE442FAE4}" name="Column1" dataDxfId="551"/>
    <tableColumn id="10" xr3:uid="{58F23796-2A7D-4195-A91E-C753125E9A18}" name="Column12" dataDxfId="550"/>
    <tableColumn id="15" xr3:uid="{5C29BEEB-D854-42C3-85DC-7BF657C2F9EB}" name="Column13" dataDxfId="549"/>
    <tableColumn id="16" xr3:uid="{A7BCDA7B-0595-4FBD-B15F-93A28A7FB5E4}" name="Column14" dataDxfId="548"/>
    <tableColumn id="17" xr3:uid="{7CC67657-8CAD-4520-B2CE-4DA448DA18CC}" name="Column15" dataDxfId="547"/>
    <tableColumn id="18" xr3:uid="{5A0E82A7-A7F7-4D02-A5F1-6FAA820309D5}" name="Column16" dataDxfId="546"/>
    <tableColumn id="20" xr3:uid="{59337226-7EAC-46A7-9FB9-B226BB9797D9}" name="Column17" dataDxfId="545"/>
    <tableColumn id="7" xr3:uid="{9055B788-CA1C-4A35-ABC2-4E0D60D48F07}" name="Column18" dataDxfId="544"/>
    <tableColumn id="24" xr3:uid="{5773EBB1-4674-4CC6-BA0B-18D5225E6FC1}" name="Column19" dataDxfId="543"/>
    <tableColumn id="25" xr3:uid="{30941F07-02AC-4122-ADFC-077DADEBEEFC}" name="Column20" dataDxfId="542"/>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DAA9C34-5EDB-4757-A702-BFE81CDA9288}" name="STDREFRIG" displayName="STDREFRIG" ref="B72:AE93" totalsRowShown="0" headerRowDxfId="541" dataDxfId="539" headerRowBorderDxfId="540" tableBorderDxfId="538" totalsRowBorderDxfId="537">
  <autoFilter ref="B72:AE93" xr:uid="{529A9E0E-B2EF-4F90-83A6-B434512113B0}"/>
  <sortState xmlns:xlrd2="http://schemas.microsoft.com/office/spreadsheetml/2017/richdata2" ref="B73:AE93">
    <sortCondition ref="T72:T93"/>
  </sortState>
  <tableColumns count="30">
    <tableColumn id="4" xr3:uid="{F705076F-E71C-4ABA-A87C-FABFCB9CF780}" name="Measure Number" dataDxfId="536"/>
    <tableColumn id="6" xr3:uid="{54BCF062-710F-467F-92E2-43A373A0B2BD}" name="Measure Name" dataDxfId="535"/>
    <tableColumn id="3" xr3:uid="{7B6651D1-66FB-4B91-9DA6-F495F88E1C3F}" name="Primary Key" dataDxfId="534"/>
    <tableColumn id="2" xr3:uid="{6BD2A3DC-2DCF-4E6B-A1FE-4F7FC958BCDB}" name="TRM Measure Name" dataDxfId="533"/>
    <tableColumn id="1" xr3:uid="{CF0477F3-7367-449C-810F-E6DE6BF2D3F0}" name="Program" dataDxfId="532"/>
    <tableColumn id="5" xr3:uid="{FCC19A53-B89B-4AA2-A665-7AE66C2B3DD0}" name="End Use" dataDxfId="531"/>
    <tableColumn id="11" xr3:uid="{16FA27E7-DBBC-45E5-89B1-22A2713EB2D9}" name="Current Unit" dataDxfId="530"/>
    <tableColumn id="12" xr3:uid="{028FFD7D-2525-4AA8-B0BC-C68C5064467A}" name="Base Incentive" dataDxfId="529"/>
    <tableColumn id="22" xr3:uid="{1B6708F9-6261-4838-BEC2-9221841BA8AB}" name="Bonus Incentive" dataDxfId="528"/>
    <tableColumn id="13" xr3:uid="{8ADF76B2-2B9C-4427-B151-EBC430438B4A}" name="Incremental Measure Cost ($/Unit)" dataDxfId="527" dataCellStyle="Currency"/>
    <tableColumn id="14" xr3:uid="{77A68DF0-D65C-452C-954F-D9E2B9E9DAEC}" name="Electric Energy Savings (Annual kWh/unit)" dataDxfId="526" dataCellStyle="Comma"/>
    <tableColumn id="19" xr3:uid="{B2CD3A06-0F7C-4DFC-A219-2D2D2FAE1163}" name="Coincident Peak Demand Savings (kW/unit)" dataDxfId="525" dataCellStyle="Comma"/>
    <tableColumn id="23" xr3:uid="{D5A506F4-5282-4AC1-AED2-F9DD3E2CD546}" name="Measure Life (Years)" dataDxfId="524"/>
    <tableColumn id="24" xr3:uid="{665754EB-7B37-44D5-AB7E-A6C5549516D1}" name="Efficient Definition" dataDxfId="523"/>
    <tableColumn id="25" xr3:uid="{E6C77467-6BC8-4A2D-93EB-F4C29B0AE9F1}" name="Measure Efficiency Value" dataDxfId="522"/>
    <tableColumn id="27" xr3:uid="{E23D5012-011E-4365-8CAB-0DE5CCE40A82}" name="Baseline Definition" dataDxfId="521"/>
    <tableColumn id="28" xr3:uid="{FC03256C-5FD9-41A0-B3C2-F9E71FCD25C1}" name="Baseline Efficiency Value" dataDxfId="520"/>
    <tableColumn id="32" xr3:uid="{7B8995A6-90B7-4AB3-BFC0-2CE75D5A4C1A}" name="Effective Start Date" dataDxfId="519"/>
    <tableColumn id="8" xr3:uid="{22748CB9-6CD4-457A-B7A6-8DF9C908ACF3}" name="Order" dataDxfId="518" dataCellStyle="Currency"/>
    <tableColumn id="21" xr3:uid="{92EEFE38-53F7-429A-B7E0-3EA3FE80F447}" name="Reporting Methodology" dataDxfId="517" dataCellStyle="Currency"/>
    <tableColumn id="9" xr3:uid="{661938AC-0C02-4DC2-A51B-646BA53EDC8C}" name="Column1" dataDxfId="516"/>
    <tableColumn id="10" xr3:uid="{36E7BB71-7744-49CB-B7B7-6BA97EC3CB20}" name="Column12" dataDxfId="515"/>
    <tableColumn id="15" xr3:uid="{96E41E09-B918-410D-B574-7234E20D09AE}" name="Column13" dataDxfId="514"/>
    <tableColumn id="16" xr3:uid="{37C3A048-98A5-42D5-883C-FBD5B63542D9}" name="Column14" dataDxfId="513"/>
    <tableColumn id="17" xr3:uid="{BC41D72A-5E1C-49C3-9341-675EC675A9B6}" name="Column15" dataDxfId="512"/>
    <tableColumn id="18" xr3:uid="{E747ED5B-2C57-4E01-AF7B-4FCC4F3401FE}" name="Column16" dataDxfId="511"/>
    <tableColumn id="20" xr3:uid="{D7FC891E-D02A-4578-851B-D360B4931672}" name="Column17" dataDxfId="510"/>
    <tableColumn id="7" xr3:uid="{FFAE539B-C108-4CC1-9856-F459EFAAA8C2}" name="Column18" dataDxfId="509"/>
    <tableColumn id="26" xr3:uid="{7C849DEC-6655-4995-9A13-5E8B1FE7C4DF}" name="Column19" dataDxfId="508"/>
    <tableColumn id="29" xr3:uid="{FECD51D3-5408-4326-91D8-F345BA45C4D3}" name="Column20" dataDxfId="507"/>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D87C5FB-3D30-4189-BFCB-81A12F7B4DEA}" name="STDLIGHTCONT" displayName="STDLIGHTCONT" ref="B46:AE47" totalsRowShown="0" headerRowDxfId="506" dataDxfId="504" headerRowBorderDxfId="505" tableBorderDxfId="503" totalsRowBorderDxfId="502">
  <autoFilter ref="B46:AE47" xr:uid="{0D216161-6CFE-4334-9795-10DE0EEF6234}"/>
  <sortState xmlns:xlrd2="http://schemas.microsoft.com/office/spreadsheetml/2017/richdata2" ref="B47:AE48">
    <sortCondition ref="T46:T48"/>
  </sortState>
  <tableColumns count="30">
    <tableColumn id="1" xr3:uid="{8CB526F0-71FE-4976-BC42-475D002F5066}" name="Measure Number" dataDxfId="501"/>
    <tableColumn id="2" xr3:uid="{36194668-B8A7-453C-876C-BF6C1DA51303}" name="Measure Name" dataDxfId="500"/>
    <tableColumn id="4" xr3:uid="{EF5B10BE-2545-46F2-B5C2-82E7DD2266DB}" name="Primary Key" dataDxfId="499"/>
    <tableColumn id="3" xr3:uid="{89A1DAFF-7A20-49BC-BDD8-2115CA480742}" name="TRM Measure Name" dataDxfId="498"/>
    <tableColumn id="5" xr3:uid="{9BB9CE2E-F0EE-4991-8E08-FFA6913E0DA4}" name="Program" dataDxfId="497"/>
    <tableColumn id="6" xr3:uid="{E9F0243A-D7C4-43B9-B25F-A21F977CACAA}" name="End Use" dataDxfId="496"/>
    <tableColumn id="9" xr3:uid="{70D514D0-5B31-45B7-91E8-B12961604E7A}" name="Current Unit" dataDxfId="495"/>
    <tableColumn id="10" xr3:uid="{01B402E4-E126-4EB5-B3E4-7AF15E2BB23A}" name="Base Incentive" dataDxfId="494"/>
    <tableColumn id="28" xr3:uid="{F56B5D5D-F953-48B0-B7B8-7381C7353FE5}" name="Bonus Incentive" dataDxfId="493"/>
    <tableColumn id="11" xr3:uid="{76D948F9-45E0-473B-928F-B26B1505432F}" name="Incremental Measure Cost ($/Unit)" dataDxfId="492" dataCellStyle="Currency"/>
    <tableColumn id="12" xr3:uid="{4401BE6F-F8FD-4FF3-A9ED-13B785CAD664}" name="Electric Energy Savings (Annual kWh/unit)" dataDxfId="491" dataCellStyle="Comma"/>
    <tableColumn id="15" xr3:uid="{E1E6D00A-77E2-4638-A4EB-CD5893EAF1EC}" name="Coincident Peak Demand Savings (kW/unit)" dataDxfId="490" dataCellStyle="Comma"/>
    <tableColumn id="16" xr3:uid="{B059D9A0-9B17-402A-A917-93923BACE2D1}" name="Measure Life (Years)" dataDxfId="489"/>
    <tableColumn id="17" xr3:uid="{76EB9592-65AF-4F61-8336-5A673D61AF42}" name="Efficient Definition" dataDxfId="488"/>
    <tableColumn id="18" xr3:uid="{C80D1ACB-7BFE-49FF-BE52-3E5D564FF917}" name="Measure Efficiency Value" dataDxfId="487"/>
    <tableColumn id="19" xr3:uid="{3D2C6735-CF8C-41AA-A935-CA2EFA3314DB}" name="Baseline Definition" dataDxfId="486"/>
    <tableColumn id="20" xr3:uid="{4B2B9CF7-D2B6-4198-8210-33E3962ACB45}" name="Baseline Efficiency Value" dataDxfId="485"/>
    <tableColumn id="21" xr3:uid="{4812D602-7483-491C-A7FE-9ECF8EF3B9BD}" name="Effective Start Date" dataDxfId="484"/>
    <tableColumn id="8" xr3:uid="{F8D968CD-440B-415E-9377-D0B9A5B04E6D}" name="Order" dataDxfId="483"/>
    <tableColumn id="27" xr3:uid="{E11253B3-5D20-47BF-8AAB-1C62C0F35313}" name="Reporting Methodology" dataDxfId="482"/>
    <tableColumn id="13" xr3:uid="{4FF4BF62-EA2B-4956-AB3F-89308ABA3D24}" name="ESF" dataDxfId="481"/>
    <tableColumn id="14" xr3:uid="{B82AD9E7-9071-4B0C-AF0A-849D2E5123A5}" name="WHFe" dataDxfId="480"/>
    <tableColumn id="23" xr3:uid="{16FB46A0-99F9-4FE2-B423-C8530F913DDB}" name="Min Watts Controlled" dataDxfId="479"/>
    <tableColumn id="22" xr3:uid="{17CB45E8-5B9A-4038-B3E0-EA9B0B16D567}" name="WHFd" dataDxfId="478"/>
    <tableColumn id="24" xr3:uid="{4D0683E9-833E-4238-A0EC-036746E47E5E}" name="Annual Operating Hours" dataDxfId="477"/>
    <tableColumn id="25" xr3:uid="{FB63CF45-7F85-4517-90A7-1AC69CF7892D}" name="Column13" dataDxfId="476"/>
    <tableColumn id="26" xr3:uid="{76C4637E-F12E-4507-AE72-F33B476CCADA}" name="Column14" dataDxfId="475"/>
    <tableColumn id="7" xr3:uid="{704B2361-3B30-4F5E-9087-E60D7E4B1260}" name="Column15" dataDxfId="474"/>
    <tableColumn id="29" xr3:uid="{3FEB77D8-64F4-4132-8767-90AB9FAD0D60}" name="Column16" dataDxfId="473"/>
    <tableColumn id="30" xr3:uid="{C356C0D7-3888-4B97-9CBC-39B69DBDD818}" name="Column17" dataDxfId="472"/>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0DA5DF-E54F-48D1-8225-CE01D89833E7}" name="STDHVAC" displayName="STDHVAC" ref="B101:AE126" totalsRowShown="0" headerRowDxfId="471" dataDxfId="469" headerRowBorderDxfId="470" tableBorderDxfId="468" totalsRowBorderDxfId="467">
  <autoFilter ref="B101:AE126" xr:uid="{15259CC4-176A-4EC4-AF98-004B1046CF1B}"/>
  <sortState xmlns:xlrd2="http://schemas.microsoft.com/office/spreadsheetml/2017/richdata2" ref="B102:AE126">
    <sortCondition ref="T101:T126"/>
  </sortState>
  <tableColumns count="30">
    <tableColumn id="4" xr3:uid="{EF1203CD-4833-4584-90C1-A285B5022572}" name="Measure Number" dataDxfId="466"/>
    <tableColumn id="6" xr3:uid="{2F743EF2-5DB7-41B7-A4A6-88ACFE71FD86}" name="Measure Name" dataDxfId="465"/>
    <tableColumn id="3" xr3:uid="{6B8F5FB5-EB91-4C45-9511-536B2893F3A4}" name="Primary Key" dataDxfId="464"/>
    <tableColumn id="2" xr3:uid="{D39568F2-1E25-40EF-817D-12BF53185ACB}" name="TRM Measure Name" dataDxfId="463"/>
    <tableColumn id="1" xr3:uid="{846A0C8C-DDC3-4766-848A-43B63A78F641}" name="Program" dataDxfId="462"/>
    <tableColumn id="5" xr3:uid="{8FD35228-D073-4140-8FD3-4E0EBA879A19}" name="End Use" dataDxfId="461"/>
    <tableColumn id="11" xr3:uid="{BF599330-8475-4184-9986-03BF09E97999}" name="Current Unit" dataDxfId="460"/>
    <tableColumn id="12" xr3:uid="{B404E44C-B5E0-4768-B7E4-B5F9819DBF98}" name="Base Incentive" dataDxfId="459"/>
    <tableColumn id="22" xr3:uid="{BD85CB70-4548-42EC-8EA5-4755D379431D}" name="Bonus Incentive" dataDxfId="458"/>
    <tableColumn id="13" xr3:uid="{1C6308F4-FD23-4F88-AB2E-92DB235BC271}" name="Incremental Measure Cost ($/Unit)" dataDxfId="457" dataCellStyle="Currency"/>
    <tableColumn id="14" xr3:uid="{1D52133D-8E2B-4099-893C-CCA5E4C9DADD}" name="Electric Energy Savings (Annual kWh/unit)" dataDxfId="456" dataCellStyle="Comma"/>
    <tableColumn id="19" xr3:uid="{ABC4A4B5-A19E-4490-81C9-DE2E4748A990}" name="Coincident Peak Demand Savings (kW/unit)" dataDxfId="455" dataCellStyle="Comma"/>
    <tableColumn id="23" xr3:uid="{4F003242-CFB2-4A08-8F5D-D9E190588D91}" name="Measure Life (Years)" dataDxfId="454"/>
    <tableColumn id="24" xr3:uid="{27971936-FB2A-4844-859A-F56EC8E10FBF}" name="Efficient Definition" dataDxfId="453"/>
    <tableColumn id="25" xr3:uid="{BE3A10F6-D0A9-4CCB-B0C2-0C332E8C012E}" name="Measure Efficiency Value" dataDxfId="452"/>
    <tableColumn id="27" xr3:uid="{74FA14D2-A6F9-429D-B7E4-A26795CD6AA0}" name="Baseline Definition" dataDxfId="451"/>
    <tableColumn id="28" xr3:uid="{8F226CDA-92EB-4F20-B2B8-BDA24A85422B}" name="Baseline Efficiency Value" dataDxfId="450"/>
    <tableColumn id="32" xr3:uid="{3995FF26-83A5-4865-B23C-0F0867F6A82C}" name="Effective Start Date" dataDxfId="449"/>
    <tableColumn id="8" xr3:uid="{F69F1267-64D8-4060-B813-6DE5FE31B89D}" name="Order" dataDxfId="448" dataCellStyle="Currency"/>
    <tableColumn id="21" xr3:uid="{3DEA0AC2-568C-4E8C-80FF-AC04DE9EDB85}" name="Reporting Methodology" dataDxfId="447" dataCellStyle="Currency"/>
    <tableColumn id="7" xr3:uid="{C43C561B-8F25-42F1-89F1-468597B9FE0C}" name="Eff Unit 1" dataDxfId="446"/>
    <tableColumn id="9" xr3:uid="{BCBE1F25-1843-468E-8345-4BE809BBBA36}" name="Base Efficiency 1" dataDxfId="445"/>
    <tableColumn id="10" xr3:uid="{EB5B936F-3342-447B-83D3-E83A69FF871A}" name="Min Tons" dataDxfId="444"/>
    <tableColumn id="15" xr3:uid="{03ABD814-7760-4FAD-BB30-D55398CDAFD0}" name="Max Tons" dataDxfId="443"/>
    <tableColumn id="16" xr3:uid="{118AF807-3A93-4E5F-8ED8-FC4B05ED217E}" name="EFLHcool" dataDxfId="442"/>
    <tableColumn id="17" xr3:uid="{8B58974A-F554-4562-8038-711FFD65C51B}" name="EFLHheat" dataDxfId="441"/>
    <tableColumn id="18" xr3:uid="{2378824E-5BCF-450C-9B09-6C7AB1B0D1DF}" name="Eff Unit 2" dataDxfId="440"/>
    <tableColumn id="20" xr3:uid="{8C3491DA-AACE-4415-9D2F-50E7F58ED80B}" name="Base Efficiency 2" dataDxfId="439">
      <calculatedColumnFormula>1.12*STDHVAC[[#This Row],[Baseline Efficiency Value]]-0.02*STDHVAC[[#This Row],[Baseline Efficiency Value]]^2</calculatedColumnFormula>
    </tableColumn>
    <tableColumn id="26" xr3:uid="{5A70DF36-A27C-4515-9BDC-580EAC27A464}" name="Eff Unit 3" dataDxfId="438"/>
    <tableColumn id="29" xr3:uid="{B4CB7FCE-5F97-42D8-92E0-DAFDA3E79BB1}" name="Base Efficiency 3" dataDxfId="437"/>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324C72A-6E70-42C7-937C-80D5DC4C6BBB}" name="STDMOTORS" displayName="STDMOTORS" ref="B128:AE137" totalsRowShown="0" headerRowDxfId="436" dataDxfId="434" headerRowBorderDxfId="435" tableBorderDxfId="433" totalsRowBorderDxfId="432">
  <autoFilter ref="B128:AE137" xr:uid="{D906B8BA-C43A-49EE-B248-99454B01BEF4}"/>
  <sortState xmlns:xlrd2="http://schemas.microsoft.com/office/spreadsheetml/2017/richdata2" ref="B129:AE137">
    <sortCondition ref="T128:T137"/>
  </sortState>
  <tableColumns count="30">
    <tableColumn id="4" xr3:uid="{225D9977-5A9B-4C07-BEEE-9F5B846832F8}" name="Measure Number" dataDxfId="431"/>
    <tableColumn id="6" xr3:uid="{8DDC89C3-D662-41F0-9D0C-F0D818606A1A}" name="Measure Name" dataDxfId="430"/>
    <tableColumn id="3" xr3:uid="{AA138027-E499-4B45-BA08-385F979FDCAB}" name="Primary Key" dataDxfId="429"/>
    <tableColumn id="2" xr3:uid="{583B2FF0-5951-45F1-BF88-0FB3F4E603CD}" name="TRM Measure Name" dataDxfId="428"/>
    <tableColumn id="1" xr3:uid="{6181219D-8728-4DB4-8551-390970A39551}" name="Program" dataDxfId="427"/>
    <tableColumn id="5" xr3:uid="{E4D07A45-564F-47AB-B810-F3D38868E727}" name="End Use" dataDxfId="426"/>
    <tableColumn id="11" xr3:uid="{182B5276-718C-45E9-ABA5-D68074E2467D}" name="Current Unit" dataDxfId="425"/>
    <tableColumn id="12" xr3:uid="{838762A6-1925-4C85-AFA9-F3D4039702AA}" name="Base Incentive" dataDxfId="424"/>
    <tableColumn id="22" xr3:uid="{72C0B630-AA53-44CC-8CAF-8DE52A759852}" name="Bonus Incentive" dataDxfId="423"/>
    <tableColumn id="13" xr3:uid="{F84625CC-627B-421A-99AD-CE69DB824238}" name="Incremental Measure Cost ($/Unit)" dataDxfId="422" dataCellStyle="Currency"/>
    <tableColumn id="14" xr3:uid="{4B9340BD-F95C-419B-93DA-31926594EE21}" name="Electric Energy Savings (Annual kWh/unit)" dataDxfId="421" dataCellStyle="Comma"/>
    <tableColumn id="19" xr3:uid="{EB3A29BC-50EB-4239-A23D-E13B0A96227B}" name="Coincident Peak Demand Savings (kW/unit)" dataDxfId="420" dataCellStyle="Comma"/>
    <tableColumn id="23" xr3:uid="{41CC8F50-C68C-4BA3-8E56-EA7F903C8C0D}" name="Measure Life (Years)" dataDxfId="419"/>
    <tableColumn id="24" xr3:uid="{81DD189B-AD2E-400A-96A2-1071E23B7144}" name="Efficient Definition" dataDxfId="418"/>
    <tableColumn id="25" xr3:uid="{543EECEF-CE84-4410-93DB-AF9CFD5788F0}" name="Measure Efficiency Value" dataDxfId="417"/>
    <tableColumn id="27" xr3:uid="{B17525EA-29A0-436A-8B4C-2D38CAD90BBA}" name="Baseline Definition" dataDxfId="416"/>
    <tableColumn id="28" xr3:uid="{8F419597-CFA6-45BD-9326-ED48265AEC59}" name="Baseline Efficiency Value" dataDxfId="415"/>
    <tableColumn id="32" xr3:uid="{55A79FAA-0012-4A82-B3A9-33B5A5B669F7}" name="Effective Start Date" dataDxfId="414"/>
    <tableColumn id="8" xr3:uid="{F19A4A45-16DD-47A6-A84A-A8DEBE5EB426}" name="Order" dataDxfId="413" dataCellStyle="Currency"/>
    <tableColumn id="21" xr3:uid="{49A73E83-8C57-4A58-9950-BF6C159BC0D6}" name="Reporting Methodology" dataDxfId="412" dataCellStyle="Currency"/>
    <tableColumn id="9" xr3:uid="{CD5863DD-BBF7-45F8-9506-AFB8E26BBA27}" name="Min Unit" dataDxfId="411"/>
    <tableColumn id="10" xr3:uid="{4A2C6D4B-AF15-4BB5-B430-399EF46D496B}" name="Max Unit" dataDxfId="410"/>
    <tableColumn id="15" xr3:uid="{1BA8D291-90D7-41F3-B896-10A545C85AD7}" name="Column13" dataDxfId="409"/>
    <tableColumn id="16" xr3:uid="{F614B735-7845-4C61-A12D-4C2C6BE1E5A0}" name="Column14" dataDxfId="408"/>
    <tableColumn id="17" xr3:uid="{074E873E-2F71-4D0A-B43F-1551134036B6}" name="Column15" dataDxfId="407"/>
    <tableColumn id="18" xr3:uid="{986AF68F-C14B-4F6A-80E4-20B434942C22}" name="Column16" dataDxfId="406"/>
    <tableColumn id="20" xr3:uid="{FF744056-AA0D-48DB-8714-9D3797CF972A}" name="Column17" dataDxfId="405"/>
    <tableColumn id="7" xr3:uid="{94F2E2D7-C902-4BAD-A53E-547FD0F13B3E}" name="Column18" dataDxfId="404"/>
    <tableColumn id="26" xr3:uid="{FD4A8C93-4BA6-4455-BD08-FB357DE7F6C0}" name="Column19" dataDxfId="403"/>
    <tableColumn id="29" xr3:uid="{ED23C37A-25A7-4202-8073-9464C4DEF3D5}" name="Column20" dataDxfId="402"/>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4D9011E-9D05-42FF-9DB5-92544FBE78AB}" name="STDHVAC_Ref" displayName="STDHVAC_Ref" ref="AG101:AL126" totalsRowShown="0" dataDxfId="401">
  <autoFilter ref="AG101:AL126" xr:uid="{54D9011E-9D05-42FF-9DB5-92544FBE78AB}"/>
  <sortState xmlns:xlrd2="http://schemas.microsoft.com/office/spreadsheetml/2017/richdata2" ref="AG102:AL126">
    <sortCondition ref="AL101:AL126"/>
  </sortState>
  <tableColumns count="6">
    <tableColumn id="1" xr3:uid="{E4F7E1DB-6853-4B36-A75F-0539B6A770C0}" name="Primary Key" dataDxfId="400"/>
    <tableColumn id="2" xr3:uid="{DC795BE3-02E0-4592-ABE6-391CA0745B06}" name="Field1" dataDxfId="399"/>
    <tableColumn id="3" xr3:uid="{9DBBE2C3-E89F-4A3B-8A88-C6D5ADDF6A8B}" name="Field2" dataDxfId="398"/>
    <tableColumn id="4" xr3:uid="{3C7CD14B-F8AE-4942-BEB9-012AE625F197}" name="Field3" dataDxfId="397"/>
    <tableColumn id="5" xr3:uid="{83227BFA-A451-4C54-AA09-B83D7384FD75}" name="Field4" dataDxfId="396"/>
    <tableColumn id="7" xr3:uid="{786372A4-E1F2-4CF8-BABA-A81822FA032D}" name="Order" dataDxfId="39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4000000}" name="INSTALLER" displayName="INSTALLER" ref="A15:A17" totalsRowShown="0">
  <autoFilter ref="A15:A17" xr:uid="{00000000-0009-0000-0100-00001C000000}"/>
  <tableColumns count="1">
    <tableColumn id="1" xr3:uid="{00000000-0010-0000-1400-000001000000}" name="Installer"/>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5A716ED-7B36-445A-BA38-984706196D4F}" name="STDLIGHTCAT" displayName="STDLIGHTCAT" ref="B2:C12" totalsRowShown="0">
  <autoFilter ref="B2:C12" xr:uid="{1E20E6F0-0E1A-4EB1-AAEC-11267E2611DC}"/>
  <sortState xmlns:xlrd2="http://schemas.microsoft.com/office/spreadsheetml/2017/richdata2" ref="B3:C12">
    <sortCondition ref="C2:C12"/>
  </sortState>
  <tableColumns count="2">
    <tableColumn id="1" xr3:uid="{A29A1D11-04CE-4F22-BBF6-D5187BA19919}" name="Eff Category 1"/>
    <tableColumn id="2" xr3:uid="{BECD840F-6BFF-4FBD-888D-97E5C8FF7B4B}" name="Order"/>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8B3741F-B0AA-47A2-A793-FE7ECED2B8BB}" name="STDLIGHTINEFCAT1" displayName="STDLIGHTINEFCAT1" ref="E2:G32" totalsRowShown="0" headerRowDxfId="394" dataDxfId="393" tableBorderDxfId="392">
  <autoFilter ref="E2:G32" xr:uid="{C2546198-7A75-4CB5-BC11-7803441FF206}"/>
  <sortState xmlns:xlrd2="http://schemas.microsoft.com/office/spreadsheetml/2017/richdata2" ref="E3:G32">
    <sortCondition ref="E2:E32"/>
  </sortState>
  <tableColumns count="3">
    <tableColumn id="1" xr3:uid="{9A034548-812C-4994-AB5F-D8EFAE6CD1AD}" name="Ineff Dropdown 1" dataDxfId="391"/>
    <tableColumn id="2" xr3:uid="{1DD21FEF-D18F-444F-864B-BAEBDAB57564}" name="Options" dataDxfId="390"/>
    <tableColumn id="3" xr3:uid="{0B87D163-CD0F-4C8B-AB64-9223D8091D4F}" name="Order" dataDxfId="389"/>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F087875-4ADE-4F94-B96F-6C2A8DC4860F}" name="STDLIGHTINEFCAT2" displayName="STDLIGHTINEFCAT2" ref="I2:P698" totalsRowShown="0" dataDxfId="388">
  <autoFilter ref="I2:P698" xr:uid="{D33AE522-11A3-40EF-8E65-141AF2247A4A}"/>
  <sortState xmlns:xlrd2="http://schemas.microsoft.com/office/spreadsheetml/2017/richdata2" ref="I3:P698">
    <sortCondition ref="J2:J698"/>
  </sortState>
  <tableColumns count="8">
    <tableColumn id="1" xr3:uid="{DDB28C97-D767-4D4B-A6A9-973711A850D0}" name="Ineff DropDown 2" dataDxfId="387"/>
    <tableColumn id="5" xr3:uid="{A473129C-F5E6-45A3-AAF5-8E386C67A188}" name="Match" dataDxfId="386">
      <calculatedColumnFormula>"HID_"&amp;STDLIGHTINEFCAT2[[#This Row],[Ineff DropDown 2]]</calculatedColumnFormula>
    </tableColumn>
    <tableColumn id="7" xr3:uid="{E4CC710B-362B-4EFA-8D08-B316DE0406A7}" name="Full Name" dataDxfId="385">
      <calculatedColumnFormula>STDLIGHTINEFCAT2[[#This Row],[Match]]&amp;"_"&amp;STDLIGHTINEFCAT2[[#This Row],[Options]]</calculatedColumnFormula>
    </tableColumn>
    <tableColumn id="2" xr3:uid="{798B8782-2C90-42E4-A461-A131AEE930CD}" name="Options" dataDxfId="384"/>
    <tableColumn id="8" xr3:uid="{A55F709E-6D14-44FD-A115-567B493A202B}" name="Nominal Wattage" dataDxfId="383"/>
    <tableColumn id="3" xr3:uid="{91566C9B-538E-4D24-BBC0-8BE3E7B5E861}" name="System Wattage" dataDxfId="382"/>
    <tableColumn id="4" xr3:uid="{F75E009F-8F20-4FA4-B435-406408865243}" name="Logic Order" dataDxfId="381"/>
    <tableColumn id="6" xr3:uid="{1086AC86-4459-44D9-83C3-D8FB64250316}" name="Notes" dataDxfId="380"/>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CMLIGHTEFF" displayName="CMLIGHTEFF" ref="Q2:AB6" totalsRowShown="0" headerRowDxfId="379" dataDxfId="378" headerRowCellStyle="Normal 2">
  <autoFilter ref="Q2:AB6" xr:uid="{00000000-0009-0000-0100-000002000000}"/>
  <sortState xmlns:xlrd2="http://schemas.microsoft.com/office/spreadsheetml/2017/richdata2" ref="Q3:AB6">
    <sortCondition ref="AA2:AA6"/>
  </sortState>
  <tableColumns count="12">
    <tableColumn id="10" xr3:uid="{00000000-0010-0000-0000-00000A000000}" name="Measure Number" dataDxfId="377"/>
    <tableColumn id="1" xr3:uid="{00000000-0010-0000-0000-000001000000}" name="Eff Desc 1" dataDxfId="376"/>
    <tableColumn id="2" xr3:uid="{00000000-0010-0000-0000-000002000000}" name="Eff Desc 2" dataDxfId="375"/>
    <tableColumn id="3" xr3:uid="{00000000-0010-0000-0000-000003000000}" name="Eff Watt 1" dataDxfId="374"/>
    <tableColumn id="4" xr3:uid="{00000000-0010-0000-0000-000004000000}" name="Eff Watt 2" dataDxfId="373"/>
    <tableColumn id="5" xr3:uid="{00000000-0010-0000-0000-000005000000}" name="Measure Group" dataDxfId="372"/>
    <tableColumn id="6" xr3:uid="{00000000-0010-0000-0000-000006000000}" name="Measure Subgroup 1" dataDxfId="371"/>
    <tableColumn id="7" xr3:uid="{00000000-0010-0000-0000-000007000000}" name="Measure Subgroup 2" dataDxfId="370"/>
    <tableColumn id="8" xr3:uid="{00000000-0010-0000-0000-000008000000}" name="Unit" dataDxfId="369"/>
    <tableColumn id="12" xr3:uid="{721909E7-8ECD-450A-9641-C3EBFCD3E43D}" name="EUL" dataDxfId="368"/>
    <tableColumn id="9" xr3:uid="{00000000-0010-0000-0000-000009000000}" name="Order" dataDxfId="367" dataCellStyle="Normal 2"/>
    <tableColumn id="11" xr3:uid="{00000000-0010-0000-0000-00000B000000}" name="Source (Standard Wattage Table)" dataDxfId="366"/>
  </tableColumns>
  <tableStyleInfo name="TableStyleMedium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6000000}" name="CMELIGHTCON" displayName="CMELIGHTCON" ref="AF50:AZ61" totalsRowShown="0" headerRowDxfId="365" dataDxfId="364">
  <autoFilter ref="AF50:AZ61" xr:uid="{00000000-0009-0000-0100-000022000000}"/>
  <sortState xmlns:xlrd2="http://schemas.microsoft.com/office/spreadsheetml/2017/richdata2" ref="AF51:AZ60">
    <sortCondition ref="AP50:AP60"/>
  </sortState>
  <tableColumns count="21">
    <tableColumn id="1" xr3:uid="{00000000-0010-0000-0600-000001000000}" name="Measure Number" dataDxfId="363"/>
    <tableColumn id="14" xr3:uid="{00000000-0010-0000-0600-00000E000000}" name="Project Category" dataDxfId="362"/>
    <tableColumn id="2" xr3:uid="{00000000-0010-0000-0600-000002000000}" name="Proj Desc 1" dataDxfId="361"/>
    <tableColumn id="3" xr3:uid="{00000000-0010-0000-0600-000003000000}" name="Proj Desc 2" dataDxfId="360"/>
    <tableColumn id="4" xr3:uid="{00000000-0010-0000-0600-000004000000}" name="Inc Rate" dataDxfId="359"/>
    <tableColumn id="5" xr3:uid="{00000000-0010-0000-0600-000005000000}" name="EUL" dataDxfId="358"/>
    <tableColumn id="6" xr3:uid="{00000000-0010-0000-0600-000006000000}" name="Measure Group" dataDxfId="357"/>
    <tableColumn id="7" xr3:uid="{00000000-0010-0000-0600-000007000000}" name="Measure Subgroup 1" dataDxfId="356"/>
    <tableColumn id="8" xr3:uid="{00000000-0010-0000-0600-000008000000}" name="Measure Subgroup 2" dataDxfId="355"/>
    <tableColumn id="9" xr3:uid="{00000000-0010-0000-0600-000009000000}" name="Units" dataDxfId="354"/>
    <tableColumn id="10" xr3:uid="{00000000-0010-0000-0600-00000A000000}" name="Order" dataDxfId="353"/>
    <tableColumn id="11" xr3:uid="{00000000-0010-0000-0600-00000B000000}" name="End Use Category" dataDxfId="352"/>
    <tableColumn id="12" xr3:uid="{00000000-0010-0000-0600-00000C000000}" name="Factor" dataDxfId="351"/>
    <tableColumn id="15" xr3:uid="{00000000-0010-0000-0600-00000F000000}" name="Cost Basis" dataDxfId="350"/>
    <tableColumn id="13" xr3:uid="{00000000-0010-0000-0600-00000D000000}" name="Application Tab" dataDxfId="349"/>
    <tableColumn id="16" xr3:uid="{00000000-0010-0000-0600-000010000000}" name="Wattage Unit" dataDxfId="348"/>
    <tableColumn id="17" xr3:uid="{A7474920-BA87-4150-B94D-B0B1A3C6E855}" name="Default kW Controlled" dataDxfId="347"/>
    <tableColumn id="18" xr3:uid="{E8B503A9-8948-40F1-A918-4603F0F43A8E}" name="Energy Savings Factor" dataDxfId="346" dataCellStyle="Percent"/>
    <tableColumn id="19" xr3:uid="{97E947BC-747A-44AE-B403-30EDB9EEBED9}" name="Incremental Cost" dataDxfId="345"/>
    <tableColumn id="20" xr3:uid="{FF3572D8-144A-47BD-B415-29EA4A555FD4}" name="Hours" dataDxfId="344"/>
    <tableColumn id="21" xr3:uid="{A4AD1E76-A7BC-4A99-82CB-8915D5A1696E}" name="WHFe" dataDxfId="343"/>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7000000}" name="CMECOOK" displayName="CMECOOK" ref="AF63:AZ75" totalsRowShown="0" headerRowDxfId="342" dataDxfId="341">
  <autoFilter ref="AF63:AZ75" xr:uid="{00000000-0009-0000-0100-000023000000}"/>
  <sortState xmlns:xlrd2="http://schemas.microsoft.com/office/spreadsheetml/2017/richdata2" ref="AF64:AU75">
    <sortCondition ref="AP63:AP75"/>
  </sortState>
  <tableColumns count="21">
    <tableColumn id="1" xr3:uid="{00000000-0010-0000-0700-000001000000}" name="Measure Number" dataDxfId="340"/>
    <tableColumn id="14" xr3:uid="{00000000-0010-0000-0700-00000E000000}" name="Project Category" dataDxfId="339"/>
    <tableColumn id="2" xr3:uid="{00000000-0010-0000-0700-000002000000}" name="Proj Desc 1" dataDxfId="338"/>
    <tableColumn id="3" xr3:uid="{00000000-0010-0000-0700-000003000000}" name="Proj Desc 2" dataDxfId="337"/>
    <tableColumn id="4" xr3:uid="{00000000-0010-0000-0700-000004000000}" name="Inc Rate" dataDxfId="336"/>
    <tableColumn id="5" xr3:uid="{00000000-0010-0000-0700-000005000000}" name="EUL" dataDxfId="335"/>
    <tableColumn id="6" xr3:uid="{00000000-0010-0000-0700-000006000000}" name="Measure Group" dataDxfId="334"/>
    <tableColumn id="7" xr3:uid="{00000000-0010-0000-0700-000007000000}" name="Measure Subgroup 1" dataDxfId="333"/>
    <tableColumn id="8" xr3:uid="{00000000-0010-0000-0700-000008000000}" name="Measure Subgroup 2" dataDxfId="332"/>
    <tableColumn id="9" xr3:uid="{00000000-0010-0000-0700-000009000000}" name="Units" dataDxfId="331"/>
    <tableColumn id="10" xr3:uid="{00000000-0010-0000-0700-00000A000000}" name="Order" dataDxfId="330"/>
    <tableColumn id="11" xr3:uid="{00000000-0010-0000-0700-00000B000000}" name="End Use Category" dataDxfId="329"/>
    <tableColumn id="12" xr3:uid="{00000000-0010-0000-0700-00000C000000}" name="Factor" dataDxfId="328"/>
    <tableColumn id="15" xr3:uid="{00000000-0010-0000-0700-00000F000000}" name="Cost Basis" dataDxfId="327"/>
    <tableColumn id="13" xr3:uid="{00000000-0010-0000-0700-00000D000000}" name="Application Tab" dataDxfId="326"/>
    <tableColumn id="16" xr3:uid="{00000000-0010-0000-0700-000010000000}" name="Unit of Measure" dataDxfId="325"/>
    <tableColumn id="17" xr3:uid="{860FFF12-C393-47F4-A022-D918CDC034DC}" name="Column1" dataDxfId="324"/>
    <tableColumn id="18" xr3:uid="{60B6B001-7E44-4CE9-AB1C-23C206EE021D}" name="Column2" dataDxfId="323"/>
    <tableColumn id="19" xr3:uid="{7AF5E648-9A65-409C-A037-8D0C5D623DCC}" name="Column3" dataDxfId="322"/>
    <tableColumn id="20" xr3:uid="{00B1D855-9E19-4A1A-873F-3E0D90C7F66D}" name="Column4" dataDxfId="321"/>
    <tableColumn id="21" xr3:uid="{1C08BDE9-7377-4B8F-A7EB-A69341AEDAC4}" name="Column5" dataDxfId="320"/>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8000000}" name="CMECOMPAIR" displayName="CMECOMPAIR" ref="AF77:AZ95" totalsRowShown="0" headerRowDxfId="319" dataDxfId="318">
  <autoFilter ref="AF77:AZ95" xr:uid="{00000000-0009-0000-0100-000024000000}"/>
  <sortState xmlns:xlrd2="http://schemas.microsoft.com/office/spreadsheetml/2017/richdata2" ref="AF78:AU95">
    <sortCondition ref="AP77:AP95"/>
  </sortState>
  <tableColumns count="21">
    <tableColumn id="1" xr3:uid="{00000000-0010-0000-0800-000001000000}" name="Measure Number" dataDxfId="317"/>
    <tableColumn id="14" xr3:uid="{00000000-0010-0000-0800-00000E000000}" name="Project Category" dataDxfId="316"/>
    <tableColumn id="2" xr3:uid="{00000000-0010-0000-0800-000002000000}" name="Proj Desc 1" dataDxfId="315"/>
    <tableColumn id="3" xr3:uid="{00000000-0010-0000-0800-000003000000}" name="Proj Desc 2" dataDxfId="314"/>
    <tableColumn id="4" xr3:uid="{00000000-0010-0000-0800-000004000000}" name="Inc Rate" dataDxfId="313"/>
    <tableColumn id="5" xr3:uid="{00000000-0010-0000-0800-000005000000}" name="EUL" dataDxfId="312"/>
    <tableColumn id="6" xr3:uid="{00000000-0010-0000-0800-000006000000}" name="Measure Group" dataDxfId="311"/>
    <tableColumn id="7" xr3:uid="{00000000-0010-0000-0800-000007000000}" name="Measure Subgroup 1" dataDxfId="310"/>
    <tableColumn id="8" xr3:uid="{00000000-0010-0000-0800-000008000000}" name="Measure Subgroup 2" dataDxfId="309"/>
    <tableColumn id="9" xr3:uid="{00000000-0010-0000-0800-000009000000}" name="Units" dataDxfId="308"/>
    <tableColumn id="10" xr3:uid="{00000000-0010-0000-0800-00000A000000}" name="Order" dataDxfId="307"/>
    <tableColumn id="11" xr3:uid="{00000000-0010-0000-0800-00000B000000}" name="End Use Category" dataDxfId="306"/>
    <tableColumn id="12" xr3:uid="{00000000-0010-0000-0800-00000C000000}" name="Factor" dataDxfId="305"/>
    <tableColumn id="15" xr3:uid="{00000000-0010-0000-0800-00000F000000}" name="Cost Basis" dataDxfId="304"/>
    <tableColumn id="13" xr3:uid="{00000000-0010-0000-0800-00000D000000}" name="Application Tab" dataDxfId="303"/>
    <tableColumn id="16" xr3:uid="{00000000-0010-0000-0800-000010000000}" name="Unit of Measure" dataDxfId="302"/>
    <tableColumn id="17" xr3:uid="{93E1D749-BEF2-4F59-BCE3-D4EA863316E7}" name="Column1" dataDxfId="301"/>
    <tableColumn id="18" xr3:uid="{36A61F01-375A-41FA-B8ED-32025F27DEC8}" name="Column2" dataDxfId="300"/>
    <tableColumn id="19" xr3:uid="{DFEE06F6-1450-4EA8-A1B0-AE8FD9AE4F11}" name="Column3" dataDxfId="299"/>
    <tableColumn id="20" xr3:uid="{4B5659A9-0079-48A8-AD19-EF0F40281982}" name="Column4" dataDxfId="298"/>
    <tableColumn id="21" xr3:uid="{FB14990D-693E-42F7-A15A-AF58473BF337}" name="Column5" dataDxfId="297"/>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9000000}" name="CMEMOTOR" displayName="CMEMOTOR" ref="AF97:AZ117" totalsRowShown="0" headerRowDxfId="296" dataDxfId="295">
  <autoFilter ref="AF97:AZ117" xr:uid="{00000000-0009-0000-0100-000025000000}"/>
  <sortState xmlns:xlrd2="http://schemas.microsoft.com/office/spreadsheetml/2017/richdata2" ref="AF98:AU117">
    <sortCondition ref="AP97:AP117"/>
  </sortState>
  <tableColumns count="21">
    <tableColumn id="1" xr3:uid="{00000000-0010-0000-0900-000001000000}" name="Measure Number" dataDxfId="294"/>
    <tableColumn id="14" xr3:uid="{00000000-0010-0000-0900-00000E000000}" name="Project Category" dataDxfId="293"/>
    <tableColumn id="2" xr3:uid="{00000000-0010-0000-0900-000002000000}" name="Proj Desc 1" dataDxfId="292"/>
    <tableColumn id="3" xr3:uid="{00000000-0010-0000-0900-000003000000}" name="Proj Desc 2" dataDxfId="291"/>
    <tableColumn id="4" xr3:uid="{00000000-0010-0000-0900-000004000000}" name="Inc Rate" dataDxfId="290"/>
    <tableColumn id="5" xr3:uid="{00000000-0010-0000-0900-000005000000}" name="EUL" dataDxfId="289"/>
    <tableColumn id="6" xr3:uid="{00000000-0010-0000-0900-000006000000}" name="Measure Group" dataDxfId="288"/>
    <tableColumn id="7" xr3:uid="{00000000-0010-0000-0900-000007000000}" name="Measure Subgroup 1" dataDxfId="287"/>
    <tableColumn id="8" xr3:uid="{00000000-0010-0000-0900-000008000000}" name="Measure Subgroup 2" dataDxfId="286"/>
    <tableColumn id="9" xr3:uid="{00000000-0010-0000-0900-000009000000}" name="Units" dataDxfId="285"/>
    <tableColumn id="10" xr3:uid="{00000000-0010-0000-0900-00000A000000}" name="Order" dataDxfId="284"/>
    <tableColumn id="11" xr3:uid="{00000000-0010-0000-0900-00000B000000}" name="End Use Category" dataDxfId="283"/>
    <tableColumn id="12" xr3:uid="{00000000-0010-0000-0900-00000C000000}" name="Factor" dataDxfId="282"/>
    <tableColumn id="15" xr3:uid="{00000000-0010-0000-0900-00000F000000}" name="Cost Basis" dataDxfId="281"/>
    <tableColumn id="13" xr3:uid="{00000000-0010-0000-0900-00000D000000}" name="Application Tab" dataDxfId="280"/>
    <tableColumn id="16" xr3:uid="{00000000-0010-0000-0900-000010000000}" name="Unit of Measure" dataDxfId="279"/>
    <tableColumn id="17" xr3:uid="{C704F676-1278-471D-9721-3D931E59AFB0}" name="Column1" dataDxfId="278"/>
    <tableColumn id="18" xr3:uid="{995F7C20-167B-438E-BE46-77D7D1D4DE6F}" name="Column2" dataDxfId="277"/>
    <tableColumn id="19" xr3:uid="{9159918E-61C0-4133-A7A9-F6B943AEC199}" name="Column3" dataDxfId="276"/>
    <tableColumn id="20" xr3:uid="{09A22320-4E84-479B-A447-E08474170828}" name="Column4" dataDxfId="275"/>
    <tableColumn id="21" xr3:uid="{A965E22E-F6CC-4E7F-88B5-362187A09A22}" name="Column5" dataDxfId="274"/>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A000000}" name="CMEREFRI" displayName="CMEREFRI" ref="AF119:AZ131" totalsRowShown="0" headerRowDxfId="273" dataDxfId="272">
  <autoFilter ref="AF119:AZ131" xr:uid="{00000000-0009-0000-0100-000026000000}"/>
  <sortState xmlns:xlrd2="http://schemas.microsoft.com/office/spreadsheetml/2017/richdata2" ref="AF120:AZ131">
    <sortCondition ref="AP119:AP131"/>
  </sortState>
  <tableColumns count="21">
    <tableColumn id="1" xr3:uid="{00000000-0010-0000-0A00-000001000000}" name="Measure Number" dataDxfId="271"/>
    <tableColumn id="14" xr3:uid="{00000000-0010-0000-0A00-00000E000000}" name="Project Category" dataDxfId="270"/>
    <tableColumn id="2" xr3:uid="{00000000-0010-0000-0A00-000002000000}" name="Proj Desc 1" dataDxfId="269"/>
    <tableColumn id="3" xr3:uid="{00000000-0010-0000-0A00-000003000000}" name="Proj Desc 2" dataDxfId="268"/>
    <tableColumn id="4" xr3:uid="{00000000-0010-0000-0A00-000004000000}" name="Inc Rate" dataDxfId="267"/>
    <tableColumn id="5" xr3:uid="{00000000-0010-0000-0A00-000005000000}" name="EUL" dataDxfId="266"/>
    <tableColumn id="6" xr3:uid="{00000000-0010-0000-0A00-000006000000}" name="Measure Group" dataDxfId="265"/>
    <tableColumn id="7" xr3:uid="{00000000-0010-0000-0A00-000007000000}" name="Measure Subgroup 1" dataDxfId="264"/>
    <tableColumn id="8" xr3:uid="{00000000-0010-0000-0A00-000008000000}" name="Measure Subgroup 2" dataDxfId="263"/>
    <tableColumn id="9" xr3:uid="{00000000-0010-0000-0A00-000009000000}" name="Units" dataDxfId="262"/>
    <tableColumn id="10" xr3:uid="{00000000-0010-0000-0A00-00000A000000}" name="Order" dataDxfId="261"/>
    <tableColumn id="11" xr3:uid="{00000000-0010-0000-0A00-00000B000000}" name="End Use Category" dataDxfId="260"/>
    <tableColumn id="12" xr3:uid="{00000000-0010-0000-0A00-00000C000000}" name="Factor" dataDxfId="259"/>
    <tableColumn id="15" xr3:uid="{00000000-0010-0000-0A00-00000F000000}" name="Cost Basis" dataDxfId="258"/>
    <tableColumn id="13" xr3:uid="{00000000-0010-0000-0A00-00000D000000}" name="Application Tab" dataDxfId="257"/>
    <tableColumn id="16" xr3:uid="{00000000-0010-0000-0A00-000010000000}" name="Unit of Measure" dataDxfId="256"/>
    <tableColumn id="17" xr3:uid="{0FE395D3-A9AA-4380-9017-AC0851981E69}" name="Column1" dataDxfId="255"/>
    <tableColumn id="18" xr3:uid="{E0109EE5-9041-40CE-B063-250D7125F323}" name="Column2" dataDxfId="254"/>
    <tableColumn id="19" xr3:uid="{D7E24197-C531-4ED6-95C9-883FAA0860E1}" name="Column3" dataDxfId="253"/>
    <tableColumn id="20" xr3:uid="{A66A7023-2243-4E0E-A329-74861E419093}" name="Column4" dataDxfId="252"/>
    <tableColumn id="21" xr3:uid="{DE43A767-F5F6-4E30-A28F-78D52700FFC5}" name="Column5" dataDxfId="251"/>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B000000}" name="CMEMISC" displayName="CMEMISC" ref="AF133:AZ143" totalsRowShown="0" headerRowDxfId="250" dataDxfId="249">
  <autoFilter ref="AF133:AZ143" xr:uid="{00000000-0009-0000-0100-000027000000}"/>
  <sortState xmlns:xlrd2="http://schemas.microsoft.com/office/spreadsheetml/2017/richdata2" ref="AF134:AU141">
    <sortCondition ref="AG133:AG141"/>
  </sortState>
  <tableColumns count="21">
    <tableColumn id="1" xr3:uid="{00000000-0010-0000-0B00-000001000000}" name="Measure Number" dataDxfId="248"/>
    <tableColumn id="14" xr3:uid="{00000000-0010-0000-0B00-00000E000000}" name="Project Category" dataDxfId="247"/>
    <tableColumn id="2" xr3:uid="{00000000-0010-0000-0B00-000002000000}" name="Proj Desc 1" dataDxfId="246"/>
    <tableColumn id="3" xr3:uid="{00000000-0010-0000-0B00-000003000000}" name="Proj Desc 2" dataDxfId="245"/>
    <tableColumn id="4" xr3:uid="{00000000-0010-0000-0B00-000004000000}" name="Inc Rate" dataDxfId="244"/>
    <tableColumn id="5" xr3:uid="{00000000-0010-0000-0B00-000005000000}" name="EUL" dataDxfId="243"/>
    <tableColumn id="6" xr3:uid="{00000000-0010-0000-0B00-000006000000}" name="Measure Group" dataDxfId="242"/>
    <tableColumn id="7" xr3:uid="{00000000-0010-0000-0B00-000007000000}" name="Measure Subgroup 1" dataDxfId="241"/>
    <tableColumn id="8" xr3:uid="{00000000-0010-0000-0B00-000008000000}" name="Measure Subgroup 2" dataDxfId="240"/>
    <tableColumn id="9" xr3:uid="{00000000-0010-0000-0B00-000009000000}" name="Units" dataDxfId="239"/>
    <tableColumn id="10" xr3:uid="{00000000-0010-0000-0B00-00000A000000}" name="Order" dataDxfId="238"/>
    <tableColumn id="11" xr3:uid="{00000000-0010-0000-0B00-00000B000000}" name="End Use Category" dataDxfId="237"/>
    <tableColumn id="12" xr3:uid="{00000000-0010-0000-0B00-00000C000000}" name="Factor" dataDxfId="236"/>
    <tableColumn id="15" xr3:uid="{00000000-0010-0000-0B00-00000F000000}" name="Cost Basis" dataDxfId="235"/>
    <tableColumn id="13" xr3:uid="{00000000-0010-0000-0B00-00000D000000}" name="Application Tab" dataDxfId="234"/>
    <tableColumn id="16" xr3:uid="{00000000-0010-0000-0B00-000010000000}" name="Unit of Measure" dataDxfId="233"/>
    <tableColumn id="17" xr3:uid="{FF6E1137-D502-4FB8-B8AC-3AFB4E4E3562}" name="Column1" dataDxfId="232"/>
    <tableColumn id="18" xr3:uid="{71599747-B30F-401F-8173-E43004A2A303}" name="Column2" dataDxfId="231"/>
    <tableColumn id="19" xr3:uid="{80730337-86BF-46F6-BD3F-170643D03E96}" name="Column3" dataDxfId="230"/>
    <tableColumn id="20" xr3:uid="{3B790E0F-1ECB-435D-955B-64FD3E35BD86}" name="Column4" dataDxfId="229"/>
    <tableColumn id="21" xr3:uid="{7BCC4B07-4CB4-4214-A18C-BB0FB24CD667}" name="Column5" dataDxfId="22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5000000}" name="PAYMENT" displayName="PAYMENT" ref="AU11:BF16" totalsRowShown="0">
  <autoFilter ref="AU11:BF16" xr:uid="{00000000-0009-0000-0100-00001D000000}"/>
  <tableColumns count="12">
    <tableColumn id="1" xr3:uid="{00000000-0010-0000-1500-000001000000}" name="Payment to"/>
    <tableColumn id="2" xr3:uid="{00000000-0010-0000-1500-000002000000}" name="Company" dataDxfId="722">
      <calculatedColumnFormula>M02S04F07</calculatedColumnFormula>
    </tableColumn>
    <tableColumn id="7" xr3:uid="{00000000-0010-0000-1500-000007000000}" name="Address"/>
    <tableColumn id="8" xr3:uid="{00000000-0010-0000-1500-000008000000}" name="City"/>
    <tableColumn id="9" xr3:uid="{00000000-0010-0000-1500-000009000000}" name="State"/>
    <tableColumn id="10" xr3:uid="{00000000-0010-0000-1500-00000A000000}" name="Zip"/>
    <tableColumn id="3" xr3:uid="{00000000-0010-0000-1500-000003000000}" name="First"/>
    <tableColumn id="4" xr3:uid="{00000000-0010-0000-1500-000004000000}" name="Last"/>
    <tableColumn id="5" xr3:uid="{00000000-0010-0000-1500-000005000000}" name="Phone"/>
    <tableColumn id="6" xr3:uid="{00000000-0010-0000-1500-000006000000}" name="Email" dataDxfId="721">
      <calculatedColumnFormula>M02S02F10</calculatedColumnFormula>
    </tableColumn>
    <tableColumn id="11" xr3:uid="{00000000-0010-0000-1500-00000B000000}" name="Terms"/>
    <tableColumn id="12" xr3:uid="{00000000-0010-0000-1500-00000C000000}" name="Payment Preference"/>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C000000}" name="CMLIGHTBASE" displayName="CMLIGHTBASE" ref="E2:O127" totalsRowShown="0" headerRowDxfId="227" dataDxfId="226" headerRowCellStyle="Normal 2">
  <autoFilter ref="E2:O127" xr:uid="{00000000-0009-0000-0100-000001000000}"/>
  <tableColumns count="11">
    <tableColumn id="5" xr3:uid="{00000000-0010-0000-0C00-000005000000}" name="Measure Number" dataDxfId="225"/>
    <tableColumn id="1" xr3:uid="{00000000-0010-0000-0C00-000001000000}" name="Base Desc 1" dataDxfId="224"/>
    <tableColumn id="2" xr3:uid="{00000000-0010-0000-0C00-000002000000}" name="Base Desc 2" dataDxfId="223"/>
    <tableColumn id="3" xr3:uid="{00000000-0010-0000-0C00-000003000000}" name="Base Watt 1" dataDxfId="222"/>
    <tableColumn id="4" xr3:uid="{00000000-0010-0000-0C00-000004000000}" name="Base Watt 2" dataDxfId="221"/>
    <tableColumn id="7" xr3:uid="{00000000-0010-0000-0C00-000007000000}" name="Measure Group" dataDxfId="220"/>
    <tableColumn id="8" xr3:uid="{00000000-0010-0000-0C00-000008000000}" name="Measure Subgroup 1" dataDxfId="219"/>
    <tableColumn id="6" xr3:uid="{00000000-0010-0000-0C00-000006000000}" name="Measure Subgroup 2" dataDxfId="218"/>
    <tableColumn id="9" xr3:uid="{00000000-0010-0000-0C00-000009000000}" name="Unit" dataDxfId="217"/>
    <tableColumn id="10" xr3:uid="{00000000-0010-0000-0C00-00000A000000}" name="Order" dataDxfId="216"/>
    <tableColumn id="11" xr3:uid="{00000000-0010-0000-0C00-00000B000000}" name="Source (Standard Wattage Table)" dataDxfId="215"/>
  </tableColumns>
  <tableStyleInfo name="TableStyleMedium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D000000}" name="CMEHVAC" displayName="CMEHVAC" ref="AF2:AZ47" totalsRowShown="0" headerRowDxfId="214" dataDxfId="213">
  <autoFilter ref="AF2:AZ47" xr:uid="{00000000-0009-0000-0100-000020000000}"/>
  <sortState xmlns:xlrd2="http://schemas.microsoft.com/office/spreadsheetml/2017/richdata2" ref="AF3:AZ48">
    <sortCondition ref="AP2:AP48"/>
  </sortState>
  <tableColumns count="21">
    <tableColumn id="1" xr3:uid="{00000000-0010-0000-0D00-000001000000}" name="Measure Number" dataDxfId="212"/>
    <tableColumn id="14" xr3:uid="{00000000-0010-0000-0D00-00000E000000}" name="Project Category" dataDxfId="211"/>
    <tableColumn id="2" xr3:uid="{00000000-0010-0000-0D00-000002000000}" name="Proj Desc 1" dataDxfId="210"/>
    <tableColumn id="3" xr3:uid="{00000000-0010-0000-0D00-000003000000}" name="Proj Desc 2" dataDxfId="209"/>
    <tableColumn id="5" xr3:uid="{00000000-0010-0000-0D00-000005000000}" name="Inc Rate" dataDxfId="208"/>
    <tableColumn id="4" xr3:uid="{00000000-0010-0000-0D00-000004000000}" name="EUL" dataDxfId="207"/>
    <tableColumn id="6" xr3:uid="{00000000-0010-0000-0D00-000006000000}" name="Measure Group" dataDxfId="206"/>
    <tableColumn id="7" xr3:uid="{00000000-0010-0000-0D00-000007000000}" name="Measure Subgroup 1" dataDxfId="205"/>
    <tableColumn id="8" xr3:uid="{00000000-0010-0000-0D00-000008000000}" name="Measure Subgroup 2" dataDxfId="204"/>
    <tableColumn id="9" xr3:uid="{00000000-0010-0000-0D00-000009000000}" name="Units" dataDxfId="203"/>
    <tableColumn id="10" xr3:uid="{00000000-0010-0000-0D00-00000A000000}" name="Order" dataDxfId="202"/>
    <tableColumn id="11" xr3:uid="{00000000-0010-0000-0D00-00000B000000}" name="End Use Category" dataDxfId="201"/>
    <tableColumn id="12" xr3:uid="{00000000-0010-0000-0D00-00000C000000}" name="Factor" dataDxfId="200"/>
    <tableColumn id="15" xr3:uid="{00000000-0010-0000-0D00-00000F000000}" name="Cost Basis" dataDxfId="199"/>
    <tableColumn id="13" xr3:uid="{00000000-0010-0000-0D00-00000D000000}" name="Application Tab" dataDxfId="198"/>
    <tableColumn id="16" xr3:uid="{00000000-0010-0000-0D00-000010000000}" name="Unit of Measure" dataDxfId="197"/>
    <tableColumn id="17" xr3:uid="{75641CDF-F8A0-4E47-A3B5-434F6A14BD42}" name="Column1" dataDxfId="196"/>
    <tableColumn id="18" xr3:uid="{70E5A639-029D-4D84-AD34-B84D119F16AA}" name="Column2" dataDxfId="195"/>
    <tableColumn id="19" xr3:uid="{EF60AA42-7DF7-4938-A665-AB1DBAA13AAE}" name="Column3" dataDxfId="194"/>
    <tableColumn id="20" xr3:uid="{7286DCD9-0013-4518-A174-1C0BFF44A31F}" name="Column4" dataDxfId="193"/>
    <tableColumn id="21" xr3:uid="{13F99EAB-C4D9-423E-A157-C375D610109B}" name="Column5" dataDxfId="192"/>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97436E-3E36-4021-981E-EF4A445B8C35}" name="LOCATIONTYPE" displayName="LOCATIONTYPE" ref="B2:C7" totalsRowShown="0">
  <autoFilter ref="B2:C7" xr:uid="{C7C08687-4C22-410B-BF08-CD861213F02E}"/>
  <tableColumns count="2">
    <tableColumn id="1" xr3:uid="{8C870870-CDF4-4C7E-BA68-4B1882E03674}" name="Location Type"/>
    <tableColumn id="2" xr3:uid="{355BF1AB-4335-4E88-A81C-F690188BD135}" name="Measure Number"/>
  </tableColumns>
  <tableStyleInfo name="TableStyleMedium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AB79BD-D7CB-4D63-A427-A65B978C979C}" name="CMEMISC2" displayName="CMEMISC2" ref="AF146:AZ147" totalsRowShown="0" headerRowDxfId="191" dataDxfId="189" headerRowBorderDxfId="190" tableBorderDxfId="188" totalsRowBorderDxfId="187">
  <autoFilter ref="AF146:AZ147" xr:uid="{D4DD773A-45AB-49D9-B60E-1C66B1070B96}"/>
  <tableColumns count="21">
    <tableColumn id="1" xr3:uid="{56F3C84F-9BBA-420F-BD2F-9389365EB032}" name="Measure Number" dataDxfId="186"/>
    <tableColumn id="2" xr3:uid="{234941C6-27CB-4EEB-9113-BE1A59342E0A}" name="Project Category" dataDxfId="185"/>
    <tableColumn id="3" xr3:uid="{B8ADCC95-4E06-40AD-BF07-4405A5E1CC8E}" name="Proj Desc 1" dataDxfId="184"/>
    <tableColumn id="4" xr3:uid="{FDA6403A-FB6A-44DC-84CA-6537926D7E56}" name="Proj Desc 2" dataDxfId="183"/>
    <tableColumn id="5" xr3:uid="{B1DE5218-D25D-4D79-AFD8-9E3D0A314732}" name="Inc Rate" dataDxfId="182"/>
    <tableColumn id="6" xr3:uid="{974A0AA5-13F6-4957-AF87-54AB67458C54}" name="EUL" dataDxfId="181"/>
    <tableColumn id="7" xr3:uid="{099106BF-12AD-41C3-ADF7-3E79BD10DAC3}" name="Measure Group" dataDxfId="180"/>
    <tableColumn id="8" xr3:uid="{A21EB03A-4EFB-474C-B66D-E62E9F321A23}" name="Measure Subgroup 1" dataDxfId="179"/>
    <tableColumn id="9" xr3:uid="{B297D1ED-36F1-43A2-B1A2-51E267C20320}" name="Measure Subgroup 2" dataDxfId="178"/>
    <tableColumn id="10" xr3:uid="{6E7962DE-B1E2-465F-BB9F-66DA8EAB2BA8}" name="Units" dataDxfId="177"/>
    <tableColumn id="11" xr3:uid="{F9425AA2-F0B8-49FA-BB70-A2AF8A27C998}" name="Order" dataDxfId="176"/>
    <tableColumn id="12" xr3:uid="{E298F3F5-D9F3-4C04-BB76-B8D7E158F261}" name="End Use Category" dataDxfId="175"/>
    <tableColumn id="13" xr3:uid="{2046277B-72FE-4ED1-92C0-92893E4A88C1}" name="Factor" dataDxfId="174"/>
    <tableColumn id="14" xr3:uid="{3BDAA324-C14D-4390-BDBE-287E2790B8F0}" name="Cost Basis" dataDxfId="173"/>
    <tableColumn id="15" xr3:uid="{4FF7FE8F-6428-46E8-81FE-C564C84EB0D4}" name="Application Tab" dataDxfId="172"/>
    <tableColumn id="16" xr3:uid="{61B628D3-38B1-4077-8F37-B0A883137237}" name="Unit of Measure" dataDxfId="171"/>
    <tableColumn id="17" xr3:uid="{450FF0BC-D6AD-4577-9738-E7ABE18BB3FE}" name="Column1" dataDxfId="170"/>
    <tableColumn id="18" xr3:uid="{CDC9C354-F380-4A94-AF89-8683A359248A}" name="Column2" dataDxfId="169"/>
    <tableColumn id="19" xr3:uid="{C2C08157-F5D6-4D24-AEB5-3927625A9811}" name="Column3" dataDxfId="168"/>
    <tableColumn id="20" xr3:uid="{3DD4F2DD-05C0-4ADB-AF2E-50CC4DE01944}" name="Column4" dataDxfId="167"/>
    <tableColumn id="21" xr3:uid="{BFB8420E-2767-4DBB-93FF-0BA932708D57}" name="Column5" dataDxfId="166"/>
  </tableColumns>
  <tableStyleInfo name="TableStyleMedium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22468635-4B03-464B-8863-5A053ADED964}" name="CMEMISC3" displayName="CMEMISC3" ref="AF149:AZ155" totalsRowShown="0" headerRowDxfId="165" headerRowBorderDxfId="164" tableBorderDxfId="163">
  <autoFilter ref="AF149:AZ155" xr:uid="{22468635-4B03-464B-8863-5A053ADED964}"/>
  <tableColumns count="21">
    <tableColumn id="1" xr3:uid="{2E2B33DC-4498-4FBF-AB92-E537F556B0D0}" name="Measure Number" dataDxfId="162"/>
    <tableColumn id="2" xr3:uid="{5E9FF4E7-EEF1-4C94-BCAF-E9A2B57170D3}" name="Project Category"/>
    <tableColumn id="3" xr3:uid="{2700F517-D5C2-46D3-90FF-E753167680F2}" name="Proj Desc 1"/>
    <tableColumn id="4" xr3:uid="{0011B94F-E4AE-4277-AE62-C04F070D3195}" name="Proj Desc 2"/>
    <tableColumn id="5" xr3:uid="{7B0113A2-4638-4EE4-A4AC-E483187CDF38}" name="Inc Rate"/>
    <tableColumn id="6" xr3:uid="{A72F2A4E-C495-4157-855E-B52131EF9457}" name="EUL"/>
    <tableColumn id="7" xr3:uid="{12312451-1C61-4C4C-A1EC-C9F0F134012B}" name="Measure Group"/>
    <tableColumn id="8" xr3:uid="{D4A4D66F-3881-4BB5-A35A-D83F74866B13}" name="Measure Subgroup 1"/>
    <tableColumn id="9" xr3:uid="{5E6A3828-21FD-4A20-BE0C-85CBFD3F4818}" name="Measure Subgroup 2"/>
    <tableColumn id="10" xr3:uid="{76EC676A-53E8-48CB-9962-719D6B807D33}" name="Units"/>
    <tableColumn id="11" xr3:uid="{2C351935-1381-4E1E-9D7B-57AE6F3AD4F1}" name="Order"/>
    <tableColumn id="12" xr3:uid="{BDF052DE-BBC9-4DE0-8CB0-837B2426A1A9}" name="End Use Category" dataDxfId="161"/>
    <tableColumn id="13" xr3:uid="{D681399C-0D4F-4F3F-9306-8F54B349DB0E}" name="Factor"/>
    <tableColumn id="14" xr3:uid="{3E9AB2B4-47FA-4EB1-9309-C294C3CF548C}" name="Cost Basis"/>
    <tableColumn id="15" xr3:uid="{97A5E7EC-BFB0-436F-B5A1-33AD92B81F58}" name="Application Tab"/>
    <tableColumn id="16" xr3:uid="{039319D5-CB9E-4D7B-957C-3011C78D7EEE}" name="Unit of Measure"/>
    <tableColumn id="17" xr3:uid="{94D4C5E7-AC26-43FC-88AF-65CE1772D0DE}" name="Column1"/>
    <tableColumn id="18" xr3:uid="{9C3CBC6B-7241-45C4-81E2-0A01468E95D1}" name="Column2"/>
    <tableColumn id="19" xr3:uid="{3F50B518-1C53-46B2-ABBC-7F052896A46C}" name="Column3"/>
    <tableColumn id="20" xr3:uid="{61ED0006-4D82-49A9-9AF1-80717C2B9105}" name="Column4"/>
    <tableColumn id="21" xr3:uid="{3B0CAB7E-A6D8-450A-B99B-A50EB88E131B}" name="Column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6000000}" name="TAXENTITY" displayName="TAXENTITY" ref="C11:D20" totalsRowShown="0">
  <autoFilter ref="C11:D20" xr:uid="{00000000-0009-0000-0100-00001E000000}"/>
  <sortState xmlns:xlrd2="http://schemas.microsoft.com/office/spreadsheetml/2017/richdata2" ref="C12:D20">
    <sortCondition ref="C12:C20"/>
  </sortState>
  <tableColumns count="2">
    <tableColumn id="1" xr3:uid="{00000000-0010-0000-1600-000001000000}" name="Tax Entity"/>
    <tableColumn id="2" xr3:uid="{00000000-0010-0000-1600-000002000000}" name="System Tex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7000000}" name="ENDUSEALL" displayName="ENDUSEALL" ref="U11:Z28" totalsRowShown="0">
  <autoFilter ref="U11:Z28" xr:uid="{00000000-0009-0000-0100-000017000000}"/>
  <sortState xmlns:xlrd2="http://schemas.microsoft.com/office/spreadsheetml/2017/richdata2" ref="U12:Z28">
    <sortCondition ref="U11:U28"/>
  </sortState>
  <tableColumns count="6">
    <tableColumn id="1" xr3:uid="{00000000-0010-0000-1700-000001000000}" name="End Use to Coincident Peak Demand Factors"/>
    <tableColumn id="8" xr3:uid="{00000000-0010-0000-1700-000008000000}" name="Source" dataDxfId="720"/>
    <tableColumn id="2" xr3:uid="{00000000-0010-0000-1700-000002000000}" name="Factor" dataDxfId="719"/>
    <tableColumn id="3" xr3:uid="{00000000-0010-0000-1700-000003000000}" name="Rate ($/kWh)" dataDxfId="718"/>
    <tableColumn id="5" xr3:uid="{AC59A936-DF0C-4CD2-A15F-42718FC9360A}" name="Bonus Rate ($/kWh)" dataDxfId="717"/>
    <tableColumn id="4" xr3:uid="{CEC7DA9D-10D0-486A-95B9-ED018C6108A6}" name="Measure Number Indicator" dataDxfId="716"/>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A000000}" name="PROJSTAT" displayName="PROJSTAT" ref="A46:A58" totalsRowShown="0">
  <autoFilter ref="A46:A58" xr:uid="{00000000-0009-0000-0100-000029000000}"/>
  <tableColumns count="1">
    <tableColumn id="1" xr3:uid="{00000000-0010-0000-1A00-000001000000}" name="Project Statu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0.bin"/><Relationship Id="rId1" Type="http://schemas.openxmlformats.org/officeDocument/2006/relationships/hyperlink" Target="mailto:businessrebates@evergy.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1.bin"/><Relationship Id="rId1" Type="http://schemas.openxmlformats.org/officeDocument/2006/relationships/hyperlink" Target="mailto:businessrebates@evergy.com" TargetMode="Externa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businessrebates@evergy.com" TargetMode="External"/><Relationship Id="rId1" Type="http://schemas.openxmlformats.org/officeDocument/2006/relationships/hyperlink" Target="mailto:businessrebates@kcpl.com" TargetMode="External"/><Relationship Id="rId4"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bin"/><Relationship Id="rId1" Type="http://schemas.openxmlformats.org/officeDocument/2006/relationships/hyperlink" Target="mailto:businessrebates@evergy.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4.bin"/><Relationship Id="rId1" Type="http://schemas.openxmlformats.org/officeDocument/2006/relationships/hyperlink" Target="mailto:businessrebates@evergy.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5.bin"/><Relationship Id="rId1" Type="http://schemas.openxmlformats.org/officeDocument/2006/relationships/hyperlink" Target="mailto:businessrebates@evergy.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hyperlink" Target="mailto:businessrebates@evergy.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mailto:businessrebates@evergy.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hyperlink" Target="mailto:businessrebates@evergy.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9.bin"/><Relationship Id="rId1" Type="http://schemas.openxmlformats.org/officeDocument/2006/relationships/hyperlink" Target="mailto:businessrebates@evergy.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0.bin"/><Relationship Id="rId1" Type="http://schemas.openxmlformats.org/officeDocument/2006/relationships/hyperlink" Target="mailto:businessrebates@evergy.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1.bin"/><Relationship Id="rId1" Type="http://schemas.openxmlformats.org/officeDocument/2006/relationships/hyperlink" Target="mailto:businessrebates@evergy.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2.bin"/><Relationship Id="rId1" Type="http://schemas.openxmlformats.org/officeDocument/2006/relationships/hyperlink" Target="mailto:businessrebates@evergy.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3.bin"/><Relationship Id="rId1" Type="http://schemas.openxmlformats.org/officeDocument/2006/relationships/hyperlink" Target="mailto:businessrebates@evergy.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4.bin"/><Relationship Id="rId1" Type="http://schemas.openxmlformats.org/officeDocument/2006/relationships/hyperlink" Target="mailto:businessrebates@evergy.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5.bin"/><Relationship Id="rId1" Type="http://schemas.openxmlformats.org/officeDocument/2006/relationships/hyperlink" Target="mailto:businessrebates@evergy.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6.bin"/><Relationship Id="rId1" Type="http://schemas.openxmlformats.org/officeDocument/2006/relationships/hyperlink" Target="mailto:businessrebates@evergy.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7.bin"/><Relationship Id="rId1" Type="http://schemas.openxmlformats.org/officeDocument/2006/relationships/hyperlink" Target="mailto:businessrebates@evergy.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8.bin"/><Relationship Id="rId1" Type="http://schemas.openxmlformats.org/officeDocument/2006/relationships/hyperlink" Target="mailto:businessrebates@evergy.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hyperlink" Target="mailto:businessrebates@evergy.com" TargetMode="External"/></Relationships>
</file>

<file path=xl/worksheets/_rels/sheet3.xml.rels><?xml version="1.0" encoding="UTF-8" standalone="yes"?>
<Relationships xmlns="http://schemas.openxmlformats.org/package/2006/relationships"><Relationship Id="rId13" Type="http://schemas.openxmlformats.org/officeDocument/2006/relationships/table" Target="../tables/table10.xml"/><Relationship Id="rId18" Type="http://schemas.openxmlformats.org/officeDocument/2006/relationships/table" Target="../tables/table15.xml"/><Relationship Id="rId26" Type="http://schemas.openxmlformats.org/officeDocument/2006/relationships/table" Target="../tables/table23.xml"/><Relationship Id="rId39" Type="http://schemas.openxmlformats.org/officeDocument/2006/relationships/table" Target="../tables/table36.xml"/><Relationship Id="rId21" Type="http://schemas.openxmlformats.org/officeDocument/2006/relationships/table" Target="../tables/table18.xml"/><Relationship Id="rId34" Type="http://schemas.openxmlformats.org/officeDocument/2006/relationships/table" Target="../tables/table31.xml"/><Relationship Id="rId42" Type="http://schemas.openxmlformats.org/officeDocument/2006/relationships/table" Target="../tables/table39.xml"/><Relationship Id="rId7" Type="http://schemas.openxmlformats.org/officeDocument/2006/relationships/table" Target="../tables/table4.xml"/><Relationship Id="rId2" Type="http://schemas.openxmlformats.org/officeDocument/2006/relationships/hyperlink" Target="mailto:Dgordon@trccompanies.com" TargetMode="External"/><Relationship Id="rId16" Type="http://schemas.openxmlformats.org/officeDocument/2006/relationships/table" Target="../tables/table13.xml"/><Relationship Id="rId20" Type="http://schemas.openxmlformats.org/officeDocument/2006/relationships/table" Target="../tables/table17.xml"/><Relationship Id="rId29" Type="http://schemas.openxmlformats.org/officeDocument/2006/relationships/table" Target="../tables/table26.xml"/><Relationship Id="rId41" Type="http://schemas.openxmlformats.org/officeDocument/2006/relationships/table" Target="../tables/table38.xml"/><Relationship Id="rId1" Type="http://schemas.openxmlformats.org/officeDocument/2006/relationships/hyperlink" Target="mailto:MBSharp@trccompanies.com" TargetMode="External"/><Relationship Id="rId6" Type="http://schemas.openxmlformats.org/officeDocument/2006/relationships/table" Target="../tables/table3.xml"/><Relationship Id="rId11" Type="http://schemas.openxmlformats.org/officeDocument/2006/relationships/table" Target="../tables/table8.xml"/><Relationship Id="rId24" Type="http://schemas.openxmlformats.org/officeDocument/2006/relationships/table" Target="../tables/table21.xml"/><Relationship Id="rId32" Type="http://schemas.openxmlformats.org/officeDocument/2006/relationships/table" Target="../tables/table29.xml"/><Relationship Id="rId37" Type="http://schemas.openxmlformats.org/officeDocument/2006/relationships/table" Target="../tables/table34.xml"/><Relationship Id="rId40" Type="http://schemas.openxmlformats.org/officeDocument/2006/relationships/table" Target="../tables/table37.xml"/><Relationship Id="rId5" Type="http://schemas.openxmlformats.org/officeDocument/2006/relationships/table" Target="../tables/table2.xml"/><Relationship Id="rId15" Type="http://schemas.openxmlformats.org/officeDocument/2006/relationships/table" Target="../tables/table12.xml"/><Relationship Id="rId23" Type="http://schemas.openxmlformats.org/officeDocument/2006/relationships/table" Target="../tables/table20.xml"/><Relationship Id="rId28" Type="http://schemas.openxmlformats.org/officeDocument/2006/relationships/table" Target="../tables/table25.xml"/><Relationship Id="rId36" Type="http://schemas.openxmlformats.org/officeDocument/2006/relationships/table" Target="../tables/table33.xml"/><Relationship Id="rId10" Type="http://schemas.openxmlformats.org/officeDocument/2006/relationships/table" Target="../tables/table7.xml"/><Relationship Id="rId19" Type="http://schemas.openxmlformats.org/officeDocument/2006/relationships/table" Target="../tables/table16.xml"/><Relationship Id="rId31" Type="http://schemas.openxmlformats.org/officeDocument/2006/relationships/table" Target="../tables/table28.xml"/><Relationship Id="rId4" Type="http://schemas.openxmlformats.org/officeDocument/2006/relationships/table" Target="../tables/table1.xml"/><Relationship Id="rId9" Type="http://schemas.openxmlformats.org/officeDocument/2006/relationships/table" Target="../tables/table6.xml"/><Relationship Id="rId14" Type="http://schemas.openxmlformats.org/officeDocument/2006/relationships/table" Target="../tables/table11.xml"/><Relationship Id="rId22" Type="http://schemas.openxmlformats.org/officeDocument/2006/relationships/table" Target="../tables/table19.xml"/><Relationship Id="rId27" Type="http://schemas.openxmlformats.org/officeDocument/2006/relationships/table" Target="../tables/table24.xml"/><Relationship Id="rId30" Type="http://schemas.openxmlformats.org/officeDocument/2006/relationships/table" Target="../tables/table27.xml"/><Relationship Id="rId35" Type="http://schemas.openxmlformats.org/officeDocument/2006/relationships/table" Target="../tables/table32.xml"/><Relationship Id="rId8" Type="http://schemas.openxmlformats.org/officeDocument/2006/relationships/table" Target="../tables/table5.xml"/><Relationship Id="rId3" Type="http://schemas.openxmlformats.org/officeDocument/2006/relationships/printerSettings" Target="../printerSettings/printerSettings3.bin"/><Relationship Id="rId12" Type="http://schemas.openxmlformats.org/officeDocument/2006/relationships/table" Target="../tables/table9.xml"/><Relationship Id="rId17" Type="http://schemas.openxmlformats.org/officeDocument/2006/relationships/table" Target="../tables/table14.xml"/><Relationship Id="rId25" Type="http://schemas.openxmlformats.org/officeDocument/2006/relationships/table" Target="../tables/table22.xml"/><Relationship Id="rId33" Type="http://schemas.openxmlformats.org/officeDocument/2006/relationships/table" Target="../tables/table30.xml"/><Relationship Id="rId38" Type="http://schemas.openxmlformats.org/officeDocument/2006/relationships/table" Target="../tables/table35.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0.bin"/><Relationship Id="rId1" Type="http://schemas.openxmlformats.org/officeDocument/2006/relationships/hyperlink" Target="mailto:businessrebates@evergy.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1.bin"/><Relationship Id="rId1" Type="http://schemas.openxmlformats.org/officeDocument/2006/relationships/hyperlink" Target="mailto:businessrebates@evergy.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2.bin"/><Relationship Id="rId1" Type="http://schemas.openxmlformats.org/officeDocument/2006/relationships/hyperlink" Target="mailto:businessrebates@evergy.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3.bin"/><Relationship Id="rId1" Type="http://schemas.openxmlformats.org/officeDocument/2006/relationships/hyperlink" Target="mailto:businessrebates@evergy.com" TargetMode="External"/><Relationship Id="rId5" Type="http://schemas.openxmlformats.org/officeDocument/2006/relationships/ctrlProp" Target="../ctrlProps/ctrlProp2.xml"/><Relationship Id="rId4" Type="http://schemas.openxmlformats.org/officeDocument/2006/relationships/vmlDrawing" Target="../drawings/vmlDrawing3.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4.bin"/><Relationship Id="rId1" Type="http://schemas.openxmlformats.org/officeDocument/2006/relationships/hyperlink" Target="mailto:businessrebates@evergy.com" TargetMode="Externa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mailto:businessrebates@evergy.com?subject=Evergy%20Standard/Custom%20Incentive%20Application%20Submission" TargetMode="External"/><Relationship Id="rId1" Type="http://schemas.openxmlformats.org/officeDocument/2006/relationships/hyperlink" Target="mailto:businessrebates@evergy.com" TargetMode="External"/><Relationship Id="rId4"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3" Type="http://schemas.openxmlformats.org/officeDocument/2006/relationships/hyperlink" Target="https://www.eia.gov/tools/faqs/faq.php?id=74&amp;t=11" TargetMode="External"/><Relationship Id="rId2" Type="http://schemas.openxmlformats.org/officeDocument/2006/relationships/hyperlink" Target="https://www.epa.gov/energy/greenhouse-gases-equivalencies-calculator-calculations-and-references" TargetMode="External"/><Relationship Id="rId1" Type="http://schemas.openxmlformats.org/officeDocument/2006/relationships/hyperlink" Target="mailto:businessrebates@evergy.com" TargetMode="External"/><Relationship Id="rId6" Type="http://schemas.openxmlformats.org/officeDocument/2006/relationships/drawing" Target="../drawings/drawing27.xml"/><Relationship Id="rId5" Type="http://schemas.openxmlformats.org/officeDocument/2006/relationships/printerSettings" Target="../printerSettings/printerSettings36.bin"/><Relationship Id="rId4" Type="http://schemas.openxmlformats.org/officeDocument/2006/relationships/hyperlink" Target="mailto:businessrebates@evergy.com"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mailto:businessrebates@evergy.com?subject=Evergy%20Signed%20Offer%20Form" TargetMode="External"/><Relationship Id="rId1" Type="http://schemas.openxmlformats.org/officeDocument/2006/relationships/hyperlink" Target="mailto:businessrebates@evergy.com" TargetMode="External"/><Relationship Id="rId4" Type="http://schemas.openxmlformats.org/officeDocument/2006/relationships/drawing" Target="../drawings/drawing28.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ctrlProp" Target="../ctrlProps/ctrlProp4.xml"/><Relationship Id="rId2" Type="http://schemas.openxmlformats.org/officeDocument/2006/relationships/hyperlink" Target="mailto:businessrebates@evergy.com?subject=Evergy%20Signed%20Completion%20Form%20and%20Invoices" TargetMode="External"/><Relationship Id="rId1" Type="http://schemas.openxmlformats.org/officeDocument/2006/relationships/hyperlink" Target="mailto:businessrebates@evergy.com" TargetMode="External"/><Relationship Id="rId6" Type="http://schemas.openxmlformats.org/officeDocument/2006/relationships/ctrlProp" Target="../ctrlProps/ctrlProp3.xml"/><Relationship Id="rId5" Type="http://schemas.openxmlformats.org/officeDocument/2006/relationships/vmlDrawing" Target="../drawings/vmlDrawing4.vml"/><Relationship Id="rId4" Type="http://schemas.openxmlformats.org/officeDocument/2006/relationships/drawing" Target="../drawings/drawing29.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9.bin"/><Relationship Id="rId1" Type="http://schemas.openxmlformats.org/officeDocument/2006/relationships/hyperlink" Target="mailto:businessrebates@evergy.com"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table" Target="../tables/table40.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6" Type="http://schemas.openxmlformats.org/officeDocument/2006/relationships/table" Target="../tables/table45.xml"/><Relationship Id="rId11" Type="http://schemas.openxmlformats.org/officeDocument/2006/relationships/comments" Target="../comments1.xml"/><Relationship Id="rId5" Type="http://schemas.openxmlformats.org/officeDocument/2006/relationships/table" Target="../tables/table44.xml"/><Relationship Id="rId10" Type="http://schemas.openxmlformats.org/officeDocument/2006/relationships/table" Target="../tables/table49.xml"/><Relationship Id="rId4" Type="http://schemas.openxmlformats.org/officeDocument/2006/relationships/table" Target="../tables/table43.xml"/><Relationship Id="rId9" Type="http://schemas.openxmlformats.org/officeDocument/2006/relationships/table" Target="../tables/table48.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table" Target="../tables/table50.xml"/><Relationship Id="rId1" Type="http://schemas.openxmlformats.org/officeDocument/2006/relationships/printerSettings" Target="../printerSettings/printerSettings7.bin"/><Relationship Id="rId4" Type="http://schemas.openxmlformats.org/officeDocument/2006/relationships/table" Target="../tables/table52.xml"/></Relationships>
</file>

<file path=xl/worksheets/_rels/sheet8.xml.rels><?xml version="1.0" encoding="UTF-8" standalone="yes"?>
<Relationships xmlns="http://schemas.openxmlformats.org/package/2006/relationships"><Relationship Id="rId8" Type="http://schemas.openxmlformats.org/officeDocument/2006/relationships/table" Target="../tables/table59.xml"/><Relationship Id="rId13" Type="http://schemas.openxmlformats.org/officeDocument/2006/relationships/table" Target="../tables/table64.xml"/><Relationship Id="rId3" Type="http://schemas.openxmlformats.org/officeDocument/2006/relationships/table" Target="../tables/table54.xml"/><Relationship Id="rId7" Type="http://schemas.openxmlformats.org/officeDocument/2006/relationships/table" Target="../tables/table58.xml"/><Relationship Id="rId12" Type="http://schemas.openxmlformats.org/officeDocument/2006/relationships/table" Target="../tables/table63.xml"/><Relationship Id="rId2" Type="http://schemas.openxmlformats.org/officeDocument/2006/relationships/table" Target="../tables/table53.xml"/><Relationship Id="rId1" Type="http://schemas.openxmlformats.org/officeDocument/2006/relationships/printerSettings" Target="../printerSettings/printerSettings8.bin"/><Relationship Id="rId6" Type="http://schemas.openxmlformats.org/officeDocument/2006/relationships/table" Target="../tables/table57.xml"/><Relationship Id="rId11" Type="http://schemas.openxmlformats.org/officeDocument/2006/relationships/table" Target="../tables/table62.xml"/><Relationship Id="rId5" Type="http://schemas.openxmlformats.org/officeDocument/2006/relationships/table" Target="../tables/table56.xml"/><Relationship Id="rId10" Type="http://schemas.openxmlformats.org/officeDocument/2006/relationships/table" Target="../tables/table61.xml"/><Relationship Id="rId4" Type="http://schemas.openxmlformats.org/officeDocument/2006/relationships/table" Target="../tables/table55.xml"/><Relationship Id="rId9" Type="http://schemas.openxmlformats.org/officeDocument/2006/relationships/table" Target="../tables/table6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3">
    <tabColor rgb="FFFFFF00"/>
  </sheetPr>
  <dimension ref="A1:AQ278"/>
  <sheetViews>
    <sheetView zoomScaleNormal="100" workbookViewId="0">
      <pane ySplit="4" topLeftCell="A151" activePane="bottomLeft" state="frozen"/>
      <selection pane="bottomLeft" activeCell="A155" sqref="A155"/>
    </sheetView>
  </sheetViews>
  <sheetFormatPr defaultColWidth="1.7109375" defaultRowHeight="15.75"/>
  <cols>
    <col min="1" max="1" width="13.140625" style="8" bestFit="1" customWidth="1"/>
    <col min="2" max="2" width="12.28515625" style="8" bestFit="1" customWidth="1"/>
    <col min="3" max="3" width="8.28515625" style="8" bestFit="1" customWidth="1"/>
    <col min="4" max="4" width="8.28515625" style="8" customWidth="1"/>
    <col min="5" max="5" width="53.42578125" style="8" customWidth="1"/>
    <col min="6" max="6" width="4.42578125" customWidth="1"/>
    <col min="7" max="7" width="7" customWidth="1"/>
    <col min="8" max="8" width="163.5703125" bestFit="1" customWidth="1"/>
  </cols>
  <sheetData>
    <row r="1" spans="1:43" ht="15">
      <c r="A1" s="595" t="s">
        <v>103</v>
      </c>
      <c r="B1" s="595"/>
      <c r="C1" s="595"/>
      <c r="D1" s="595"/>
      <c r="E1" s="595"/>
      <c r="G1" s="2" t="s">
        <v>605</v>
      </c>
    </row>
    <row r="2" spans="1:43" ht="15">
      <c r="A2" s="595"/>
      <c r="B2" s="595"/>
      <c r="C2" s="595"/>
      <c r="D2" s="595"/>
      <c r="E2" s="595"/>
      <c r="G2" t="s">
        <v>602</v>
      </c>
      <c r="H2" t="s">
        <v>2614</v>
      </c>
    </row>
    <row r="3" spans="1:43">
      <c r="A3" s="595"/>
      <c r="B3" s="595"/>
      <c r="C3" s="595"/>
      <c r="D3" s="595"/>
      <c r="E3" s="595"/>
      <c r="G3" t="s">
        <v>603</v>
      </c>
      <c r="H3" t="s">
        <v>2615</v>
      </c>
      <c r="AQ3" s="78"/>
    </row>
    <row r="4" spans="1:43" ht="15">
      <c r="A4" s="2" t="s">
        <v>106</v>
      </c>
      <c r="B4" s="2" t="s">
        <v>104</v>
      </c>
      <c r="C4" s="2" t="s">
        <v>105</v>
      </c>
      <c r="D4" s="2" t="s">
        <v>2291</v>
      </c>
      <c r="E4" s="3" t="s">
        <v>107</v>
      </c>
      <c r="G4" t="s">
        <v>604</v>
      </c>
      <c r="H4" t="s">
        <v>2616</v>
      </c>
    </row>
    <row r="5" spans="1:43" ht="15" customHeight="1">
      <c r="A5" s="366">
        <v>43552</v>
      </c>
      <c r="B5" s="367" t="s">
        <v>1148</v>
      </c>
      <c r="C5" s="368" t="s">
        <v>1664</v>
      </c>
      <c r="D5" s="368"/>
      <c r="E5" s="318" t="s">
        <v>1665</v>
      </c>
    </row>
    <row r="6" spans="1:43" ht="15" customHeight="1">
      <c r="A6" s="366">
        <v>43566</v>
      </c>
      <c r="B6" s="367" t="s">
        <v>1148</v>
      </c>
      <c r="C6" s="368" t="s">
        <v>1668</v>
      </c>
      <c r="D6" s="368"/>
      <c r="E6" s="318" t="s">
        <v>1669</v>
      </c>
    </row>
    <row r="7" spans="1:43" ht="15" customHeight="1">
      <c r="A7" s="366">
        <v>43642</v>
      </c>
      <c r="B7" s="367" t="s">
        <v>1148</v>
      </c>
      <c r="C7" s="368" t="s">
        <v>1716</v>
      </c>
      <c r="D7" s="368"/>
      <c r="E7" s="318" t="s">
        <v>1707</v>
      </c>
    </row>
    <row r="8" spans="1:43" ht="15" customHeight="1">
      <c r="A8" s="366">
        <v>43671</v>
      </c>
      <c r="B8" s="367" t="s">
        <v>1148</v>
      </c>
      <c r="C8" s="368"/>
      <c r="D8" s="368"/>
      <c r="E8" s="318" t="s">
        <v>1708</v>
      </c>
    </row>
    <row r="9" spans="1:43" ht="15" customHeight="1">
      <c r="A9" s="366" t="s">
        <v>1772</v>
      </c>
      <c r="B9" s="367" t="s">
        <v>1148</v>
      </c>
      <c r="C9" s="368"/>
      <c r="D9" s="368"/>
      <c r="E9" s="318" t="s">
        <v>1771</v>
      </c>
    </row>
    <row r="10" spans="1:43" ht="15" customHeight="1">
      <c r="A10" s="366">
        <v>43707</v>
      </c>
      <c r="B10" s="367" t="s">
        <v>1148</v>
      </c>
      <c r="C10" s="368"/>
      <c r="D10" s="368"/>
      <c r="E10" s="318" t="s">
        <v>1780</v>
      </c>
    </row>
    <row r="11" spans="1:43" ht="15" customHeight="1">
      <c r="A11" s="366">
        <v>43732</v>
      </c>
      <c r="B11" s="367" t="s">
        <v>1148</v>
      </c>
      <c r="C11" s="368" t="s">
        <v>1797</v>
      </c>
      <c r="D11" s="368"/>
      <c r="E11" s="318" t="s">
        <v>1807</v>
      </c>
    </row>
    <row r="12" spans="1:43" ht="15" customHeight="1">
      <c r="A12" s="366">
        <v>43740</v>
      </c>
      <c r="B12" s="367" t="s">
        <v>1148</v>
      </c>
      <c r="C12" s="368"/>
      <c r="D12" s="368"/>
      <c r="E12" s="318" t="s">
        <v>1821</v>
      </c>
    </row>
    <row r="13" spans="1:43" ht="15" customHeight="1">
      <c r="A13" s="366">
        <v>43817</v>
      </c>
      <c r="B13" s="367" t="s">
        <v>1822</v>
      </c>
      <c r="C13" s="368" t="s">
        <v>1895</v>
      </c>
      <c r="D13" s="368" t="s">
        <v>2292</v>
      </c>
      <c r="E13" s="318" t="s">
        <v>1823</v>
      </c>
    </row>
    <row r="14" spans="1:43" ht="15" customHeight="1">
      <c r="A14" s="366">
        <v>43852</v>
      </c>
      <c r="B14" s="367" t="s">
        <v>1148</v>
      </c>
      <c r="C14" s="368"/>
      <c r="D14" s="368" t="s">
        <v>2292</v>
      </c>
      <c r="E14" s="319" t="s">
        <v>2208</v>
      </c>
    </row>
    <row r="15" spans="1:43" ht="15" customHeight="1">
      <c r="A15" s="366">
        <v>43858</v>
      </c>
      <c r="B15" s="367" t="s">
        <v>1148</v>
      </c>
      <c r="C15" s="368"/>
      <c r="D15" s="368" t="s">
        <v>2292</v>
      </c>
      <c r="E15" s="319" t="s">
        <v>2258</v>
      </c>
    </row>
    <row r="16" spans="1:43" ht="15" customHeight="1">
      <c r="A16" s="366">
        <v>43859</v>
      </c>
      <c r="B16" s="367" t="s">
        <v>1148</v>
      </c>
      <c r="C16" s="368"/>
      <c r="D16" s="368" t="s">
        <v>2292</v>
      </c>
      <c r="E16" s="319" t="s">
        <v>2261</v>
      </c>
    </row>
    <row r="17" spans="1:6" ht="15" customHeight="1">
      <c r="A17" s="366">
        <v>43864</v>
      </c>
      <c r="B17" s="367" t="s">
        <v>1148</v>
      </c>
      <c r="C17" s="368" t="s">
        <v>2262</v>
      </c>
      <c r="D17" s="368" t="s">
        <v>2292</v>
      </c>
      <c r="E17" s="319" t="s">
        <v>2263</v>
      </c>
    </row>
    <row r="18" spans="1:6" ht="15" customHeight="1">
      <c r="A18" s="366">
        <v>43865</v>
      </c>
      <c r="B18" s="367" t="s">
        <v>1148</v>
      </c>
      <c r="C18" s="368" t="s">
        <v>2274</v>
      </c>
      <c r="D18" s="368" t="s">
        <v>2292</v>
      </c>
      <c r="E18" s="319" t="s">
        <v>2271</v>
      </c>
      <c r="F18" s="1"/>
    </row>
    <row r="19" spans="1:6" ht="15" customHeight="1">
      <c r="A19" s="366">
        <v>43868</v>
      </c>
      <c r="B19" s="367" t="s">
        <v>1148</v>
      </c>
      <c r="C19" s="368"/>
      <c r="D19" s="368" t="s">
        <v>2292</v>
      </c>
      <c r="E19" s="319" t="s">
        <v>2275</v>
      </c>
    </row>
    <row r="20" spans="1:6" ht="15" customHeight="1">
      <c r="A20" s="366">
        <v>43871</v>
      </c>
      <c r="B20" s="367" t="s">
        <v>1148</v>
      </c>
      <c r="C20" s="368"/>
      <c r="D20" s="368" t="s">
        <v>2292</v>
      </c>
      <c r="E20" s="319" t="s">
        <v>2276</v>
      </c>
    </row>
    <row r="21" spans="1:6" ht="15" customHeight="1">
      <c r="A21" s="366">
        <v>43879</v>
      </c>
      <c r="B21" s="367" t="s">
        <v>1148</v>
      </c>
      <c r="C21" s="368" t="s">
        <v>2355</v>
      </c>
      <c r="D21" s="368" t="s">
        <v>2292</v>
      </c>
      <c r="E21" s="319" t="s">
        <v>2284</v>
      </c>
    </row>
    <row r="22" spans="1:6" ht="15" customHeight="1">
      <c r="A22" s="366">
        <v>43879</v>
      </c>
      <c r="B22" s="367" t="s">
        <v>1148</v>
      </c>
      <c r="C22" s="368"/>
      <c r="D22" s="368" t="s">
        <v>2292</v>
      </c>
      <c r="E22" s="319" t="s">
        <v>2290</v>
      </c>
    </row>
    <row r="23" spans="1:6" ht="15" customHeight="1">
      <c r="A23" s="366">
        <v>43893</v>
      </c>
      <c r="B23" s="367" t="s">
        <v>1148</v>
      </c>
      <c r="C23" s="368"/>
      <c r="D23" s="368" t="s">
        <v>2292</v>
      </c>
      <c r="E23" s="319" t="s">
        <v>2357</v>
      </c>
    </row>
    <row r="24" spans="1:6" ht="15" customHeight="1">
      <c r="A24" s="366">
        <v>43893</v>
      </c>
      <c r="B24" s="367" t="s">
        <v>1822</v>
      </c>
      <c r="C24" s="368"/>
      <c r="D24" s="368" t="s">
        <v>2292</v>
      </c>
      <c r="E24" s="319" t="s">
        <v>2352</v>
      </c>
    </row>
    <row r="25" spans="1:6" ht="15" customHeight="1">
      <c r="A25" s="366">
        <v>43901</v>
      </c>
      <c r="B25" s="367" t="s">
        <v>1148</v>
      </c>
      <c r="C25" s="368" t="s">
        <v>2358</v>
      </c>
      <c r="D25" s="368" t="s">
        <v>2364</v>
      </c>
      <c r="E25" s="319" t="s">
        <v>2374</v>
      </c>
    </row>
    <row r="26" spans="1:6" ht="15" customHeight="1">
      <c r="A26" s="366">
        <v>43901</v>
      </c>
      <c r="B26" s="367" t="s">
        <v>1148</v>
      </c>
      <c r="C26" s="368" t="s">
        <v>2358</v>
      </c>
      <c r="D26" s="368" t="s">
        <v>211</v>
      </c>
      <c r="E26" s="319" t="s">
        <v>2376</v>
      </c>
    </row>
    <row r="27" spans="1:6" ht="15" customHeight="1">
      <c r="A27" s="366">
        <v>43902</v>
      </c>
      <c r="B27" s="367" t="s">
        <v>1822</v>
      </c>
      <c r="C27" s="368"/>
      <c r="D27" s="368" t="s">
        <v>2264</v>
      </c>
      <c r="E27" s="319" t="s">
        <v>2377</v>
      </c>
    </row>
    <row r="28" spans="1:6" ht="15" customHeight="1">
      <c r="A28" s="366">
        <v>43902</v>
      </c>
      <c r="B28" s="367" t="s">
        <v>1148</v>
      </c>
      <c r="C28" s="368" t="s">
        <v>2358</v>
      </c>
      <c r="D28" s="368" t="s">
        <v>211</v>
      </c>
      <c r="E28" s="318" t="s">
        <v>2380</v>
      </c>
    </row>
    <row r="29" spans="1:6" ht="14.25" customHeight="1">
      <c r="A29" s="366">
        <v>43902</v>
      </c>
      <c r="B29" s="367" t="s">
        <v>1148</v>
      </c>
      <c r="C29" s="368" t="s">
        <v>2378</v>
      </c>
      <c r="D29" s="368" t="s">
        <v>2292</v>
      </c>
      <c r="E29" s="318" t="s">
        <v>2379</v>
      </c>
    </row>
    <row r="30" spans="1:6" ht="108">
      <c r="A30" s="366">
        <v>43920</v>
      </c>
      <c r="B30" s="367" t="s">
        <v>1822</v>
      </c>
      <c r="C30" s="368" t="s">
        <v>2381</v>
      </c>
      <c r="D30" s="368" t="s">
        <v>2264</v>
      </c>
      <c r="E30" s="319" t="s">
        <v>2382</v>
      </c>
    </row>
    <row r="31" spans="1:6">
      <c r="A31" s="366"/>
      <c r="B31" s="367"/>
      <c r="C31" s="368" t="s">
        <v>2381</v>
      </c>
      <c r="D31" s="368" t="s">
        <v>211</v>
      </c>
      <c r="E31" s="319" t="s">
        <v>2383</v>
      </c>
    </row>
    <row r="32" spans="1:6" ht="409.5">
      <c r="A32" s="366">
        <v>43962</v>
      </c>
      <c r="B32" s="367" t="s">
        <v>1822</v>
      </c>
      <c r="C32" s="368" t="s">
        <v>2388</v>
      </c>
      <c r="D32" s="368" t="s">
        <v>2292</v>
      </c>
      <c r="E32" s="319" t="s">
        <v>2389</v>
      </c>
    </row>
    <row r="33" spans="1:5" ht="270">
      <c r="A33" s="366">
        <v>43990</v>
      </c>
      <c r="B33" s="367" t="s">
        <v>1822</v>
      </c>
      <c r="C33" s="368" t="s">
        <v>2381</v>
      </c>
      <c r="D33" s="368" t="s">
        <v>211</v>
      </c>
      <c r="E33" s="319" t="s">
        <v>2390</v>
      </c>
    </row>
    <row r="34" spans="1:5" ht="162">
      <c r="A34" s="366">
        <v>43990</v>
      </c>
      <c r="B34" s="367" t="s">
        <v>1822</v>
      </c>
      <c r="C34" s="368" t="s">
        <v>2391</v>
      </c>
      <c r="D34" s="368" t="s">
        <v>2264</v>
      </c>
      <c r="E34" s="319" t="s">
        <v>2392</v>
      </c>
    </row>
    <row r="35" spans="1:5" ht="409.5">
      <c r="A35" s="366">
        <v>44018</v>
      </c>
      <c r="B35" s="367" t="s">
        <v>1822</v>
      </c>
      <c r="C35" s="368" t="s">
        <v>2358</v>
      </c>
      <c r="D35" s="368" t="s">
        <v>2292</v>
      </c>
      <c r="E35" s="319" t="s">
        <v>2414</v>
      </c>
    </row>
    <row r="36" spans="1:5" ht="409.5">
      <c r="A36" s="366">
        <v>44120</v>
      </c>
      <c r="B36" s="367" t="s">
        <v>1822</v>
      </c>
      <c r="C36" s="368" t="s">
        <v>2423</v>
      </c>
      <c r="D36" s="368" t="s">
        <v>211</v>
      </c>
      <c r="E36" s="319" t="s">
        <v>2424</v>
      </c>
    </row>
    <row r="37" spans="1:5" ht="409.5">
      <c r="A37" s="366">
        <v>44193</v>
      </c>
      <c r="B37" s="367" t="s">
        <v>1822</v>
      </c>
      <c r="C37" s="368" t="s">
        <v>2423</v>
      </c>
      <c r="D37" s="368" t="s">
        <v>2292</v>
      </c>
      <c r="E37" s="319" t="s">
        <v>2588</v>
      </c>
    </row>
    <row r="38" spans="1:5" ht="405">
      <c r="A38" s="366">
        <v>44223</v>
      </c>
      <c r="B38" s="367" t="s">
        <v>1822</v>
      </c>
      <c r="C38" s="368" t="s">
        <v>2590</v>
      </c>
      <c r="D38" s="368" t="s">
        <v>211</v>
      </c>
      <c r="E38" s="319" t="s">
        <v>2589</v>
      </c>
    </row>
    <row r="39" spans="1:5" ht="409.6" thickBot="1">
      <c r="A39" s="453">
        <v>44228</v>
      </c>
      <c r="B39" s="454" t="s">
        <v>1822</v>
      </c>
      <c r="C39" s="458" t="s">
        <v>2423</v>
      </c>
      <c r="D39" s="458" t="s">
        <v>2264</v>
      </c>
      <c r="E39" s="462" t="s">
        <v>2591</v>
      </c>
    </row>
    <row r="40" spans="1:5">
      <c r="A40" s="587">
        <v>44544</v>
      </c>
      <c r="B40" s="589" t="s">
        <v>1809</v>
      </c>
      <c r="C40" s="591" t="s">
        <v>2592</v>
      </c>
      <c r="D40" s="596" t="s">
        <v>2292</v>
      </c>
      <c r="E40" s="456" t="s">
        <v>2613</v>
      </c>
    </row>
    <row r="41" spans="1:5" ht="32.1" customHeight="1">
      <c r="A41" s="577"/>
      <c r="B41" s="580"/>
      <c r="C41" s="583"/>
      <c r="D41" s="594"/>
      <c r="E41" s="319" t="s">
        <v>2593</v>
      </c>
    </row>
    <row r="42" spans="1:5">
      <c r="A42" s="577"/>
      <c r="B42" s="580"/>
      <c r="C42" s="583"/>
      <c r="D42" s="594"/>
      <c r="E42" s="319" t="s">
        <v>2600</v>
      </c>
    </row>
    <row r="43" spans="1:5" ht="27">
      <c r="A43" s="577"/>
      <c r="B43" s="580"/>
      <c r="C43" s="583"/>
      <c r="D43" s="594"/>
      <c r="E43" s="319" t="s">
        <v>2596</v>
      </c>
    </row>
    <row r="44" spans="1:5" ht="40.5">
      <c r="A44" s="577"/>
      <c r="B44" s="580"/>
      <c r="C44" s="583"/>
      <c r="D44" s="594"/>
      <c r="E44" s="319" t="s">
        <v>2597</v>
      </c>
    </row>
    <row r="45" spans="1:5">
      <c r="A45" s="577"/>
      <c r="B45" s="580"/>
      <c r="C45" s="583"/>
      <c r="D45" s="594"/>
      <c r="E45" s="319" t="s">
        <v>2744</v>
      </c>
    </row>
    <row r="46" spans="1:5" ht="27">
      <c r="A46" s="577"/>
      <c r="B46" s="580"/>
      <c r="C46" s="583"/>
      <c r="D46" s="594"/>
      <c r="E46" s="319" t="s">
        <v>2745</v>
      </c>
    </row>
    <row r="47" spans="1:5" ht="40.5">
      <c r="A47" s="577"/>
      <c r="B47" s="580"/>
      <c r="C47" s="583"/>
      <c r="D47" s="594"/>
      <c r="E47" s="319" t="s">
        <v>2746</v>
      </c>
    </row>
    <row r="48" spans="1:5" ht="27">
      <c r="A48" s="577"/>
      <c r="B48" s="580"/>
      <c r="C48" s="583"/>
      <c r="D48" s="594"/>
      <c r="E48" s="319" t="s">
        <v>2747</v>
      </c>
    </row>
    <row r="49" spans="1:5" ht="27">
      <c r="A49" s="577"/>
      <c r="B49" s="580"/>
      <c r="C49" s="583"/>
      <c r="D49" s="594"/>
      <c r="E49" s="319" t="s">
        <v>2748</v>
      </c>
    </row>
    <row r="50" spans="1:5">
      <c r="A50" s="577"/>
      <c r="B50" s="580"/>
      <c r="C50" s="583"/>
      <c r="D50" s="594"/>
      <c r="E50" s="370" t="s">
        <v>2749</v>
      </c>
    </row>
    <row r="51" spans="1:5" ht="27">
      <c r="A51" s="577"/>
      <c r="B51" s="580"/>
      <c r="C51" s="583"/>
      <c r="D51" s="594"/>
      <c r="E51" s="319" t="s">
        <v>2758</v>
      </c>
    </row>
    <row r="52" spans="1:5" ht="27">
      <c r="A52" s="577"/>
      <c r="B52" s="580"/>
      <c r="C52" s="583"/>
      <c r="D52" s="594"/>
      <c r="E52" s="319" t="s">
        <v>2759</v>
      </c>
    </row>
    <row r="53" spans="1:5" ht="27">
      <c r="A53" s="577"/>
      <c r="B53" s="580"/>
      <c r="C53" s="583"/>
      <c r="D53" s="594" t="s">
        <v>211</v>
      </c>
      <c r="E53" s="319" t="s">
        <v>2738</v>
      </c>
    </row>
    <row r="54" spans="1:5">
      <c r="A54" s="577"/>
      <c r="B54" s="580"/>
      <c r="C54" s="583"/>
      <c r="D54" s="594"/>
      <c r="E54" s="319" t="s">
        <v>2760</v>
      </c>
    </row>
    <row r="55" spans="1:5" ht="27">
      <c r="A55" s="577"/>
      <c r="B55" s="580"/>
      <c r="C55" s="583"/>
      <c r="D55" s="594"/>
      <c r="E55" s="319" t="s">
        <v>2761</v>
      </c>
    </row>
    <row r="56" spans="1:5">
      <c r="A56" s="577"/>
      <c r="B56" s="580"/>
      <c r="C56" s="583"/>
      <c r="D56" s="594" t="s">
        <v>2732</v>
      </c>
      <c r="E56" s="319" t="s">
        <v>2750</v>
      </c>
    </row>
    <row r="57" spans="1:5">
      <c r="A57" s="577"/>
      <c r="B57" s="580"/>
      <c r="C57" s="583"/>
      <c r="D57" s="594"/>
      <c r="E57" s="319" t="s">
        <v>2751</v>
      </c>
    </row>
    <row r="58" spans="1:5" ht="15.75" customHeight="1">
      <c r="A58" s="577"/>
      <c r="B58" s="580"/>
      <c r="C58" s="583"/>
      <c r="D58" s="594"/>
      <c r="E58" s="319" t="s">
        <v>2752</v>
      </c>
    </row>
    <row r="59" spans="1:5" ht="22.15" customHeight="1">
      <c r="A59" s="577"/>
      <c r="B59" s="580"/>
      <c r="C59" s="583"/>
      <c r="D59" s="594"/>
      <c r="E59" s="319" t="s">
        <v>2753</v>
      </c>
    </row>
    <row r="60" spans="1:5">
      <c r="A60" s="577"/>
      <c r="B60" s="580"/>
      <c r="C60" s="583"/>
      <c r="D60" s="594"/>
      <c r="E60" s="319" t="s">
        <v>2754</v>
      </c>
    </row>
    <row r="61" spans="1:5" ht="27">
      <c r="A61" s="577"/>
      <c r="B61" s="580"/>
      <c r="C61" s="583"/>
      <c r="D61" s="368" t="s">
        <v>2601</v>
      </c>
      <c r="E61" s="319" t="s">
        <v>2599</v>
      </c>
    </row>
    <row r="62" spans="1:5" ht="40.5">
      <c r="A62" s="577"/>
      <c r="B62" s="580"/>
      <c r="C62" s="583"/>
      <c r="D62" s="594" t="s">
        <v>2743</v>
      </c>
      <c r="E62" s="319" t="s">
        <v>2755</v>
      </c>
    </row>
    <row r="63" spans="1:5" ht="27">
      <c r="A63" s="577"/>
      <c r="B63" s="580"/>
      <c r="C63" s="583"/>
      <c r="D63" s="594"/>
      <c r="E63" s="319" t="s">
        <v>2756</v>
      </c>
    </row>
    <row r="64" spans="1:5" ht="27">
      <c r="A64" s="577"/>
      <c r="B64" s="580"/>
      <c r="C64" s="583"/>
      <c r="D64" s="594"/>
      <c r="E64" s="319" t="s">
        <v>2757</v>
      </c>
    </row>
    <row r="65" spans="1:5" ht="40.5">
      <c r="A65" s="577"/>
      <c r="B65" s="580"/>
      <c r="C65" s="583"/>
      <c r="D65" s="594"/>
      <c r="E65" s="319" t="s">
        <v>2742</v>
      </c>
    </row>
    <row r="66" spans="1:5" ht="27" customHeight="1">
      <c r="A66" s="577"/>
      <c r="B66" s="580"/>
      <c r="C66" s="583"/>
      <c r="D66" s="594"/>
      <c r="E66" s="319" t="s">
        <v>2762</v>
      </c>
    </row>
    <row r="67" spans="1:5" ht="27" customHeight="1">
      <c r="A67" s="577"/>
      <c r="B67" s="580"/>
      <c r="C67" s="583"/>
      <c r="D67" s="594"/>
      <c r="E67" s="319" t="s">
        <v>2763</v>
      </c>
    </row>
    <row r="68" spans="1:5">
      <c r="A68" s="577"/>
      <c r="B68" s="580"/>
      <c r="C68" s="583"/>
      <c r="D68" s="594"/>
      <c r="E68" s="319" t="s">
        <v>2764</v>
      </c>
    </row>
    <row r="69" spans="1:5" ht="27" customHeight="1">
      <c r="A69" s="577"/>
      <c r="B69" s="580"/>
      <c r="C69" s="583"/>
      <c r="D69" s="594"/>
      <c r="E69" s="319" t="s">
        <v>2765</v>
      </c>
    </row>
    <row r="70" spans="1:5" ht="27.75" thickBot="1">
      <c r="A70" s="577"/>
      <c r="B70" s="580"/>
      <c r="C70" s="583"/>
      <c r="D70" s="574"/>
      <c r="E70" s="462" t="s">
        <v>2766</v>
      </c>
    </row>
    <row r="71" spans="1:5" ht="27">
      <c r="A71" s="587">
        <v>44582</v>
      </c>
      <c r="B71" s="589" t="s">
        <v>1809</v>
      </c>
      <c r="C71" s="591" t="s">
        <v>2775</v>
      </c>
      <c r="D71" s="593" t="s">
        <v>2292</v>
      </c>
      <c r="E71" s="456" t="s">
        <v>2776</v>
      </c>
    </row>
    <row r="72" spans="1:5" ht="40.5">
      <c r="A72" s="577"/>
      <c r="B72" s="580"/>
      <c r="C72" s="583"/>
      <c r="D72" s="585"/>
      <c r="E72" s="319" t="s">
        <v>2777</v>
      </c>
    </row>
    <row r="73" spans="1:5" ht="54">
      <c r="A73" s="577"/>
      <c r="B73" s="580"/>
      <c r="C73" s="583"/>
      <c r="D73" s="585"/>
      <c r="E73" s="319" t="s">
        <v>2778</v>
      </c>
    </row>
    <row r="74" spans="1:5" ht="27">
      <c r="A74" s="577"/>
      <c r="B74" s="580"/>
      <c r="C74" s="583"/>
      <c r="D74" s="585"/>
      <c r="E74" s="319" t="s">
        <v>2779</v>
      </c>
    </row>
    <row r="75" spans="1:5">
      <c r="A75" s="577"/>
      <c r="B75" s="580"/>
      <c r="C75" s="583"/>
      <c r="D75" s="585"/>
      <c r="E75" s="319" t="s">
        <v>2780</v>
      </c>
    </row>
    <row r="76" spans="1:5" ht="27">
      <c r="A76" s="577"/>
      <c r="B76" s="580"/>
      <c r="C76" s="583"/>
      <c r="D76" s="585"/>
      <c r="E76" s="319" t="s">
        <v>2781</v>
      </c>
    </row>
    <row r="77" spans="1:5" ht="27">
      <c r="A77" s="577"/>
      <c r="B77" s="580"/>
      <c r="C77" s="583"/>
      <c r="D77" s="575"/>
      <c r="E77" s="319" t="s">
        <v>2782</v>
      </c>
    </row>
    <row r="78" spans="1:5">
      <c r="A78" s="577"/>
      <c r="B78" s="580"/>
      <c r="C78" s="583"/>
      <c r="D78" s="457" t="s">
        <v>211</v>
      </c>
      <c r="E78" s="319" t="s">
        <v>2787</v>
      </c>
    </row>
    <row r="79" spans="1:5">
      <c r="A79" s="577"/>
      <c r="B79" s="580"/>
      <c r="C79" s="583"/>
      <c r="D79" s="574" t="s">
        <v>2732</v>
      </c>
      <c r="E79" s="319" t="s">
        <v>2783</v>
      </c>
    </row>
    <row r="80" spans="1:5" ht="27">
      <c r="A80" s="577"/>
      <c r="B80" s="580"/>
      <c r="C80" s="583"/>
      <c r="D80" s="575"/>
      <c r="E80" s="319" t="s">
        <v>2784</v>
      </c>
    </row>
    <row r="81" spans="1:5" ht="27">
      <c r="A81" s="577"/>
      <c r="B81" s="580"/>
      <c r="C81" s="583"/>
      <c r="D81" s="574" t="s">
        <v>2743</v>
      </c>
      <c r="E81" s="319" t="s">
        <v>2785</v>
      </c>
    </row>
    <row r="82" spans="1:5" ht="22.15" customHeight="1" thickBot="1">
      <c r="A82" s="577"/>
      <c r="B82" s="580"/>
      <c r="C82" s="583"/>
      <c r="D82" s="585"/>
      <c r="E82" s="462" t="s">
        <v>2786</v>
      </c>
    </row>
    <row r="83" spans="1:5">
      <c r="A83" s="587">
        <v>44670</v>
      </c>
      <c r="B83" s="589" t="s">
        <v>1809</v>
      </c>
      <c r="C83" s="591" t="s">
        <v>2818</v>
      </c>
      <c r="D83" s="593" t="s">
        <v>2292</v>
      </c>
      <c r="E83" s="456" t="s">
        <v>2819</v>
      </c>
    </row>
    <row r="84" spans="1:5" ht="67.5">
      <c r="A84" s="577"/>
      <c r="B84" s="580"/>
      <c r="C84" s="583"/>
      <c r="D84" s="575"/>
      <c r="E84" s="319" t="s">
        <v>2820</v>
      </c>
    </row>
    <row r="85" spans="1:5" ht="67.5">
      <c r="A85" s="577"/>
      <c r="B85" s="580"/>
      <c r="C85" s="583"/>
      <c r="D85" s="574" t="s">
        <v>2732</v>
      </c>
      <c r="E85" s="319" t="s">
        <v>2821</v>
      </c>
    </row>
    <row r="86" spans="1:5">
      <c r="A86" s="577"/>
      <c r="B86" s="580"/>
      <c r="C86" s="583"/>
      <c r="D86" s="575"/>
      <c r="E86" s="319" t="s">
        <v>2822</v>
      </c>
    </row>
    <row r="87" spans="1:5" ht="40.5">
      <c r="A87" s="577"/>
      <c r="B87" s="580"/>
      <c r="C87" s="583"/>
      <c r="D87" s="574" t="s">
        <v>2264</v>
      </c>
      <c r="E87" s="319" t="s">
        <v>2823</v>
      </c>
    </row>
    <row r="88" spans="1:5" ht="42" customHeight="1" thickBot="1">
      <c r="A88" s="577"/>
      <c r="B88" s="580"/>
      <c r="C88" s="583"/>
      <c r="D88" s="585"/>
      <c r="E88" s="463" t="s">
        <v>2824</v>
      </c>
    </row>
    <row r="89" spans="1:5" ht="27">
      <c r="A89" s="587">
        <v>44836</v>
      </c>
      <c r="B89" s="589" t="s">
        <v>1809</v>
      </c>
      <c r="C89" s="591" t="s">
        <v>2863</v>
      </c>
      <c r="D89" s="464" t="s">
        <v>2292</v>
      </c>
      <c r="E89" s="456" t="s">
        <v>2864</v>
      </c>
    </row>
    <row r="90" spans="1:5" ht="94.5">
      <c r="A90" s="577"/>
      <c r="B90" s="580"/>
      <c r="C90" s="583"/>
      <c r="D90" s="368"/>
      <c r="E90" s="319" t="s">
        <v>2865</v>
      </c>
    </row>
    <row r="91" spans="1:5" ht="67.5">
      <c r="A91" s="577"/>
      <c r="B91" s="580"/>
      <c r="C91" s="583"/>
      <c r="D91" s="368"/>
      <c r="E91" s="319" t="s">
        <v>2872</v>
      </c>
    </row>
    <row r="92" spans="1:5" ht="54">
      <c r="A92" s="577"/>
      <c r="B92" s="580"/>
      <c r="C92" s="583"/>
      <c r="D92" s="368"/>
      <c r="E92" s="319" t="s">
        <v>2873</v>
      </c>
    </row>
    <row r="93" spans="1:5" ht="81">
      <c r="A93" s="577"/>
      <c r="B93" s="580"/>
      <c r="C93" s="583"/>
      <c r="D93" s="368" t="s">
        <v>211</v>
      </c>
      <c r="E93" s="319" t="s">
        <v>2866</v>
      </c>
    </row>
    <row r="94" spans="1:5">
      <c r="A94" s="577"/>
      <c r="B94" s="580"/>
      <c r="C94" s="583"/>
      <c r="D94" s="368"/>
      <c r="E94" s="319" t="s">
        <v>2874</v>
      </c>
    </row>
    <row r="95" spans="1:5">
      <c r="A95" s="577"/>
      <c r="B95" s="580"/>
      <c r="C95" s="583"/>
      <c r="D95" s="368"/>
      <c r="E95" s="319" t="s">
        <v>2875</v>
      </c>
    </row>
    <row r="96" spans="1:5" ht="27">
      <c r="A96" s="577"/>
      <c r="B96" s="580"/>
      <c r="C96" s="583"/>
      <c r="D96" s="368"/>
      <c r="E96" s="319" t="s">
        <v>2876</v>
      </c>
    </row>
    <row r="97" spans="1:5" ht="27">
      <c r="A97" s="577"/>
      <c r="B97" s="580"/>
      <c r="C97" s="583"/>
      <c r="D97" s="368"/>
      <c r="E97" s="319" t="s">
        <v>2877</v>
      </c>
    </row>
    <row r="98" spans="1:5" ht="40.5">
      <c r="A98" s="577"/>
      <c r="B98" s="580"/>
      <c r="C98" s="583"/>
      <c r="D98" s="368"/>
      <c r="E98" s="319" t="s">
        <v>2867</v>
      </c>
    </row>
    <row r="99" spans="1:5">
      <c r="A99" s="577"/>
      <c r="B99" s="580"/>
      <c r="C99" s="583"/>
      <c r="D99" s="368"/>
      <c r="E99" s="319" t="s">
        <v>2868</v>
      </c>
    </row>
    <row r="100" spans="1:5" ht="27">
      <c r="A100" s="577"/>
      <c r="B100" s="580"/>
      <c r="C100" s="583"/>
      <c r="D100" s="368" t="s">
        <v>2732</v>
      </c>
      <c r="E100" s="319" t="s">
        <v>2878</v>
      </c>
    </row>
    <row r="101" spans="1:5" ht="27">
      <c r="A101" s="577"/>
      <c r="B101" s="580"/>
      <c r="C101" s="583"/>
      <c r="D101" s="368"/>
      <c r="E101" s="319" t="s">
        <v>2879</v>
      </c>
    </row>
    <row r="102" spans="1:5" ht="94.5">
      <c r="A102" s="577"/>
      <c r="B102" s="580"/>
      <c r="C102" s="583"/>
      <c r="D102" s="368"/>
      <c r="E102" s="319" t="s">
        <v>2880</v>
      </c>
    </row>
    <row r="103" spans="1:5" ht="40.5">
      <c r="A103" s="577"/>
      <c r="B103" s="580"/>
      <c r="C103" s="583"/>
      <c r="D103" s="368" t="s">
        <v>2264</v>
      </c>
      <c r="E103" s="319" t="s">
        <v>2881</v>
      </c>
    </row>
    <row r="104" spans="1:5" ht="40.5">
      <c r="A104" s="577"/>
      <c r="B104" s="580"/>
      <c r="C104" s="583"/>
      <c r="D104" s="368"/>
      <c r="E104" s="319" t="s">
        <v>2882</v>
      </c>
    </row>
    <row r="105" spans="1:5">
      <c r="A105" s="577"/>
      <c r="B105" s="580"/>
      <c r="C105" s="583"/>
      <c r="D105" s="368"/>
      <c r="E105" s="319" t="s">
        <v>2883</v>
      </c>
    </row>
    <row r="106" spans="1:5">
      <c r="A106" s="577"/>
      <c r="B106" s="580"/>
      <c r="C106" s="583"/>
      <c r="D106" s="368"/>
      <c r="E106" s="319" t="s">
        <v>2884</v>
      </c>
    </row>
    <row r="107" spans="1:5" ht="54">
      <c r="A107" s="577"/>
      <c r="B107" s="580"/>
      <c r="C107" s="583"/>
      <c r="D107" s="368" t="s">
        <v>2743</v>
      </c>
      <c r="E107" s="319" t="s">
        <v>2869</v>
      </c>
    </row>
    <row r="108" spans="1:5" ht="27">
      <c r="A108" s="577"/>
      <c r="B108" s="580"/>
      <c r="C108" s="583"/>
      <c r="D108" s="368"/>
      <c r="E108" s="319" t="s">
        <v>2870</v>
      </c>
    </row>
    <row r="109" spans="1:5" ht="81">
      <c r="A109" s="577"/>
      <c r="B109" s="580"/>
      <c r="C109" s="583"/>
      <c r="D109" s="368"/>
      <c r="E109" s="319" t="s">
        <v>2871</v>
      </c>
    </row>
    <row r="110" spans="1:5" ht="40.5">
      <c r="A110" s="577"/>
      <c r="B110" s="580"/>
      <c r="C110" s="583"/>
      <c r="D110" s="368"/>
      <c r="E110" s="319" t="s">
        <v>2885</v>
      </c>
    </row>
    <row r="111" spans="1:5" ht="16.5" thickBot="1">
      <c r="A111" s="577"/>
      <c r="B111" s="580"/>
      <c r="C111" s="583"/>
      <c r="D111" s="458"/>
      <c r="E111" s="462" t="s">
        <v>2886</v>
      </c>
    </row>
    <row r="112" spans="1:5" ht="27.75" thickBot="1">
      <c r="A112" s="459">
        <v>44840</v>
      </c>
      <c r="B112" s="460" t="s">
        <v>1809</v>
      </c>
      <c r="C112" s="461" t="s">
        <v>2887</v>
      </c>
      <c r="D112" s="455" t="s">
        <v>2743</v>
      </c>
      <c r="E112" s="465" t="s">
        <v>2888</v>
      </c>
    </row>
    <row r="113" spans="1:5" ht="54">
      <c r="A113" s="587">
        <v>44963</v>
      </c>
      <c r="B113" s="589" t="s">
        <v>1809</v>
      </c>
      <c r="C113" s="591" t="s">
        <v>2905</v>
      </c>
      <c r="D113" s="464" t="s">
        <v>2292</v>
      </c>
      <c r="E113" s="456" t="s">
        <v>2906</v>
      </c>
    </row>
    <row r="114" spans="1:5" ht="27">
      <c r="A114" s="577"/>
      <c r="B114" s="580"/>
      <c r="C114" s="583"/>
      <c r="D114" s="368" t="s">
        <v>211</v>
      </c>
      <c r="E114" s="319" t="s">
        <v>2907</v>
      </c>
    </row>
    <row r="115" spans="1:5" ht="54">
      <c r="A115" s="577"/>
      <c r="B115" s="580"/>
      <c r="C115" s="583"/>
      <c r="D115" s="368" t="s">
        <v>2732</v>
      </c>
      <c r="E115" s="319" t="s">
        <v>2910</v>
      </c>
    </row>
    <row r="116" spans="1:5" ht="81">
      <c r="A116" s="577"/>
      <c r="B116" s="580"/>
      <c r="C116" s="583"/>
      <c r="D116" s="368" t="s">
        <v>2743</v>
      </c>
      <c r="E116" s="319" t="s">
        <v>2908</v>
      </c>
    </row>
    <row r="117" spans="1:5" ht="81.75" thickBot="1">
      <c r="A117" s="578"/>
      <c r="B117" s="581"/>
      <c r="C117" s="584"/>
      <c r="D117" s="368" t="s">
        <v>2743</v>
      </c>
      <c r="E117" s="319" t="s">
        <v>2909</v>
      </c>
    </row>
    <row r="118" spans="1:5" ht="54">
      <c r="A118" s="587">
        <v>45020</v>
      </c>
      <c r="B118" s="589" t="s">
        <v>1809</v>
      </c>
      <c r="C118" s="591" t="s">
        <v>2922</v>
      </c>
      <c r="D118" s="593" t="s">
        <v>2292</v>
      </c>
      <c r="E118" s="456" t="s">
        <v>2923</v>
      </c>
    </row>
    <row r="119" spans="1:5">
      <c r="A119" s="577"/>
      <c r="B119" s="580"/>
      <c r="C119" s="583"/>
      <c r="D119" s="585"/>
      <c r="E119" s="319" t="s">
        <v>2924</v>
      </c>
    </row>
    <row r="120" spans="1:5" ht="27">
      <c r="A120" s="577"/>
      <c r="B120" s="580"/>
      <c r="C120" s="583"/>
      <c r="D120" s="575"/>
      <c r="E120" s="319" t="s">
        <v>2925</v>
      </c>
    </row>
    <row r="121" spans="1:5">
      <c r="A121" s="577"/>
      <c r="B121" s="580"/>
      <c r="C121" s="583"/>
      <c r="D121" s="368" t="s">
        <v>211</v>
      </c>
      <c r="E121" s="319" t="s">
        <v>2926</v>
      </c>
    </row>
    <row r="122" spans="1:5">
      <c r="A122" s="577"/>
      <c r="B122" s="580"/>
      <c r="C122" s="583"/>
      <c r="D122" s="368" t="s">
        <v>2732</v>
      </c>
      <c r="E122" s="319" t="s">
        <v>2927</v>
      </c>
    </row>
    <row r="123" spans="1:5" ht="27">
      <c r="A123" s="577"/>
      <c r="B123" s="580"/>
      <c r="C123" s="583"/>
      <c r="D123" s="574" t="s">
        <v>2743</v>
      </c>
      <c r="E123" s="319" t="s">
        <v>2928</v>
      </c>
    </row>
    <row r="124" spans="1:5" ht="54">
      <c r="A124" s="577"/>
      <c r="B124" s="580"/>
      <c r="C124" s="583"/>
      <c r="D124" s="585"/>
      <c r="E124" s="319" t="s">
        <v>2929</v>
      </c>
    </row>
    <row r="125" spans="1:5" ht="16.5" thickBot="1">
      <c r="A125" s="577"/>
      <c r="B125" s="580"/>
      <c r="C125" s="583"/>
      <c r="D125" s="585"/>
      <c r="E125" s="462" t="s">
        <v>2930</v>
      </c>
    </row>
    <row r="126" spans="1:5" ht="27">
      <c r="A126" s="587">
        <v>45055</v>
      </c>
      <c r="B126" s="589" t="s">
        <v>1809</v>
      </c>
      <c r="C126" s="591" t="s">
        <v>2933</v>
      </c>
      <c r="D126" s="464" t="s">
        <v>2292</v>
      </c>
      <c r="E126" s="456" t="s">
        <v>2934</v>
      </c>
    </row>
    <row r="127" spans="1:5" ht="16.5" thickBot="1">
      <c r="A127" s="577"/>
      <c r="B127" s="580"/>
      <c r="C127" s="583"/>
      <c r="D127" s="458" t="s">
        <v>2732</v>
      </c>
      <c r="E127" s="462" t="s">
        <v>2935</v>
      </c>
    </row>
    <row r="128" spans="1:5" ht="41.25" thickBot="1">
      <c r="A128" s="466">
        <v>45079</v>
      </c>
      <c r="B128" s="467" t="s">
        <v>1809</v>
      </c>
      <c r="C128" s="468" t="s">
        <v>2938</v>
      </c>
      <c r="D128" s="464" t="s">
        <v>2292</v>
      </c>
      <c r="E128" s="456" t="s">
        <v>2939</v>
      </c>
    </row>
    <row r="129" spans="1:5" ht="27">
      <c r="A129" s="587">
        <v>45145</v>
      </c>
      <c r="B129" s="589" t="s">
        <v>1809</v>
      </c>
      <c r="C129" s="591" t="s">
        <v>2944</v>
      </c>
      <c r="D129" s="464" t="s">
        <v>2292</v>
      </c>
      <c r="E129" s="456" t="s">
        <v>2945</v>
      </c>
    </row>
    <row r="130" spans="1:5" ht="40.5">
      <c r="A130" s="577"/>
      <c r="B130" s="580"/>
      <c r="C130" s="583"/>
      <c r="D130" s="368" t="s">
        <v>211</v>
      </c>
      <c r="E130" s="7" t="s">
        <v>2951</v>
      </c>
    </row>
    <row r="131" spans="1:5" ht="15">
      <c r="A131" s="577"/>
      <c r="B131" s="580"/>
      <c r="C131" s="583"/>
      <c r="D131" s="574" t="s">
        <v>2732</v>
      </c>
      <c r="E131" s="7" t="s">
        <v>2946</v>
      </c>
    </row>
    <row r="132" spans="1:5" ht="54">
      <c r="A132" s="577"/>
      <c r="B132" s="580"/>
      <c r="C132" s="583"/>
      <c r="D132" s="575"/>
      <c r="E132" s="7" t="s">
        <v>2947</v>
      </c>
    </row>
    <row r="133" spans="1:5" ht="15">
      <c r="A133" s="577"/>
      <c r="B133" s="580"/>
      <c r="C133" s="583"/>
      <c r="D133" s="574" t="s">
        <v>2743</v>
      </c>
      <c r="E133" s="7" t="s">
        <v>2948</v>
      </c>
    </row>
    <row r="134" spans="1:5" thickBot="1">
      <c r="A134" s="577"/>
      <c r="B134" s="580"/>
      <c r="C134" s="583"/>
      <c r="D134" s="585"/>
      <c r="E134" s="476" t="s">
        <v>2949</v>
      </c>
    </row>
    <row r="135" spans="1:5" ht="54">
      <c r="A135" s="587">
        <v>45336</v>
      </c>
      <c r="B135" s="589" t="s">
        <v>1809</v>
      </c>
      <c r="C135" s="591" t="s">
        <v>3010</v>
      </c>
      <c r="D135" s="464" t="s">
        <v>2292</v>
      </c>
      <c r="E135" s="477" t="s">
        <v>3036</v>
      </c>
    </row>
    <row r="136" spans="1:5" ht="15">
      <c r="A136" s="577"/>
      <c r="B136" s="580"/>
      <c r="C136" s="583"/>
      <c r="D136" s="368" t="s">
        <v>211</v>
      </c>
      <c r="E136" s="7" t="s">
        <v>3037</v>
      </c>
    </row>
    <row r="137" spans="1:5" ht="15">
      <c r="A137" s="577"/>
      <c r="B137" s="580"/>
      <c r="C137" s="583"/>
      <c r="D137" s="481" t="s">
        <v>2732</v>
      </c>
      <c r="E137" s="7" t="s">
        <v>3038</v>
      </c>
    </row>
    <row r="138" spans="1:5" ht="40.5">
      <c r="A138" s="577"/>
      <c r="B138" s="580"/>
      <c r="C138" s="583"/>
      <c r="D138" s="585" t="s">
        <v>2743</v>
      </c>
      <c r="E138" s="7" t="s">
        <v>3039</v>
      </c>
    </row>
    <row r="139" spans="1:5" ht="27" customHeight="1">
      <c r="A139" s="577"/>
      <c r="B139" s="580"/>
      <c r="C139" s="583"/>
      <c r="D139" s="585"/>
      <c r="E139" s="7" t="s">
        <v>3040</v>
      </c>
    </row>
    <row r="140" spans="1:5" ht="27" customHeight="1">
      <c r="A140" s="577"/>
      <c r="B140" s="580"/>
      <c r="C140" s="583"/>
      <c r="D140" s="585"/>
      <c r="E140" s="7" t="s">
        <v>3041</v>
      </c>
    </row>
    <row r="141" spans="1:5" ht="27" customHeight="1" thickBot="1">
      <c r="A141" s="588"/>
      <c r="B141" s="590"/>
      <c r="C141" s="592"/>
      <c r="D141" s="586"/>
      <c r="E141" s="480" t="s">
        <v>3042</v>
      </c>
    </row>
    <row r="142" spans="1:5" ht="15">
      <c r="A142" s="587">
        <v>45404</v>
      </c>
      <c r="B142" s="589" t="s">
        <v>1809</v>
      </c>
      <c r="C142" s="591" t="s">
        <v>3049</v>
      </c>
      <c r="D142" s="593" t="s">
        <v>211</v>
      </c>
      <c r="E142" s="477" t="s">
        <v>3050</v>
      </c>
    </row>
    <row r="143" spans="1:5" ht="15">
      <c r="A143" s="577"/>
      <c r="B143" s="580"/>
      <c r="C143" s="583"/>
      <c r="D143" s="585"/>
      <c r="E143" s="7" t="s">
        <v>3051</v>
      </c>
    </row>
    <row r="144" spans="1:5" ht="81">
      <c r="A144" s="577"/>
      <c r="B144" s="580"/>
      <c r="C144" s="583"/>
      <c r="D144" s="575"/>
      <c r="E144" s="7" t="s">
        <v>3052</v>
      </c>
    </row>
    <row r="145" spans="1:5" ht="27">
      <c r="A145" s="577"/>
      <c r="B145" s="580"/>
      <c r="C145" s="583"/>
      <c r="D145" s="574" t="s">
        <v>2732</v>
      </c>
      <c r="E145" s="7" t="s">
        <v>3053</v>
      </c>
    </row>
    <row r="146" spans="1:5" ht="27">
      <c r="A146" s="577"/>
      <c r="B146" s="580"/>
      <c r="C146" s="583"/>
      <c r="D146" s="585"/>
      <c r="E146" s="7" t="s">
        <v>3054</v>
      </c>
    </row>
    <row r="147" spans="1:5" ht="15">
      <c r="A147" s="577"/>
      <c r="B147" s="580"/>
      <c r="C147" s="583"/>
      <c r="D147" s="575"/>
      <c r="E147" s="7" t="s">
        <v>3055</v>
      </c>
    </row>
    <row r="148" spans="1:5" ht="27">
      <c r="A148" s="577"/>
      <c r="B148" s="580"/>
      <c r="C148" s="583"/>
      <c r="D148" s="574" t="s">
        <v>2743</v>
      </c>
      <c r="E148" s="7" t="s">
        <v>3056</v>
      </c>
    </row>
    <row r="149" spans="1:5" ht="40.5">
      <c r="A149" s="578"/>
      <c r="B149" s="581"/>
      <c r="C149" s="584"/>
      <c r="D149" s="575"/>
      <c r="E149" s="7" t="s">
        <v>3057</v>
      </c>
    </row>
    <row r="150" spans="1:5" ht="27">
      <c r="A150" s="576">
        <v>45582</v>
      </c>
      <c r="B150" s="579" t="s">
        <v>1809</v>
      </c>
      <c r="C150" s="582" t="s">
        <v>3059</v>
      </c>
      <c r="D150" s="368" t="s">
        <v>2292</v>
      </c>
      <c r="E150" s="318" t="s">
        <v>3060</v>
      </c>
    </row>
    <row r="151" spans="1:5" ht="54">
      <c r="A151" s="577"/>
      <c r="B151" s="580"/>
      <c r="C151" s="583"/>
      <c r="D151" s="574" t="s">
        <v>2732</v>
      </c>
      <c r="E151" s="318" t="s">
        <v>3061</v>
      </c>
    </row>
    <row r="152" spans="1:5" ht="15">
      <c r="A152" s="577"/>
      <c r="B152" s="580"/>
      <c r="C152" s="583"/>
      <c r="D152" s="575"/>
      <c r="E152" s="318" t="s">
        <v>3062</v>
      </c>
    </row>
    <row r="153" spans="1:5" ht="27">
      <c r="A153" s="578"/>
      <c r="B153" s="581"/>
      <c r="C153" s="584"/>
      <c r="D153" s="368" t="s">
        <v>2743</v>
      </c>
      <c r="E153" s="318" t="s">
        <v>3063</v>
      </c>
    </row>
    <row r="154" spans="1:5" ht="351">
      <c r="A154" s="4">
        <v>45723</v>
      </c>
      <c r="B154" s="5" t="s">
        <v>3065</v>
      </c>
      <c r="C154" s="6" t="s">
        <v>3111</v>
      </c>
      <c r="D154" s="6" t="s">
        <v>2292</v>
      </c>
      <c r="E154" s="7" t="s">
        <v>3146</v>
      </c>
    </row>
    <row r="155" spans="1:5">
      <c r="A155" s="4"/>
      <c r="B155" s="5"/>
      <c r="C155" s="6"/>
      <c r="D155" s="6"/>
      <c r="E155" s="7"/>
    </row>
    <row r="156" spans="1:5">
      <c r="A156" s="4"/>
      <c r="B156" s="5"/>
      <c r="C156" s="6"/>
      <c r="D156" s="6"/>
      <c r="E156" s="7"/>
    </row>
    <row r="157" spans="1:5">
      <c r="A157" s="4"/>
      <c r="B157" s="5"/>
      <c r="C157" s="6"/>
      <c r="D157" s="6"/>
      <c r="E157" s="7"/>
    </row>
    <row r="158" spans="1:5">
      <c r="A158" s="4"/>
      <c r="B158" s="5"/>
      <c r="C158" s="6"/>
      <c r="D158" s="6"/>
      <c r="E158" s="7"/>
    </row>
    <row r="159" spans="1:5">
      <c r="A159" s="4"/>
      <c r="B159" s="5"/>
      <c r="C159" s="6"/>
      <c r="D159" s="6"/>
      <c r="E159" s="7"/>
    </row>
    <row r="160" spans="1:5">
      <c r="A160" s="4"/>
      <c r="B160" s="5"/>
      <c r="C160" s="6"/>
      <c r="D160" s="6"/>
      <c r="E160" s="7"/>
    </row>
    <row r="161" spans="1:5">
      <c r="A161" s="4"/>
      <c r="B161" s="5"/>
      <c r="C161" s="6"/>
      <c r="D161" s="6"/>
      <c r="E161" s="7"/>
    </row>
    <row r="162" spans="1:5">
      <c r="A162" s="4"/>
      <c r="B162" s="5"/>
      <c r="C162" s="6"/>
      <c r="D162" s="6"/>
      <c r="E162" s="7"/>
    </row>
    <row r="163" spans="1:5">
      <c r="A163" s="4"/>
      <c r="B163" s="5"/>
      <c r="C163" s="6"/>
      <c r="D163" s="6"/>
      <c r="E163" s="7"/>
    </row>
    <row r="164" spans="1:5">
      <c r="A164" s="4"/>
      <c r="B164" s="5"/>
      <c r="C164" s="6"/>
      <c r="D164" s="6"/>
      <c r="E164" s="7"/>
    </row>
    <row r="165" spans="1:5">
      <c r="A165" s="4"/>
      <c r="B165" s="5"/>
      <c r="C165" s="6"/>
      <c r="D165" s="6"/>
      <c r="E165" s="7"/>
    </row>
    <row r="166" spans="1:5">
      <c r="A166" s="4"/>
      <c r="B166" s="5"/>
      <c r="C166" s="6"/>
      <c r="D166" s="6"/>
      <c r="E166" s="7"/>
    </row>
    <row r="167" spans="1:5">
      <c r="A167" s="4"/>
      <c r="B167" s="5"/>
      <c r="C167" s="6"/>
      <c r="D167" s="6"/>
      <c r="E167" s="7"/>
    </row>
    <row r="168" spans="1:5">
      <c r="A168" s="4"/>
      <c r="B168" s="5"/>
      <c r="C168" s="6"/>
      <c r="D168" s="6"/>
      <c r="E168" s="7"/>
    </row>
    <row r="169" spans="1:5">
      <c r="A169" s="4"/>
      <c r="B169" s="5"/>
      <c r="C169" s="6"/>
      <c r="D169" s="6"/>
      <c r="E169" s="7"/>
    </row>
    <row r="170" spans="1:5">
      <c r="A170" s="4"/>
      <c r="B170" s="5"/>
      <c r="C170" s="6"/>
      <c r="D170" s="6"/>
      <c r="E170" s="7"/>
    </row>
    <row r="171" spans="1:5">
      <c r="A171" s="4"/>
      <c r="B171" s="5"/>
      <c r="C171" s="6"/>
      <c r="D171" s="6"/>
      <c r="E171" s="7"/>
    </row>
    <row r="172" spans="1:5">
      <c r="A172" s="4"/>
      <c r="B172" s="5"/>
      <c r="C172" s="6"/>
      <c r="D172" s="6"/>
      <c r="E172" s="7"/>
    </row>
    <row r="173" spans="1:5">
      <c r="A173" s="4"/>
      <c r="B173" s="5"/>
      <c r="C173" s="6"/>
      <c r="D173" s="6"/>
      <c r="E173" s="7"/>
    </row>
    <row r="174" spans="1:5">
      <c r="A174" s="4"/>
      <c r="B174" s="5"/>
      <c r="C174" s="6"/>
      <c r="D174" s="6"/>
      <c r="E174" s="7"/>
    </row>
    <row r="175" spans="1:5">
      <c r="A175" s="4"/>
      <c r="B175" s="5"/>
      <c r="C175" s="6"/>
      <c r="D175" s="6"/>
      <c r="E175" s="7"/>
    </row>
    <row r="176" spans="1:5">
      <c r="A176" s="4"/>
      <c r="B176" s="5"/>
      <c r="C176" s="6"/>
      <c r="D176" s="6"/>
      <c r="E176" s="7"/>
    </row>
    <row r="177" spans="1:5">
      <c r="A177" s="4"/>
      <c r="B177" s="5"/>
      <c r="C177" s="6"/>
      <c r="D177" s="6"/>
      <c r="E177" s="7"/>
    </row>
    <row r="178" spans="1:5">
      <c r="A178" s="4"/>
      <c r="B178" s="5"/>
      <c r="C178" s="6"/>
      <c r="D178" s="6"/>
      <c r="E178" s="7"/>
    </row>
    <row r="179" spans="1:5">
      <c r="A179" s="4"/>
      <c r="B179" s="5"/>
      <c r="C179" s="6"/>
      <c r="D179" s="6"/>
      <c r="E179" s="7"/>
    </row>
    <row r="180" spans="1:5">
      <c r="A180" s="4"/>
      <c r="B180" s="5"/>
      <c r="C180" s="6"/>
      <c r="D180" s="6"/>
      <c r="E180" s="7"/>
    </row>
    <row r="181" spans="1:5">
      <c r="A181" s="4"/>
      <c r="B181" s="5"/>
      <c r="C181" s="6"/>
      <c r="D181" s="6"/>
      <c r="E181" s="7"/>
    </row>
    <row r="182" spans="1:5">
      <c r="A182" s="4"/>
      <c r="B182" s="5"/>
      <c r="C182" s="6"/>
      <c r="D182" s="6"/>
      <c r="E182" s="7"/>
    </row>
    <row r="183" spans="1:5">
      <c r="A183" s="4"/>
      <c r="B183" s="5"/>
      <c r="C183" s="6"/>
      <c r="D183" s="6"/>
      <c r="E183" s="7"/>
    </row>
    <row r="184" spans="1:5">
      <c r="A184" s="4"/>
      <c r="B184" s="5"/>
      <c r="C184" s="6"/>
      <c r="D184" s="6"/>
      <c r="E184" s="7"/>
    </row>
    <row r="185" spans="1:5">
      <c r="A185" s="4"/>
      <c r="B185" s="5"/>
      <c r="C185" s="6"/>
      <c r="D185" s="6"/>
      <c r="E185" s="7"/>
    </row>
    <row r="186" spans="1:5">
      <c r="A186" s="4"/>
      <c r="B186" s="5"/>
      <c r="C186" s="6"/>
      <c r="D186" s="6"/>
      <c r="E186" s="7"/>
    </row>
    <row r="187" spans="1:5">
      <c r="A187" s="4"/>
      <c r="B187" s="5"/>
      <c r="C187" s="6"/>
      <c r="D187" s="6"/>
      <c r="E187" s="7"/>
    </row>
    <row r="188" spans="1:5">
      <c r="A188" s="4"/>
      <c r="B188" s="5"/>
      <c r="C188" s="6"/>
      <c r="D188" s="6"/>
      <c r="E188" s="7"/>
    </row>
    <row r="189" spans="1:5">
      <c r="A189" s="4"/>
      <c r="B189" s="5"/>
      <c r="C189" s="6"/>
      <c r="D189" s="6"/>
      <c r="E189" s="7"/>
    </row>
    <row r="190" spans="1:5">
      <c r="A190" s="4"/>
      <c r="B190" s="5"/>
      <c r="C190" s="6"/>
      <c r="D190" s="6"/>
      <c r="E190" s="7"/>
    </row>
    <row r="191" spans="1:5">
      <c r="A191" s="4"/>
      <c r="B191" s="5"/>
      <c r="C191" s="6"/>
      <c r="D191" s="6"/>
      <c r="E191" s="7"/>
    </row>
    <row r="192" spans="1:5">
      <c r="A192" s="4"/>
      <c r="B192" s="5"/>
      <c r="C192" s="6"/>
      <c r="D192" s="6"/>
      <c r="E192" s="7"/>
    </row>
    <row r="193" spans="1:5">
      <c r="A193" s="4"/>
      <c r="B193" s="5"/>
      <c r="C193" s="6"/>
      <c r="D193" s="6"/>
      <c r="E193" s="7"/>
    </row>
    <row r="194" spans="1:5">
      <c r="A194" s="4"/>
      <c r="B194" s="5"/>
      <c r="C194" s="6"/>
      <c r="D194" s="6"/>
      <c r="E194" s="7"/>
    </row>
    <row r="195" spans="1:5">
      <c r="A195" s="4"/>
      <c r="B195" s="5"/>
      <c r="C195" s="6"/>
      <c r="D195" s="6"/>
      <c r="E195" s="7"/>
    </row>
    <row r="196" spans="1:5">
      <c r="A196" s="4"/>
      <c r="B196" s="5"/>
      <c r="C196" s="6"/>
      <c r="D196" s="6"/>
      <c r="E196" s="7"/>
    </row>
    <row r="197" spans="1:5">
      <c r="A197" s="4"/>
      <c r="B197" s="5"/>
      <c r="C197" s="6"/>
      <c r="D197" s="6"/>
      <c r="E197" s="7"/>
    </row>
    <row r="198" spans="1:5">
      <c r="A198" s="4"/>
      <c r="B198" s="5"/>
      <c r="C198" s="6"/>
      <c r="D198" s="6"/>
      <c r="E198" s="7"/>
    </row>
    <row r="199" spans="1:5">
      <c r="A199" s="4"/>
      <c r="B199" s="5"/>
      <c r="C199" s="6"/>
      <c r="D199" s="6"/>
      <c r="E199" s="7"/>
    </row>
    <row r="200" spans="1:5">
      <c r="A200" s="4"/>
      <c r="B200" s="5"/>
      <c r="C200" s="6"/>
      <c r="D200" s="6"/>
      <c r="E200" s="7"/>
    </row>
    <row r="201" spans="1:5">
      <c r="A201" s="4"/>
      <c r="B201" s="5"/>
      <c r="C201" s="6"/>
      <c r="D201" s="6"/>
      <c r="E201" s="7"/>
    </row>
    <row r="202" spans="1:5">
      <c r="A202" s="4"/>
      <c r="B202" s="5"/>
      <c r="C202" s="6"/>
      <c r="D202" s="6"/>
      <c r="E202" s="7"/>
    </row>
    <row r="203" spans="1:5">
      <c r="A203" s="4"/>
      <c r="B203" s="5"/>
      <c r="C203" s="6"/>
      <c r="D203" s="6"/>
      <c r="E203" s="7"/>
    </row>
    <row r="204" spans="1:5">
      <c r="A204" s="4"/>
      <c r="B204" s="5"/>
      <c r="C204" s="6"/>
      <c r="D204" s="6"/>
      <c r="E204" s="7"/>
    </row>
    <row r="205" spans="1:5">
      <c r="A205" s="4"/>
      <c r="B205" s="5"/>
      <c r="C205" s="6"/>
      <c r="D205" s="6"/>
      <c r="E205" s="7"/>
    </row>
    <row r="206" spans="1:5">
      <c r="A206" s="4"/>
      <c r="B206" s="5"/>
      <c r="C206" s="6"/>
      <c r="D206" s="6"/>
      <c r="E206" s="7"/>
    </row>
    <row r="207" spans="1:5">
      <c r="A207" s="4"/>
      <c r="B207" s="5"/>
      <c r="C207" s="6"/>
      <c r="D207" s="6"/>
      <c r="E207" s="7"/>
    </row>
    <row r="208" spans="1:5">
      <c r="A208" s="4"/>
      <c r="B208" s="5"/>
      <c r="C208" s="6"/>
      <c r="D208" s="6"/>
      <c r="E208" s="7"/>
    </row>
    <row r="209" spans="1:5">
      <c r="A209" s="4"/>
      <c r="B209" s="5"/>
      <c r="C209" s="6"/>
      <c r="D209" s="6"/>
      <c r="E209" s="7"/>
    </row>
    <row r="210" spans="1:5">
      <c r="A210" s="4"/>
      <c r="B210" s="5"/>
      <c r="C210" s="6"/>
      <c r="D210" s="6"/>
      <c r="E210" s="7"/>
    </row>
    <row r="211" spans="1:5">
      <c r="A211" s="4"/>
      <c r="B211" s="5"/>
      <c r="C211" s="6"/>
      <c r="D211" s="6"/>
      <c r="E211" s="7"/>
    </row>
    <row r="212" spans="1:5">
      <c r="A212" s="4"/>
      <c r="B212" s="5"/>
      <c r="C212" s="6"/>
      <c r="D212" s="6"/>
      <c r="E212" s="7"/>
    </row>
    <row r="213" spans="1:5">
      <c r="A213" s="4"/>
      <c r="B213" s="5"/>
      <c r="C213" s="6"/>
      <c r="D213" s="6"/>
      <c r="E213" s="7"/>
    </row>
    <row r="214" spans="1:5">
      <c r="A214" s="4"/>
      <c r="B214" s="5"/>
      <c r="C214" s="6"/>
      <c r="D214" s="6"/>
      <c r="E214" s="7"/>
    </row>
    <row r="215" spans="1:5">
      <c r="A215" s="4"/>
      <c r="B215" s="5"/>
      <c r="C215" s="6"/>
      <c r="D215" s="6"/>
      <c r="E215" s="7"/>
    </row>
    <row r="216" spans="1:5">
      <c r="A216" s="4"/>
      <c r="B216" s="5"/>
      <c r="C216" s="6"/>
      <c r="D216" s="6"/>
      <c r="E216" s="7"/>
    </row>
    <row r="217" spans="1:5">
      <c r="A217" s="4"/>
      <c r="B217" s="5"/>
      <c r="C217" s="6"/>
      <c r="D217" s="6"/>
      <c r="E217" s="7"/>
    </row>
    <row r="218" spans="1:5">
      <c r="A218" s="4"/>
      <c r="B218" s="5"/>
      <c r="C218" s="6"/>
      <c r="D218" s="6"/>
      <c r="E218" s="7"/>
    </row>
    <row r="219" spans="1:5">
      <c r="A219" s="4"/>
      <c r="B219" s="5"/>
      <c r="C219" s="6"/>
      <c r="D219" s="6"/>
      <c r="E219" s="7"/>
    </row>
    <row r="220" spans="1:5">
      <c r="A220" s="4"/>
      <c r="B220" s="5"/>
      <c r="C220" s="6"/>
      <c r="D220" s="6"/>
      <c r="E220" s="7"/>
    </row>
    <row r="221" spans="1:5">
      <c r="A221" s="4"/>
      <c r="B221" s="5"/>
      <c r="C221" s="6"/>
      <c r="D221" s="6"/>
      <c r="E221" s="7"/>
    </row>
    <row r="222" spans="1:5">
      <c r="A222" s="4"/>
      <c r="B222" s="5"/>
      <c r="C222" s="6"/>
      <c r="D222" s="6"/>
      <c r="E222" s="7"/>
    </row>
    <row r="223" spans="1:5">
      <c r="A223" s="4"/>
      <c r="B223" s="5"/>
      <c r="C223" s="6"/>
      <c r="D223" s="6"/>
      <c r="E223" s="7"/>
    </row>
    <row r="224" spans="1:5">
      <c r="A224" s="4"/>
      <c r="B224" s="5"/>
      <c r="C224" s="6"/>
      <c r="D224" s="6"/>
      <c r="E224" s="7"/>
    </row>
    <row r="225" spans="1:5">
      <c r="A225" s="4"/>
      <c r="B225" s="5"/>
      <c r="C225" s="6"/>
      <c r="D225" s="6"/>
      <c r="E225" s="7"/>
    </row>
    <row r="226" spans="1:5">
      <c r="A226" s="4"/>
      <c r="B226" s="5"/>
      <c r="C226" s="6"/>
      <c r="D226" s="6"/>
      <c r="E226" s="7"/>
    </row>
    <row r="227" spans="1:5">
      <c r="A227" s="4"/>
      <c r="B227" s="5"/>
      <c r="C227" s="6"/>
      <c r="D227" s="6"/>
      <c r="E227" s="7"/>
    </row>
    <row r="228" spans="1:5">
      <c r="A228" s="4"/>
      <c r="B228" s="5"/>
      <c r="C228" s="6"/>
      <c r="D228" s="6"/>
      <c r="E228" s="7"/>
    </row>
    <row r="229" spans="1:5">
      <c r="A229" s="4"/>
      <c r="B229" s="5"/>
      <c r="C229" s="6"/>
      <c r="D229" s="6"/>
      <c r="E229" s="7"/>
    </row>
    <row r="230" spans="1:5">
      <c r="A230" s="4"/>
      <c r="B230" s="5"/>
      <c r="C230" s="6"/>
      <c r="D230" s="6"/>
      <c r="E230" s="7"/>
    </row>
    <row r="231" spans="1:5">
      <c r="A231" s="4"/>
      <c r="B231" s="5"/>
      <c r="C231" s="6"/>
      <c r="D231" s="6"/>
      <c r="E231" s="7"/>
    </row>
    <row r="232" spans="1:5">
      <c r="A232" s="4"/>
      <c r="B232" s="5"/>
      <c r="C232" s="6"/>
      <c r="D232" s="6"/>
      <c r="E232" s="7"/>
    </row>
    <row r="233" spans="1:5">
      <c r="A233" s="4"/>
      <c r="B233" s="5"/>
      <c r="C233" s="6"/>
      <c r="D233" s="6"/>
      <c r="E233" s="7"/>
    </row>
    <row r="234" spans="1:5">
      <c r="A234" s="4"/>
      <c r="B234" s="5"/>
      <c r="C234" s="6"/>
      <c r="D234" s="6"/>
      <c r="E234" s="7"/>
    </row>
    <row r="235" spans="1:5">
      <c r="A235" s="4"/>
      <c r="B235" s="5"/>
      <c r="C235" s="6"/>
      <c r="D235" s="6"/>
      <c r="E235" s="7"/>
    </row>
    <row r="236" spans="1:5">
      <c r="A236" s="4"/>
      <c r="B236" s="5"/>
      <c r="C236" s="6"/>
      <c r="D236" s="6"/>
      <c r="E236" s="7"/>
    </row>
    <row r="237" spans="1:5">
      <c r="A237" s="4"/>
      <c r="B237" s="5"/>
      <c r="C237" s="6"/>
      <c r="D237" s="6"/>
      <c r="E237" s="7"/>
    </row>
    <row r="238" spans="1:5">
      <c r="A238" s="4"/>
      <c r="B238" s="5"/>
      <c r="C238" s="6"/>
      <c r="D238" s="6"/>
      <c r="E238" s="7"/>
    </row>
    <row r="239" spans="1:5">
      <c r="A239" s="4"/>
      <c r="B239" s="5"/>
      <c r="C239" s="6"/>
      <c r="D239" s="6"/>
      <c r="E239" s="7"/>
    </row>
    <row r="240" spans="1:5">
      <c r="A240" s="4"/>
      <c r="B240" s="5"/>
      <c r="C240" s="6"/>
      <c r="D240" s="6"/>
      <c r="E240" s="7"/>
    </row>
    <row r="241" spans="1:5">
      <c r="A241" s="4"/>
      <c r="B241" s="5"/>
      <c r="C241" s="6"/>
      <c r="D241" s="6"/>
      <c r="E241" s="7"/>
    </row>
    <row r="242" spans="1:5">
      <c r="A242" s="4"/>
      <c r="B242" s="5"/>
      <c r="C242" s="6"/>
      <c r="D242" s="6"/>
      <c r="E242" s="7"/>
    </row>
    <row r="243" spans="1:5">
      <c r="A243" s="4"/>
      <c r="B243" s="5"/>
      <c r="C243" s="6"/>
      <c r="D243" s="6"/>
      <c r="E243" s="7"/>
    </row>
    <row r="244" spans="1:5">
      <c r="A244" s="4"/>
      <c r="B244" s="5"/>
      <c r="C244" s="6"/>
      <c r="D244" s="6"/>
      <c r="E244" s="7"/>
    </row>
    <row r="245" spans="1:5">
      <c r="A245" s="4"/>
      <c r="B245" s="5"/>
      <c r="C245" s="6"/>
      <c r="D245" s="6"/>
      <c r="E245" s="7"/>
    </row>
    <row r="246" spans="1:5">
      <c r="A246" s="4"/>
      <c r="B246" s="5"/>
      <c r="C246" s="6"/>
      <c r="D246" s="6"/>
      <c r="E246" s="7"/>
    </row>
    <row r="247" spans="1:5">
      <c r="A247" s="4"/>
      <c r="B247" s="5"/>
      <c r="C247" s="6"/>
      <c r="D247" s="6"/>
      <c r="E247" s="7"/>
    </row>
    <row r="248" spans="1:5">
      <c r="A248" s="4"/>
      <c r="B248" s="5"/>
      <c r="C248" s="6"/>
      <c r="D248" s="6"/>
      <c r="E248" s="7"/>
    </row>
    <row r="249" spans="1:5">
      <c r="A249" s="4"/>
      <c r="B249" s="5"/>
      <c r="C249" s="6"/>
      <c r="D249" s="6"/>
      <c r="E249" s="7"/>
    </row>
    <row r="250" spans="1:5">
      <c r="A250" s="4"/>
      <c r="B250" s="5"/>
      <c r="C250" s="6"/>
      <c r="D250" s="6"/>
      <c r="E250" s="7"/>
    </row>
    <row r="251" spans="1:5">
      <c r="A251" s="4"/>
      <c r="B251" s="5"/>
      <c r="C251" s="6"/>
      <c r="D251" s="6"/>
      <c r="E251" s="7"/>
    </row>
    <row r="252" spans="1:5">
      <c r="A252" s="4"/>
      <c r="B252" s="5"/>
      <c r="C252" s="6"/>
      <c r="D252" s="6"/>
      <c r="E252" s="7"/>
    </row>
    <row r="253" spans="1:5">
      <c r="A253" s="4"/>
      <c r="B253" s="5"/>
      <c r="C253" s="6"/>
      <c r="D253" s="6"/>
      <c r="E253" s="7"/>
    </row>
    <row r="254" spans="1:5">
      <c r="A254" s="4"/>
      <c r="B254" s="5"/>
      <c r="C254" s="6"/>
      <c r="D254" s="6"/>
      <c r="E254" s="7"/>
    </row>
    <row r="255" spans="1:5">
      <c r="A255" s="4"/>
      <c r="B255" s="5"/>
      <c r="C255" s="6"/>
      <c r="D255" s="6"/>
      <c r="E255" s="7"/>
    </row>
    <row r="256" spans="1:5">
      <c r="A256" s="4"/>
      <c r="B256" s="5"/>
      <c r="C256" s="6"/>
      <c r="D256" s="6"/>
      <c r="E256" s="7"/>
    </row>
    <row r="257" spans="1:5">
      <c r="A257" s="4"/>
      <c r="B257" s="5"/>
      <c r="C257" s="6"/>
      <c r="D257" s="6"/>
      <c r="E257" s="7"/>
    </row>
    <row r="258" spans="1:5">
      <c r="A258" s="4"/>
      <c r="B258" s="5"/>
      <c r="C258" s="6"/>
      <c r="D258" s="6"/>
      <c r="E258" s="7"/>
    </row>
    <row r="259" spans="1:5">
      <c r="A259" s="4"/>
      <c r="B259" s="5"/>
      <c r="C259" s="6"/>
      <c r="D259" s="6"/>
      <c r="E259" s="7"/>
    </row>
    <row r="260" spans="1:5">
      <c r="A260" s="4"/>
      <c r="B260" s="5"/>
      <c r="C260" s="6"/>
      <c r="D260" s="6"/>
      <c r="E260" s="7"/>
    </row>
    <row r="261" spans="1:5">
      <c r="A261" s="4"/>
      <c r="B261" s="5"/>
      <c r="C261" s="6"/>
      <c r="D261" s="6"/>
      <c r="E261" s="7"/>
    </row>
    <row r="262" spans="1:5">
      <c r="A262" s="4"/>
      <c r="B262" s="5"/>
      <c r="C262" s="6"/>
      <c r="D262" s="6"/>
      <c r="E262" s="7"/>
    </row>
    <row r="263" spans="1:5">
      <c r="A263" s="4"/>
      <c r="B263" s="5"/>
      <c r="C263" s="6"/>
      <c r="D263" s="6"/>
      <c r="E263" s="7"/>
    </row>
    <row r="264" spans="1:5">
      <c r="A264" s="4"/>
      <c r="B264" s="5"/>
      <c r="C264" s="6"/>
      <c r="D264" s="6"/>
      <c r="E264" s="7"/>
    </row>
    <row r="265" spans="1:5">
      <c r="A265" s="4"/>
      <c r="B265" s="5"/>
      <c r="C265" s="6"/>
      <c r="D265" s="6"/>
      <c r="E265" s="7"/>
    </row>
    <row r="266" spans="1:5">
      <c r="A266" s="4"/>
      <c r="B266" s="5"/>
      <c r="C266" s="6"/>
      <c r="D266" s="6"/>
      <c r="E266" s="7"/>
    </row>
    <row r="267" spans="1:5">
      <c r="A267" s="4"/>
      <c r="B267" s="5"/>
      <c r="C267" s="6"/>
      <c r="D267" s="6"/>
      <c r="E267" s="7"/>
    </row>
    <row r="268" spans="1:5">
      <c r="A268" s="4"/>
      <c r="B268" s="5"/>
      <c r="C268" s="6"/>
      <c r="D268" s="6"/>
      <c r="E268" s="7"/>
    </row>
    <row r="269" spans="1:5">
      <c r="A269" s="4"/>
      <c r="B269" s="5"/>
      <c r="C269" s="6"/>
      <c r="D269" s="6"/>
      <c r="E269" s="7"/>
    </row>
    <row r="270" spans="1:5">
      <c r="A270" s="4"/>
      <c r="B270" s="5"/>
      <c r="C270" s="6"/>
      <c r="D270" s="6"/>
      <c r="E270" s="7"/>
    </row>
    <row r="271" spans="1:5">
      <c r="A271" s="4"/>
      <c r="B271" s="5"/>
      <c r="C271" s="6"/>
      <c r="D271" s="6"/>
      <c r="E271" s="7"/>
    </row>
    <row r="272" spans="1:5">
      <c r="A272" s="4"/>
      <c r="B272" s="5"/>
      <c r="C272" s="6"/>
      <c r="D272" s="6"/>
      <c r="E272" s="7"/>
    </row>
    <row r="273" spans="1:5">
      <c r="A273" s="4"/>
      <c r="B273" s="5"/>
      <c r="C273" s="6"/>
      <c r="D273" s="6"/>
      <c r="E273" s="7"/>
    </row>
    <row r="274" spans="1:5">
      <c r="A274" s="4"/>
      <c r="B274" s="5"/>
      <c r="C274" s="6"/>
      <c r="D274" s="6"/>
      <c r="E274" s="7"/>
    </row>
    <row r="275" spans="1:5">
      <c r="A275" s="4"/>
      <c r="B275" s="5"/>
      <c r="C275" s="6"/>
      <c r="D275" s="6"/>
      <c r="E275" s="7"/>
    </row>
    <row r="276" spans="1:5">
      <c r="A276" s="4"/>
      <c r="B276" s="5"/>
      <c r="C276" s="6"/>
      <c r="D276" s="6"/>
      <c r="E276" s="7"/>
    </row>
    <row r="277" spans="1:5">
      <c r="A277" s="4"/>
      <c r="B277" s="5"/>
      <c r="C277" s="6"/>
      <c r="D277" s="6"/>
      <c r="E277" s="7"/>
    </row>
    <row r="278" spans="1:5">
      <c r="A278" s="4"/>
      <c r="B278" s="5"/>
      <c r="C278" s="6"/>
      <c r="D278" s="6"/>
      <c r="E278" s="7"/>
    </row>
  </sheetData>
  <sheetProtection algorithmName="SHA-512" hashValue="byISrBOPGBKbHCRHZ6mFg+e8weiQhFkl4f8XPmpnkxzrz0cREEazili2QE3XcZQXRmgX9y7fq8SHiffYgJABow==" saltValue="pKERSW+VtTQlXZMyTU9YBQ==" spinCount="100000" sheet="1" objects="1" scenarios="1"/>
  <mergeCells count="53">
    <mergeCell ref="B89:B111"/>
    <mergeCell ref="C89:C111"/>
    <mergeCell ref="A1:E3"/>
    <mergeCell ref="D40:D52"/>
    <mergeCell ref="D53:D55"/>
    <mergeCell ref="D56:D60"/>
    <mergeCell ref="A71:A82"/>
    <mergeCell ref="B71:B82"/>
    <mergeCell ref="C71:C82"/>
    <mergeCell ref="D71:D77"/>
    <mergeCell ref="D79:D80"/>
    <mergeCell ref="D81:D82"/>
    <mergeCell ref="D118:D120"/>
    <mergeCell ref="D123:D125"/>
    <mergeCell ref="D62:D70"/>
    <mergeCell ref="A40:A70"/>
    <mergeCell ref="B40:B70"/>
    <mergeCell ref="C40:C70"/>
    <mergeCell ref="D83:D84"/>
    <mergeCell ref="D85:D86"/>
    <mergeCell ref="D87:D88"/>
    <mergeCell ref="C83:C88"/>
    <mergeCell ref="A83:A88"/>
    <mergeCell ref="B83:B88"/>
    <mergeCell ref="A113:A117"/>
    <mergeCell ref="B113:B117"/>
    <mergeCell ref="C113:C117"/>
    <mergeCell ref="A89:A111"/>
    <mergeCell ref="A126:A127"/>
    <mergeCell ref="B126:B127"/>
    <mergeCell ref="C126:C127"/>
    <mergeCell ref="A118:A125"/>
    <mergeCell ref="B118:B125"/>
    <mergeCell ref="C118:C125"/>
    <mergeCell ref="A129:A134"/>
    <mergeCell ref="B129:B134"/>
    <mergeCell ref="C129:C134"/>
    <mergeCell ref="D131:D132"/>
    <mergeCell ref="D133:D134"/>
    <mergeCell ref="D151:D152"/>
    <mergeCell ref="A150:A153"/>
    <mergeCell ref="B150:B153"/>
    <mergeCell ref="C150:C153"/>
    <mergeCell ref="D138:D141"/>
    <mergeCell ref="A135:A141"/>
    <mergeCell ref="B135:B141"/>
    <mergeCell ref="C135:C141"/>
    <mergeCell ref="D142:D144"/>
    <mergeCell ref="D145:D147"/>
    <mergeCell ref="D148:D149"/>
    <mergeCell ref="C142:C149"/>
    <mergeCell ref="B142:B149"/>
    <mergeCell ref="A142:A149"/>
  </mergeCells>
  <pageMargins left="0" right="0" top="0" bottom="0"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8" tint="0.59999389629810485"/>
    <pageSetUpPr fitToPage="1"/>
  </sheetPr>
  <dimension ref="A1:AW202"/>
  <sheetViews>
    <sheetView showGridLines="0" showRowColHeaders="0" tabSelected="1" zoomScale="85" zoomScaleNormal="85" workbookViewId="0">
      <selection activeCell="J8" sqref="J8"/>
    </sheetView>
  </sheetViews>
  <sheetFormatPr defaultColWidth="0" defaultRowHeight="0" customHeight="1" zeroHeight="1"/>
  <cols>
    <col min="1" max="49" width="4.7109375" customWidth="1"/>
    <col min="50" max="16384" width="4.7109375" hidden="1"/>
  </cols>
  <sheetData>
    <row r="1" spans="2:49" ht="15.95" customHeight="1">
      <c r="B1" s="80"/>
      <c r="C1" s="80"/>
      <c r="D1" s="80"/>
      <c r="E1" s="80"/>
      <c r="F1" s="610" t="str">
        <f>M1S1</f>
        <v>Welcome</v>
      </c>
      <c r="G1" s="610"/>
      <c r="H1" s="610"/>
      <c r="I1" s="610"/>
      <c r="J1" s="613" t="str">
        <f>M1S2</f>
        <v>Instructions</v>
      </c>
      <c r="K1" s="614"/>
      <c r="L1" s="614"/>
      <c r="M1" s="614"/>
      <c r="Q1" s="618" t="str" cm="1">
        <f t="array" aca="1" ref="Q1" ca="1" xml:space="preserve"> IF(OR(ACTIVEOFFER="Yes",ACTIVECOMPL="Yes"),"",_xlfn.LET(_xlpm.DaysLeft, EXPIRATION_DATE - TODAY(), IF(_xlpm.DaysLeft &gt; 14, "", IF( _xlpm.DaysLeft &lt; 0, " This application is expired. Download the latest version from the program website or contact a program representative for assistance.", _xlfn.SWITCH(_xlpm.DaysLeft, 1, "This application expires in 1 day!", 0, "This application expires today!", "This application expires in " &amp; _xlpm.DaysLeft &amp; " days!")))))</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07" t="s">
        <v>1529</v>
      </c>
      <c r="AU1" s="608"/>
      <c r="AV1" s="608"/>
      <c r="AW1" s="608"/>
    </row>
    <row r="2" spans="2:49" ht="15.95" customHeight="1">
      <c r="B2" s="80"/>
      <c r="C2" s="80"/>
      <c r="D2" s="80"/>
      <c r="E2" s="80"/>
      <c r="F2" s="611"/>
      <c r="G2" s="611"/>
      <c r="H2" s="611"/>
      <c r="I2" s="611"/>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08"/>
      <c r="AU2" s="608"/>
      <c r="AV2" s="608"/>
      <c r="AW2" s="608"/>
    </row>
    <row r="3" spans="2:49" s="81" customFormat="1" ht="15.95" customHeight="1" thickBot="1">
      <c r="B3" s="82"/>
      <c r="C3" s="82"/>
      <c r="D3" s="82"/>
      <c r="E3" s="82"/>
      <c r="F3" s="612"/>
      <c r="G3" s="612"/>
      <c r="H3" s="612"/>
      <c r="I3" s="612"/>
      <c r="J3" s="615"/>
      <c r="K3" s="615"/>
      <c r="L3" s="615"/>
      <c r="M3" s="615"/>
      <c r="Q3" s="619"/>
      <c r="R3" s="619"/>
      <c r="S3" s="619"/>
      <c r="T3" s="619"/>
      <c r="U3" s="619"/>
      <c r="V3" s="619"/>
      <c r="W3" s="619"/>
      <c r="X3" s="619"/>
      <c r="Y3" s="619"/>
      <c r="Z3" s="619"/>
      <c r="AA3" s="619"/>
      <c r="AB3" s="619"/>
      <c r="AC3" s="619"/>
      <c r="AD3" s="619"/>
      <c r="AE3" s="619"/>
      <c r="AF3" s="619"/>
      <c r="AG3" s="619"/>
      <c r="AL3" s="617"/>
      <c r="AM3" s="617"/>
      <c r="AN3" s="617"/>
      <c r="AO3" s="617"/>
      <c r="AP3" s="617"/>
      <c r="AQ3" s="617"/>
      <c r="AR3" s="617"/>
      <c r="AS3" s="617"/>
      <c r="AT3" s="609"/>
      <c r="AU3" s="609"/>
      <c r="AV3" s="609"/>
      <c r="AW3" s="609"/>
    </row>
    <row r="4" spans="2:49" ht="15.95" customHeight="1"/>
    <row r="5" spans="2:49" ht="15.95" customHeight="1"/>
    <row r="6" spans="2:49" ht="15.95" customHeight="1"/>
    <row r="7" spans="2:49" ht="15.95" customHeight="1">
      <c r="AT7" s="602" t="s">
        <v>1385</v>
      </c>
      <c r="AU7" s="602"/>
      <c r="AV7" s="602"/>
      <c r="AW7" s="22"/>
    </row>
    <row r="8" spans="2:49" ht="15.95" customHeight="1">
      <c r="AT8" s="602"/>
      <c r="AU8" s="602"/>
      <c r="AV8" s="602"/>
      <c r="AW8" s="22"/>
    </row>
    <row r="9" spans="2:49" ht="15.95" customHeight="1">
      <c r="AT9" s="22"/>
      <c r="AU9" s="22"/>
      <c r="AV9" s="22"/>
      <c r="AW9" s="22"/>
    </row>
    <row r="10" spans="2:49" ht="15.95" customHeight="1"/>
    <row r="11" spans="2:49" s="83" customFormat="1" ht="15.95" customHeight="1">
      <c r="AT11"/>
      <c r="AU11"/>
      <c r="AV11"/>
      <c r="AW11"/>
    </row>
    <row r="12" spans="2:49" ht="15.95" customHeight="1"/>
    <row r="13" spans="2:49" ht="15.95" customHeight="1"/>
    <row r="14" spans="2:49" ht="15.95" customHeight="1"/>
    <row r="15" spans="2:49" ht="15.95" customHeight="1"/>
    <row r="16" spans="2:49"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row r="29" ht="15.95" customHeight="1"/>
    <row r="30" ht="15.95" customHeight="1"/>
    <row r="31" ht="15.95" customHeight="1"/>
    <row r="32"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hidden="1" customHeight="1"/>
    <row r="43" ht="15.95" hidden="1" customHeight="1"/>
    <row r="44" ht="15.95" hidden="1" customHeight="1"/>
    <row r="45" ht="15.95" hidden="1" customHeight="1"/>
    <row r="46" ht="15.95" hidden="1" customHeight="1"/>
    <row r="47" ht="15.95" hidden="1" customHeight="1"/>
    <row r="48" ht="15.95" hidden="1" customHeight="1"/>
    <row r="49" spans="7:47" ht="15.95" hidden="1" customHeight="1"/>
    <row r="50" spans="7:47" ht="15.95" hidden="1" customHeight="1"/>
    <row r="51" spans="7:47" ht="15.95" hidden="1" customHeight="1"/>
    <row r="52" spans="7:47" ht="15.95" hidden="1" customHeight="1"/>
    <row r="53" spans="7:47" ht="15.95" hidden="1" customHeight="1"/>
    <row r="54" spans="7:47" ht="15.95" hidden="1" customHeight="1"/>
    <row r="55" spans="7:47" ht="15.95" hidden="1" customHeight="1"/>
    <row r="56" spans="7:47" ht="15.95" hidden="1" customHeight="1"/>
    <row r="57" spans="7:47" ht="15.95" hidden="1" customHeight="1"/>
    <row r="58" spans="7:47" ht="15.95" hidden="1" customHeight="1"/>
    <row r="59" spans="7:47" ht="15.95" hidden="1" customHeight="1"/>
    <row r="60" spans="7:47" ht="15.95" hidden="1" customHeight="1"/>
    <row r="61" spans="7:47" ht="15.95" hidden="1" customHeight="1"/>
    <row r="62" spans="7:47" ht="15.95" customHeight="1">
      <c r="G62" s="605" t="s">
        <v>70</v>
      </c>
      <c r="H62" s="605"/>
      <c r="I62" s="605"/>
      <c r="J62" s="605"/>
      <c r="K62" s="605"/>
      <c r="L62" s="605"/>
      <c r="M62" s="604">
        <f>EXPIRATION_DATE</f>
        <v>45930</v>
      </c>
      <c r="N62" s="604"/>
      <c r="O62" s="604"/>
      <c r="P62" s="604"/>
      <c r="Q62" s="604"/>
      <c r="R62" s="604"/>
      <c r="S62" s="604"/>
      <c r="T62" s="606" t="str">
        <f ca="1">EXPIRATION</f>
        <v/>
      </c>
      <c r="U62" s="606"/>
      <c r="V62" s="606"/>
      <c r="W62" s="606"/>
      <c r="X62" s="606"/>
      <c r="Y62" s="40"/>
      <c r="Z62" s="40"/>
      <c r="AA62" s="40"/>
      <c r="AB62" s="40"/>
      <c r="AC62" s="40"/>
      <c r="AD62" s="40"/>
      <c r="AE62" s="40"/>
      <c r="AG62" s="605"/>
      <c r="AH62" s="605"/>
      <c r="AI62" s="605"/>
      <c r="AJ62" s="605"/>
      <c r="AK62" s="605"/>
      <c r="AL62" s="605"/>
      <c r="AM62" s="605"/>
      <c r="AN62" s="605"/>
      <c r="AO62" s="604"/>
      <c r="AP62" s="604"/>
      <c r="AQ62" s="604"/>
      <c r="AR62" s="604"/>
      <c r="AS62" s="604"/>
      <c r="AT62" s="604"/>
      <c r="AU62" s="604"/>
    </row>
    <row r="63" spans="7:47" ht="15.95" hidden="1" customHeight="1">
      <c r="G63" s="15"/>
      <c r="H63" s="15"/>
      <c r="I63" s="15"/>
      <c r="J63" s="15"/>
      <c r="K63" s="15"/>
      <c r="L63" s="15"/>
      <c r="M63" s="16"/>
      <c r="N63" s="16"/>
      <c r="O63" s="16"/>
      <c r="P63" s="16"/>
      <c r="Q63" s="16"/>
      <c r="R63" s="16"/>
      <c r="S63" s="17"/>
      <c r="T63" s="17"/>
      <c r="U63" s="17"/>
      <c r="V63" s="17"/>
      <c r="W63" s="17"/>
    </row>
    <row r="64" spans="7:47" ht="15.95" hidden="1" customHeight="1">
      <c r="G64" s="15"/>
      <c r="H64" s="15"/>
      <c r="I64" s="15"/>
      <c r="J64" s="15"/>
      <c r="K64" s="15"/>
      <c r="L64" s="15"/>
      <c r="M64" s="16"/>
      <c r="N64" s="16"/>
      <c r="O64" s="16"/>
      <c r="P64" s="16"/>
      <c r="Q64" s="16"/>
      <c r="R64" s="16"/>
      <c r="S64" s="17"/>
      <c r="T64" s="17"/>
      <c r="U64" s="17"/>
      <c r="V64" s="17"/>
      <c r="W64" s="17"/>
    </row>
    <row r="65" spans="7:23" ht="15.95" hidden="1" customHeight="1">
      <c r="G65" s="15"/>
      <c r="H65" s="15"/>
      <c r="I65" s="15"/>
      <c r="J65" s="15"/>
      <c r="K65" s="15"/>
      <c r="L65" s="15"/>
      <c r="M65" s="16"/>
      <c r="N65" s="16"/>
      <c r="O65" s="16"/>
      <c r="P65" s="16"/>
      <c r="Q65" s="16"/>
      <c r="R65" s="16"/>
      <c r="S65" s="17"/>
      <c r="T65" s="17"/>
      <c r="U65" s="17"/>
      <c r="V65" s="17"/>
      <c r="W65" s="17"/>
    </row>
    <row r="66" spans="7:23" ht="15.95" hidden="1" customHeight="1">
      <c r="G66" s="15"/>
      <c r="H66" s="15"/>
      <c r="I66" s="15"/>
      <c r="J66" s="15"/>
      <c r="K66" s="15"/>
      <c r="L66" s="15"/>
      <c r="M66" s="16"/>
      <c r="N66" s="16"/>
      <c r="O66" s="16"/>
      <c r="P66" s="16"/>
      <c r="Q66" s="16"/>
      <c r="R66" s="16"/>
      <c r="S66" s="17"/>
      <c r="T66" s="17"/>
      <c r="U66" s="17"/>
      <c r="V66" s="17"/>
      <c r="W66" s="17"/>
    </row>
    <row r="67" spans="7:23" ht="15.95" hidden="1" customHeight="1">
      <c r="G67" s="15"/>
      <c r="H67" s="15"/>
      <c r="I67" s="15"/>
      <c r="J67" s="15"/>
      <c r="K67" s="15"/>
      <c r="L67" s="15"/>
      <c r="M67" s="16"/>
      <c r="N67" s="16"/>
      <c r="O67" s="16"/>
      <c r="P67" s="16"/>
      <c r="Q67" s="16"/>
      <c r="R67" s="16"/>
      <c r="S67" s="17"/>
      <c r="T67" s="17"/>
      <c r="U67" s="17"/>
      <c r="V67" s="17"/>
      <c r="W67" s="17"/>
    </row>
    <row r="68" spans="7:23" ht="15.95" hidden="1" customHeight="1">
      <c r="G68" s="15"/>
      <c r="H68" s="15"/>
      <c r="I68" s="15"/>
      <c r="J68" s="15"/>
      <c r="K68" s="15"/>
      <c r="L68" s="15"/>
      <c r="M68" s="16"/>
      <c r="N68" s="16"/>
      <c r="O68" s="16"/>
      <c r="P68" s="16"/>
      <c r="Q68" s="16"/>
      <c r="R68" s="16"/>
      <c r="S68" s="17"/>
      <c r="T68" s="17"/>
      <c r="U68" s="17"/>
      <c r="V68" s="17"/>
      <c r="W68" s="17"/>
    </row>
    <row r="69" spans="7:23" ht="15.95" hidden="1" customHeight="1">
      <c r="G69" s="15"/>
      <c r="H69" s="15"/>
      <c r="I69" s="15"/>
      <c r="J69" s="15"/>
      <c r="K69" s="15"/>
      <c r="L69" s="15"/>
      <c r="M69" s="16"/>
      <c r="N69" s="16"/>
      <c r="O69" s="16"/>
      <c r="P69" s="16"/>
      <c r="Q69" s="16"/>
      <c r="R69" s="16"/>
      <c r="S69" s="17"/>
      <c r="T69" s="17"/>
      <c r="U69" s="17"/>
      <c r="V69" s="17"/>
      <c r="W69" s="17"/>
    </row>
    <row r="70" spans="7:23" ht="15.95" hidden="1" customHeight="1">
      <c r="G70" s="15"/>
      <c r="H70" s="15"/>
      <c r="I70" s="15"/>
      <c r="J70" s="15"/>
      <c r="K70" s="15"/>
      <c r="L70" s="15"/>
      <c r="M70" s="16"/>
      <c r="N70" s="16"/>
      <c r="O70" s="16"/>
      <c r="P70" s="16"/>
      <c r="Q70" s="16"/>
      <c r="R70" s="16"/>
      <c r="S70" s="17"/>
      <c r="T70" s="17"/>
      <c r="U70" s="17"/>
      <c r="V70" s="17"/>
      <c r="W70" s="17"/>
    </row>
    <row r="71" spans="7:23" ht="15.95" hidden="1" customHeight="1">
      <c r="G71" s="15"/>
      <c r="H71" s="15"/>
      <c r="I71" s="15"/>
      <c r="J71" s="15"/>
      <c r="K71" s="15"/>
      <c r="L71" s="15"/>
      <c r="M71" s="16">
        <v>1</v>
      </c>
      <c r="N71" s="16"/>
      <c r="O71" s="16"/>
      <c r="P71" s="16"/>
      <c r="Q71" s="16"/>
      <c r="R71" s="16"/>
      <c r="S71" s="17"/>
      <c r="T71" s="17"/>
      <c r="U71" s="17"/>
      <c r="V71" s="17"/>
      <c r="W71" s="17"/>
    </row>
    <row r="72" spans="7:23" ht="15.95" hidden="1" customHeight="1">
      <c r="G72" s="15"/>
      <c r="H72" s="15"/>
      <c r="I72" s="15"/>
      <c r="J72" s="15"/>
      <c r="K72" s="15"/>
      <c r="L72" s="15"/>
      <c r="M72" s="16"/>
      <c r="N72" s="16"/>
      <c r="O72" s="16"/>
      <c r="P72" s="16"/>
      <c r="Q72" s="16"/>
      <c r="R72" s="16"/>
      <c r="S72" s="17"/>
      <c r="T72" s="17"/>
      <c r="U72" s="17"/>
      <c r="V72" s="17"/>
      <c r="W72" s="17"/>
    </row>
    <row r="73" spans="7:23" ht="15.95" hidden="1" customHeight="1">
      <c r="G73" s="15"/>
      <c r="H73" s="15"/>
      <c r="I73" s="15"/>
      <c r="J73" s="15"/>
      <c r="K73" s="15"/>
      <c r="L73" s="15"/>
      <c r="M73" s="16"/>
      <c r="N73" s="16"/>
      <c r="O73" s="16"/>
      <c r="P73" s="16"/>
      <c r="Q73" s="16"/>
      <c r="R73" s="16"/>
      <c r="S73" s="17"/>
      <c r="T73" s="17"/>
      <c r="U73" s="17"/>
      <c r="V73" s="17"/>
      <c r="W73" s="17"/>
    </row>
    <row r="74" spans="7:23" ht="15.95" hidden="1" customHeight="1">
      <c r="G74" s="15"/>
      <c r="H74" s="15"/>
      <c r="I74" s="15"/>
      <c r="J74" s="15"/>
      <c r="K74" s="15"/>
      <c r="L74" s="15"/>
      <c r="M74" s="16"/>
      <c r="N74" s="16"/>
      <c r="O74" s="16"/>
      <c r="P74" s="16"/>
      <c r="Q74" s="16"/>
      <c r="R74" s="16"/>
      <c r="S74" s="17"/>
      <c r="T74" s="17"/>
      <c r="U74" s="17"/>
      <c r="V74" s="17"/>
      <c r="W74" s="17"/>
    </row>
    <row r="75" spans="7:23" ht="15.95" hidden="1" customHeight="1">
      <c r="G75" s="15"/>
      <c r="H75" s="15"/>
      <c r="I75" s="15"/>
      <c r="J75" s="15"/>
      <c r="K75" s="15"/>
      <c r="L75" s="15"/>
      <c r="M75" s="16"/>
      <c r="N75" s="16"/>
      <c r="O75" s="16"/>
      <c r="P75" s="16"/>
      <c r="Q75" s="16"/>
      <c r="R75" s="16"/>
      <c r="S75" s="17"/>
      <c r="T75" s="17"/>
      <c r="U75" s="17"/>
      <c r="V75" s="17"/>
      <c r="W75" s="17"/>
    </row>
    <row r="76" spans="7:23" ht="15.95" hidden="1" customHeight="1">
      <c r="G76" s="15"/>
      <c r="H76" s="15"/>
      <c r="I76" s="15"/>
      <c r="J76" s="15"/>
      <c r="K76" s="15"/>
      <c r="L76" s="15"/>
      <c r="M76" s="16"/>
      <c r="N76" s="16"/>
      <c r="O76" s="16"/>
      <c r="P76" s="16"/>
      <c r="Q76" s="16"/>
      <c r="R76" s="16"/>
      <c r="S76" s="17"/>
      <c r="T76" s="17"/>
      <c r="U76" s="17"/>
      <c r="V76" s="17"/>
      <c r="W76" s="17"/>
    </row>
    <row r="77" spans="7:23" ht="15.95" hidden="1" customHeight="1">
      <c r="G77" s="15"/>
      <c r="H77" s="15"/>
      <c r="I77" s="15"/>
      <c r="J77" s="15"/>
      <c r="K77" s="15"/>
      <c r="L77" s="15"/>
      <c r="M77" s="16"/>
      <c r="N77" s="16"/>
      <c r="O77" s="16"/>
      <c r="P77" s="16"/>
      <c r="Q77" s="16"/>
      <c r="R77" s="16"/>
      <c r="S77" s="17"/>
      <c r="T77" s="17"/>
      <c r="U77" s="17"/>
      <c r="V77" s="17"/>
      <c r="W77" s="17"/>
    </row>
    <row r="78" spans="7:23" ht="15.95" hidden="1" customHeight="1">
      <c r="G78" s="15"/>
      <c r="H78" s="15"/>
      <c r="I78" s="15"/>
      <c r="J78" s="15"/>
      <c r="K78" s="15"/>
      <c r="L78" s="15"/>
      <c r="M78" s="16"/>
      <c r="N78" s="16"/>
      <c r="O78" s="16"/>
      <c r="P78" s="16"/>
      <c r="Q78" s="16"/>
      <c r="R78" s="16"/>
      <c r="S78" s="17"/>
      <c r="T78" s="17"/>
      <c r="U78" s="17"/>
      <c r="V78" s="17"/>
      <c r="W78" s="17"/>
    </row>
    <row r="79" spans="7:23" ht="15.95" hidden="1" customHeight="1">
      <c r="G79" s="15"/>
      <c r="H79" s="15"/>
      <c r="I79" s="15"/>
      <c r="J79" s="15"/>
      <c r="K79" s="15"/>
      <c r="L79" s="15"/>
      <c r="M79" s="16"/>
      <c r="N79" s="16"/>
      <c r="O79" s="16"/>
      <c r="P79" s="16"/>
      <c r="Q79" s="16"/>
      <c r="R79" s="16"/>
      <c r="S79" s="17"/>
      <c r="T79" s="17"/>
      <c r="U79" s="17"/>
      <c r="V79" s="17"/>
      <c r="W79" s="17"/>
    </row>
    <row r="80" spans="7:23" ht="15.95" hidden="1" customHeight="1">
      <c r="G80" s="15"/>
      <c r="H80" s="15"/>
      <c r="I80" s="15"/>
      <c r="J80" s="15"/>
      <c r="K80" s="15"/>
      <c r="L80" s="15"/>
      <c r="M80" s="16"/>
      <c r="N80" s="16"/>
      <c r="O80" s="16"/>
      <c r="P80" s="16"/>
      <c r="Q80" s="16"/>
      <c r="R80" s="16"/>
      <c r="S80" s="17"/>
      <c r="T80" s="17"/>
      <c r="U80" s="17"/>
      <c r="V80" s="17"/>
      <c r="W80" s="17"/>
    </row>
    <row r="81" spans="7:23" ht="15.95" hidden="1" customHeight="1">
      <c r="G81" s="15"/>
      <c r="H81" s="15"/>
      <c r="I81" s="15"/>
      <c r="J81" s="15"/>
      <c r="K81" s="15"/>
      <c r="L81" s="15"/>
      <c r="M81" s="16"/>
      <c r="N81" s="16"/>
      <c r="O81" s="16"/>
      <c r="P81" s="16"/>
      <c r="Q81" s="16"/>
      <c r="R81" s="16"/>
      <c r="S81" s="17"/>
      <c r="T81" s="17"/>
      <c r="U81" s="17"/>
      <c r="V81" s="17"/>
      <c r="W81" s="17"/>
    </row>
    <row r="82" spans="7:23" ht="15.95" hidden="1" customHeight="1">
      <c r="G82" s="15"/>
      <c r="H82" s="15"/>
      <c r="I82" s="15"/>
      <c r="J82" s="15"/>
      <c r="K82" s="15"/>
      <c r="L82" s="15"/>
      <c r="M82" s="16"/>
      <c r="N82" s="16"/>
      <c r="O82" s="16"/>
      <c r="P82" s="16"/>
      <c r="Q82" s="16"/>
      <c r="R82" s="16"/>
      <c r="S82" s="17"/>
      <c r="T82" s="17"/>
      <c r="U82" s="17"/>
      <c r="V82" s="17"/>
      <c r="W82" s="17"/>
    </row>
    <row r="83" spans="7:23" ht="15.95" hidden="1" customHeight="1">
      <c r="G83" s="15"/>
      <c r="H83" s="15"/>
      <c r="I83" s="15"/>
      <c r="J83" s="15"/>
      <c r="K83" s="15"/>
      <c r="L83" s="15"/>
      <c r="M83" s="16"/>
      <c r="N83" s="16"/>
      <c r="O83" s="16"/>
      <c r="P83" s="16"/>
      <c r="Q83" s="16"/>
      <c r="R83" s="16"/>
      <c r="S83" s="17"/>
      <c r="T83" s="17"/>
      <c r="U83" s="17"/>
      <c r="V83" s="17"/>
      <c r="W83" s="17"/>
    </row>
    <row r="84" spans="7:23" ht="15.95" hidden="1" customHeight="1">
      <c r="G84" s="15"/>
      <c r="H84" s="15"/>
      <c r="I84" s="15"/>
      <c r="J84" s="15"/>
      <c r="K84" s="15"/>
      <c r="L84" s="15"/>
      <c r="M84" s="16"/>
      <c r="N84" s="16"/>
      <c r="O84" s="16"/>
      <c r="P84" s="16"/>
      <c r="Q84" s="16"/>
      <c r="R84" s="16"/>
      <c r="S84" s="17"/>
      <c r="T84" s="17"/>
      <c r="U84" s="17"/>
      <c r="V84" s="17"/>
      <c r="W84" s="17"/>
    </row>
    <row r="85" spans="7:23" ht="15.95" hidden="1" customHeight="1">
      <c r="G85" s="15"/>
      <c r="H85" s="15"/>
      <c r="I85" s="15"/>
      <c r="J85" s="15"/>
      <c r="K85" s="15"/>
      <c r="L85" s="15"/>
      <c r="M85" s="16"/>
      <c r="N85" s="16"/>
      <c r="O85" s="16"/>
      <c r="P85" s="16"/>
      <c r="Q85" s="16"/>
      <c r="R85" s="16"/>
      <c r="S85" s="17"/>
      <c r="T85" s="17"/>
      <c r="U85" s="17"/>
      <c r="V85" s="17"/>
      <c r="W85" s="17"/>
    </row>
    <row r="86" spans="7:23" ht="15.95" hidden="1" customHeight="1">
      <c r="G86" s="15"/>
      <c r="H86" s="15"/>
      <c r="I86" s="15"/>
      <c r="J86" s="15"/>
      <c r="K86" s="15"/>
      <c r="L86" s="15"/>
      <c r="M86" s="16"/>
      <c r="N86" s="16"/>
      <c r="O86" s="16"/>
      <c r="P86" s="16"/>
      <c r="Q86" s="16"/>
      <c r="R86" s="16"/>
      <c r="S86" s="17"/>
      <c r="T86" s="17"/>
      <c r="U86" s="17"/>
      <c r="V86" s="17"/>
      <c r="W86" s="17"/>
    </row>
    <row r="87" spans="7:23" ht="15.95" hidden="1" customHeight="1">
      <c r="G87" s="15"/>
      <c r="H87" s="15"/>
      <c r="I87" s="15"/>
      <c r="J87" s="15"/>
      <c r="K87" s="15"/>
      <c r="L87" s="15"/>
      <c r="M87" s="16"/>
      <c r="N87" s="16"/>
      <c r="O87" s="16"/>
      <c r="P87" s="16"/>
      <c r="Q87" s="16"/>
      <c r="R87" s="16"/>
      <c r="S87" s="17"/>
      <c r="T87" s="17"/>
      <c r="U87" s="17"/>
      <c r="V87" s="17"/>
      <c r="W87" s="17"/>
    </row>
    <row r="88" spans="7:23" ht="15.95" hidden="1" customHeight="1">
      <c r="G88" s="15"/>
      <c r="H88" s="15"/>
      <c r="I88" s="15"/>
      <c r="J88" s="15"/>
      <c r="K88" s="15"/>
      <c r="L88" s="15"/>
      <c r="M88" s="16"/>
      <c r="N88" s="16"/>
      <c r="O88" s="16"/>
      <c r="P88" s="16"/>
      <c r="Q88" s="16"/>
      <c r="R88" s="16"/>
      <c r="S88" s="17"/>
      <c r="T88" s="17"/>
      <c r="U88" s="17"/>
      <c r="V88" s="17"/>
      <c r="W88" s="17"/>
    </row>
    <row r="89" spans="7:23" ht="15.95" hidden="1" customHeight="1">
      <c r="G89" s="15"/>
      <c r="H89" s="15"/>
      <c r="I89" s="15"/>
      <c r="J89" s="15"/>
      <c r="K89" s="15"/>
      <c r="L89" s="15"/>
      <c r="M89" s="16"/>
      <c r="N89" s="16"/>
      <c r="O89" s="16"/>
      <c r="P89" s="16"/>
      <c r="Q89" s="16"/>
      <c r="R89" s="16"/>
      <c r="S89" s="17"/>
      <c r="T89" s="17"/>
      <c r="U89" s="17"/>
      <c r="V89" s="17"/>
      <c r="W89" s="17"/>
    </row>
    <row r="90" spans="7:23" ht="15.95" hidden="1" customHeight="1">
      <c r="G90" s="15"/>
      <c r="H90" s="15"/>
      <c r="I90" s="15"/>
      <c r="J90" s="15"/>
      <c r="K90" s="15"/>
      <c r="L90" s="15"/>
      <c r="M90" s="16"/>
      <c r="N90" s="16"/>
      <c r="O90" s="16"/>
      <c r="P90" s="16"/>
      <c r="Q90" s="16"/>
      <c r="R90" s="16"/>
      <c r="S90" s="17"/>
      <c r="T90" s="17"/>
      <c r="U90" s="17"/>
      <c r="V90" s="17"/>
      <c r="W90" s="17"/>
    </row>
    <row r="91" spans="7:23" ht="15.95" hidden="1" customHeight="1">
      <c r="G91" s="15"/>
      <c r="H91" s="15"/>
      <c r="I91" s="15"/>
      <c r="J91" s="15"/>
      <c r="K91" s="15"/>
      <c r="L91" s="15"/>
      <c r="M91" s="16"/>
      <c r="N91" s="16"/>
      <c r="O91" s="16"/>
      <c r="P91" s="16"/>
      <c r="Q91" s="16"/>
      <c r="R91" s="16"/>
      <c r="S91" s="17"/>
      <c r="T91" s="17"/>
      <c r="U91" s="17"/>
      <c r="V91" s="17"/>
      <c r="W91" s="17"/>
    </row>
    <row r="92" spans="7:23" ht="15.95" hidden="1" customHeight="1">
      <c r="G92" s="15"/>
      <c r="H92" s="15"/>
      <c r="I92" s="15"/>
      <c r="J92" s="15"/>
      <c r="K92" s="15"/>
      <c r="L92" s="15"/>
      <c r="M92" s="16"/>
      <c r="N92" s="16"/>
      <c r="O92" s="16"/>
      <c r="P92" s="16"/>
      <c r="Q92" s="16"/>
      <c r="R92" s="16"/>
      <c r="S92" s="17"/>
      <c r="T92" s="17"/>
      <c r="U92" s="17"/>
      <c r="V92" s="17"/>
      <c r="W92" s="17"/>
    </row>
    <row r="93" spans="7:23" ht="15.95" hidden="1" customHeight="1">
      <c r="G93" s="15"/>
      <c r="H93" s="15"/>
      <c r="I93" s="15"/>
      <c r="J93" s="15"/>
      <c r="K93" s="15"/>
      <c r="L93" s="15"/>
      <c r="M93" s="16"/>
      <c r="N93" s="16"/>
      <c r="O93" s="16"/>
      <c r="P93" s="16"/>
      <c r="Q93" s="16"/>
      <c r="R93" s="16"/>
      <c r="S93" s="17"/>
      <c r="T93" s="17"/>
      <c r="U93" s="17"/>
      <c r="V93" s="17"/>
      <c r="W93" s="17"/>
    </row>
    <row r="94" spans="7:23" ht="15.95" hidden="1" customHeight="1">
      <c r="G94" s="15"/>
      <c r="H94" s="15"/>
      <c r="I94" s="15"/>
      <c r="J94" s="15"/>
      <c r="K94" s="15"/>
      <c r="L94" s="15"/>
      <c r="M94" s="16"/>
      <c r="N94" s="16"/>
      <c r="O94" s="16"/>
      <c r="P94" s="16"/>
      <c r="Q94" s="16"/>
      <c r="R94" s="16"/>
      <c r="S94" s="17"/>
      <c r="T94" s="17"/>
      <c r="U94" s="17"/>
      <c r="V94" s="17"/>
      <c r="W94" s="17"/>
    </row>
    <row r="95" spans="7:23" ht="15.95" hidden="1" customHeight="1">
      <c r="G95" s="15"/>
      <c r="H95" s="15"/>
      <c r="I95" s="15"/>
      <c r="J95" s="15"/>
      <c r="K95" s="15"/>
      <c r="L95" s="15"/>
      <c r="M95" s="16"/>
      <c r="N95" s="16"/>
      <c r="O95" s="16"/>
      <c r="P95" s="16"/>
      <c r="Q95" s="16"/>
      <c r="R95" s="16"/>
      <c r="S95" s="17"/>
      <c r="T95" s="17"/>
      <c r="U95" s="17"/>
      <c r="V95" s="17"/>
      <c r="W95" s="17"/>
    </row>
    <row r="96" spans="7:23" ht="15.95" hidden="1" customHeight="1">
      <c r="G96" s="15"/>
      <c r="H96" s="15"/>
      <c r="I96" s="15"/>
      <c r="J96" s="15"/>
      <c r="K96" s="15"/>
      <c r="L96" s="15"/>
      <c r="M96" s="16"/>
      <c r="N96" s="16"/>
      <c r="O96" s="16"/>
      <c r="P96" s="16"/>
      <c r="Q96" s="16"/>
      <c r="R96" s="16"/>
      <c r="S96" s="17"/>
      <c r="T96" s="17"/>
      <c r="U96" s="17"/>
      <c r="V96" s="17"/>
      <c r="W96" s="17"/>
    </row>
    <row r="97" spans="7:23" ht="15.95" hidden="1" customHeight="1">
      <c r="G97" s="15"/>
      <c r="H97" s="15"/>
      <c r="I97" s="15"/>
      <c r="J97" s="15"/>
      <c r="K97" s="15"/>
      <c r="L97" s="15"/>
      <c r="M97" s="16"/>
      <c r="N97" s="16"/>
      <c r="O97" s="16"/>
      <c r="P97" s="16"/>
      <c r="Q97" s="16"/>
      <c r="R97" s="16"/>
      <c r="S97" s="17"/>
      <c r="T97" s="17"/>
      <c r="U97" s="17"/>
      <c r="V97" s="17"/>
      <c r="W97" s="17"/>
    </row>
    <row r="98" spans="7:23" ht="15.95" hidden="1" customHeight="1">
      <c r="G98" s="15"/>
      <c r="H98" s="15"/>
      <c r="I98" s="15"/>
      <c r="J98" s="15"/>
      <c r="K98" s="15"/>
      <c r="L98" s="15"/>
      <c r="M98" s="16"/>
      <c r="N98" s="16"/>
      <c r="O98" s="16"/>
      <c r="P98" s="16"/>
      <c r="Q98" s="16"/>
      <c r="R98" s="16"/>
      <c r="S98" s="17"/>
      <c r="T98" s="17"/>
      <c r="U98" s="17"/>
      <c r="V98" s="17"/>
      <c r="W98" s="17"/>
    </row>
    <row r="99" spans="7:23" ht="15.95" hidden="1" customHeight="1">
      <c r="G99" s="15"/>
      <c r="H99" s="15"/>
      <c r="I99" s="15"/>
      <c r="J99" s="15"/>
      <c r="K99" s="15"/>
      <c r="L99" s="15"/>
      <c r="M99" s="16"/>
      <c r="N99" s="16"/>
      <c r="O99" s="16"/>
      <c r="P99" s="16"/>
      <c r="Q99" s="16"/>
      <c r="R99" s="16"/>
      <c r="S99" s="17"/>
      <c r="T99" s="17"/>
      <c r="U99" s="17"/>
      <c r="V99" s="17"/>
      <c r="W99" s="17"/>
    </row>
    <row r="100" spans="7:23" ht="15.95" hidden="1" customHeight="1">
      <c r="G100" s="15"/>
      <c r="H100" s="15"/>
      <c r="I100" s="15"/>
      <c r="J100" s="15"/>
      <c r="K100" s="15"/>
      <c r="L100" s="15"/>
      <c r="M100" s="16"/>
      <c r="N100" s="16"/>
      <c r="O100" s="16"/>
      <c r="P100" s="16"/>
      <c r="Q100" s="16"/>
      <c r="R100" s="16"/>
      <c r="S100" s="17"/>
      <c r="T100" s="17"/>
      <c r="U100" s="17"/>
      <c r="V100" s="17"/>
      <c r="W100" s="17"/>
    </row>
    <row r="101" spans="7:23" ht="15.95" hidden="1" customHeight="1">
      <c r="G101" s="15"/>
      <c r="H101" s="15"/>
      <c r="I101" s="15"/>
      <c r="J101" s="15"/>
      <c r="K101" s="15"/>
      <c r="L101" s="15"/>
      <c r="M101" s="16"/>
      <c r="N101" s="16"/>
      <c r="O101" s="16"/>
      <c r="P101" s="16"/>
      <c r="Q101" s="16"/>
      <c r="R101" s="16"/>
      <c r="S101" s="17"/>
      <c r="T101" s="17"/>
      <c r="U101" s="17"/>
      <c r="V101" s="17"/>
      <c r="W101" s="17"/>
    </row>
    <row r="102" spans="7:23" ht="15.95" hidden="1" customHeight="1">
      <c r="G102" s="15"/>
      <c r="H102" s="15"/>
      <c r="I102" s="15"/>
      <c r="J102" s="15"/>
      <c r="K102" s="15"/>
      <c r="L102" s="15"/>
      <c r="M102" s="16"/>
      <c r="N102" s="16"/>
      <c r="O102" s="16"/>
      <c r="P102" s="16"/>
      <c r="Q102" s="16"/>
      <c r="R102" s="16"/>
      <c r="S102" s="17"/>
      <c r="T102" s="17"/>
      <c r="U102" s="17"/>
      <c r="V102" s="17"/>
      <c r="W102" s="17"/>
    </row>
    <row r="103" spans="7:23" ht="15.95" hidden="1" customHeight="1">
      <c r="G103" s="15"/>
      <c r="H103" s="15"/>
      <c r="I103" s="15"/>
      <c r="J103" s="15"/>
      <c r="K103" s="15"/>
      <c r="L103" s="15"/>
      <c r="M103" s="16"/>
      <c r="N103" s="16"/>
      <c r="O103" s="16"/>
      <c r="P103" s="16"/>
      <c r="Q103" s="16"/>
      <c r="R103" s="16"/>
      <c r="S103" s="17"/>
      <c r="T103" s="17"/>
      <c r="U103" s="17"/>
      <c r="V103" s="17"/>
      <c r="W103" s="17"/>
    </row>
    <row r="104" spans="7:23" ht="15.95" hidden="1" customHeight="1">
      <c r="G104" s="15"/>
      <c r="H104" s="15"/>
      <c r="I104" s="15"/>
      <c r="J104" s="15"/>
      <c r="K104" s="15"/>
      <c r="L104" s="15"/>
      <c r="M104" s="16"/>
      <c r="N104" s="16"/>
      <c r="O104" s="16"/>
      <c r="P104" s="16"/>
      <c r="Q104" s="16"/>
      <c r="R104" s="16"/>
      <c r="S104" s="17"/>
      <c r="T104" s="17"/>
      <c r="U104" s="17"/>
      <c r="V104" s="17"/>
      <c r="W104" s="17"/>
    </row>
    <row r="105" spans="7:23" ht="15.95" hidden="1" customHeight="1">
      <c r="G105" s="15"/>
      <c r="H105" s="15"/>
      <c r="I105" s="15"/>
      <c r="J105" s="15"/>
      <c r="K105" s="15"/>
      <c r="L105" s="15"/>
      <c r="M105" s="16"/>
      <c r="N105" s="16"/>
      <c r="O105" s="16"/>
      <c r="P105" s="16"/>
      <c r="Q105" s="16"/>
      <c r="R105" s="16"/>
      <c r="S105" s="17"/>
      <c r="T105" s="17"/>
      <c r="U105" s="17"/>
      <c r="V105" s="17"/>
      <c r="W105" s="17"/>
    </row>
    <row r="106" spans="7:23" ht="15.95" hidden="1" customHeight="1">
      <c r="G106" s="15"/>
      <c r="H106" s="15"/>
      <c r="I106" s="15"/>
      <c r="J106" s="15"/>
      <c r="K106" s="15"/>
      <c r="L106" s="15"/>
      <c r="M106" s="16"/>
      <c r="N106" s="16"/>
      <c r="O106" s="16"/>
      <c r="P106" s="16"/>
      <c r="Q106" s="16"/>
      <c r="R106" s="16"/>
      <c r="S106" s="17"/>
      <c r="T106" s="17"/>
      <c r="U106" s="17"/>
      <c r="V106" s="17"/>
      <c r="W106" s="17"/>
    </row>
    <row r="107" spans="7:23" ht="15.95" hidden="1" customHeight="1">
      <c r="G107" s="15"/>
      <c r="H107" s="15"/>
      <c r="I107" s="15"/>
      <c r="J107" s="15"/>
      <c r="K107" s="15"/>
      <c r="L107" s="15"/>
      <c r="M107" s="16"/>
      <c r="N107" s="16"/>
      <c r="O107" s="16"/>
      <c r="P107" s="16"/>
      <c r="Q107" s="16"/>
      <c r="R107" s="16"/>
      <c r="S107" s="17"/>
      <c r="T107" s="17"/>
      <c r="U107" s="17"/>
      <c r="V107" s="17"/>
      <c r="W107" s="17"/>
    </row>
    <row r="108" spans="7:23" ht="15.95" hidden="1" customHeight="1">
      <c r="G108" s="15"/>
      <c r="H108" s="15"/>
      <c r="I108" s="15"/>
      <c r="J108" s="15"/>
      <c r="K108" s="15"/>
      <c r="L108" s="15"/>
      <c r="M108" s="16"/>
      <c r="N108" s="16"/>
      <c r="O108" s="16"/>
      <c r="P108" s="16"/>
      <c r="Q108" s="16"/>
      <c r="R108" s="16"/>
      <c r="S108" s="17"/>
      <c r="T108" s="17"/>
      <c r="U108" s="17"/>
      <c r="V108" s="17"/>
      <c r="W108" s="17"/>
    </row>
    <row r="109" spans="7:23" ht="15.95" hidden="1" customHeight="1">
      <c r="G109" s="15"/>
      <c r="H109" s="15"/>
      <c r="I109" s="15"/>
      <c r="J109" s="15"/>
      <c r="K109" s="15"/>
      <c r="L109" s="15"/>
      <c r="M109" s="16"/>
      <c r="N109" s="16"/>
      <c r="O109" s="16"/>
      <c r="P109" s="16"/>
      <c r="Q109" s="16"/>
      <c r="R109" s="16"/>
      <c r="S109" s="17"/>
      <c r="T109" s="17"/>
      <c r="U109" s="17"/>
      <c r="V109" s="17"/>
      <c r="W109" s="17"/>
    </row>
    <row r="110" spans="7:23" ht="15.95" hidden="1" customHeight="1">
      <c r="G110" s="15"/>
      <c r="H110" s="15"/>
      <c r="I110" s="15"/>
      <c r="J110" s="15"/>
      <c r="K110" s="15"/>
      <c r="L110" s="15"/>
      <c r="M110" s="16"/>
      <c r="N110" s="16"/>
      <c r="O110" s="16"/>
      <c r="P110" s="16"/>
      <c r="Q110" s="16"/>
      <c r="R110" s="16"/>
      <c r="S110" s="17"/>
      <c r="T110" s="17"/>
      <c r="U110" s="17"/>
      <c r="V110" s="17"/>
      <c r="W110" s="17"/>
    </row>
    <row r="111" spans="7:23" ht="15.95" hidden="1" customHeight="1">
      <c r="G111" s="15"/>
      <c r="H111" s="15"/>
      <c r="I111" s="15"/>
      <c r="J111" s="15"/>
      <c r="K111" s="15"/>
      <c r="L111" s="15"/>
      <c r="M111" s="16"/>
      <c r="N111" s="16"/>
      <c r="O111" s="16"/>
      <c r="P111" s="16"/>
      <c r="Q111" s="16"/>
      <c r="R111" s="16"/>
      <c r="S111" s="17"/>
      <c r="T111" s="17"/>
      <c r="U111" s="17"/>
      <c r="V111" s="17"/>
      <c r="W111" s="17"/>
    </row>
    <row r="112" spans="7:23" ht="15.95" hidden="1" customHeight="1">
      <c r="G112" s="15"/>
      <c r="H112" s="15"/>
      <c r="I112" s="15"/>
      <c r="J112" s="15"/>
      <c r="K112" s="15"/>
      <c r="L112" s="15"/>
      <c r="M112" s="16"/>
      <c r="N112" s="16"/>
      <c r="O112" s="16"/>
      <c r="P112" s="16"/>
      <c r="Q112" s="16"/>
      <c r="R112" s="16"/>
      <c r="S112" s="17"/>
      <c r="T112" s="17"/>
      <c r="U112" s="17"/>
      <c r="V112" s="17"/>
      <c r="W112" s="17"/>
    </row>
    <row r="113" spans="7:23" ht="15.95" hidden="1" customHeight="1">
      <c r="G113" s="15"/>
      <c r="H113" s="15"/>
      <c r="I113" s="15"/>
      <c r="J113" s="15"/>
      <c r="K113" s="15"/>
      <c r="L113" s="15"/>
      <c r="M113" s="16"/>
      <c r="N113" s="16"/>
      <c r="O113" s="16"/>
      <c r="P113" s="16"/>
      <c r="Q113" s="16"/>
      <c r="R113" s="16"/>
      <c r="S113" s="17"/>
      <c r="T113" s="17"/>
      <c r="U113" s="17"/>
      <c r="V113" s="17"/>
      <c r="W113" s="17"/>
    </row>
    <row r="114" spans="7:23" ht="15.95" hidden="1" customHeight="1">
      <c r="G114" s="15"/>
      <c r="H114" s="15"/>
      <c r="I114" s="15"/>
      <c r="J114" s="15"/>
      <c r="K114" s="15"/>
      <c r="L114" s="15"/>
      <c r="M114" s="16"/>
      <c r="N114" s="16"/>
      <c r="O114" s="16"/>
      <c r="P114" s="16"/>
      <c r="Q114" s="16"/>
      <c r="R114" s="16"/>
      <c r="S114" s="17"/>
      <c r="T114" s="17"/>
      <c r="U114" s="17"/>
      <c r="V114" s="17"/>
      <c r="W114" s="17"/>
    </row>
    <row r="115" spans="7:23" ht="15.95" hidden="1" customHeight="1">
      <c r="G115" s="15"/>
      <c r="H115" s="15"/>
      <c r="I115" s="15"/>
      <c r="J115" s="15"/>
      <c r="K115" s="15"/>
      <c r="L115" s="15"/>
      <c r="M115" s="16"/>
      <c r="N115" s="16"/>
      <c r="O115" s="16"/>
      <c r="P115" s="16"/>
      <c r="Q115" s="16"/>
      <c r="R115" s="16"/>
      <c r="S115" s="17"/>
      <c r="T115" s="17"/>
      <c r="U115" s="17"/>
      <c r="V115" s="17"/>
      <c r="W115" s="17"/>
    </row>
    <row r="116" spans="7:23" ht="15.95" hidden="1" customHeight="1">
      <c r="G116" s="15"/>
      <c r="H116" s="15"/>
      <c r="I116" s="15"/>
      <c r="J116" s="15"/>
      <c r="K116" s="15"/>
      <c r="L116" s="15"/>
      <c r="M116" s="16"/>
      <c r="N116" s="16"/>
      <c r="O116" s="16"/>
      <c r="P116" s="16"/>
      <c r="Q116" s="16"/>
      <c r="R116" s="16"/>
      <c r="S116" s="17"/>
      <c r="T116" s="17"/>
      <c r="U116" s="17"/>
      <c r="V116" s="17"/>
      <c r="W116" s="17"/>
    </row>
    <row r="117" spans="7:23" ht="15.95" hidden="1" customHeight="1">
      <c r="G117" s="15"/>
      <c r="H117" s="15"/>
      <c r="I117" s="15"/>
      <c r="J117" s="15"/>
      <c r="K117" s="15"/>
      <c r="L117" s="15"/>
      <c r="M117" s="16"/>
      <c r="N117" s="16"/>
      <c r="O117" s="16"/>
      <c r="P117" s="16"/>
      <c r="Q117" s="16"/>
      <c r="R117" s="16"/>
      <c r="S117" s="17"/>
      <c r="T117" s="17"/>
      <c r="U117" s="17"/>
      <c r="V117" s="17"/>
      <c r="W117" s="17"/>
    </row>
    <row r="118" spans="7:23" ht="15.95" hidden="1" customHeight="1">
      <c r="G118" s="15"/>
      <c r="H118" s="15"/>
      <c r="I118" s="15"/>
      <c r="J118" s="15"/>
      <c r="K118" s="15"/>
      <c r="L118" s="15"/>
      <c r="M118" s="16"/>
      <c r="N118" s="16"/>
      <c r="O118" s="16"/>
      <c r="P118" s="16"/>
      <c r="Q118" s="16"/>
      <c r="R118" s="16"/>
      <c r="S118" s="17"/>
      <c r="T118" s="17"/>
      <c r="U118" s="17"/>
      <c r="V118" s="17"/>
      <c r="W118" s="17"/>
    </row>
    <row r="119" spans="7:23" ht="15.95" hidden="1" customHeight="1">
      <c r="G119" s="15"/>
      <c r="H119" s="15"/>
      <c r="I119" s="15"/>
      <c r="J119" s="15"/>
      <c r="K119" s="15"/>
      <c r="L119" s="15"/>
      <c r="M119" s="16"/>
      <c r="N119" s="16"/>
      <c r="O119" s="16"/>
      <c r="P119" s="16"/>
      <c r="Q119" s="16"/>
      <c r="R119" s="16"/>
      <c r="S119" s="17"/>
      <c r="T119" s="17"/>
      <c r="U119" s="17"/>
      <c r="V119" s="17"/>
      <c r="W119" s="17"/>
    </row>
    <row r="120" spans="7:23" ht="15.95" hidden="1" customHeight="1">
      <c r="G120" s="15"/>
      <c r="H120" s="15"/>
      <c r="I120" s="15"/>
      <c r="J120" s="15"/>
      <c r="K120" s="15"/>
      <c r="L120" s="15"/>
      <c r="M120" s="16"/>
      <c r="N120" s="16"/>
      <c r="O120" s="16"/>
      <c r="P120" s="16"/>
      <c r="Q120" s="16"/>
      <c r="R120" s="16"/>
      <c r="S120" s="17"/>
      <c r="T120" s="17"/>
      <c r="U120" s="17"/>
      <c r="V120" s="17"/>
      <c r="W120" s="17"/>
    </row>
    <row r="121" spans="7:23" ht="15.95" hidden="1" customHeight="1">
      <c r="G121" s="15"/>
      <c r="H121" s="15"/>
      <c r="I121" s="15"/>
      <c r="J121" s="15"/>
      <c r="K121" s="15"/>
      <c r="L121" s="15"/>
      <c r="M121" s="16"/>
      <c r="N121" s="16"/>
      <c r="O121" s="16"/>
      <c r="P121" s="16"/>
      <c r="Q121" s="16"/>
      <c r="R121" s="16"/>
      <c r="S121" s="17"/>
      <c r="T121" s="17"/>
      <c r="U121" s="17"/>
      <c r="V121" s="17"/>
      <c r="W121" s="17"/>
    </row>
    <row r="122" spans="7:23" ht="15.95" hidden="1" customHeight="1">
      <c r="G122" s="15"/>
      <c r="H122" s="15"/>
      <c r="I122" s="15"/>
      <c r="J122" s="15"/>
      <c r="K122" s="15"/>
      <c r="L122" s="15"/>
      <c r="M122" s="16"/>
      <c r="N122" s="16"/>
      <c r="O122" s="16"/>
      <c r="P122" s="16"/>
      <c r="Q122" s="16"/>
      <c r="R122" s="16"/>
      <c r="S122" s="17"/>
      <c r="T122" s="17"/>
      <c r="U122" s="17"/>
      <c r="V122" s="17"/>
      <c r="W122" s="17"/>
    </row>
    <row r="123" spans="7:23" ht="15.95" hidden="1" customHeight="1">
      <c r="G123" s="15"/>
      <c r="H123" s="15"/>
      <c r="I123" s="15"/>
      <c r="J123" s="15"/>
      <c r="K123" s="15"/>
      <c r="L123" s="15"/>
      <c r="M123" s="16"/>
      <c r="N123" s="16"/>
      <c r="O123" s="16"/>
      <c r="P123" s="16"/>
      <c r="Q123" s="16"/>
      <c r="R123" s="16"/>
      <c r="S123" s="17"/>
      <c r="T123" s="17"/>
      <c r="U123" s="17"/>
      <c r="V123" s="17"/>
      <c r="W123" s="17"/>
    </row>
    <row r="124" spans="7:23" ht="15.95" hidden="1" customHeight="1">
      <c r="G124" s="15"/>
      <c r="H124" s="15"/>
      <c r="I124" s="15"/>
      <c r="J124" s="15"/>
      <c r="K124" s="15"/>
      <c r="L124" s="15"/>
      <c r="M124" s="16"/>
      <c r="N124" s="16"/>
      <c r="O124" s="16"/>
      <c r="P124" s="16"/>
      <c r="Q124" s="16"/>
      <c r="R124" s="16"/>
      <c r="S124" s="17"/>
      <c r="T124" s="17"/>
      <c r="U124" s="17"/>
      <c r="V124" s="17"/>
      <c r="W124" s="17"/>
    </row>
    <row r="125" spans="7:23" ht="15.95" hidden="1" customHeight="1">
      <c r="G125" s="15"/>
      <c r="H125" s="15"/>
      <c r="I125" s="15"/>
      <c r="J125" s="15"/>
      <c r="K125" s="15"/>
      <c r="L125" s="15"/>
      <c r="M125" s="16"/>
      <c r="N125" s="16"/>
      <c r="O125" s="16"/>
      <c r="P125" s="16"/>
      <c r="Q125" s="16"/>
      <c r="R125" s="16"/>
      <c r="S125" s="17"/>
      <c r="T125" s="17"/>
      <c r="U125" s="17"/>
      <c r="V125" s="17"/>
      <c r="W125" s="17"/>
    </row>
    <row r="126" spans="7:23" ht="15.95" hidden="1" customHeight="1">
      <c r="G126" s="15"/>
      <c r="H126" s="15"/>
      <c r="I126" s="15"/>
      <c r="J126" s="15"/>
      <c r="K126" s="15"/>
      <c r="L126" s="15"/>
      <c r="M126" s="16"/>
      <c r="N126" s="16"/>
      <c r="O126" s="16"/>
      <c r="P126" s="16"/>
      <c r="Q126" s="16"/>
      <c r="R126" s="16"/>
      <c r="S126" s="17"/>
      <c r="T126" s="17"/>
      <c r="U126" s="17"/>
      <c r="V126" s="17"/>
      <c r="W126" s="17"/>
    </row>
    <row r="127" spans="7:23" ht="15.95" hidden="1" customHeight="1">
      <c r="G127" s="15"/>
      <c r="H127" s="15"/>
      <c r="I127" s="15"/>
      <c r="J127" s="15"/>
      <c r="K127" s="15"/>
      <c r="L127" s="15"/>
      <c r="M127" s="16"/>
      <c r="N127" s="16"/>
      <c r="O127" s="16"/>
      <c r="P127" s="16"/>
      <c r="Q127" s="16"/>
      <c r="R127" s="16"/>
      <c r="S127" s="17"/>
      <c r="T127" s="17"/>
      <c r="U127" s="17"/>
      <c r="V127" s="17"/>
      <c r="W127" s="17"/>
    </row>
    <row r="128" spans="7:23" ht="15.95" hidden="1" customHeight="1">
      <c r="G128" s="15"/>
      <c r="H128" s="15"/>
      <c r="I128" s="15"/>
      <c r="J128" s="15"/>
      <c r="K128" s="15"/>
      <c r="L128" s="15"/>
      <c r="M128" s="16"/>
      <c r="N128" s="16"/>
      <c r="O128" s="16"/>
      <c r="P128" s="16"/>
      <c r="Q128" s="16"/>
      <c r="R128" s="16"/>
      <c r="S128" s="17"/>
      <c r="T128" s="17"/>
      <c r="U128" s="17"/>
      <c r="V128" s="17"/>
      <c r="W128" s="17"/>
    </row>
    <row r="129" spans="7:23" ht="15.95" hidden="1" customHeight="1">
      <c r="G129" s="15"/>
      <c r="H129" s="15"/>
      <c r="I129" s="15"/>
      <c r="J129" s="15"/>
      <c r="K129" s="15"/>
      <c r="L129" s="15"/>
      <c r="M129" s="16"/>
      <c r="N129" s="16"/>
      <c r="O129" s="16"/>
      <c r="P129" s="16"/>
      <c r="Q129" s="16"/>
      <c r="R129" s="16"/>
      <c r="S129" s="17"/>
      <c r="T129" s="17"/>
      <c r="U129" s="17"/>
      <c r="V129" s="17"/>
      <c r="W129" s="17"/>
    </row>
    <row r="130" spans="7:23" ht="15.95" hidden="1" customHeight="1">
      <c r="G130" s="15"/>
      <c r="H130" s="15"/>
      <c r="I130" s="15"/>
      <c r="J130" s="15"/>
      <c r="K130" s="15"/>
      <c r="L130" s="15"/>
      <c r="M130" s="16"/>
      <c r="N130" s="16"/>
      <c r="O130" s="16"/>
      <c r="P130" s="16"/>
      <c r="Q130" s="16"/>
      <c r="R130" s="16"/>
      <c r="S130" s="17"/>
      <c r="T130" s="17"/>
      <c r="U130" s="17"/>
      <c r="V130" s="17"/>
      <c r="W130" s="17"/>
    </row>
    <row r="131" spans="7:23" ht="15.95" hidden="1" customHeight="1">
      <c r="G131" s="15"/>
      <c r="H131" s="15"/>
      <c r="I131" s="15"/>
      <c r="J131" s="15"/>
      <c r="K131" s="15"/>
      <c r="L131" s="15"/>
      <c r="M131" s="16"/>
      <c r="N131" s="16"/>
      <c r="O131" s="16"/>
      <c r="P131" s="16"/>
      <c r="Q131" s="16"/>
      <c r="R131" s="16"/>
      <c r="S131" s="17"/>
      <c r="T131" s="17"/>
      <c r="U131" s="17"/>
      <c r="V131" s="17"/>
      <c r="W131" s="17"/>
    </row>
    <row r="132" spans="7:23" ht="15.95" hidden="1" customHeight="1">
      <c r="G132" s="15"/>
      <c r="H132" s="15"/>
      <c r="I132" s="15"/>
      <c r="J132" s="15"/>
      <c r="K132" s="15"/>
      <c r="L132" s="15"/>
      <c r="M132" s="16"/>
      <c r="N132" s="16"/>
      <c r="O132" s="16"/>
      <c r="P132" s="16"/>
      <c r="Q132" s="16"/>
      <c r="R132" s="16"/>
      <c r="S132" s="17"/>
      <c r="T132" s="17"/>
      <c r="U132" s="17"/>
      <c r="V132" s="17"/>
      <c r="W132" s="17"/>
    </row>
    <row r="133" spans="7:23" ht="15.95" hidden="1" customHeight="1">
      <c r="G133" s="15"/>
      <c r="H133" s="15"/>
      <c r="I133" s="15"/>
      <c r="J133" s="15"/>
      <c r="K133" s="15"/>
      <c r="L133" s="15"/>
      <c r="M133" s="16"/>
      <c r="N133" s="16"/>
      <c r="O133" s="16"/>
      <c r="P133" s="16"/>
      <c r="Q133" s="16"/>
      <c r="R133" s="16"/>
      <c r="S133" s="17"/>
      <c r="T133" s="17"/>
      <c r="U133" s="17"/>
      <c r="V133" s="17"/>
      <c r="W133" s="17"/>
    </row>
    <row r="134" spans="7:23" ht="15.95" hidden="1" customHeight="1">
      <c r="G134" s="15"/>
      <c r="H134" s="15"/>
      <c r="I134" s="15"/>
      <c r="J134" s="15"/>
      <c r="K134" s="15"/>
      <c r="L134" s="15"/>
      <c r="M134" s="16"/>
      <c r="N134" s="16"/>
      <c r="O134" s="16"/>
      <c r="P134" s="16"/>
      <c r="Q134" s="16"/>
      <c r="R134" s="16"/>
      <c r="S134" s="17"/>
      <c r="T134" s="17"/>
      <c r="U134" s="17"/>
      <c r="V134" s="17"/>
      <c r="W134" s="17"/>
    </row>
    <row r="135" spans="7:23" ht="15.95" hidden="1" customHeight="1">
      <c r="G135" s="15"/>
      <c r="H135" s="15"/>
      <c r="I135" s="15"/>
      <c r="J135" s="15"/>
      <c r="K135" s="15"/>
      <c r="L135" s="15"/>
      <c r="M135" s="16"/>
      <c r="N135" s="16"/>
      <c r="O135" s="16"/>
      <c r="P135" s="16"/>
      <c r="Q135" s="16"/>
      <c r="R135" s="16"/>
      <c r="S135" s="17"/>
      <c r="T135" s="17"/>
      <c r="U135" s="17"/>
      <c r="V135" s="17"/>
      <c r="W135" s="17"/>
    </row>
    <row r="136" spans="7:23" ht="15.95" hidden="1" customHeight="1">
      <c r="G136" s="15"/>
      <c r="H136" s="15"/>
      <c r="I136" s="15"/>
      <c r="J136" s="15"/>
      <c r="K136" s="15"/>
      <c r="L136" s="15"/>
      <c r="M136" s="16"/>
      <c r="N136" s="16"/>
      <c r="O136" s="16"/>
      <c r="P136" s="16"/>
      <c r="Q136" s="16"/>
      <c r="R136" s="16"/>
      <c r="S136" s="17"/>
      <c r="T136" s="17"/>
      <c r="U136" s="17"/>
      <c r="V136" s="17"/>
      <c r="W136" s="17"/>
    </row>
    <row r="137" spans="7:23" ht="15.95" hidden="1" customHeight="1">
      <c r="G137" s="15"/>
      <c r="H137" s="15"/>
      <c r="I137" s="15"/>
      <c r="J137" s="15"/>
      <c r="K137" s="15"/>
      <c r="L137" s="15"/>
      <c r="M137" s="16"/>
      <c r="N137" s="16"/>
      <c r="O137" s="16"/>
      <c r="P137" s="16"/>
      <c r="Q137" s="16"/>
      <c r="R137" s="16"/>
      <c r="S137" s="17"/>
      <c r="T137" s="17"/>
      <c r="U137" s="17"/>
      <c r="V137" s="17"/>
      <c r="W137" s="17"/>
    </row>
    <row r="138" spans="7:23" ht="15.95" hidden="1" customHeight="1">
      <c r="G138" s="15"/>
      <c r="H138" s="15"/>
      <c r="I138" s="15"/>
      <c r="J138" s="15"/>
      <c r="K138" s="15"/>
      <c r="L138" s="15"/>
      <c r="M138" s="16"/>
      <c r="N138" s="16"/>
      <c r="O138" s="16"/>
      <c r="P138" s="16"/>
      <c r="Q138" s="16"/>
      <c r="R138" s="16"/>
      <c r="S138" s="17"/>
      <c r="T138" s="17"/>
      <c r="U138" s="17"/>
      <c r="V138" s="17"/>
      <c r="W138" s="17"/>
    </row>
    <row r="139" spans="7:23" ht="15.95" hidden="1" customHeight="1">
      <c r="G139" s="15"/>
      <c r="H139" s="15"/>
      <c r="I139" s="15"/>
      <c r="J139" s="15"/>
      <c r="K139" s="15"/>
      <c r="L139" s="15"/>
      <c r="M139" s="16"/>
      <c r="N139" s="16"/>
      <c r="O139" s="16"/>
      <c r="P139" s="16"/>
      <c r="Q139" s="16"/>
      <c r="R139" s="16"/>
      <c r="S139" s="17"/>
      <c r="T139" s="17"/>
      <c r="U139" s="17"/>
      <c r="V139" s="17"/>
      <c r="W139" s="17"/>
    </row>
    <row r="140" spans="7:23" ht="15.95" hidden="1" customHeight="1">
      <c r="G140" s="15"/>
      <c r="H140" s="15"/>
      <c r="I140" s="15"/>
      <c r="J140" s="15"/>
      <c r="K140" s="15"/>
      <c r="L140" s="15"/>
      <c r="M140" s="16"/>
      <c r="N140" s="16"/>
      <c r="O140" s="16"/>
      <c r="P140" s="16"/>
      <c r="Q140" s="16"/>
      <c r="R140" s="16"/>
      <c r="S140" s="17"/>
      <c r="T140" s="17"/>
      <c r="U140" s="17"/>
      <c r="V140" s="17"/>
      <c r="W140" s="17"/>
    </row>
    <row r="141" spans="7:23" ht="15.95" hidden="1" customHeight="1">
      <c r="G141" s="15"/>
      <c r="H141" s="15"/>
      <c r="I141" s="15"/>
      <c r="J141" s="15"/>
      <c r="K141" s="15"/>
      <c r="L141" s="15"/>
      <c r="M141" s="16"/>
      <c r="N141" s="16"/>
      <c r="O141" s="16"/>
      <c r="P141" s="16"/>
      <c r="Q141" s="16"/>
      <c r="R141" s="16"/>
      <c r="S141" s="17"/>
      <c r="T141" s="17"/>
      <c r="U141" s="17"/>
      <c r="V141" s="17"/>
      <c r="W141" s="17"/>
    </row>
    <row r="142" spans="7:23" ht="15.95" hidden="1" customHeight="1">
      <c r="G142" s="15"/>
      <c r="H142" s="15"/>
      <c r="I142" s="15"/>
      <c r="J142" s="15"/>
      <c r="K142" s="15"/>
      <c r="L142" s="15"/>
      <c r="M142" s="16"/>
      <c r="N142" s="16"/>
      <c r="O142" s="16"/>
      <c r="P142" s="16"/>
      <c r="Q142" s="16"/>
      <c r="R142" s="16"/>
      <c r="S142" s="17"/>
      <c r="T142" s="17"/>
      <c r="U142" s="17"/>
      <c r="V142" s="17"/>
      <c r="W142" s="17"/>
    </row>
    <row r="143" spans="7:23" ht="15.95" hidden="1" customHeight="1">
      <c r="G143" s="15"/>
      <c r="H143" s="15"/>
      <c r="I143" s="15"/>
      <c r="J143" s="15"/>
      <c r="K143" s="15"/>
      <c r="L143" s="15"/>
      <c r="M143" s="16"/>
      <c r="N143" s="16"/>
      <c r="O143" s="16"/>
      <c r="P143" s="16"/>
      <c r="Q143" s="16"/>
      <c r="R143" s="16"/>
      <c r="S143" s="17"/>
      <c r="T143" s="17"/>
      <c r="U143" s="17"/>
      <c r="V143" s="17"/>
      <c r="W143" s="17"/>
    </row>
    <row r="144" spans="7:23" ht="15.95" hidden="1" customHeight="1">
      <c r="G144" s="15"/>
      <c r="H144" s="15"/>
      <c r="I144" s="15"/>
      <c r="J144" s="15"/>
      <c r="K144" s="15"/>
      <c r="L144" s="15"/>
      <c r="M144" s="16"/>
      <c r="N144" s="16"/>
      <c r="O144" s="16"/>
      <c r="P144" s="16"/>
      <c r="Q144" s="16"/>
      <c r="R144" s="16"/>
      <c r="S144" s="17"/>
      <c r="T144" s="17"/>
      <c r="U144" s="17"/>
      <c r="V144" s="17"/>
      <c r="W144" s="17"/>
    </row>
    <row r="145" spans="7:23" ht="15.95" hidden="1" customHeight="1">
      <c r="G145" s="15"/>
      <c r="H145" s="15"/>
      <c r="I145" s="15"/>
      <c r="J145" s="15"/>
      <c r="K145" s="15"/>
      <c r="L145" s="15"/>
      <c r="M145" s="16"/>
      <c r="N145" s="16"/>
      <c r="O145" s="16"/>
      <c r="P145" s="16"/>
      <c r="Q145" s="16"/>
      <c r="R145" s="16"/>
      <c r="S145" s="17"/>
      <c r="T145" s="17"/>
      <c r="U145" s="17"/>
      <c r="V145" s="17"/>
      <c r="W145" s="17"/>
    </row>
    <row r="146" spans="7:23" ht="15.95" hidden="1" customHeight="1">
      <c r="G146" s="15"/>
      <c r="H146" s="15"/>
      <c r="I146" s="15"/>
      <c r="J146" s="15"/>
      <c r="K146" s="15"/>
      <c r="L146" s="15"/>
      <c r="M146" s="16"/>
      <c r="N146" s="16"/>
      <c r="O146" s="16"/>
      <c r="P146" s="16"/>
      <c r="Q146" s="16"/>
      <c r="R146" s="16"/>
      <c r="S146" s="17"/>
      <c r="T146" s="17"/>
      <c r="U146" s="17"/>
      <c r="V146" s="17"/>
      <c r="W146" s="17"/>
    </row>
    <row r="147" spans="7:23" ht="15.95" hidden="1" customHeight="1">
      <c r="G147" s="15"/>
      <c r="H147" s="15"/>
      <c r="I147" s="15"/>
      <c r="J147" s="15"/>
      <c r="K147" s="15"/>
      <c r="L147" s="15"/>
      <c r="M147" s="16"/>
      <c r="N147" s="16"/>
      <c r="O147" s="16"/>
      <c r="P147" s="16"/>
      <c r="Q147" s="16"/>
      <c r="R147" s="16"/>
      <c r="S147" s="17"/>
      <c r="T147" s="17"/>
      <c r="U147" s="17"/>
      <c r="V147" s="17"/>
      <c r="W147" s="17"/>
    </row>
    <row r="148" spans="7:23" ht="15.95" hidden="1" customHeight="1">
      <c r="G148" s="15"/>
      <c r="H148" s="15"/>
      <c r="I148" s="15"/>
      <c r="J148" s="15"/>
      <c r="K148" s="15"/>
      <c r="L148" s="15"/>
      <c r="M148" s="16"/>
      <c r="N148" s="16"/>
      <c r="O148" s="16"/>
      <c r="P148" s="16"/>
      <c r="Q148" s="16"/>
      <c r="R148" s="16"/>
      <c r="S148" s="17"/>
      <c r="T148" s="17"/>
      <c r="U148" s="17"/>
      <c r="V148" s="17"/>
      <c r="W148" s="17"/>
    </row>
    <row r="149" spans="7:23" ht="15.95" hidden="1" customHeight="1">
      <c r="G149" s="15"/>
      <c r="H149" s="15"/>
      <c r="I149" s="15"/>
      <c r="J149" s="15"/>
      <c r="K149" s="15"/>
      <c r="L149" s="15"/>
      <c r="M149" s="16"/>
      <c r="N149" s="16"/>
      <c r="O149" s="16"/>
      <c r="P149" s="16"/>
      <c r="Q149" s="16"/>
      <c r="R149" s="16"/>
      <c r="S149" s="17"/>
      <c r="T149" s="17"/>
      <c r="U149" s="17"/>
      <c r="V149" s="17"/>
      <c r="W149" s="17"/>
    </row>
    <row r="150" spans="7:23" ht="15.95" hidden="1" customHeight="1">
      <c r="G150" s="15"/>
      <c r="H150" s="15"/>
      <c r="I150" s="15"/>
      <c r="J150" s="15"/>
      <c r="K150" s="15"/>
      <c r="L150" s="15"/>
      <c r="M150" s="16"/>
      <c r="N150" s="16"/>
      <c r="O150" s="16"/>
      <c r="P150" s="16"/>
      <c r="Q150" s="16"/>
      <c r="R150" s="16"/>
      <c r="S150" s="17"/>
      <c r="T150" s="17"/>
      <c r="U150" s="17"/>
      <c r="V150" s="17"/>
      <c r="W150" s="17"/>
    </row>
    <row r="151" spans="7:23" ht="15.95" hidden="1" customHeight="1">
      <c r="G151" s="15"/>
      <c r="H151" s="15"/>
      <c r="I151" s="15"/>
      <c r="J151" s="15"/>
      <c r="K151" s="15"/>
      <c r="L151" s="15"/>
      <c r="M151" s="16"/>
      <c r="N151" s="16"/>
      <c r="O151" s="16"/>
      <c r="P151" s="16"/>
      <c r="Q151" s="16"/>
      <c r="R151" s="16"/>
      <c r="S151" s="17"/>
      <c r="T151" s="17"/>
      <c r="U151" s="17"/>
      <c r="V151" s="17"/>
      <c r="W151" s="17"/>
    </row>
    <row r="152" spans="7:23" ht="15.95" hidden="1" customHeight="1">
      <c r="G152" s="15"/>
      <c r="H152" s="15"/>
      <c r="I152" s="15"/>
      <c r="J152" s="15"/>
      <c r="K152" s="15"/>
      <c r="L152" s="15"/>
      <c r="M152" s="16"/>
      <c r="N152" s="16"/>
      <c r="O152" s="16"/>
      <c r="P152" s="16"/>
      <c r="Q152" s="16"/>
      <c r="R152" s="16"/>
      <c r="S152" s="17"/>
      <c r="T152" s="17"/>
      <c r="U152" s="17"/>
      <c r="V152" s="17"/>
      <c r="W152" s="17"/>
    </row>
    <row r="153" spans="7:23" ht="15.95" hidden="1" customHeight="1">
      <c r="G153" s="15"/>
      <c r="H153" s="15"/>
      <c r="I153" s="15"/>
      <c r="J153" s="15"/>
      <c r="K153" s="15"/>
      <c r="L153" s="15"/>
      <c r="M153" s="16"/>
      <c r="N153" s="16"/>
      <c r="O153" s="16"/>
      <c r="P153" s="16"/>
      <c r="Q153" s="16"/>
      <c r="R153" s="16"/>
      <c r="S153" s="17"/>
      <c r="T153" s="17"/>
      <c r="U153" s="17"/>
      <c r="V153" s="17"/>
      <c r="W153" s="17"/>
    </row>
    <row r="154" spans="7:23" ht="15.95" hidden="1" customHeight="1">
      <c r="G154" s="15"/>
      <c r="H154" s="15"/>
      <c r="I154" s="15"/>
      <c r="J154" s="15"/>
      <c r="K154" s="15"/>
      <c r="L154" s="15"/>
      <c r="M154" s="16"/>
      <c r="N154" s="16"/>
      <c r="O154" s="16"/>
      <c r="P154" s="16"/>
      <c r="Q154" s="16"/>
      <c r="R154" s="16"/>
      <c r="S154" s="17"/>
      <c r="T154" s="17"/>
      <c r="U154" s="17"/>
      <c r="V154" s="17"/>
      <c r="W154" s="17"/>
    </row>
    <row r="155" spans="7:23" ht="15.95" hidden="1" customHeight="1">
      <c r="G155" s="15"/>
      <c r="H155" s="15"/>
      <c r="I155" s="15"/>
      <c r="J155" s="15"/>
      <c r="K155" s="15"/>
      <c r="L155" s="15"/>
      <c r="M155" s="16"/>
      <c r="N155" s="16"/>
      <c r="O155" s="16"/>
      <c r="P155" s="16"/>
      <c r="Q155" s="16"/>
      <c r="R155" s="16"/>
      <c r="S155" s="17"/>
      <c r="T155" s="17"/>
      <c r="U155" s="17"/>
      <c r="V155" s="17"/>
      <c r="W155" s="17"/>
    </row>
    <row r="156" spans="7:23" ht="15.95" hidden="1" customHeight="1">
      <c r="G156" s="15"/>
      <c r="H156" s="15"/>
      <c r="I156" s="15"/>
      <c r="J156" s="15"/>
      <c r="K156" s="15"/>
      <c r="L156" s="15"/>
      <c r="M156" s="16"/>
      <c r="N156" s="16"/>
      <c r="O156" s="16"/>
      <c r="P156" s="16"/>
      <c r="Q156" s="16"/>
      <c r="R156" s="16"/>
      <c r="S156" s="17"/>
      <c r="T156" s="17"/>
      <c r="U156" s="17"/>
      <c r="V156" s="17"/>
      <c r="W156" s="17"/>
    </row>
    <row r="157" spans="7:23" ht="15.95" hidden="1" customHeight="1">
      <c r="G157" s="15"/>
      <c r="H157" s="15"/>
      <c r="I157" s="15"/>
      <c r="J157" s="15"/>
      <c r="K157" s="15"/>
      <c r="L157" s="15"/>
      <c r="M157" s="16"/>
      <c r="N157" s="16"/>
      <c r="O157" s="16"/>
      <c r="P157" s="16"/>
      <c r="Q157" s="16"/>
      <c r="R157" s="16"/>
      <c r="S157" s="17"/>
      <c r="T157" s="17"/>
      <c r="U157" s="17"/>
      <c r="V157" s="17"/>
      <c r="W157" s="17"/>
    </row>
    <row r="158" spans="7:23" ht="15.95" hidden="1" customHeight="1">
      <c r="G158" s="15"/>
      <c r="H158" s="15"/>
      <c r="I158" s="15"/>
      <c r="J158" s="15"/>
      <c r="K158" s="15"/>
      <c r="L158" s="15"/>
      <c r="M158" s="16"/>
      <c r="N158" s="16"/>
      <c r="O158" s="16"/>
      <c r="P158" s="16"/>
      <c r="Q158" s="16"/>
      <c r="R158" s="16"/>
      <c r="S158" s="17"/>
      <c r="T158" s="17"/>
      <c r="U158" s="17"/>
      <c r="V158" s="17"/>
      <c r="W158" s="17"/>
    </row>
    <row r="159" spans="7:23" ht="15.95" hidden="1" customHeight="1">
      <c r="G159" s="15"/>
      <c r="H159" s="15"/>
      <c r="I159" s="15"/>
      <c r="J159" s="15"/>
      <c r="K159" s="15"/>
      <c r="L159" s="15"/>
      <c r="M159" s="16"/>
      <c r="N159" s="16"/>
      <c r="O159" s="16"/>
      <c r="P159" s="16"/>
      <c r="Q159" s="16"/>
      <c r="R159" s="16"/>
      <c r="S159" s="17"/>
      <c r="T159" s="17"/>
      <c r="U159" s="17"/>
      <c r="V159" s="17"/>
      <c r="W159" s="17"/>
    </row>
    <row r="160" spans="7:23" ht="15.95" hidden="1" customHeight="1">
      <c r="G160" s="15"/>
      <c r="H160" s="15"/>
      <c r="I160" s="15"/>
      <c r="J160" s="15"/>
      <c r="K160" s="15"/>
      <c r="L160" s="15"/>
      <c r="M160" s="16"/>
      <c r="N160" s="16"/>
      <c r="O160" s="16"/>
      <c r="P160" s="16"/>
      <c r="Q160" s="16"/>
      <c r="R160" s="16"/>
      <c r="S160" s="17"/>
      <c r="T160" s="17"/>
      <c r="U160" s="17"/>
      <c r="V160" s="17"/>
      <c r="W160" s="17"/>
    </row>
    <row r="161" spans="7:23" ht="15.95" hidden="1" customHeight="1">
      <c r="G161" s="15"/>
      <c r="H161" s="15"/>
      <c r="I161" s="15"/>
      <c r="J161" s="15"/>
      <c r="K161" s="15"/>
      <c r="L161" s="15"/>
      <c r="M161" s="16"/>
      <c r="N161" s="16"/>
      <c r="O161" s="16"/>
      <c r="P161" s="16"/>
      <c r="Q161" s="16"/>
      <c r="R161" s="16"/>
      <c r="S161" s="17"/>
      <c r="T161" s="17"/>
      <c r="U161" s="17"/>
      <c r="V161" s="17"/>
      <c r="W161" s="17"/>
    </row>
    <row r="162" spans="7:23" ht="15.95" hidden="1" customHeight="1">
      <c r="G162" s="15"/>
      <c r="H162" s="15"/>
      <c r="I162" s="15"/>
      <c r="J162" s="15"/>
      <c r="K162" s="15"/>
      <c r="L162" s="15"/>
      <c r="M162" s="16"/>
      <c r="N162" s="16"/>
      <c r="O162" s="16"/>
      <c r="P162" s="16"/>
      <c r="Q162" s="16"/>
      <c r="R162" s="16"/>
      <c r="S162" s="17"/>
      <c r="T162" s="17"/>
      <c r="U162" s="17"/>
      <c r="V162" s="17"/>
      <c r="W162" s="17"/>
    </row>
    <row r="163" spans="7:23" ht="15.95" hidden="1" customHeight="1">
      <c r="G163" s="15"/>
      <c r="H163" s="15"/>
      <c r="I163" s="15"/>
      <c r="J163" s="15"/>
      <c r="K163" s="15"/>
      <c r="L163" s="15"/>
      <c r="M163" s="16"/>
      <c r="N163" s="16"/>
      <c r="O163" s="16"/>
      <c r="P163" s="16"/>
      <c r="Q163" s="16"/>
      <c r="R163" s="16"/>
      <c r="S163" s="17"/>
      <c r="T163" s="17"/>
      <c r="U163" s="17"/>
      <c r="V163" s="17"/>
      <c r="W163" s="17"/>
    </row>
    <row r="164" spans="7:23" ht="15.95" hidden="1" customHeight="1">
      <c r="G164" s="15"/>
      <c r="H164" s="15"/>
      <c r="I164" s="15"/>
      <c r="J164" s="15"/>
      <c r="K164" s="15"/>
      <c r="L164" s="15"/>
      <c r="M164" s="16"/>
      <c r="N164" s="16"/>
      <c r="O164" s="16"/>
      <c r="P164" s="16"/>
      <c r="Q164" s="16"/>
      <c r="R164" s="16"/>
      <c r="S164" s="17"/>
      <c r="T164" s="17"/>
      <c r="U164" s="17"/>
      <c r="V164" s="17"/>
      <c r="W164" s="17"/>
    </row>
    <row r="165" spans="7:23" ht="15.95" hidden="1" customHeight="1">
      <c r="G165" s="15"/>
      <c r="H165" s="15"/>
      <c r="I165" s="15"/>
      <c r="J165" s="15"/>
      <c r="K165" s="15"/>
      <c r="L165" s="15"/>
      <c r="M165" s="16"/>
      <c r="N165" s="16"/>
      <c r="O165" s="16"/>
      <c r="P165" s="16"/>
      <c r="Q165" s="16"/>
      <c r="R165" s="16"/>
      <c r="S165" s="17"/>
      <c r="T165" s="17"/>
      <c r="U165" s="17"/>
      <c r="V165" s="17"/>
      <c r="W165" s="17"/>
    </row>
    <row r="166" spans="7:23" ht="15.95" hidden="1" customHeight="1">
      <c r="G166" s="15"/>
      <c r="H166" s="15"/>
      <c r="I166" s="15"/>
      <c r="J166" s="15"/>
      <c r="K166" s="15"/>
      <c r="L166" s="15"/>
      <c r="M166" s="16"/>
      <c r="N166" s="16"/>
      <c r="O166" s="16"/>
      <c r="P166" s="16"/>
      <c r="Q166" s="16"/>
      <c r="R166" s="16"/>
      <c r="S166" s="17"/>
      <c r="T166" s="17"/>
      <c r="U166" s="17"/>
      <c r="V166" s="17"/>
      <c r="W166" s="17"/>
    </row>
    <row r="167" spans="7:23" ht="15.95" hidden="1" customHeight="1">
      <c r="G167" s="15"/>
      <c r="H167" s="15"/>
      <c r="I167" s="15"/>
      <c r="J167" s="15"/>
      <c r="K167" s="15"/>
      <c r="L167" s="15"/>
      <c r="M167" s="16"/>
      <c r="N167" s="16"/>
      <c r="O167" s="16"/>
      <c r="P167" s="16"/>
      <c r="Q167" s="16"/>
      <c r="R167" s="16"/>
      <c r="S167" s="17"/>
      <c r="T167" s="17"/>
      <c r="U167" s="17"/>
      <c r="V167" s="17"/>
      <c r="W167" s="17"/>
    </row>
    <row r="168" spans="7:23" ht="15.95" hidden="1" customHeight="1">
      <c r="G168" s="15"/>
      <c r="H168" s="15"/>
      <c r="I168" s="15"/>
      <c r="J168" s="15"/>
      <c r="K168" s="15"/>
      <c r="L168" s="15"/>
      <c r="M168" s="16"/>
      <c r="N168" s="16"/>
      <c r="O168" s="16"/>
      <c r="P168" s="16"/>
      <c r="Q168" s="16"/>
      <c r="R168" s="16"/>
      <c r="S168" s="17"/>
      <c r="T168" s="17"/>
      <c r="U168" s="17"/>
      <c r="V168" s="17"/>
      <c r="W168" s="17"/>
    </row>
    <row r="169" spans="7:23" ht="15.95" hidden="1" customHeight="1">
      <c r="G169" s="15"/>
      <c r="H169" s="15"/>
      <c r="I169" s="15"/>
      <c r="J169" s="15"/>
      <c r="K169" s="15"/>
      <c r="L169" s="15"/>
      <c r="M169" s="16"/>
      <c r="N169" s="16"/>
      <c r="O169" s="16"/>
      <c r="P169" s="16"/>
      <c r="Q169" s="16"/>
      <c r="R169" s="16"/>
      <c r="S169" s="17"/>
      <c r="T169" s="17"/>
      <c r="U169" s="17"/>
      <c r="V169" s="17"/>
      <c r="W169" s="17"/>
    </row>
    <row r="170" spans="7:23" ht="15.95" hidden="1" customHeight="1">
      <c r="G170" s="15"/>
      <c r="H170" s="15"/>
      <c r="I170" s="15"/>
      <c r="J170" s="15"/>
      <c r="K170" s="15"/>
      <c r="L170" s="15"/>
      <c r="M170" s="16"/>
      <c r="N170" s="16"/>
      <c r="O170" s="16"/>
      <c r="P170" s="16"/>
      <c r="Q170" s="16"/>
      <c r="R170" s="16"/>
      <c r="S170" s="17"/>
      <c r="T170" s="17"/>
      <c r="U170" s="17"/>
      <c r="V170" s="17"/>
      <c r="W170" s="17"/>
    </row>
    <row r="171" spans="7:23" ht="15.95" hidden="1" customHeight="1">
      <c r="G171" s="15"/>
      <c r="H171" s="15"/>
      <c r="I171" s="15"/>
      <c r="J171" s="15"/>
      <c r="K171" s="15"/>
      <c r="L171" s="15"/>
      <c r="M171" s="16"/>
      <c r="N171" s="16"/>
      <c r="O171" s="16"/>
      <c r="P171" s="16"/>
      <c r="Q171" s="16"/>
      <c r="R171" s="16"/>
      <c r="S171" s="17"/>
      <c r="T171" s="17"/>
      <c r="U171" s="17"/>
      <c r="V171" s="17"/>
      <c r="W171" s="17"/>
    </row>
    <row r="172" spans="7:23" ht="15.95" hidden="1" customHeight="1">
      <c r="G172" s="15"/>
      <c r="H172" s="15"/>
      <c r="I172" s="15"/>
      <c r="J172" s="15"/>
      <c r="K172" s="15"/>
      <c r="L172" s="15"/>
      <c r="M172" s="16"/>
      <c r="N172" s="16"/>
      <c r="O172" s="16"/>
      <c r="P172" s="16"/>
      <c r="Q172" s="16"/>
      <c r="R172" s="16"/>
      <c r="S172" s="17"/>
      <c r="T172" s="17"/>
      <c r="U172" s="17"/>
      <c r="V172" s="17"/>
      <c r="W172" s="17"/>
    </row>
    <row r="173" spans="7:23" ht="15.95" hidden="1" customHeight="1">
      <c r="G173" s="15"/>
      <c r="H173" s="15"/>
      <c r="I173" s="15"/>
      <c r="J173" s="15"/>
      <c r="K173" s="15"/>
      <c r="L173" s="15"/>
      <c r="M173" s="16"/>
      <c r="N173" s="16"/>
      <c r="O173" s="16"/>
      <c r="P173" s="16"/>
      <c r="Q173" s="16"/>
      <c r="R173" s="16"/>
      <c r="S173" s="17"/>
      <c r="T173" s="17"/>
      <c r="U173" s="17"/>
      <c r="V173" s="17"/>
      <c r="W173" s="17"/>
    </row>
    <row r="174" spans="7:23" ht="15.95" hidden="1" customHeight="1">
      <c r="G174" s="15"/>
      <c r="H174" s="15"/>
      <c r="I174" s="15"/>
      <c r="J174" s="15"/>
      <c r="K174" s="15"/>
      <c r="L174" s="15"/>
      <c r="M174" s="16"/>
      <c r="N174" s="16"/>
      <c r="O174" s="16"/>
      <c r="P174" s="16"/>
      <c r="Q174" s="16"/>
      <c r="R174" s="16"/>
      <c r="S174" s="17"/>
      <c r="T174" s="17"/>
      <c r="U174" s="17"/>
      <c r="V174" s="17"/>
      <c r="W174" s="17"/>
    </row>
    <row r="175" spans="7:23" ht="15.95" hidden="1" customHeight="1">
      <c r="G175" s="15"/>
      <c r="H175" s="15"/>
      <c r="I175" s="15"/>
      <c r="J175" s="15"/>
      <c r="K175" s="15"/>
      <c r="L175" s="15"/>
      <c r="M175" s="16"/>
      <c r="N175" s="16"/>
      <c r="O175" s="16"/>
      <c r="P175" s="16"/>
      <c r="Q175" s="16"/>
      <c r="R175" s="16"/>
      <c r="S175" s="17"/>
      <c r="T175" s="17"/>
      <c r="U175" s="17"/>
      <c r="V175" s="17"/>
      <c r="W175" s="17"/>
    </row>
    <row r="176" spans="7:23" ht="15.95" hidden="1" customHeight="1">
      <c r="G176" s="15"/>
      <c r="H176" s="15"/>
      <c r="I176" s="15"/>
      <c r="J176" s="15"/>
      <c r="K176" s="15"/>
      <c r="L176" s="15"/>
      <c r="M176" s="16"/>
      <c r="N176" s="16"/>
      <c r="O176" s="16"/>
      <c r="P176" s="16"/>
      <c r="Q176" s="16"/>
      <c r="R176" s="16"/>
      <c r="S176" s="17"/>
      <c r="T176" s="17"/>
      <c r="U176" s="17"/>
      <c r="V176" s="17"/>
      <c r="W176" s="17"/>
    </row>
    <row r="177" spans="7:23" ht="15.95" hidden="1" customHeight="1">
      <c r="G177" s="15"/>
      <c r="H177" s="15"/>
      <c r="I177" s="15"/>
      <c r="J177" s="15"/>
      <c r="K177" s="15"/>
      <c r="L177" s="15"/>
      <c r="M177" s="16"/>
      <c r="N177" s="16"/>
      <c r="O177" s="16"/>
      <c r="P177" s="16"/>
      <c r="Q177" s="16"/>
      <c r="R177" s="16"/>
      <c r="S177" s="17"/>
      <c r="T177" s="17"/>
      <c r="U177" s="17"/>
      <c r="V177" s="17"/>
      <c r="W177" s="17"/>
    </row>
    <row r="178" spans="7:23" ht="15.95" hidden="1" customHeight="1">
      <c r="G178" s="15"/>
      <c r="H178" s="15"/>
      <c r="I178" s="15"/>
      <c r="J178" s="15"/>
      <c r="K178" s="15"/>
      <c r="L178" s="15"/>
      <c r="M178" s="16"/>
      <c r="N178" s="16"/>
      <c r="O178" s="16"/>
      <c r="P178" s="16"/>
      <c r="Q178" s="16"/>
      <c r="R178" s="16"/>
      <c r="S178" s="17"/>
      <c r="T178" s="17"/>
      <c r="U178" s="17"/>
      <c r="V178" s="17"/>
      <c r="W178" s="17"/>
    </row>
    <row r="179" spans="7:23" ht="15.95" hidden="1" customHeight="1">
      <c r="G179" s="15"/>
      <c r="H179" s="15"/>
      <c r="I179" s="15"/>
      <c r="J179" s="15"/>
      <c r="K179" s="15"/>
      <c r="L179" s="15"/>
      <c r="M179" s="16"/>
      <c r="N179" s="16"/>
      <c r="O179" s="16"/>
      <c r="P179" s="16"/>
      <c r="Q179" s="16"/>
      <c r="R179" s="16"/>
      <c r="S179" s="17"/>
      <c r="T179" s="17"/>
      <c r="U179" s="17"/>
      <c r="V179" s="17"/>
      <c r="W179" s="17"/>
    </row>
    <row r="180" spans="7:23" ht="15.95" hidden="1" customHeight="1">
      <c r="G180" s="15"/>
      <c r="H180" s="15"/>
      <c r="I180" s="15"/>
      <c r="J180" s="15"/>
      <c r="K180" s="15"/>
      <c r="L180" s="15"/>
      <c r="M180" s="16"/>
      <c r="N180" s="16"/>
      <c r="O180" s="16"/>
      <c r="P180" s="16"/>
      <c r="Q180" s="16"/>
      <c r="R180" s="16"/>
      <c r="S180" s="17"/>
      <c r="T180" s="17"/>
      <c r="U180" s="17"/>
      <c r="V180" s="17"/>
      <c r="W180" s="17"/>
    </row>
    <row r="181" spans="7:23" ht="15.95" hidden="1" customHeight="1">
      <c r="G181" s="15"/>
      <c r="H181" s="15"/>
      <c r="I181" s="15"/>
      <c r="J181" s="15"/>
      <c r="K181" s="15"/>
      <c r="L181" s="15"/>
      <c r="M181" s="16"/>
      <c r="N181" s="16"/>
      <c r="O181" s="16"/>
      <c r="P181" s="16"/>
      <c r="Q181" s="16"/>
      <c r="R181" s="16"/>
      <c r="S181" s="17"/>
      <c r="T181" s="17"/>
      <c r="U181" s="17"/>
      <c r="V181" s="17"/>
      <c r="W181" s="17"/>
    </row>
    <row r="182" spans="7:23" ht="15.95" hidden="1" customHeight="1">
      <c r="G182" s="15"/>
      <c r="H182" s="15"/>
      <c r="I182" s="15"/>
      <c r="J182" s="15"/>
      <c r="K182" s="15"/>
      <c r="L182" s="15"/>
      <c r="M182" s="16"/>
      <c r="N182" s="16"/>
      <c r="O182" s="16"/>
      <c r="P182" s="16"/>
      <c r="Q182" s="16"/>
      <c r="R182" s="16"/>
      <c r="S182" s="17"/>
      <c r="T182" s="17"/>
      <c r="U182" s="17"/>
      <c r="V182" s="17"/>
      <c r="W182" s="17"/>
    </row>
    <row r="183" spans="7:23" ht="15.95" hidden="1" customHeight="1">
      <c r="G183" s="15"/>
      <c r="H183" s="15"/>
      <c r="I183" s="15"/>
      <c r="J183" s="15"/>
      <c r="K183" s="15"/>
      <c r="L183" s="15"/>
      <c r="M183" s="16"/>
      <c r="N183" s="16"/>
      <c r="O183" s="16"/>
      <c r="P183" s="16"/>
      <c r="Q183" s="16"/>
      <c r="R183" s="16"/>
      <c r="S183" s="17"/>
      <c r="T183" s="17"/>
      <c r="U183" s="17"/>
      <c r="V183" s="17"/>
      <c r="W183" s="17"/>
    </row>
    <row r="184" spans="7:23" ht="15.95" hidden="1" customHeight="1">
      <c r="G184" s="15"/>
      <c r="H184" s="15"/>
      <c r="I184" s="15"/>
      <c r="J184" s="15"/>
      <c r="K184" s="15"/>
      <c r="L184" s="15"/>
      <c r="M184" s="16"/>
      <c r="N184" s="16"/>
      <c r="O184" s="16"/>
      <c r="P184" s="16"/>
      <c r="Q184" s="16"/>
      <c r="R184" s="16"/>
      <c r="S184" s="17"/>
      <c r="T184" s="17"/>
      <c r="U184" s="17"/>
      <c r="V184" s="17"/>
      <c r="W184" s="17"/>
    </row>
    <row r="185" spans="7:23" ht="15.95" hidden="1" customHeight="1">
      <c r="G185" s="15"/>
      <c r="H185" s="15"/>
      <c r="I185" s="15"/>
      <c r="J185" s="15"/>
      <c r="K185" s="15"/>
      <c r="L185" s="15"/>
      <c r="M185" s="16"/>
      <c r="N185" s="16"/>
      <c r="O185" s="16"/>
      <c r="P185" s="16"/>
      <c r="Q185" s="16"/>
      <c r="R185" s="16"/>
      <c r="S185" s="17"/>
      <c r="T185" s="17"/>
      <c r="U185" s="17"/>
      <c r="V185" s="17"/>
      <c r="W185" s="17"/>
    </row>
    <row r="186" spans="7:23" ht="15.95" hidden="1" customHeight="1">
      <c r="G186" s="15"/>
      <c r="H186" s="15"/>
      <c r="I186" s="15"/>
      <c r="J186" s="15"/>
      <c r="K186" s="15"/>
      <c r="L186" s="15"/>
      <c r="M186" s="16"/>
      <c r="N186" s="16"/>
      <c r="O186" s="16"/>
      <c r="P186" s="16"/>
      <c r="Q186" s="16"/>
      <c r="R186" s="16"/>
      <c r="S186" s="17"/>
      <c r="T186" s="17"/>
      <c r="U186" s="17"/>
      <c r="V186" s="17"/>
      <c r="W186" s="17"/>
    </row>
    <row r="187" spans="7:23" ht="15.95" hidden="1" customHeight="1">
      <c r="G187" s="15"/>
      <c r="H187" s="15"/>
      <c r="I187" s="15"/>
      <c r="J187" s="15"/>
      <c r="K187" s="15"/>
      <c r="L187" s="15"/>
      <c r="M187" s="16"/>
      <c r="N187" s="16"/>
      <c r="O187" s="16"/>
      <c r="P187" s="16"/>
      <c r="Q187" s="16"/>
      <c r="R187" s="16"/>
      <c r="S187" s="17"/>
      <c r="T187" s="17"/>
      <c r="U187" s="17"/>
      <c r="V187" s="17"/>
      <c r="W187" s="17"/>
    </row>
    <row r="188" spans="7:23" ht="15.95" hidden="1" customHeight="1">
      <c r="G188" s="15"/>
      <c r="H188" s="15"/>
      <c r="I188" s="15"/>
      <c r="J188" s="15"/>
      <c r="K188" s="15"/>
      <c r="L188" s="15"/>
      <c r="M188" s="16"/>
      <c r="N188" s="16"/>
      <c r="O188" s="16"/>
      <c r="P188" s="16"/>
      <c r="Q188" s="16"/>
      <c r="R188" s="16"/>
      <c r="S188" s="17"/>
      <c r="T188" s="17"/>
      <c r="U188" s="17"/>
      <c r="V188" s="17"/>
      <c r="W188" s="17"/>
    </row>
    <row r="189" spans="7:23" ht="15.95" hidden="1" customHeight="1">
      <c r="G189" s="15"/>
      <c r="H189" s="15"/>
      <c r="I189" s="15"/>
      <c r="J189" s="15"/>
      <c r="K189" s="15"/>
      <c r="L189" s="15"/>
      <c r="M189" s="16"/>
      <c r="N189" s="16"/>
      <c r="O189" s="16"/>
      <c r="P189" s="16"/>
      <c r="Q189" s="16"/>
      <c r="R189" s="16"/>
      <c r="S189" s="17"/>
      <c r="T189" s="17"/>
      <c r="U189" s="17"/>
      <c r="V189" s="17"/>
      <c r="W189" s="17"/>
    </row>
    <row r="190" spans="7:23" ht="15.95" hidden="1" customHeight="1">
      <c r="G190" s="15"/>
      <c r="H190" s="15"/>
      <c r="I190" s="15"/>
      <c r="J190" s="15"/>
      <c r="K190" s="15"/>
      <c r="L190" s="15"/>
      <c r="M190" s="16"/>
      <c r="N190" s="16"/>
      <c r="O190" s="16"/>
      <c r="P190" s="16"/>
      <c r="Q190" s="16"/>
      <c r="R190" s="16"/>
      <c r="S190" s="17"/>
      <c r="T190" s="17"/>
      <c r="U190" s="17"/>
      <c r="V190" s="17"/>
      <c r="W190" s="17"/>
    </row>
    <row r="191" spans="7:23" ht="15.95" hidden="1" customHeight="1">
      <c r="G191" s="15"/>
      <c r="H191" s="15"/>
      <c r="I191" s="15"/>
      <c r="J191" s="15"/>
      <c r="K191" s="15"/>
      <c r="L191" s="15"/>
      <c r="M191" s="16"/>
      <c r="N191" s="16"/>
      <c r="O191" s="16"/>
      <c r="P191" s="16"/>
      <c r="Q191" s="16"/>
      <c r="R191" s="16"/>
      <c r="S191" s="17"/>
      <c r="T191" s="17"/>
      <c r="U191" s="17"/>
      <c r="V191" s="17"/>
      <c r="W191" s="17"/>
    </row>
    <row r="192" spans="7:23" ht="15.95" hidden="1" customHeight="1">
      <c r="G192" s="15"/>
      <c r="H192" s="15"/>
      <c r="I192" s="15"/>
      <c r="J192" s="15"/>
      <c r="K192" s="15"/>
      <c r="L192" s="15"/>
      <c r="M192" s="16"/>
      <c r="N192" s="16"/>
      <c r="O192" s="16"/>
      <c r="P192" s="16"/>
      <c r="Q192" s="16"/>
      <c r="R192" s="16"/>
      <c r="S192" s="17"/>
      <c r="T192" s="17"/>
      <c r="U192" s="17"/>
      <c r="V192" s="17"/>
      <c r="W192" s="17"/>
    </row>
    <row r="193" spans="1:49" ht="15.95" hidden="1" customHeight="1">
      <c r="G193" s="15"/>
      <c r="H193" s="15"/>
      <c r="I193" s="15"/>
      <c r="J193" s="15"/>
      <c r="K193" s="15"/>
      <c r="L193" s="15"/>
      <c r="M193" s="16"/>
      <c r="N193" s="16"/>
      <c r="O193" s="16"/>
      <c r="P193" s="16"/>
      <c r="Q193" s="16"/>
      <c r="R193" s="16"/>
      <c r="S193" s="17"/>
      <c r="T193" s="17"/>
      <c r="U193" s="17"/>
      <c r="V193" s="17"/>
      <c r="W193" s="17"/>
    </row>
    <row r="194" spans="1:49" ht="15.95" hidden="1" customHeight="1">
      <c r="G194" s="15"/>
      <c r="H194" s="15"/>
      <c r="I194" s="15"/>
      <c r="J194" s="15"/>
      <c r="K194" s="15"/>
      <c r="L194" s="15"/>
      <c r="M194" s="16"/>
      <c r="N194" s="16"/>
      <c r="O194" s="16"/>
      <c r="P194" s="16"/>
      <c r="Q194" s="16"/>
      <c r="R194" s="16"/>
      <c r="S194" s="17"/>
      <c r="T194" s="17"/>
      <c r="U194" s="17"/>
      <c r="V194" s="17"/>
      <c r="W194" s="17"/>
    </row>
    <row r="195" spans="1:49" ht="15.95" hidden="1" customHeight="1">
      <c r="G195" s="15"/>
      <c r="H195" s="15"/>
      <c r="I195" s="15"/>
      <c r="J195" s="15"/>
      <c r="K195" s="15"/>
      <c r="L195" s="15"/>
      <c r="M195" s="16"/>
      <c r="N195" s="16"/>
      <c r="O195" s="16"/>
      <c r="P195" s="16"/>
      <c r="Q195" s="16"/>
      <c r="R195" s="16"/>
      <c r="S195" s="17"/>
      <c r="T195" s="17"/>
      <c r="U195" s="17"/>
      <c r="V195" s="17"/>
      <c r="W195" s="17"/>
    </row>
    <row r="196" spans="1:49" ht="15.95" hidden="1" customHeight="1">
      <c r="G196" s="15"/>
      <c r="H196" s="15"/>
      <c r="I196" s="15"/>
      <c r="J196" s="15"/>
      <c r="K196" s="15"/>
      <c r="L196" s="15"/>
      <c r="M196" s="16"/>
      <c r="N196" s="16"/>
      <c r="O196" s="16"/>
      <c r="P196" s="16"/>
      <c r="Q196" s="16"/>
      <c r="R196" s="16"/>
      <c r="S196" s="17"/>
      <c r="T196" s="17"/>
      <c r="U196" s="17"/>
      <c r="V196" s="17"/>
      <c r="W196" s="17"/>
    </row>
    <row r="197" spans="1:49" ht="15.95" hidden="1" customHeight="1">
      <c r="G197" s="15"/>
      <c r="H197" s="15"/>
      <c r="I197" s="15"/>
      <c r="J197" s="15"/>
      <c r="K197" s="15"/>
      <c r="L197" s="15"/>
      <c r="M197" s="16"/>
      <c r="N197" s="16"/>
      <c r="O197" s="16"/>
      <c r="P197" s="16"/>
      <c r="Q197" s="16"/>
      <c r="R197" s="16"/>
      <c r="S197" s="17"/>
      <c r="T197" s="17"/>
      <c r="U197" s="17"/>
      <c r="V197" s="17"/>
      <c r="W197" s="17"/>
    </row>
    <row r="198" spans="1:49" ht="15.95" hidden="1" customHeight="1">
      <c r="G198" s="15"/>
      <c r="H198" s="15"/>
      <c r="I198" s="15"/>
      <c r="J198" s="15"/>
      <c r="K198" s="15"/>
      <c r="L198" s="15"/>
      <c r="M198" s="16"/>
      <c r="N198" s="16"/>
      <c r="O198" s="16"/>
      <c r="P198" s="16"/>
      <c r="Q198" s="16"/>
      <c r="R198" s="16"/>
      <c r="S198" s="17"/>
      <c r="T198" s="17"/>
      <c r="U198" s="17"/>
      <c r="V198" s="17"/>
      <c r="W198" s="17"/>
    </row>
    <row r="199" spans="1:49" ht="15.95" hidden="1" customHeight="1">
      <c r="G199" s="15"/>
      <c r="H199" s="15"/>
      <c r="I199" s="15"/>
      <c r="J199" s="15"/>
      <c r="K199" s="15"/>
      <c r="L199" s="15"/>
      <c r="M199" s="16"/>
      <c r="N199" s="16"/>
      <c r="O199" s="16"/>
      <c r="P199" s="16"/>
      <c r="Q199" s="16"/>
      <c r="R199" s="16"/>
      <c r="S199" s="17"/>
      <c r="T199" s="17"/>
      <c r="U199" s="17"/>
      <c r="V199" s="17"/>
      <c r="W199" s="17"/>
    </row>
    <row r="200" spans="1:49" s="79" customFormat="1" ht="15.95" customHeight="1">
      <c r="A200" s="230"/>
      <c r="B200" s="231" t="str">
        <f>FOOT1</f>
        <v>Evergy Business Energy Savings Program</v>
      </c>
      <c r="C200" s="231"/>
      <c r="D200" s="231"/>
      <c r="E200" s="231"/>
      <c r="F200" s="231"/>
      <c r="G200" s="231"/>
      <c r="H200" s="231"/>
      <c r="I200" s="231"/>
      <c r="J200" s="231"/>
      <c r="K200" s="231"/>
      <c r="L200" s="231"/>
      <c r="M200" s="231"/>
      <c r="N200" s="231"/>
      <c r="O200" s="231"/>
      <c r="P200" s="231"/>
      <c r="Q200" s="603" t="str">
        <f>FOOTDISCLAIM</f>
        <v/>
      </c>
      <c r="R200" s="603"/>
      <c r="S200" s="603"/>
      <c r="T200" s="603"/>
      <c r="U200" s="603"/>
      <c r="V200" s="603"/>
      <c r="W200" s="603"/>
      <c r="X200" s="603"/>
      <c r="Y200" s="603"/>
      <c r="Z200" s="603"/>
      <c r="AA200" s="603"/>
      <c r="AB200" s="603"/>
      <c r="AC200" s="603"/>
      <c r="AD200" s="603"/>
      <c r="AE200" s="603"/>
      <c r="AF200" s="603"/>
      <c r="AG200" s="603"/>
      <c r="AH200" s="603"/>
      <c r="AI200" s="603"/>
      <c r="AJ200" s="603"/>
      <c r="AK200" s="603"/>
      <c r="AL200" s="231"/>
      <c r="AM200" s="231"/>
      <c r="AN200" s="231"/>
      <c r="AO200" s="231"/>
      <c r="AP200" s="231"/>
      <c r="AQ200" s="231"/>
      <c r="AR200" s="231"/>
      <c r="AS200" s="231"/>
      <c r="AT200" s="231"/>
      <c r="AU200" s="231"/>
      <c r="AV200" s="248" t="str">
        <f>FOOT4</f>
        <v/>
      </c>
      <c r="AW200" s="230"/>
    </row>
    <row r="201" spans="1:49" s="79" customFormat="1" ht="15.95" customHeight="1">
      <c r="A201" s="230"/>
      <c r="B201" s="231" t="str">
        <f>FOOT2</f>
        <v>(844)687-0229</v>
      </c>
      <c r="C201" s="231"/>
      <c r="D201" s="231"/>
      <c r="E201" s="231"/>
      <c r="F201" s="231"/>
      <c r="G201" s="231"/>
      <c r="H201" s="231"/>
      <c r="I201" s="231"/>
      <c r="J201" s="231"/>
      <c r="K201" s="231"/>
      <c r="L201" s="231"/>
      <c r="M201" s="231"/>
      <c r="N201" s="231"/>
      <c r="O201" s="231"/>
      <c r="P201" s="231"/>
      <c r="Q201" s="603"/>
      <c r="R201" s="603"/>
      <c r="S201" s="603"/>
      <c r="T201" s="603"/>
      <c r="U201" s="603"/>
      <c r="V201" s="603"/>
      <c r="W201" s="603"/>
      <c r="X201" s="603"/>
      <c r="Y201" s="603"/>
      <c r="Z201" s="603"/>
      <c r="AA201" s="603"/>
      <c r="AB201" s="603"/>
      <c r="AC201" s="603"/>
      <c r="AD201" s="603"/>
      <c r="AE201" s="603"/>
      <c r="AF201" s="603"/>
      <c r="AG201" s="603"/>
      <c r="AH201" s="603"/>
      <c r="AI201" s="603"/>
      <c r="AJ201" s="603"/>
      <c r="AK201" s="603"/>
      <c r="AL201" s="231"/>
      <c r="AM201" s="231"/>
      <c r="AN201" s="231"/>
      <c r="AO201" s="231"/>
      <c r="AP201" s="231"/>
      <c r="AQ201" s="231"/>
      <c r="AR201" s="231"/>
      <c r="AS201" s="231"/>
      <c r="AT201" s="231"/>
      <c r="AU201" s="231"/>
      <c r="AV201" s="249" t="str">
        <f>FOOT5</f>
        <v/>
      </c>
      <c r="AW201" s="230"/>
    </row>
    <row r="202" spans="1:49" s="79" customFormat="1" ht="15.95" customHeight="1">
      <c r="A202" s="230"/>
      <c r="B202" s="231" t="str">
        <f>FOOT3</f>
        <v>businessrebates@evergy.com</v>
      </c>
      <c r="C202" s="231"/>
      <c r="D202" s="231"/>
      <c r="E202" s="231"/>
      <c r="F202" s="231"/>
      <c r="G202" s="231"/>
      <c r="H202" s="231"/>
      <c r="I202" s="231"/>
      <c r="J202" s="231"/>
      <c r="K202" s="231"/>
      <c r="L202" s="231"/>
      <c r="M202" s="231"/>
      <c r="N202" s="231"/>
      <c r="O202" s="231"/>
      <c r="P202" s="231"/>
      <c r="Q202" s="233"/>
      <c r="R202" s="231"/>
      <c r="S202" s="231"/>
      <c r="T202" s="233"/>
      <c r="U202" s="233"/>
      <c r="V202" s="233"/>
      <c r="W202" s="233"/>
      <c r="X202" s="233"/>
      <c r="Y202" s="233"/>
      <c r="Z202" s="233"/>
      <c r="AA202" s="234" t="str">
        <f>VERSION</f>
        <v>v3.0.0</v>
      </c>
      <c r="AB202" s="233"/>
      <c r="AC202" s="233"/>
      <c r="AD202" s="233"/>
      <c r="AE202" s="233"/>
      <c r="AF202" s="233"/>
      <c r="AG202" s="233"/>
      <c r="AH202" s="233"/>
      <c r="AI202" s="231"/>
      <c r="AJ202" s="231"/>
      <c r="AK202" s="231"/>
      <c r="AL202" s="231"/>
      <c r="AM202" s="231"/>
      <c r="AN202" s="231"/>
      <c r="AO202" s="231"/>
      <c r="AP202" s="231"/>
      <c r="AQ202" s="231"/>
      <c r="AR202" s="231"/>
      <c r="AS202" s="231"/>
      <c r="AT202" s="231"/>
      <c r="AU202" s="231"/>
      <c r="AV202" s="250" t="str">
        <f>FOOT6</f>
        <v>This is a TRC tool</v>
      </c>
      <c r="AW202" s="230"/>
    </row>
  </sheetData>
  <sheetProtection algorithmName="SHA-512" hashValue="/Y4/yjBsm94WK2GfUzMMpL0WJzC802PAWK2H8bC/o+I02KEROtkXl/tGSia16JSY7AzOIijLtYzw/ymX0HN1MQ==" saltValue="LDCwUDBGOnh7WfFjvMsugQ==" spinCount="100000" sheet="1" objects="1" scenarios="1" selectLockedCells="1"/>
  <mergeCells count="13">
    <mergeCell ref="AT1:AW3"/>
    <mergeCell ref="F1:I3"/>
    <mergeCell ref="J1:M3"/>
    <mergeCell ref="AL1:AO3"/>
    <mergeCell ref="AP1:AS3"/>
    <mergeCell ref="Q1:AG3"/>
    <mergeCell ref="AT7:AV8"/>
    <mergeCell ref="Q200:AK201"/>
    <mergeCell ref="M62:S62"/>
    <mergeCell ref="G62:L62"/>
    <mergeCell ref="T62:X62"/>
    <mergeCell ref="AO62:AU62"/>
    <mergeCell ref="AG62:AN62"/>
  </mergeCells>
  <hyperlinks>
    <hyperlink ref="J1:M3" location="'M01-S02'!J1" tooltip="Instructions" display="'M01-S02'!J1" xr:uid="{063AB5C6-B11C-416C-8291-B6FE19A4186D}"/>
    <hyperlink ref="B202" r:id="rId1" display="businessrebates@evergy.com" xr:uid="{00000000-0004-0000-0500-000000000000}"/>
    <hyperlink ref="AP1:AS3" location="'M05-S05'!AL1" tooltip=" " display="'M05-S05'!AL1" xr:uid="{AC32E88A-018A-46AF-A0DA-27187FDB0FE3}"/>
    <hyperlink ref="AL1:AO3" location="'M05-S04'!AH1" tooltip=" " display="'M05-S04'!AH1" xr:uid="{84CA3A4A-D593-4AF5-88F4-04FC02EF44C5}"/>
    <hyperlink ref="AT1:AW3" location="'M01-S03'!AP1" tooltip="Contact" display="'M01-S03'!AP1" xr:uid="{E0ED5F12-852B-4DC7-869E-467861CE3531}"/>
  </hyperlinks>
  <printOptions horizontalCentered="1"/>
  <pageMargins left="0" right="0" top="0" bottom="0" header="0" footer="0"/>
  <pageSetup scale="49" orientation="portrait" r:id="rId2"/>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B80BE-689D-4C07-94CA-7346884D613A}">
  <sheetPr codeName="Sheet31">
    <tabColor theme="8" tint="0.59999389629810485"/>
    <pageSetUpPr fitToPage="1"/>
  </sheetPr>
  <dimension ref="A1:BW202"/>
  <sheetViews>
    <sheetView showGridLines="0" showRowColHeaders="0" zoomScale="85" zoomScaleNormal="85" workbookViewId="0">
      <selection activeCell="H9" sqref="H9"/>
    </sheetView>
  </sheetViews>
  <sheetFormatPr defaultColWidth="0" defaultRowHeight="15.95" customHeight="1" zeroHeight="1"/>
  <cols>
    <col min="1" max="49" width="4.7109375" customWidth="1"/>
    <col min="50" max="75" width="4.7109375" hidden="1"/>
    <col min="76" max="16384" width="9.140625" hidden="1"/>
  </cols>
  <sheetData>
    <row r="1" spans="1:49" ht="15.95" customHeight="1">
      <c r="A1" s="22"/>
      <c r="B1" s="80"/>
      <c r="C1" s="80"/>
      <c r="D1" s="80"/>
      <c r="E1" s="80"/>
      <c r="F1" s="613" t="str">
        <f>M1S1</f>
        <v>Welcome</v>
      </c>
      <c r="G1" s="614"/>
      <c r="H1" s="614"/>
      <c r="I1" s="614"/>
      <c r="J1" s="610" t="str">
        <f>M1S2</f>
        <v>Instructions</v>
      </c>
      <c r="K1" s="610"/>
      <c r="L1" s="610"/>
      <c r="M1" s="610"/>
      <c r="Q1" s="618" t="str" cm="1">
        <f t="array" aca="1" ref="Q1" ca="1" xml:space="preserve"> IF(OR(ACTIVEOFFER="Yes",ACTIVECOMPL="Yes"),"",_xlfn.LET(_xlpm.DaysLeft, EXPIRATION_DATE - TODAY(), IF(_xlpm.DaysLeft &gt; 14, "", IF( _xlpm.DaysLeft &lt; 0, " This application is expired. Download the latest version from the program website or contact a program representative for assistance.", _xlfn.SWITCH(_xlpm.DaysLeft, 1, "This application expires in 1 day!", 0, "This application expires today!", "This application expires in " &amp; _xlpm.DaysLeft &amp; " days!")))))</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07" t="s">
        <v>1529</v>
      </c>
      <c r="AU1" s="608"/>
      <c r="AV1" s="608"/>
      <c r="AW1" s="608"/>
    </row>
    <row r="2" spans="1:49" ht="15.95" customHeight="1">
      <c r="B2" s="80"/>
      <c r="C2" s="80"/>
      <c r="D2" s="80"/>
      <c r="E2" s="80"/>
      <c r="F2" s="614"/>
      <c r="G2" s="614"/>
      <c r="H2" s="614"/>
      <c r="I2" s="614"/>
      <c r="J2" s="611"/>
      <c r="K2" s="611"/>
      <c r="L2" s="611"/>
      <c r="M2" s="611"/>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08"/>
      <c r="AU2" s="608"/>
      <c r="AV2" s="608"/>
      <c r="AW2" s="608"/>
    </row>
    <row r="3" spans="1:49" ht="15.95" customHeight="1" thickBot="1">
      <c r="A3" s="81"/>
      <c r="B3" s="82"/>
      <c r="C3" s="82"/>
      <c r="D3" s="82"/>
      <c r="E3" s="82"/>
      <c r="F3" s="615"/>
      <c r="G3" s="615"/>
      <c r="H3" s="615"/>
      <c r="I3" s="615"/>
      <c r="J3" s="612"/>
      <c r="K3" s="612"/>
      <c r="L3" s="612"/>
      <c r="M3" s="612"/>
      <c r="N3" s="81"/>
      <c r="O3" s="81"/>
      <c r="P3" s="81"/>
      <c r="Q3" s="619"/>
      <c r="R3" s="619"/>
      <c r="S3" s="619"/>
      <c r="T3" s="619"/>
      <c r="U3" s="619"/>
      <c r="V3" s="619"/>
      <c r="W3" s="619"/>
      <c r="X3" s="619"/>
      <c r="Y3" s="619"/>
      <c r="Z3" s="619"/>
      <c r="AA3" s="619"/>
      <c r="AB3" s="619"/>
      <c r="AC3" s="619"/>
      <c r="AD3" s="619"/>
      <c r="AE3" s="619"/>
      <c r="AF3" s="619"/>
      <c r="AG3" s="619"/>
      <c r="AH3" s="81"/>
      <c r="AI3" s="81"/>
      <c r="AJ3" s="81"/>
      <c r="AK3" s="81"/>
      <c r="AL3" s="617"/>
      <c r="AM3" s="617"/>
      <c r="AN3" s="617"/>
      <c r="AO3" s="617"/>
      <c r="AP3" s="617"/>
      <c r="AQ3" s="617"/>
      <c r="AR3" s="617"/>
      <c r="AS3" s="617"/>
      <c r="AT3" s="609"/>
      <c r="AU3" s="609"/>
      <c r="AV3" s="609"/>
      <c r="AW3" s="609"/>
    </row>
    <row r="4" spans="1:49" ht="15.95" customHeight="1">
      <c r="A4" s="110"/>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row>
    <row r="5" spans="1:49" ht="15.95" customHeight="1">
      <c r="A5" s="89"/>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row>
    <row r="6" spans="1:49" ht="15.95" customHeight="1"/>
    <row r="7" spans="1:49" ht="15.95" customHeight="1"/>
    <row r="8" spans="1:49" ht="15.95" customHeight="1">
      <c r="AQ8" s="620" t="s">
        <v>3023</v>
      </c>
      <c r="AR8" s="620"/>
      <c r="AS8" s="620"/>
      <c r="AT8" s="620"/>
      <c r="AU8" s="620"/>
      <c r="AV8" s="620"/>
    </row>
    <row r="9" spans="1:49" ht="15.95" customHeight="1">
      <c r="AQ9" s="620"/>
      <c r="AR9" s="620"/>
      <c r="AS9" s="620"/>
      <c r="AT9" s="620"/>
      <c r="AU9" s="620"/>
      <c r="AV9" s="620"/>
    </row>
    <row r="10" spans="1:49" ht="15.95" customHeight="1">
      <c r="AQ10" s="620"/>
      <c r="AR10" s="620"/>
      <c r="AS10" s="620"/>
      <c r="AT10" s="620"/>
      <c r="AU10" s="620"/>
      <c r="AV10" s="620"/>
    </row>
    <row r="11" spans="1:49" ht="15.95" customHeight="1">
      <c r="AQ11" s="620"/>
      <c r="AR11" s="620"/>
      <c r="AS11" s="620"/>
      <c r="AT11" s="620"/>
      <c r="AU11" s="620"/>
      <c r="AV11" s="620"/>
    </row>
    <row r="12" spans="1:49" ht="15.95" customHeight="1">
      <c r="AQ12" s="478"/>
      <c r="AR12" s="478"/>
      <c r="AS12" s="478"/>
      <c r="AT12" s="478"/>
      <c r="AU12" s="478"/>
      <c r="AV12" s="478"/>
    </row>
    <row r="13" spans="1:49" ht="15.95" customHeight="1"/>
    <row r="14" spans="1:49" ht="15.95" customHeight="1"/>
    <row r="15" spans="1:49" ht="15.95" customHeight="1"/>
    <row r="16" spans="1:49" ht="15.95" customHeight="1"/>
    <row r="17" customFormat="1" ht="15.95" customHeight="1"/>
    <row r="18" customFormat="1" ht="15.95" customHeight="1"/>
    <row r="19" customFormat="1" ht="15.95" customHeight="1"/>
    <row r="20" customFormat="1" ht="15.95" customHeight="1"/>
    <row r="21" customFormat="1" ht="15.95" customHeight="1"/>
    <row r="22" customFormat="1" ht="15.95" customHeight="1"/>
    <row r="23" customFormat="1" ht="15.95" customHeight="1"/>
    <row r="24" customFormat="1" ht="15.95" customHeight="1"/>
    <row r="25" customFormat="1" ht="15.95" customHeight="1"/>
    <row r="26" customFormat="1" ht="15.95" customHeight="1"/>
    <row r="27" customFormat="1" ht="15.95" customHeight="1"/>
    <row r="28" customFormat="1" ht="15.95" customHeight="1"/>
    <row r="29" customFormat="1" ht="15.95" customHeight="1"/>
    <row r="30" customFormat="1" ht="15.95" customHeight="1"/>
    <row r="31" customFormat="1" ht="15.95" customHeight="1"/>
    <row r="32" customFormat="1" ht="15.95" customHeight="1"/>
    <row r="33" customFormat="1" ht="15.95" customHeight="1"/>
    <row r="34" customFormat="1" ht="15.95" customHeight="1"/>
    <row r="35" customFormat="1" ht="15.95" customHeight="1"/>
    <row r="36" customFormat="1" ht="15.95" customHeight="1"/>
    <row r="37" customFormat="1" ht="15.95" customHeight="1"/>
    <row r="38" customFormat="1" ht="15.95" customHeight="1"/>
    <row r="39" customFormat="1" ht="15.95" customHeight="1"/>
    <row r="40" customFormat="1" ht="15.95" customHeight="1"/>
    <row r="41" customFormat="1" ht="15.95" customHeight="1"/>
    <row r="42" customFormat="1" ht="15.95" customHeight="1"/>
    <row r="43" customFormat="1" ht="15.95" customHeight="1"/>
    <row r="44" customFormat="1" ht="15.95" hidden="1" customHeight="1"/>
    <row r="45" customFormat="1" ht="15.95" hidden="1" customHeight="1"/>
    <row r="46" customFormat="1" ht="15.95" hidden="1" customHeight="1"/>
    <row r="47" customFormat="1" ht="15.95" hidden="1" customHeight="1"/>
    <row r="48" customFormat="1" ht="15.95" hidden="1" customHeight="1"/>
    <row r="49" customFormat="1" ht="15.95" hidden="1" customHeight="1"/>
    <row r="50" customFormat="1" ht="15.95" hidden="1" customHeight="1"/>
    <row r="51" customFormat="1" ht="15.95" hidden="1" customHeight="1"/>
    <row r="52" customFormat="1" ht="15.95" hidden="1" customHeight="1"/>
    <row r="53" customFormat="1" ht="15.95" hidden="1" customHeight="1"/>
    <row r="54" customFormat="1" ht="15.95" hidden="1" customHeight="1"/>
    <row r="55" customFormat="1" ht="15.95" hidden="1" customHeight="1"/>
    <row r="56" customFormat="1" ht="15.95" hidden="1" customHeight="1"/>
    <row r="57" customFormat="1" ht="15.95" hidden="1" customHeight="1"/>
    <row r="58" customFormat="1" ht="15.95" hidden="1" customHeight="1"/>
    <row r="59" customFormat="1" ht="15.95" hidden="1" customHeight="1"/>
    <row r="60" customFormat="1" ht="15.95" hidden="1" customHeight="1"/>
    <row r="61" customFormat="1" ht="15.95" hidden="1" customHeight="1"/>
    <row r="62" customFormat="1" ht="15.95" hidden="1" customHeight="1"/>
    <row r="63" customFormat="1" ht="15.95" hidden="1" customHeight="1"/>
    <row r="64" customFormat="1" ht="15.95" hidden="1" customHeight="1"/>
    <row r="65" customFormat="1" ht="15.95" hidden="1" customHeight="1"/>
    <row r="66" customFormat="1" ht="15.95" hidden="1" customHeight="1"/>
    <row r="67" customFormat="1" ht="15.95" hidden="1" customHeight="1"/>
    <row r="68" customFormat="1" ht="15.95" hidden="1" customHeight="1"/>
    <row r="69" customFormat="1" ht="15.95" hidden="1" customHeight="1"/>
    <row r="70" customFormat="1" ht="15.95" hidden="1" customHeight="1"/>
    <row r="71" customFormat="1" ht="15.95" hidden="1" customHeight="1"/>
    <row r="72" customFormat="1" ht="15.95" hidden="1" customHeight="1"/>
    <row r="73" customFormat="1" ht="15.95" hidden="1" customHeight="1"/>
    <row r="74" customFormat="1" ht="15.95" hidden="1" customHeight="1"/>
    <row r="75" customFormat="1" ht="15.95" hidden="1" customHeight="1"/>
    <row r="76" customFormat="1" ht="15.95" hidden="1" customHeight="1"/>
    <row r="77" customFormat="1" ht="15.95" hidden="1" customHeight="1"/>
    <row r="78" customFormat="1" ht="15.95" hidden="1" customHeight="1"/>
    <row r="79" customFormat="1" ht="15.95" hidden="1" customHeight="1"/>
    <row r="80" customFormat="1" ht="15.95" hidden="1" customHeight="1"/>
    <row r="81" customFormat="1" ht="15.95" hidden="1" customHeight="1"/>
    <row r="82" customFormat="1" ht="15.95" hidden="1" customHeight="1"/>
    <row r="83" customFormat="1" ht="15.95" hidden="1" customHeight="1"/>
    <row r="84" customFormat="1" ht="15.95" hidden="1" customHeight="1"/>
    <row r="85" customFormat="1" ht="15.95" hidden="1" customHeight="1"/>
    <row r="86" customFormat="1" ht="15.95" hidden="1" customHeight="1"/>
    <row r="87" customFormat="1" ht="15.95" hidden="1" customHeight="1"/>
    <row r="88" customFormat="1" ht="15.95" hidden="1" customHeight="1"/>
    <row r="89" customFormat="1" ht="15.95" hidden="1" customHeight="1"/>
    <row r="90" customFormat="1" ht="15.95" hidden="1" customHeight="1"/>
    <row r="91" customFormat="1" ht="15.95" hidden="1" customHeight="1"/>
    <row r="92" customFormat="1" ht="15.95" hidden="1" customHeight="1"/>
    <row r="93" customFormat="1" ht="15.95" hidden="1" customHeight="1"/>
    <row r="94" customFormat="1" ht="15.95" hidden="1" customHeight="1"/>
    <row r="95" customFormat="1" ht="15.95" hidden="1" customHeight="1"/>
    <row r="96" customFormat="1" ht="15.95" hidden="1" customHeight="1"/>
    <row r="97" customFormat="1" ht="15.95" hidden="1" customHeight="1"/>
    <row r="98" customFormat="1" ht="15.95" hidden="1" customHeight="1"/>
    <row r="99" customFormat="1" ht="15.95" hidden="1" customHeight="1"/>
    <row r="100" customFormat="1" ht="15.95" hidden="1" customHeight="1"/>
    <row r="101" customFormat="1" ht="15.95" hidden="1" customHeight="1"/>
    <row r="102" customFormat="1" ht="15.95" hidden="1" customHeight="1"/>
    <row r="103" customFormat="1" ht="15.95" hidden="1" customHeight="1"/>
    <row r="104" customFormat="1" ht="15.95" hidden="1" customHeight="1"/>
    <row r="105" customFormat="1" ht="15.95" hidden="1" customHeight="1"/>
    <row r="106" customFormat="1" ht="15.95" hidden="1" customHeight="1"/>
    <row r="107" customFormat="1" ht="15.95" hidden="1" customHeight="1"/>
    <row r="108" customFormat="1" ht="15.95" hidden="1" customHeight="1"/>
    <row r="109" customFormat="1" ht="15.95" hidden="1" customHeight="1"/>
    <row r="110" customFormat="1" ht="15.95" hidden="1" customHeight="1"/>
    <row r="111" customFormat="1" ht="15.95" hidden="1" customHeight="1"/>
    <row r="112" customFormat="1" ht="15.95" hidden="1" customHeight="1"/>
    <row r="113" customFormat="1" ht="15.95" hidden="1" customHeight="1"/>
    <row r="114" customFormat="1" ht="15.95" hidden="1" customHeight="1"/>
    <row r="115" customFormat="1" ht="15.95" hidden="1" customHeight="1"/>
    <row r="116" customFormat="1" ht="15.95" hidden="1" customHeight="1"/>
    <row r="117" customFormat="1" ht="15.95" hidden="1" customHeight="1"/>
    <row r="118" customFormat="1" ht="15.95" hidden="1" customHeight="1"/>
    <row r="119" customFormat="1" ht="15.95" hidden="1" customHeight="1"/>
    <row r="120" customFormat="1" ht="15.95" hidden="1" customHeight="1"/>
    <row r="121" customFormat="1" ht="15.95" hidden="1" customHeight="1"/>
    <row r="122" customFormat="1" ht="15.95" hidden="1" customHeight="1"/>
    <row r="123" customFormat="1" ht="15.95" hidden="1" customHeight="1"/>
    <row r="124" customFormat="1" ht="15.95" hidden="1" customHeight="1"/>
    <row r="125" customFormat="1" ht="15.95" hidden="1" customHeight="1"/>
    <row r="126" customFormat="1" ht="15.95" hidden="1" customHeight="1"/>
    <row r="127" customFormat="1" ht="15.95" hidden="1" customHeight="1"/>
    <row r="128" customFormat="1" ht="15.95" hidden="1" customHeight="1"/>
    <row r="129" customFormat="1" ht="15.95" hidden="1" customHeight="1"/>
    <row r="130" customFormat="1" ht="15.95" hidden="1" customHeight="1"/>
    <row r="131" customFormat="1" ht="15.95" hidden="1" customHeight="1"/>
    <row r="132" customFormat="1" ht="15.95" hidden="1" customHeight="1"/>
    <row r="133" customFormat="1" ht="15.95" hidden="1" customHeight="1"/>
    <row r="134" customFormat="1" ht="15.95" hidden="1" customHeight="1"/>
    <row r="135" customFormat="1" ht="15.95" hidden="1" customHeight="1"/>
    <row r="136" customFormat="1" ht="15.95" hidden="1" customHeight="1"/>
    <row r="137" customFormat="1" ht="15.95" hidden="1" customHeight="1"/>
    <row r="138" customFormat="1" ht="15.95" hidden="1" customHeight="1"/>
    <row r="139" customFormat="1" ht="15.95" hidden="1" customHeight="1"/>
    <row r="140" customFormat="1" ht="15.95" hidden="1" customHeight="1"/>
    <row r="141" customFormat="1" ht="15.95" hidden="1" customHeight="1"/>
    <row r="142" customFormat="1" ht="15.95" hidden="1" customHeight="1"/>
    <row r="143" customFormat="1" ht="15.95" hidden="1" customHeight="1"/>
    <row r="144" customFormat="1" ht="15.95" hidden="1" customHeight="1"/>
    <row r="145" customFormat="1" ht="15.95" hidden="1" customHeight="1"/>
    <row r="146" customFormat="1" ht="15.95" hidden="1" customHeight="1"/>
    <row r="147" customFormat="1" ht="15.95" hidden="1" customHeight="1"/>
    <row r="148" customFormat="1" ht="15.95" hidden="1" customHeight="1"/>
    <row r="149" customFormat="1" ht="15.95" hidden="1" customHeight="1"/>
    <row r="150" customFormat="1" ht="15.95" hidden="1" customHeight="1"/>
    <row r="151" customFormat="1" ht="15.95" hidden="1" customHeight="1"/>
    <row r="152" customFormat="1" ht="15.95" hidden="1" customHeight="1"/>
    <row r="153" customFormat="1" ht="15.95" hidden="1" customHeight="1"/>
    <row r="154" customFormat="1" ht="15.95" hidden="1" customHeight="1"/>
    <row r="155" customFormat="1" ht="15.95" hidden="1" customHeight="1"/>
    <row r="156" customFormat="1" ht="15.95" hidden="1" customHeight="1"/>
    <row r="157" customFormat="1" ht="15.95" hidden="1" customHeight="1"/>
    <row r="158" customFormat="1" ht="15.95" hidden="1" customHeight="1"/>
    <row r="159" customFormat="1" ht="15.95" hidden="1" customHeight="1"/>
    <row r="160" customFormat="1" ht="15.95" hidden="1" customHeight="1"/>
    <row r="161" customFormat="1" ht="15.95" hidden="1" customHeight="1"/>
    <row r="162" customFormat="1" ht="15.95" hidden="1" customHeight="1"/>
    <row r="163" customFormat="1" ht="15.95" hidden="1" customHeight="1"/>
    <row r="164" customFormat="1" ht="15.95" hidden="1" customHeight="1"/>
    <row r="165" customFormat="1" ht="15.95" hidden="1" customHeight="1"/>
    <row r="166" customFormat="1" ht="15.95" hidden="1" customHeight="1"/>
    <row r="167" customFormat="1" ht="15.95" hidden="1" customHeight="1"/>
    <row r="168" customFormat="1" ht="15.95" hidden="1" customHeight="1"/>
    <row r="169" customFormat="1" ht="15.95" hidden="1" customHeight="1"/>
    <row r="170" customFormat="1" ht="15.95" hidden="1" customHeight="1"/>
    <row r="171" customFormat="1" ht="15.95" hidden="1" customHeight="1"/>
    <row r="172" customFormat="1" ht="15.95" hidden="1" customHeight="1"/>
    <row r="173" customFormat="1" ht="15.95" hidden="1" customHeight="1"/>
    <row r="174" customFormat="1" ht="15.95" hidden="1" customHeight="1"/>
    <row r="175" customFormat="1" ht="15.95" hidden="1" customHeight="1"/>
    <row r="176" customFormat="1" ht="15.95" hidden="1" customHeight="1"/>
    <row r="177" customFormat="1" ht="15.95" hidden="1" customHeight="1"/>
    <row r="178" customFormat="1" ht="15.95" hidden="1" customHeight="1"/>
    <row r="179" customFormat="1" ht="15.95" hidden="1" customHeight="1"/>
    <row r="180" customFormat="1" ht="15.95" hidden="1" customHeight="1"/>
    <row r="181" customFormat="1" ht="15.95" hidden="1" customHeight="1"/>
    <row r="182" customFormat="1" ht="15.95" hidden="1" customHeight="1"/>
    <row r="183" customFormat="1" ht="15.95" hidden="1" customHeight="1"/>
    <row r="184" customFormat="1" ht="15.95" hidden="1" customHeight="1"/>
    <row r="185" customFormat="1" ht="15.95" hidden="1" customHeight="1"/>
    <row r="186" customFormat="1" ht="15.95" hidden="1" customHeight="1"/>
    <row r="187" customFormat="1" ht="15.95" hidden="1" customHeight="1"/>
    <row r="188" customFormat="1" ht="15.95" hidden="1" customHeight="1"/>
    <row r="189" customFormat="1" ht="15.95" hidden="1" customHeight="1"/>
    <row r="190" customFormat="1" ht="15.95" hidden="1" customHeight="1"/>
    <row r="191" customFormat="1" ht="15.95" hidden="1" customHeight="1"/>
    <row r="192" customFormat="1" ht="15.95" hidden="1"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231"/>
      <c r="P200" s="231"/>
      <c r="Q200" s="603" t="str">
        <f>FOOTDISCLAIM</f>
        <v/>
      </c>
      <c r="R200" s="603"/>
      <c r="S200" s="603"/>
      <c r="T200" s="603"/>
      <c r="U200" s="603"/>
      <c r="V200" s="603"/>
      <c r="W200" s="603"/>
      <c r="X200" s="603"/>
      <c r="Y200" s="603"/>
      <c r="Z200" s="603"/>
      <c r="AA200" s="603"/>
      <c r="AB200" s="603"/>
      <c r="AC200" s="603"/>
      <c r="AD200" s="603"/>
      <c r="AE200" s="603"/>
      <c r="AF200" s="603"/>
      <c r="AG200" s="603"/>
      <c r="AH200" s="603"/>
      <c r="AI200" s="603"/>
      <c r="AJ200" s="603"/>
      <c r="AK200" s="603"/>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231"/>
      <c r="P201" s="231"/>
      <c r="Q201" s="603"/>
      <c r="R201" s="603"/>
      <c r="S201" s="603"/>
      <c r="T201" s="603"/>
      <c r="U201" s="603"/>
      <c r="V201" s="603"/>
      <c r="W201" s="603"/>
      <c r="X201" s="603"/>
      <c r="Y201" s="603"/>
      <c r="Z201" s="603"/>
      <c r="AA201" s="603"/>
      <c r="AB201" s="603"/>
      <c r="AC201" s="603"/>
      <c r="AD201" s="603"/>
      <c r="AE201" s="603"/>
      <c r="AF201" s="603"/>
      <c r="AG201" s="603"/>
      <c r="AH201" s="603"/>
      <c r="AI201" s="603"/>
      <c r="AJ201" s="603"/>
      <c r="AK201" s="603"/>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1"/>
      <c r="P202" s="231"/>
      <c r="Q202" s="233"/>
      <c r="R202" s="231"/>
      <c r="S202" s="231"/>
      <c r="T202" s="233"/>
      <c r="U202" s="233"/>
      <c r="V202" s="233"/>
      <c r="W202" s="233"/>
      <c r="X202" s="233"/>
      <c r="Y202" s="233"/>
      <c r="Z202" s="233"/>
      <c r="AA202" s="234" t="str">
        <f>VERSION</f>
        <v>v3.0.0</v>
      </c>
      <c r="AB202" s="233"/>
      <c r="AC202" s="233"/>
      <c r="AD202" s="233"/>
      <c r="AE202" s="233"/>
      <c r="AF202" s="233"/>
      <c r="AG202" s="233"/>
      <c r="AH202" s="233"/>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l0GqJn05bv3O3G62Kz24PsgJau6cJ+9kmyOruOTZgyiSh1dzvA6Ap7q23uwUp9lhqlv4NBFpsdVZRcxSMk3+qw==" saltValue="wZ5fPKCTPKxYD8jPO2l+hw==" spinCount="100000" sheet="1" objects="1" scenarios="1" selectLockedCells="1"/>
  <mergeCells count="8">
    <mergeCell ref="F1:I3"/>
    <mergeCell ref="Q1:AG3"/>
    <mergeCell ref="Q200:AK201"/>
    <mergeCell ref="AT1:AW3"/>
    <mergeCell ref="J1:M3"/>
    <mergeCell ref="AL1:AO3"/>
    <mergeCell ref="AP1:AS3"/>
    <mergeCell ref="AQ8:AV11"/>
  </mergeCells>
  <hyperlinks>
    <hyperlink ref="B202" r:id="rId1" xr:uid="{9C3E89C2-9AAD-4FCB-9715-331336C640AD}"/>
    <hyperlink ref="J1:M3" location="'M01-S02'!J1" tooltip="Instructions" display="'M01-S02'!J1" xr:uid="{761B63D8-13CE-4109-A426-0BA2ABF3EF3E}"/>
    <hyperlink ref="AP1:AS3" location="'M05-S05'!AL1" tooltip=" " display="'M05-S05'!AL1" xr:uid="{6C48126B-DA7B-4BD4-A33D-2C022325C830}"/>
    <hyperlink ref="AL1:AO3" location="'M05-S04'!AH1" tooltip=" " display="'M05-S04'!AH1" xr:uid="{05DFA22F-15F0-4BE1-8515-9F5A1188F536}"/>
    <hyperlink ref="AT1:AW3" location="'M01-S03'!AP1" tooltip="Contact" display="'M01-S03'!AP1" xr:uid="{759F3E06-AF41-4F3C-8A8E-878E9659DAFC}"/>
  </hyperlinks>
  <printOptions horizontalCentered="1"/>
  <pageMargins left="0" right="0" top="0" bottom="0" header="0" footer="0"/>
  <pageSetup scale="4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91841" r:id="rId5" name="Check Box 1">
              <controlPr defaultSize="0" autoFill="0" autoLine="0" autoPict="0">
                <anchor moveWithCells="1">
                  <from>
                    <xdr:col>42</xdr:col>
                    <xdr:colOff>0</xdr:colOff>
                    <xdr:row>10</xdr:row>
                    <xdr:rowOff>190500</xdr:rowOff>
                  </from>
                  <to>
                    <xdr:col>48</xdr:col>
                    <xdr:colOff>0</xdr:colOff>
                    <xdr:row>12</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200CF-F3C8-45B2-A1C4-417458DA5F20}">
  <sheetPr codeName="Sheet4">
    <tabColor theme="8" tint="0.59999389629810485"/>
    <pageSetUpPr fitToPage="1"/>
  </sheetPr>
  <dimension ref="A1:AW202"/>
  <sheetViews>
    <sheetView showGridLines="0" showRowColHeaders="0" zoomScale="85" zoomScaleNormal="85" workbookViewId="0"/>
  </sheetViews>
  <sheetFormatPr defaultColWidth="0" defaultRowHeight="15.95" customHeight="1" zeroHeight="1"/>
  <cols>
    <col min="1" max="49" width="4.7109375" customWidth="1"/>
    <col min="50" max="16384" width="4.7109375" hidden="1"/>
  </cols>
  <sheetData>
    <row r="1" spans="1:4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49" s="88" customFormat="1" ht="15.95" customHeight="1">
      <c r="A4" s="621" t="str">
        <f>M1S3</f>
        <v>Contact</v>
      </c>
      <c r="B4" s="621"/>
      <c r="C4" s="621"/>
      <c r="D4" s="621"/>
      <c r="E4" s="621"/>
      <c r="F4" s="621"/>
      <c r="G4" s="621"/>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row>
    <row r="5" spans="1:49" s="88" customFormat="1" ht="15.95" customHeight="1">
      <c r="A5" s="621"/>
      <c r="B5" s="621"/>
      <c r="C5" s="621"/>
      <c r="D5" s="621"/>
      <c r="E5" s="621"/>
      <c r="F5" s="621"/>
      <c r="G5" s="621"/>
      <c r="H5" s="621"/>
      <c r="I5" s="621"/>
      <c r="J5" s="621"/>
      <c r="K5" s="621"/>
      <c r="L5" s="621"/>
      <c r="M5" s="621"/>
      <c r="N5" s="621"/>
      <c r="O5" s="621"/>
      <c r="P5" s="621"/>
      <c r="Q5" s="621"/>
      <c r="R5" s="621"/>
      <c r="S5" s="621"/>
      <c r="T5" s="621"/>
      <c r="U5" s="621"/>
      <c r="V5" s="621"/>
      <c r="W5" s="621"/>
      <c r="X5" s="621"/>
      <c r="Y5" s="621"/>
      <c r="Z5" s="621"/>
      <c r="AA5" s="621"/>
      <c r="AB5" s="621"/>
      <c r="AC5" s="621"/>
      <c r="AD5" s="621"/>
      <c r="AE5" s="621"/>
      <c r="AF5" s="621"/>
      <c r="AG5" s="621"/>
      <c r="AH5" s="621"/>
      <c r="AI5" s="621"/>
      <c r="AJ5" s="621"/>
      <c r="AK5" s="621"/>
      <c r="AL5" s="621"/>
      <c r="AM5" s="621"/>
      <c r="AN5" s="621"/>
      <c r="AO5" s="621"/>
      <c r="AP5" s="621"/>
      <c r="AQ5" s="621"/>
      <c r="AR5" s="621"/>
      <c r="AS5" s="621"/>
      <c r="AT5" s="621"/>
      <c r="AU5" s="621"/>
      <c r="AV5" s="621"/>
      <c r="AW5" s="621"/>
    </row>
    <row r="6" spans="1:49" ht="15.95" customHeight="1">
      <c r="A6" s="83"/>
      <c r="B6" s="83"/>
      <c r="C6" s="83"/>
      <c r="D6" s="83"/>
      <c r="E6" s="83"/>
      <c r="F6" s="83"/>
      <c r="G6" s="83"/>
      <c r="H6" s="83"/>
      <c r="I6" s="83"/>
      <c r="J6" s="83"/>
      <c r="K6" s="83"/>
      <c r="L6" s="83"/>
      <c r="M6" s="83"/>
      <c r="N6" s="83"/>
      <c r="O6" s="626" t="s">
        <v>1505</v>
      </c>
      <c r="P6" s="626"/>
      <c r="Q6" s="626"/>
      <c r="R6" s="626"/>
      <c r="S6" s="626"/>
      <c r="T6" s="626"/>
      <c r="U6" s="626"/>
      <c r="V6" s="626"/>
      <c r="W6" s="626"/>
      <c r="X6" s="626"/>
      <c r="Y6" s="626"/>
      <c r="Z6" s="626"/>
      <c r="AA6" s="626"/>
      <c r="AD6" s="83"/>
      <c r="AE6" s="83"/>
      <c r="AF6" s="83"/>
      <c r="AG6" s="83"/>
      <c r="AH6" s="83"/>
      <c r="AI6" s="83"/>
      <c r="AJ6" s="83"/>
      <c r="AK6" s="83"/>
      <c r="AL6" s="83"/>
      <c r="AM6" s="83"/>
      <c r="AN6" s="83"/>
      <c r="AO6" s="83"/>
      <c r="AP6" s="83"/>
      <c r="AQ6" s="83"/>
      <c r="AR6" s="83"/>
      <c r="AS6" s="83"/>
      <c r="AT6" s="83"/>
      <c r="AU6" s="83"/>
      <c r="AV6" s="83"/>
      <c r="AW6" s="83"/>
    </row>
    <row r="7" spans="1:49" ht="15.95" customHeight="1">
      <c r="O7" s="626"/>
      <c r="P7" s="626"/>
      <c r="Q7" s="626"/>
      <c r="R7" s="626"/>
      <c r="S7" s="626"/>
      <c r="T7" s="626"/>
      <c r="U7" s="626"/>
      <c r="V7" s="626"/>
      <c r="W7" s="626"/>
      <c r="X7" s="626"/>
      <c r="Y7" s="626"/>
      <c r="Z7" s="626"/>
      <c r="AA7" s="626"/>
      <c r="AB7" s="62" t="s">
        <v>1506</v>
      </c>
      <c r="AC7" s="47"/>
      <c r="AE7" s="64" t="s">
        <v>1808</v>
      </c>
    </row>
    <row r="8" spans="1:49" ht="15.95" customHeight="1">
      <c r="O8" s="627" t="s">
        <v>1109</v>
      </c>
      <c r="P8" s="627"/>
      <c r="Q8" s="627"/>
      <c r="R8" s="627"/>
      <c r="S8" s="627"/>
      <c r="T8" s="627"/>
      <c r="U8" s="627"/>
      <c r="V8" s="627"/>
      <c r="W8" s="627"/>
      <c r="X8" s="627"/>
      <c r="Y8" s="627"/>
      <c r="Z8" s="627"/>
      <c r="AA8" s="627"/>
      <c r="AB8" s="62" t="s">
        <v>1102</v>
      </c>
      <c r="AC8" s="47"/>
      <c r="AE8" s="64" t="str">
        <f>Hotline</f>
        <v>(844)687-0229</v>
      </c>
    </row>
    <row r="9" spans="1:49" ht="15.95" customHeight="1">
      <c r="O9" s="627"/>
      <c r="P9" s="627"/>
      <c r="Q9" s="627"/>
      <c r="R9" s="627"/>
      <c r="S9" s="627"/>
      <c r="T9" s="627"/>
      <c r="U9" s="627"/>
      <c r="V9" s="627"/>
      <c r="W9" s="627"/>
      <c r="X9" s="627"/>
      <c r="Y9" s="627"/>
      <c r="Z9" s="627"/>
      <c r="AA9" s="627"/>
      <c r="AB9" s="62" t="s">
        <v>1107</v>
      </c>
      <c r="AC9" s="47"/>
      <c r="AE9" s="182" t="s">
        <v>1784</v>
      </c>
    </row>
    <row r="10" spans="1:49" ht="15.95" customHeight="1">
      <c r="Q10" s="183"/>
      <c r="R10" s="183"/>
      <c r="AA10" s="183"/>
      <c r="AB10" s="183"/>
      <c r="AC10" s="183"/>
    </row>
    <row r="13" spans="1:49" ht="15.95" hidden="1" customHeight="1">
      <c r="N13" s="63"/>
      <c r="P13" s="47"/>
      <c r="Q13" s="63"/>
    </row>
    <row r="14" spans="1:49" ht="15.95" hidden="1" customHeight="1">
      <c r="N14" s="48"/>
      <c r="P14" s="48"/>
      <c r="Q14" s="48"/>
    </row>
    <row r="15" spans="1:49" ht="15.95" hidden="1" customHeight="1">
      <c r="N15" s="48"/>
      <c r="P15" s="48"/>
      <c r="Q15" s="48"/>
      <c r="R15" s="56"/>
      <c r="S15" s="56"/>
      <c r="T15" s="53"/>
      <c r="AH15" s="48"/>
      <c r="AI15" s="48"/>
      <c r="AJ15" s="48"/>
      <c r="AK15" s="52"/>
    </row>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CONCATENATE("EE ", VERSION)</f>
        <v>EE 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Y6Vw1zIFj331Ml8Jr1HYpmM7ktubaCS7dv8H3BNaLk1mEkEt8jPwahDrqStZAZ9MrnjkLDioLU7PbhFX5vB39Q==" saltValue="oVAqq9iKvJjTfyitsouOsw==" spinCount="100000" sheet="1" objects="1" scenarios="1" selectLockedCells="1"/>
  <mergeCells count="10">
    <mergeCell ref="A4:AW5"/>
    <mergeCell ref="O200:AI201"/>
    <mergeCell ref="F1:I3"/>
    <mergeCell ref="J1:M3"/>
    <mergeCell ref="AT1:AW3"/>
    <mergeCell ref="AL1:AO3"/>
    <mergeCell ref="AP1:AS3"/>
    <mergeCell ref="Q1:AG3"/>
    <mergeCell ref="O6:AA7"/>
    <mergeCell ref="O8:AA9"/>
  </mergeCells>
  <hyperlinks>
    <hyperlink ref="AE9" r:id="rId1" display="businessrebates@kcpl.com" xr:uid="{F0C6C6D7-82AB-4347-863F-8D0329787D80}"/>
    <hyperlink ref="J1:M3" location="'M01-S02'!J1" tooltip="Instructions" display="'M01-S02'!J1" xr:uid="{3ED65C96-6737-4E45-ABAE-BDA600690A49}"/>
    <hyperlink ref="AP1:AS3" location="'M05-S05'!AL1" tooltip=" " display="'M05-S05'!AL1" xr:uid="{FE8D9EAB-695E-4875-BFEC-F9D477F449FD}"/>
    <hyperlink ref="AL1:AO3" location="'M05-S04'!AH1" tooltip=" " display="'M05-S04'!AH1" xr:uid="{3AF059F9-CA58-4941-85B2-FCA4D03ABC6B}"/>
    <hyperlink ref="AT1:AW3" location="'M01-S03'!AP1" tooltip="Contact" display="'M01-S03'!AP1" xr:uid="{ECF5D48B-0D5E-4807-9D76-92EB8C54FF53}"/>
    <hyperlink ref="B202" r:id="rId2" xr:uid="{8F35684C-054F-4163-9A27-DCABE392B5E5}"/>
  </hyperlinks>
  <printOptions horizontalCentered="1"/>
  <pageMargins left="0" right="0" top="0" bottom="0" header="0" footer="0"/>
  <pageSetup scale="49"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C884C-2924-43DB-A5DB-B5513BADE83D}">
  <sheetPr codeName="Sheet7">
    <tabColor theme="8" tint="0.59999389629810485"/>
    <pageSetUpPr fitToPage="1"/>
  </sheetPr>
  <dimension ref="A1:AW202"/>
  <sheetViews>
    <sheetView showGridLines="0" showRowColHeaders="0" zoomScale="85" zoomScaleNormal="85" workbookViewId="0">
      <selection activeCell="H27" sqref="H27:X27"/>
    </sheetView>
  </sheetViews>
  <sheetFormatPr defaultColWidth="0" defaultRowHeight="0" customHeight="1" zeroHeight="1"/>
  <cols>
    <col min="1" max="49" width="4.7109375" customWidth="1"/>
    <col min="50" max="16384" width="4.7109375" hidden="1"/>
  </cols>
  <sheetData>
    <row r="1" spans="1:4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49" ht="15.95" customHeight="1">
      <c r="A4" s="652">
        <f>INCENTOTAL</f>
        <v>0</v>
      </c>
      <c r="B4" s="652"/>
      <c r="C4" s="652"/>
      <c r="D4" s="652"/>
      <c r="E4" s="652"/>
      <c r="F4" s="203"/>
      <c r="G4" s="203"/>
      <c r="H4" s="203"/>
      <c r="I4" s="203"/>
    </row>
    <row r="5" spans="1:49" ht="15.95" customHeight="1">
      <c r="A5" s="653"/>
      <c r="B5" s="653"/>
      <c r="C5" s="653"/>
      <c r="D5" s="653"/>
      <c r="E5" s="653"/>
      <c r="F5" s="428"/>
      <c r="G5" s="428"/>
      <c r="H5" s="428"/>
      <c r="I5" s="428"/>
      <c r="AS5" s="630">
        <f ca="1">PROGRESSSTATUS</f>
        <v>0</v>
      </c>
      <c r="AT5" s="630"/>
      <c r="AU5" s="630"/>
      <c r="AV5" s="630"/>
      <c r="AW5" s="630"/>
    </row>
    <row r="6" spans="1:49" ht="15.95" customHeight="1">
      <c r="A6" s="653"/>
      <c r="B6" s="653"/>
      <c r="C6" s="653"/>
      <c r="D6" s="653"/>
      <c r="E6" s="653"/>
      <c r="F6" s="428"/>
      <c r="G6" s="428"/>
      <c r="H6" s="428"/>
      <c r="I6" s="428"/>
      <c r="AS6" s="630"/>
      <c r="AT6" s="630"/>
      <c r="AU6" s="630"/>
      <c r="AV6" s="630"/>
      <c r="AW6" s="630"/>
    </row>
    <row r="7" spans="1:49" ht="15.95" customHeight="1">
      <c r="A7" s="629" t="s">
        <v>83</v>
      </c>
      <c r="B7" s="629"/>
      <c r="C7" s="629"/>
      <c r="D7" s="629"/>
      <c r="E7" s="629"/>
      <c r="F7" s="85"/>
      <c r="G7" s="85"/>
      <c r="H7" s="85"/>
      <c r="I7" s="85"/>
      <c r="AS7" s="629" t="s">
        <v>299</v>
      </c>
      <c r="AT7" s="629"/>
      <c r="AU7" s="629"/>
      <c r="AV7" s="629"/>
      <c r="AW7" s="629"/>
    </row>
    <row r="8" spans="1:49" ht="15.95" customHeight="1" thickBot="1">
      <c r="A8" s="632"/>
      <c r="B8" s="632"/>
      <c r="C8" s="632"/>
      <c r="D8" s="632"/>
      <c r="E8" s="632"/>
      <c r="F8" s="85"/>
      <c r="G8" s="85"/>
      <c r="H8" s="85"/>
      <c r="I8" s="85"/>
      <c r="AS8" s="628" t="str">
        <f ca="1">PROJSTATUS</f>
        <v>Enter Measures</v>
      </c>
      <c r="AT8" s="628"/>
      <c r="AU8" s="628"/>
      <c r="AV8" s="628"/>
      <c r="AW8" s="628"/>
    </row>
    <row r="9" spans="1:49" s="89" customFormat="1" ht="15.95" customHeight="1">
      <c r="A9" s="631" t="str">
        <f>M2S1</f>
        <v>Terms &amp; Conditions</v>
      </c>
      <c r="B9" s="631"/>
      <c r="C9" s="631"/>
      <c r="D9" s="631"/>
      <c r="E9" s="631"/>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c r="AT9" s="631"/>
      <c r="AU9" s="631"/>
      <c r="AV9" s="631"/>
      <c r="AW9" s="631"/>
    </row>
    <row r="10" spans="1:49" s="89" customFormat="1" ht="15.95" customHeight="1">
      <c r="A10" s="621"/>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21"/>
      <c r="AO10" s="621"/>
      <c r="AP10" s="621"/>
      <c r="AQ10" s="621"/>
      <c r="AR10" s="621"/>
      <c r="AS10" s="621"/>
      <c r="AT10" s="621"/>
      <c r="AU10" s="621"/>
      <c r="AV10" s="621"/>
      <c r="AW10" s="621"/>
    </row>
    <row r="11" spans="1:49" s="83" customFormat="1" ht="15.95" customHeight="1">
      <c r="H11" s="221"/>
      <c r="I11" s="221"/>
      <c r="J11"/>
      <c r="K11"/>
      <c r="L11"/>
      <c r="M11"/>
      <c r="N11"/>
      <c r="O11"/>
      <c r="P11"/>
      <c r="Q11"/>
      <c r="R11"/>
      <c r="S11"/>
      <c r="T11"/>
      <c r="U11"/>
      <c r="V11"/>
      <c r="W11"/>
      <c r="X11"/>
      <c r="Y11"/>
      <c r="Z11"/>
      <c r="AA11"/>
      <c r="AB11"/>
      <c r="AC11"/>
      <c r="AD11"/>
      <c r="AE11"/>
      <c r="AF11"/>
      <c r="AG11"/>
      <c r="AH11"/>
      <c r="AI11"/>
      <c r="AJ11"/>
      <c r="AK11"/>
      <c r="AL11"/>
      <c r="AM11"/>
      <c r="AN11"/>
      <c r="AO11"/>
      <c r="AP11"/>
      <c r="AQ11"/>
      <c r="AR11"/>
      <c r="AS11" s="221"/>
      <c r="AT11" s="221"/>
      <c r="AU11" s="221"/>
    </row>
    <row r="12" spans="1:49" ht="15.95" customHeight="1">
      <c r="G12" s="92"/>
      <c r="H12" s="633" t="s">
        <v>1658</v>
      </c>
      <c r="I12" s="634"/>
      <c r="J12" s="634"/>
      <c r="K12" s="634"/>
      <c r="L12" s="634"/>
      <c r="M12" s="634"/>
      <c r="N12" s="634"/>
      <c r="O12" s="634"/>
      <c r="P12" s="634"/>
      <c r="Q12" s="634"/>
      <c r="R12" s="634"/>
      <c r="S12" s="634"/>
      <c r="T12" s="634"/>
      <c r="U12" s="634"/>
      <c r="V12" s="634"/>
      <c r="W12" s="634"/>
      <c r="X12" s="634"/>
      <c r="Y12" s="634"/>
      <c r="Z12" s="634"/>
      <c r="AA12" s="634"/>
      <c r="AB12" s="634"/>
      <c r="AC12" s="634"/>
      <c r="AD12" s="634"/>
      <c r="AE12" s="634"/>
      <c r="AF12" s="634"/>
      <c r="AG12" s="634"/>
      <c r="AH12" s="634"/>
      <c r="AI12" s="634"/>
      <c r="AJ12" s="634"/>
      <c r="AK12" s="634"/>
      <c r="AL12" s="634"/>
      <c r="AM12" s="634"/>
      <c r="AN12" s="634"/>
      <c r="AO12" s="634"/>
      <c r="AP12" s="634"/>
      <c r="AQ12" s="635"/>
      <c r="AT12" s="92"/>
      <c r="AU12" s="92"/>
    </row>
    <row r="13" spans="1:49" ht="15.95" customHeight="1">
      <c r="G13" s="92"/>
      <c r="H13" s="636"/>
      <c r="I13" s="637"/>
      <c r="J13" s="637"/>
      <c r="K13" s="637"/>
      <c r="L13" s="637"/>
      <c r="M13" s="637"/>
      <c r="N13" s="637"/>
      <c r="O13" s="637"/>
      <c r="P13" s="637"/>
      <c r="Q13" s="637"/>
      <c r="R13" s="637"/>
      <c r="S13" s="637"/>
      <c r="T13" s="637"/>
      <c r="U13" s="637"/>
      <c r="V13" s="637"/>
      <c r="W13" s="637"/>
      <c r="X13" s="637"/>
      <c r="Y13" s="637"/>
      <c r="Z13" s="637"/>
      <c r="AA13" s="637"/>
      <c r="AB13" s="637"/>
      <c r="AC13" s="637"/>
      <c r="AD13" s="637"/>
      <c r="AE13" s="637"/>
      <c r="AF13" s="637"/>
      <c r="AG13" s="637"/>
      <c r="AH13" s="637"/>
      <c r="AI13" s="637"/>
      <c r="AJ13" s="637"/>
      <c r="AK13" s="637"/>
      <c r="AL13" s="637"/>
      <c r="AM13" s="637"/>
      <c r="AN13" s="637"/>
      <c r="AO13" s="637"/>
      <c r="AP13" s="637"/>
      <c r="AQ13" s="638"/>
      <c r="AT13" s="92"/>
      <c r="AU13" s="92"/>
    </row>
    <row r="14" spans="1:49" ht="15.95" customHeight="1">
      <c r="G14" s="92"/>
      <c r="H14" s="636"/>
      <c r="I14" s="637"/>
      <c r="J14" s="637"/>
      <c r="K14" s="637"/>
      <c r="L14" s="637"/>
      <c r="M14" s="637"/>
      <c r="N14" s="637"/>
      <c r="O14" s="637"/>
      <c r="P14" s="637"/>
      <c r="Q14" s="637"/>
      <c r="R14" s="637"/>
      <c r="S14" s="637"/>
      <c r="T14" s="637"/>
      <c r="U14" s="637"/>
      <c r="V14" s="637"/>
      <c r="W14" s="637"/>
      <c r="X14" s="637"/>
      <c r="Y14" s="637"/>
      <c r="Z14" s="637"/>
      <c r="AA14" s="637"/>
      <c r="AB14" s="637"/>
      <c r="AC14" s="637"/>
      <c r="AD14" s="637"/>
      <c r="AE14" s="637"/>
      <c r="AF14" s="637"/>
      <c r="AG14" s="637"/>
      <c r="AH14" s="637"/>
      <c r="AI14" s="637"/>
      <c r="AJ14" s="637"/>
      <c r="AK14" s="637"/>
      <c r="AL14" s="637"/>
      <c r="AM14" s="637"/>
      <c r="AN14" s="637"/>
      <c r="AO14" s="637"/>
      <c r="AP14" s="637"/>
      <c r="AQ14" s="638"/>
      <c r="AT14" s="92"/>
      <c r="AU14" s="92"/>
    </row>
    <row r="15" spans="1:49" ht="15.95" customHeight="1">
      <c r="G15" s="92"/>
      <c r="H15" s="639"/>
      <c r="I15" s="640"/>
      <c r="J15" s="640"/>
      <c r="K15" s="640"/>
      <c r="L15" s="640"/>
      <c r="M15" s="640"/>
      <c r="N15" s="640"/>
      <c r="O15" s="640"/>
      <c r="P15" s="640"/>
      <c r="Q15" s="640"/>
      <c r="R15" s="640"/>
      <c r="S15" s="640"/>
      <c r="T15" s="640"/>
      <c r="U15" s="640"/>
      <c r="V15" s="640"/>
      <c r="W15" s="640"/>
      <c r="X15" s="640"/>
      <c r="Y15" s="640"/>
      <c r="Z15" s="640"/>
      <c r="AA15" s="640"/>
      <c r="AB15" s="640"/>
      <c r="AC15" s="640"/>
      <c r="AD15" s="640"/>
      <c r="AE15" s="640"/>
      <c r="AF15" s="640"/>
      <c r="AG15" s="640"/>
      <c r="AH15" s="640"/>
      <c r="AI15" s="640"/>
      <c r="AJ15" s="640"/>
      <c r="AK15" s="640"/>
      <c r="AL15" s="640"/>
      <c r="AM15" s="640"/>
      <c r="AN15" s="640"/>
      <c r="AO15" s="640"/>
      <c r="AP15" s="640"/>
      <c r="AQ15" s="641"/>
      <c r="AT15" s="92"/>
      <c r="AU15" s="92"/>
    </row>
    <row r="16" spans="1:49" ht="15.95" customHeight="1">
      <c r="G16" s="92"/>
      <c r="H16" s="92"/>
      <c r="I16" s="92"/>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1"/>
      <c r="AT16" s="92"/>
      <c r="AU16" s="92"/>
    </row>
    <row r="17" spans="7:47" ht="15.95" customHeight="1">
      <c r="G17" s="92"/>
      <c r="H17" s="642" t="s">
        <v>1157</v>
      </c>
      <c r="I17" s="642"/>
      <c r="J17" s="642"/>
      <c r="K17" s="642"/>
      <c r="L17" s="642"/>
      <c r="M17" s="642"/>
      <c r="N17" s="642"/>
      <c r="O17" s="642"/>
      <c r="P17" s="642"/>
      <c r="Q17" s="642"/>
      <c r="R17" s="642"/>
      <c r="S17" s="642"/>
      <c r="T17" s="642"/>
      <c r="U17" s="642"/>
      <c r="V17" s="642"/>
      <c r="W17" s="642"/>
      <c r="X17" s="642"/>
      <c r="Y17" s="642"/>
      <c r="Z17" s="642"/>
      <c r="AA17" s="642"/>
      <c r="AB17" s="642"/>
      <c r="AC17" s="642"/>
      <c r="AD17" s="642"/>
      <c r="AE17" s="642"/>
      <c r="AF17" s="642"/>
      <c r="AG17" s="642"/>
      <c r="AH17" s="642"/>
      <c r="AI17" s="642"/>
      <c r="AJ17" s="642"/>
      <c r="AK17" s="642"/>
      <c r="AL17" s="642"/>
      <c r="AM17" s="642"/>
      <c r="AN17" s="642"/>
      <c r="AO17" s="642"/>
      <c r="AP17" s="642"/>
      <c r="AS17" s="92"/>
      <c r="AT17" s="92"/>
      <c r="AU17" s="92"/>
    </row>
    <row r="18" spans="7:47" ht="15.95" customHeight="1">
      <c r="G18" s="92"/>
      <c r="H18" s="643" t="s">
        <v>1792</v>
      </c>
      <c r="I18" s="644"/>
      <c r="J18" s="644"/>
      <c r="K18" s="644"/>
      <c r="L18" s="644"/>
      <c r="M18" s="644"/>
      <c r="N18" s="644"/>
      <c r="O18" s="644"/>
      <c r="P18" s="644"/>
      <c r="Q18" s="644"/>
      <c r="R18" s="644"/>
      <c r="S18" s="644"/>
      <c r="T18" s="644"/>
      <c r="U18" s="644"/>
      <c r="V18" s="644"/>
      <c r="W18" s="644"/>
      <c r="X18" s="644"/>
      <c r="Y18" s="644"/>
      <c r="Z18" s="644"/>
      <c r="AA18" s="644"/>
      <c r="AB18" s="644"/>
      <c r="AC18" s="644"/>
      <c r="AD18" s="644"/>
      <c r="AE18" s="644"/>
      <c r="AF18" s="644"/>
      <c r="AG18" s="644"/>
      <c r="AH18" s="644"/>
      <c r="AI18" s="644"/>
      <c r="AJ18" s="644"/>
      <c r="AK18" s="644"/>
      <c r="AL18" s="644"/>
      <c r="AM18" s="644"/>
      <c r="AN18" s="644"/>
      <c r="AO18" s="644"/>
      <c r="AP18" s="644"/>
      <c r="AQ18" s="645"/>
      <c r="AT18" s="92"/>
      <c r="AU18" s="92"/>
    </row>
    <row r="19" spans="7:47" ht="15.95" customHeight="1">
      <c r="G19" s="92"/>
      <c r="H19" s="646"/>
      <c r="I19" s="647"/>
      <c r="J19" s="647"/>
      <c r="K19" s="647"/>
      <c r="L19" s="647"/>
      <c r="M19" s="647"/>
      <c r="N19" s="647"/>
      <c r="O19" s="647"/>
      <c r="P19" s="647"/>
      <c r="Q19" s="647"/>
      <c r="R19" s="647"/>
      <c r="S19" s="647"/>
      <c r="T19" s="647"/>
      <c r="U19" s="647"/>
      <c r="V19" s="647"/>
      <c r="W19" s="647"/>
      <c r="X19" s="647"/>
      <c r="Y19" s="647"/>
      <c r="Z19" s="647"/>
      <c r="AA19" s="647"/>
      <c r="AB19" s="647"/>
      <c r="AC19" s="647"/>
      <c r="AD19" s="647"/>
      <c r="AE19" s="647"/>
      <c r="AF19" s="647"/>
      <c r="AG19" s="647"/>
      <c r="AH19" s="647"/>
      <c r="AI19" s="647"/>
      <c r="AJ19" s="647"/>
      <c r="AK19" s="647"/>
      <c r="AL19" s="647"/>
      <c r="AM19" s="647"/>
      <c r="AN19" s="647"/>
      <c r="AO19" s="647"/>
      <c r="AP19" s="647"/>
      <c r="AQ19" s="648"/>
      <c r="AT19" s="92"/>
      <c r="AU19" s="92"/>
    </row>
    <row r="20" spans="7:47" ht="15.95" customHeight="1">
      <c r="G20" s="92"/>
      <c r="H20" s="649"/>
      <c r="I20" s="650"/>
      <c r="J20" s="650"/>
      <c r="K20" s="650"/>
      <c r="L20" s="650"/>
      <c r="M20" s="650"/>
      <c r="N20" s="650"/>
      <c r="O20" s="650"/>
      <c r="P20" s="650"/>
      <c r="Q20" s="650"/>
      <c r="R20" s="650"/>
      <c r="S20" s="650"/>
      <c r="T20" s="650"/>
      <c r="U20" s="650"/>
      <c r="V20" s="650"/>
      <c r="W20" s="650"/>
      <c r="X20" s="650"/>
      <c r="Y20" s="650"/>
      <c r="Z20" s="650"/>
      <c r="AA20" s="650"/>
      <c r="AB20" s="650"/>
      <c r="AC20" s="650"/>
      <c r="AD20" s="650"/>
      <c r="AE20" s="650"/>
      <c r="AF20" s="650"/>
      <c r="AG20" s="650"/>
      <c r="AH20" s="650"/>
      <c r="AI20" s="650"/>
      <c r="AJ20" s="650"/>
      <c r="AK20" s="650"/>
      <c r="AL20" s="650"/>
      <c r="AM20" s="650"/>
      <c r="AN20" s="650"/>
      <c r="AO20" s="650"/>
      <c r="AP20" s="650"/>
      <c r="AQ20" s="651"/>
      <c r="AT20" s="92"/>
      <c r="AU20" s="92"/>
    </row>
    <row r="21" spans="7:47" ht="15.95" customHeight="1">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row>
    <row r="22" spans="7:47" ht="15.95" customHeight="1">
      <c r="G22" s="92"/>
      <c r="H22" s="642" t="s">
        <v>1158</v>
      </c>
      <c r="I22" s="642"/>
      <c r="J22" s="642"/>
      <c r="K22" s="642"/>
      <c r="L22" s="642"/>
      <c r="M22" s="642"/>
      <c r="N22" s="642"/>
      <c r="O22" s="642"/>
      <c r="P22" s="642"/>
      <c r="Q22" s="642"/>
      <c r="R22" s="642"/>
      <c r="S22" s="642"/>
      <c r="T22" s="642"/>
      <c r="U22" s="642"/>
      <c r="V22" s="642"/>
      <c r="W22" s="642"/>
      <c r="X22" s="642"/>
      <c r="Y22" s="642"/>
      <c r="Z22" s="642"/>
      <c r="AA22" s="642"/>
      <c r="AB22" s="642"/>
      <c r="AC22" s="642"/>
      <c r="AD22" s="642"/>
      <c r="AE22" s="642"/>
      <c r="AF22" s="642"/>
      <c r="AG22" s="642"/>
      <c r="AH22" s="642"/>
      <c r="AI22" s="642"/>
      <c r="AJ22" s="642"/>
      <c r="AK22" s="642"/>
      <c r="AL22" s="642"/>
      <c r="AM22" s="642"/>
      <c r="AN22" s="642"/>
      <c r="AO22" s="642"/>
      <c r="AP22" s="642"/>
      <c r="AS22" s="92"/>
      <c r="AT22" s="92"/>
      <c r="AU22" s="92"/>
    </row>
    <row r="23" spans="7:47" ht="15.95" customHeight="1">
      <c r="G23" s="92"/>
      <c r="H23" s="633" t="s">
        <v>1793</v>
      </c>
      <c r="I23" s="634"/>
      <c r="J23" s="634"/>
      <c r="K23" s="634"/>
      <c r="L23" s="634"/>
      <c r="M23" s="634"/>
      <c r="N23" s="634"/>
      <c r="O23" s="634"/>
      <c r="P23" s="634"/>
      <c r="Q23" s="634"/>
      <c r="R23" s="634"/>
      <c r="S23" s="634"/>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5"/>
      <c r="AT23" s="92"/>
      <c r="AU23" s="92"/>
    </row>
    <row r="24" spans="7:47" ht="15.95" customHeight="1">
      <c r="G24" s="92"/>
      <c r="H24" s="639"/>
      <c r="I24" s="640"/>
      <c r="J24" s="640"/>
      <c r="K24" s="640"/>
      <c r="L24" s="640"/>
      <c r="M24" s="640"/>
      <c r="N24" s="640"/>
      <c r="O24" s="640"/>
      <c r="P24" s="640"/>
      <c r="Q24" s="640"/>
      <c r="R24" s="640"/>
      <c r="S24" s="640"/>
      <c r="T24" s="640"/>
      <c r="U24" s="640"/>
      <c r="V24" s="640"/>
      <c r="W24" s="640"/>
      <c r="X24" s="640"/>
      <c r="Y24" s="640"/>
      <c r="Z24" s="640"/>
      <c r="AA24" s="640"/>
      <c r="AB24" s="640"/>
      <c r="AC24" s="640"/>
      <c r="AD24" s="640"/>
      <c r="AE24" s="640"/>
      <c r="AF24" s="640"/>
      <c r="AG24" s="640"/>
      <c r="AH24" s="640"/>
      <c r="AI24" s="640"/>
      <c r="AJ24" s="640"/>
      <c r="AK24" s="640"/>
      <c r="AL24" s="640"/>
      <c r="AM24" s="640"/>
      <c r="AN24" s="640"/>
      <c r="AO24" s="640"/>
      <c r="AP24" s="640"/>
      <c r="AQ24" s="641"/>
      <c r="AT24" s="92"/>
      <c r="AU24" s="92"/>
    </row>
    <row r="25" spans="7:47" ht="15.95" customHeight="1">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row>
    <row r="26" spans="7:47" ht="15.95" customHeight="1" thickBot="1">
      <c r="G26" s="92"/>
      <c r="H26" s="654" t="s">
        <v>1354</v>
      </c>
      <c r="I26" s="654"/>
      <c r="J26" s="654"/>
      <c r="K26" s="654"/>
      <c r="L26" s="654"/>
      <c r="M26" s="654"/>
      <c r="N26" s="654"/>
      <c r="O26" s="654"/>
      <c r="P26" s="654"/>
      <c r="Q26" s="654"/>
      <c r="R26" s="654"/>
      <c r="S26" s="654"/>
      <c r="T26" s="654"/>
      <c r="U26" s="654"/>
      <c r="V26" s="654"/>
      <c r="W26" s="654"/>
      <c r="X26" s="654"/>
      <c r="Z26" s="654" t="s">
        <v>1355</v>
      </c>
      <c r="AA26" s="654"/>
      <c r="AB26" s="654"/>
      <c r="AC26" s="654"/>
      <c r="AD26" s="654"/>
      <c r="AE26" s="654"/>
      <c r="AF26" s="654"/>
      <c r="AG26" s="654"/>
      <c r="AH26" s="654"/>
      <c r="AI26" s="654"/>
      <c r="AJ26" s="654"/>
      <c r="AK26" s="654"/>
      <c r="AL26" s="654"/>
      <c r="AN26" s="654" t="s">
        <v>1356</v>
      </c>
      <c r="AO26" s="654"/>
      <c r="AP26" s="654"/>
      <c r="AQ26" s="654"/>
      <c r="AT26" s="93"/>
      <c r="AU26" s="93"/>
    </row>
    <row r="27" spans="7:47" ht="15.95" customHeight="1" thickBot="1">
      <c r="G27" s="92"/>
      <c r="H27" s="655"/>
      <c r="I27" s="656"/>
      <c r="J27" s="656"/>
      <c r="K27" s="656"/>
      <c r="L27" s="656"/>
      <c r="M27" s="656"/>
      <c r="N27" s="656"/>
      <c r="O27" s="656"/>
      <c r="P27" s="656"/>
      <c r="Q27" s="656"/>
      <c r="R27" s="656"/>
      <c r="S27" s="656"/>
      <c r="T27" s="656"/>
      <c r="U27" s="656"/>
      <c r="V27" s="656"/>
      <c r="W27" s="656"/>
      <c r="X27" s="657"/>
      <c r="Z27" s="655"/>
      <c r="AA27" s="656"/>
      <c r="AB27" s="656"/>
      <c r="AC27" s="656"/>
      <c r="AD27" s="656"/>
      <c r="AE27" s="656"/>
      <c r="AF27" s="656"/>
      <c r="AG27" s="656"/>
      <c r="AH27" s="656"/>
      <c r="AI27" s="656"/>
      <c r="AJ27" s="656"/>
      <c r="AK27" s="656"/>
      <c r="AL27" s="657"/>
      <c r="AN27" s="658"/>
      <c r="AO27" s="659"/>
      <c r="AP27" s="659"/>
      <c r="AQ27" s="660"/>
      <c r="AT27" s="93"/>
      <c r="AU27" s="93"/>
    </row>
    <row r="28" spans="7:47" ht="15.95" customHeight="1">
      <c r="H28" s="84" t="s">
        <v>1156</v>
      </c>
      <c r="I28" s="66"/>
      <c r="AT28" s="66"/>
      <c r="AU28" s="66"/>
    </row>
    <row r="29" spans="7:47" ht="15.95" customHeight="1"/>
    <row r="30" spans="7:47" ht="15.95" hidden="1" customHeight="1"/>
    <row r="31" spans="7:47" ht="15.95" hidden="1" customHeight="1"/>
    <row r="32" spans="7:47" ht="15.95" hidden="1" customHeight="1"/>
    <row r="33" ht="15.95" hidden="1" customHeight="1"/>
    <row r="34" ht="15.95" hidden="1" customHeight="1"/>
    <row r="35" ht="15.95" hidden="1" customHeight="1"/>
    <row r="36" ht="15.95" hidden="1" customHeight="1"/>
    <row r="37" ht="15.95" hidden="1" customHeight="1"/>
    <row r="38" ht="15.95" hidden="1" customHeight="1"/>
    <row r="39" ht="15.95" hidden="1" customHeight="1"/>
    <row r="40" ht="15.95" hidden="1" customHeight="1"/>
    <row r="41" ht="15.95" hidden="1" customHeight="1"/>
    <row r="42" ht="15.95" hidden="1" customHeight="1"/>
    <row r="43" ht="15.95" hidden="1" customHeight="1"/>
    <row r="44" ht="15.95" hidden="1" customHeight="1"/>
    <row r="45" ht="15.95" hidden="1" customHeight="1"/>
    <row r="46" ht="15.95" hidden="1" customHeight="1"/>
    <row r="47" ht="15.95" hidden="1" customHeight="1"/>
    <row r="48"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QKnYwxcU1ymh7UPHQIUfqHCsL1fLk5QCr5p1kRaCRMyhYLSVhxhgemNn9nPdFnQjlagUX9RdAAVaR6P5wviQ8Q==" saltValue="ZOe9RBqP0zjT9N5W4fVeig==" spinCount="100000" sheet="1" objects="1" scenarios="1" selectLockedCells="1"/>
  <mergeCells count="24">
    <mergeCell ref="A4:E6"/>
    <mergeCell ref="H26:X26"/>
    <mergeCell ref="H27:X27"/>
    <mergeCell ref="Z26:AL26"/>
    <mergeCell ref="Z27:AL27"/>
    <mergeCell ref="H23:AQ24"/>
    <mergeCell ref="AN26:AQ26"/>
    <mergeCell ref="AN27:AQ27"/>
    <mergeCell ref="O200:AI201"/>
    <mergeCell ref="J1:M3"/>
    <mergeCell ref="AS8:AW8"/>
    <mergeCell ref="AS7:AW7"/>
    <mergeCell ref="AS5:AW6"/>
    <mergeCell ref="AT1:AW3"/>
    <mergeCell ref="AL1:AO3"/>
    <mergeCell ref="AP1:AS3"/>
    <mergeCell ref="A9:AW10"/>
    <mergeCell ref="A7:E8"/>
    <mergeCell ref="H12:AQ15"/>
    <mergeCell ref="H17:AP17"/>
    <mergeCell ref="H18:AQ20"/>
    <mergeCell ref="H22:AP22"/>
    <mergeCell ref="F1:I3"/>
    <mergeCell ref="Q1:AG3"/>
  </mergeCells>
  <conditionalFormatting sqref="AS8:AW8">
    <cfRule type="expression" dxfId="154" priority="2">
      <formula>IF($AS$8=PROJSTATMEASURE,FALSE,TRUE)</formula>
    </cfRule>
  </conditionalFormatting>
  <dataValidations xWindow="872" yWindow="637" count="2">
    <dataValidation allowBlank="1" showInputMessage="1" showErrorMessage="1" prompt="The authorized representative is an individual that has the legal accountability for the site associated with the Evergy account provided either through ownership, positional, or written authority from the company." sqref="H27" xr:uid="{949BD21D-E4FD-4665-9EBB-DFB3467929AC}"/>
    <dataValidation type="date" operator="greaterThanOrEqual" allowBlank="1" showInputMessage="1" showErrorMessage="1" error="Please enter date. Format: xx/xx/xxx" sqref="AN27" xr:uid="{8CDE128B-BC98-45D3-B91E-50CDD30F7FFA}">
      <formula1>32874</formula1>
    </dataValidation>
  </dataValidations>
  <hyperlinks>
    <hyperlink ref="B202" r:id="rId1" xr:uid="{5227BD89-F959-4CC9-9288-2DF6E5265210}"/>
    <hyperlink ref="J1:M3" location="'M01-S02'!J1" tooltip="Instructions" display="'M01-S02'!J1" xr:uid="{FBABD550-3BD6-4BB4-8CDE-5623583CEAD5}"/>
    <hyperlink ref="AP1:AS3" location="'M05-S05'!AL1" tooltip=" " display="'M05-S05'!AL1" xr:uid="{DFBA409D-AE48-4D9C-BFE9-E738D4A40814}"/>
    <hyperlink ref="AL1:AO3" location="'M05-S04'!AH1" tooltip=" " display="'M05-S04'!AH1" xr:uid="{C31EB65F-7652-43B0-AD2A-30E025C3DAF8}"/>
    <hyperlink ref="AT1:AW3" location="'M01-S03'!AP1" tooltip="Contact" display="'M01-S03'!AP1" xr:uid="{2F515DB8-72AF-4F76-ACEA-4FD366F7D652}"/>
  </hyperlinks>
  <printOptions horizontalCentered="1"/>
  <pageMargins left="0" right="0" top="0" bottom="0" header="0" footer="0"/>
  <pageSetup scale="4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C1D70-9EC0-47DD-B2AC-3D213943EAD5}">
  <sheetPr codeName="Sheet15">
    <tabColor theme="8" tint="0.59999389629810485"/>
    <pageSetUpPr fitToPage="1"/>
  </sheetPr>
  <dimension ref="A1:AW202"/>
  <sheetViews>
    <sheetView showGridLines="0" showRowColHeaders="0" zoomScale="85" zoomScaleNormal="85" workbookViewId="0">
      <selection activeCell="AB13" sqref="AB13:AG13"/>
    </sheetView>
  </sheetViews>
  <sheetFormatPr defaultColWidth="0" defaultRowHeight="15.95" customHeight="1" zeroHeight="1"/>
  <cols>
    <col min="1" max="49" width="4.7109375" customWidth="1"/>
    <col min="50" max="16384" width="4.7109375" hidden="1"/>
  </cols>
  <sheetData>
    <row r="1" spans="1:4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49" ht="15.95" customHeight="1">
      <c r="A4" s="666">
        <f>INCENTOTAL</f>
        <v>0</v>
      </c>
      <c r="B4" s="666"/>
      <c r="C4" s="666"/>
      <c r="D4" s="666"/>
      <c r="E4" s="666"/>
      <c r="F4" s="203"/>
      <c r="G4" s="203"/>
      <c r="H4" s="203"/>
      <c r="I4" s="203"/>
    </row>
    <row r="5" spans="1:49" ht="15.95" customHeight="1">
      <c r="A5" s="667"/>
      <c r="B5" s="667"/>
      <c r="C5" s="667"/>
      <c r="D5" s="667"/>
      <c r="E5" s="667"/>
      <c r="F5" s="428"/>
      <c r="G5" s="428"/>
      <c r="H5" s="428"/>
      <c r="I5" s="428"/>
      <c r="AS5" s="630">
        <f ca="1">PROGRESSSTATUS</f>
        <v>0</v>
      </c>
      <c r="AT5" s="630"/>
      <c r="AU5" s="630"/>
      <c r="AV5" s="630"/>
      <c r="AW5" s="630"/>
    </row>
    <row r="6" spans="1:49" ht="15.95" customHeight="1">
      <c r="A6" s="667"/>
      <c r="B6" s="667"/>
      <c r="C6" s="667"/>
      <c r="D6" s="667"/>
      <c r="E6" s="667"/>
      <c r="F6" s="428"/>
      <c r="G6" s="428"/>
      <c r="H6" s="428"/>
      <c r="I6" s="428"/>
      <c r="AS6" s="630"/>
      <c r="AT6" s="630"/>
      <c r="AU6" s="630"/>
      <c r="AV6" s="630"/>
      <c r="AW6" s="630"/>
    </row>
    <row r="7" spans="1:49" ht="15.95" customHeight="1">
      <c r="A7" s="629" t="s">
        <v>83</v>
      </c>
      <c r="B7" s="629"/>
      <c r="C7" s="629"/>
      <c r="D7" s="629"/>
      <c r="E7" s="629"/>
      <c r="F7" s="85"/>
      <c r="G7" s="85"/>
      <c r="H7" s="85"/>
      <c r="I7" s="85"/>
      <c r="AS7" s="629" t="s">
        <v>299</v>
      </c>
      <c r="AT7" s="629"/>
      <c r="AU7" s="629"/>
      <c r="AV7" s="629"/>
      <c r="AW7" s="629"/>
    </row>
    <row r="8" spans="1:49" ht="15.95" customHeight="1" thickBot="1">
      <c r="A8" s="632"/>
      <c r="B8" s="632"/>
      <c r="C8" s="632"/>
      <c r="D8" s="632"/>
      <c r="E8" s="632"/>
      <c r="F8" s="429"/>
      <c r="G8" s="429"/>
      <c r="H8" s="429"/>
      <c r="I8" s="429"/>
      <c r="AS8" s="628" t="str">
        <f ca="1">PROJSTATUS</f>
        <v>Enter Measures</v>
      </c>
      <c r="AT8" s="628"/>
      <c r="AU8" s="628"/>
      <c r="AV8" s="628"/>
      <c r="AW8" s="628"/>
    </row>
    <row r="9" spans="1:49" s="88" customFormat="1" ht="15.95" customHeight="1">
      <c r="A9" s="631" t="str">
        <f>M2S2</f>
        <v>Trade Ally / Contractor Information</v>
      </c>
      <c r="B9" s="631"/>
      <c r="C9" s="631"/>
      <c r="D9" s="631"/>
      <c r="E9" s="631"/>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c r="AT9" s="631"/>
      <c r="AU9" s="631"/>
      <c r="AV9" s="631"/>
      <c r="AW9" s="631"/>
    </row>
    <row r="10" spans="1:49" s="88" customFormat="1" ht="15.95" customHeight="1">
      <c r="A10" s="621"/>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21"/>
      <c r="AO10" s="621"/>
      <c r="AP10" s="621"/>
      <c r="AQ10" s="621"/>
      <c r="AR10" s="621"/>
      <c r="AS10" s="621"/>
      <c r="AT10" s="621"/>
      <c r="AU10" s="621"/>
      <c r="AV10" s="621"/>
      <c r="AW10" s="621"/>
    </row>
    <row r="11" spans="1:49" ht="15.95" customHeight="1">
      <c r="J11" s="92"/>
      <c r="K11" s="92"/>
      <c r="L11" s="668" t="s">
        <v>2259</v>
      </c>
      <c r="M11" s="668"/>
      <c r="N11" s="668"/>
      <c r="O11" s="668"/>
      <c r="P11" s="668"/>
      <c r="Q11" s="668"/>
      <c r="R11" s="668"/>
      <c r="S11" s="668"/>
      <c r="T11" s="668"/>
      <c r="U11" s="668"/>
      <c r="V11" s="668"/>
      <c r="W11" s="668"/>
      <c r="X11" s="668"/>
      <c r="Y11" s="668"/>
      <c r="Z11" s="668"/>
      <c r="AA11" s="668"/>
      <c r="AB11" s="668"/>
      <c r="AC11" s="668"/>
      <c r="AD11" s="668"/>
      <c r="AE11" s="668"/>
      <c r="AF11" s="668"/>
      <c r="AG11" s="668"/>
      <c r="AH11" s="668"/>
      <c r="AI11" s="668"/>
      <c r="AJ11" s="668"/>
      <c r="AK11" s="668"/>
      <c r="AL11" s="668"/>
      <c r="AO11" s="92"/>
      <c r="AP11" s="92"/>
      <c r="AQ11" s="92"/>
    </row>
    <row r="12" spans="1:49" ht="15.95" customHeight="1" thickBot="1">
      <c r="G12" s="22"/>
      <c r="H12" s="22"/>
      <c r="I12" s="22"/>
      <c r="J12" s="95"/>
      <c r="K12" s="95"/>
      <c r="L12" s="668"/>
      <c r="M12" s="668"/>
      <c r="N12" s="668"/>
      <c r="O12" s="668"/>
      <c r="P12" s="668"/>
      <c r="Q12" s="668"/>
      <c r="R12" s="668"/>
      <c r="S12" s="668"/>
      <c r="T12" s="668"/>
      <c r="U12" s="668"/>
      <c r="V12" s="668"/>
      <c r="W12" s="668"/>
      <c r="X12" s="668"/>
      <c r="Y12" s="668"/>
      <c r="Z12" s="668"/>
      <c r="AA12" s="668"/>
      <c r="AB12" s="668"/>
      <c r="AC12" s="668"/>
      <c r="AD12" s="668"/>
      <c r="AE12" s="668"/>
      <c r="AF12" s="668"/>
      <c r="AG12" s="668"/>
      <c r="AH12" s="668"/>
      <c r="AI12" s="668"/>
      <c r="AJ12" s="668"/>
      <c r="AK12" s="668"/>
      <c r="AL12" s="668"/>
      <c r="AO12" s="92"/>
      <c r="AP12" s="92"/>
      <c r="AQ12" s="92"/>
    </row>
    <row r="13" spans="1:49" ht="15.95" customHeight="1" thickBot="1">
      <c r="N13" s="669" t="s">
        <v>1830</v>
      </c>
      <c r="O13" s="669"/>
      <c r="P13" s="669"/>
      <c r="Q13" s="669"/>
      <c r="R13" s="669"/>
      <c r="S13" s="669"/>
      <c r="T13" s="669"/>
      <c r="U13" s="669"/>
      <c r="V13" s="669"/>
      <c r="W13" s="669"/>
      <c r="X13" s="669"/>
      <c r="Y13" s="669"/>
      <c r="Z13" s="669"/>
      <c r="AB13" s="670"/>
      <c r="AC13" s="671"/>
      <c r="AD13" s="671"/>
      <c r="AE13" s="671"/>
      <c r="AF13" s="671"/>
      <c r="AG13" s="672"/>
      <c r="AM13" s="92"/>
      <c r="AN13" s="92"/>
      <c r="AO13" s="92"/>
      <c r="AP13" s="92"/>
      <c r="AQ13" s="92"/>
    </row>
    <row r="14" spans="1:49" ht="15.95" customHeight="1" thickBot="1">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row>
    <row r="15" spans="1:49" ht="15.95" customHeight="1" thickBot="1">
      <c r="O15" s="669" t="s">
        <v>1826</v>
      </c>
      <c r="P15" s="669"/>
      <c r="Q15" s="669"/>
      <c r="R15" s="669"/>
      <c r="S15" s="669"/>
      <c r="T15" s="669"/>
      <c r="U15" s="669"/>
      <c r="V15" s="669"/>
      <c r="W15" s="669"/>
      <c r="X15" s="669"/>
      <c r="Y15" s="669"/>
      <c r="Z15" s="669"/>
      <c r="AB15" s="673"/>
      <c r="AC15" s="674"/>
      <c r="AD15" s="674"/>
      <c r="AE15" s="674"/>
      <c r="AF15" s="674"/>
      <c r="AG15" s="675"/>
    </row>
    <row r="16" spans="1:49" ht="15.95" customHeight="1"/>
    <row r="17" spans="8:41" ht="15.95" customHeight="1" thickBot="1">
      <c r="H17" s="654" t="s">
        <v>1825</v>
      </c>
      <c r="I17" s="654"/>
      <c r="J17" s="654"/>
      <c r="K17" s="654"/>
      <c r="L17" s="654"/>
      <c r="M17" s="654"/>
      <c r="N17" s="92"/>
      <c r="O17" s="654" t="s">
        <v>1357</v>
      </c>
      <c r="P17" s="654"/>
      <c r="Q17" s="654"/>
      <c r="R17" s="654"/>
      <c r="S17" s="654"/>
      <c r="T17" s="654"/>
      <c r="U17" s="94"/>
      <c r="V17" s="654" t="s">
        <v>1358</v>
      </c>
      <c r="W17" s="654"/>
      <c r="X17" s="654"/>
      <c r="Y17" s="654"/>
      <c r="Z17" s="654"/>
      <c r="AA17" s="654"/>
      <c r="AB17" s="94"/>
      <c r="AC17" s="654" t="s">
        <v>3095</v>
      </c>
      <c r="AD17" s="654"/>
      <c r="AE17" s="654"/>
      <c r="AF17" s="654"/>
      <c r="AG17" s="654"/>
      <c r="AH17" s="654"/>
      <c r="AI17" s="94"/>
      <c r="AJ17" s="654" t="s">
        <v>3094</v>
      </c>
      <c r="AK17" s="654"/>
      <c r="AL17" s="654"/>
      <c r="AM17" s="654"/>
      <c r="AN17" s="654"/>
      <c r="AO17" s="654"/>
    </row>
    <row r="18" spans="8:41" ht="15.95" customHeight="1" thickBot="1">
      <c r="H18" s="655"/>
      <c r="I18" s="656"/>
      <c r="J18" s="656"/>
      <c r="K18" s="656"/>
      <c r="L18" s="656"/>
      <c r="M18" s="657"/>
      <c r="N18" s="98"/>
      <c r="O18" s="655"/>
      <c r="P18" s="656"/>
      <c r="Q18" s="656"/>
      <c r="R18" s="656"/>
      <c r="S18" s="656"/>
      <c r="T18" s="657"/>
      <c r="U18" s="98"/>
      <c r="V18" s="655"/>
      <c r="W18" s="656"/>
      <c r="X18" s="656"/>
      <c r="Y18" s="656"/>
      <c r="Z18" s="656"/>
      <c r="AA18" s="657"/>
      <c r="AB18" s="98"/>
      <c r="AC18" s="655"/>
      <c r="AD18" s="656"/>
      <c r="AE18" s="656"/>
      <c r="AF18" s="656"/>
      <c r="AG18" s="656"/>
      <c r="AH18" s="657"/>
      <c r="AI18" s="98"/>
      <c r="AJ18" s="655"/>
      <c r="AK18" s="656"/>
      <c r="AL18" s="656"/>
      <c r="AM18" s="656"/>
      <c r="AN18" s="656"/>
      <c r="AO18" s="657"/>
    </row>
    <row r="19" spans="8:41" ht="15.95" customHeight="1">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row>
    <row r="20" spans="8:41" ht="15.95" customHeight="1" thickBot="1">
      <c r="H20" s="654" t="s">
        <v>1360</v>
      </c>
      <c r="I20" s="654"/>
      <c r="J20" s="654"/>
      <c r="K20" s="654"/>
      <c r="L20" s="654"/>
      <c r="M20" s="654"/>
      <c r="N20" s="94"/>
      <c r="O20" s="654" t="s">
        <v>1361</v>
      </c>
      <c r="P20" s="654"/>
      <c r="Q20" s="654"/>
      <c r="R20" s="654"/>
      <c r="S20" s="654"/>
      <c r="T20" s="654"/>
      <c r="U20" s="94"/>
      <c r="V20" s="654" t="s">
        <v>1362</v>
      </c>
      <c r="W20" s="654"/>
      <c r="X20" s="654"/>
      <c r="Y20" s="654"/>
      <c r="Z20" s="654"/>
      <c r="AA20" s="654"/>
      <c r="AB20" s="94"/>
      <c r="AC20" s="654" t="s">
        <v>1363</v>
      </c>
      <c r="AD20" s="654"/>
      <c r="AE20" s="654"/>
      <c r="AF20" s="654"/>
      <c r="AG20" s="654"/>
      <c r="AH20" s="654"/>
      <c r="AI20" s="92"/>
      <c r="AJ20" s="654" t="s">
        <v>1364</v>
      </c>
      <c r="AK20" s="654"/>
      <c r="AL20" s="654"/>
      <c r="AM20" s="654"/>
      <c r="AN20" s="654"/>
      <c r="AO20" s="654"/>
    </row>
    <row r="21" spans="8:41" ht="15.95" customHeight="1" thickBot="1">
      <c r="H21" s="655"/>
      <c r="I21" s="656"/>
      <c r="J21" s="656"/>
      <c r="K21" s="656"/>
      <c r="L21" s="656"/>
      <c r="M21" s="657"/>
      <c r="N21" s="98"/>
      <c r="O21" s="655"/>
      <c r="P21" s="656"/>
      <c r="Q21" s="656"/>
      <c r="R21" s="656"/>
      <c r="S21" s="656"/>
      <c r="T21" s="657"/>
      <c r="U21" s="98"/>
      <c r="V21" s="655"/>
      <c r="W21" s="656"/>
      <c r="X21" s="656"/>
      <c r="Y21" s="656"/>
      <c r="Z21" s="656"/>
      <c r="AA21" s="657"/>
      <c r="AB21" s="98"/>
      <c r="AC21" s="662"/>
      <c r="AD21" s="663"/>
      <c r="AE21" s="663"/>
      <c r="AF21" s="663"/>
      <c r="AG21" s="663"/>
      <c r="AH21" s="664"/>
      <c r="AI21" s="98"/>
      <c r="AJ21" s="661"/>
      <c r="AK21" s="656"/>
      <c r="AL21" s="656"/>
      <c r="AM21" s="656"/>
      <c r="AN21" s="656"/>
      <c r="AO21" s="657"/>
    </row>
    <row r="22" spans="8:41" ht="15.95" customHeight="1"/>
    <row r="23" spans="8:41" ht="15.95" customHeight="1">
      <c r="H23" s="665" t="s">
        <v>2212</v>
      </c>
      <c r="I23" s="665"/>
      <c r="J23" s="665"/>
      <c r="K23" s="665"/>
      <c r="L23" s="665"/>
      <c r="M23" s="665"/>
    </row>
    <row r="24" spans="8:41" ht="15.95" customHeight="1">
      <c r="H24" s="665"/>
      <c r="I24" s="665"/>
      <c r="J24" s="665"/>
      <c r="K24" s="665"/>
      <c r="L24" s="665"/>
      <c r="M24" s="665"/>
    </row>
    <row r="25" spans="8:41" ht="15.95" customHeight="1" thickBot="1">
      <c r="H25" s="654" t="s">
        <v>2213</v>
      </c>
      <c r="I25" s="654"/>
      <c r="J25" s="654"/>
      <c r="K25" s="654"/>
      <c r="L25" s="654"/>
      <c r="M25" s="654"/>
      <c r="O25" s="654" t="s">
        <v>2214</v>
      </c>
      <c r="P25" s="654"/>
      <c r="Q25" s="654"/>
      <c r="R25" s="654"/>
      <c r="S25" s="654"/>
      <c r="T25" s="654"/>
      <c r="U25" s="94"/>
      <c r="V25" s="654" t="s">
        <v>1476</v>
      </c>
      <c r="W25" s="654"/>
      <c r="X25" s="654"/>
      <c r="Y25" s="654"/>
      <c r="Z25" s="654"/>
      <c r="AA25" s="654"/>
      <c r="AB25" s="94"/>
      <c r="AC25" s="654" t="s">
        <v>2215</v>
      </c>
      <c r="AD25" s="654"/>
      <c r="AE25" s="654"/>
      <c r="AF25" s="654"/>
      <c r="AG25" s="654"/>
      <c r="AH25" s="654"/>
      <c r="AI25" s="92"/>
      <c r="AJ25" s="654" t="s">
        <v>138</v>
      </c>
      <c r="AK25" s="654"/>
      <c r="AL25" s="654"/>
      <c r="AM25" s="654"/>
      <c r="AN25" s="654"/>
      <c r="AO25" s="654"/>
    </row>
    <row r="26" spans="8:41" ht="15.95" customHeight="1" thickBot="1">
      <c r="H26" s="655"/>
      <c r="I26" s="656"/>
      <c r="J26" s="656"/>
      <c r="K26" s="656"/>
      <c r="L26" s="656"/>
      <c r="M26" s="657"/>
      <c r="O26" s="655"/>
      <c r="P26" s="656"/>
      <c r="Q26" s="656"/>
      <c r="R26" s="656"/>
      <c r="S26" s="656"/>
      <c r="T26" s="657"/>
      <c r="U26" s="98"/>
      <c r="V26" s="655"/>
      <c r="W26" s="656"/>
      <c r="X26" s="656"/>
      <c r="Y26" s="656"/>
      <c r="Z26" s="656"/>
      <c r="AA26" s="657"/>
      <c r="AB26" s="98"/>
      <c r="AC26" s="662"/>
      <c r="AD26" s="663"/>
      <c r="AE26" s="663"/>
      <c r="AF26" s="663"/>
      <c r="AG26" s="663"/>
      <c r="AH26" s="664"/>
      <c r="AI26" s="98"/>
      <c r="AJ26" s="661"/>
      <c r="AK26" s="656"/>
      <c r="AL26" s="656"/>
      <c r="AM26" s="656"/>
      <c r="AN26" s="656"/>
      <c r="AO26" s="657"/>
    </row>
    <row r="27" spans="8:41" ht="15.95" customHeight="1"/>
    <row r="28" spans="8:41" ht="15.95" customHeight="1"/>
    <row r="29" spans="8:41" ht="15.95"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row>
    <row r="202" spans="1:49" ht="16.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6kl4vU4rjSK1iHwOUVFRsfmPU63KlZbdqzquREX74yp0pz2EH7CL1zJx19t334j4alvAO/P0ccb69mMO40oKqA==" saltValue="+D9zITAwshpghMSzEEJ0Gg==" spinCount="100000" sheet="1" objects="1" scenarios="1" selectLockedCells="1"/>
  <mergeCells count="49">
    <mergeCell ref="L11:AL12"/>
    <mergeCell ref="N13:Z13"/>
    <mergeCell ref="O15:Z15"/>
    <mergeCell ref="AB13:AG13"/>
    <mergeCell ref="AB15:AG15"/>
    <mergeCell ref="O25:T25"/>
    <mergeCell ref="V25:AA25"/>
    <mergeCell ref="AC25:AH25"/>
    <mergeCell ref="AJ25:AO25"/>
    <mergeCell ref="O26:T26"/>
    <mergeCell ref="V26:AA26"/>
    <mergeCell ref="AC26:AH26"/>
    <mergeCell ref="AJ26:AO26"/>
    <mergeCell ref="A9:AW10"/>
    <mergeCell ref="AS5:AW6"/>
    <mergeCell ref="AS7:AW7"/>
    <mergeCell ref="AS8:AW8"/>
    <mergeCell ref="A4:E6"/>
    <mergeCell ref="A7:E8"/>
    <mergeCell ref="AT1:AW3"/>
    <mergeCell ref="F1:I3"/>
    <mergeCell ref="J1:M3"/>
    <mergeCell ref="AL1:AO3"/>
    <mergeCell ref="AP1:AS3"/>
    <mergeCell ref="Q1:AG3"/>
    <mergeCell ref="O200:AI201"/>
    <mergeCell ref="H17:M17"/>
    <mergeCell ref="H18:M18"/>
    <mergeCell ref="O18:T18"/>
    <mergeCell ref="V18:AA18"/>
    <mergeCell ref="AC18:AH18"/>
    <mergeCell ref="O17:T17"/>
    <mergeCell ref="V17:AA17"/>
    <mergeCell ref="AC17:AH17"/>
    <mergeCell ref="H20:M20"/>
    <mergeCell ref="O20:T20"/>
    <mergeCell ref="V20:AA20"/>
    <mergeCell ref="AC20:AH20"/>
    <mergeCell ref="H25:M25"/>
    <mergeCell ref="H26:M26"/>
    <mergeCell ref="H23:M24"/>
    <mergeCell ref="AJ18:AO18"/>
    <mergeCell ref="AJ17:AO17"/>
    <mergeCell ref="AJ20:AO20"/>
    <mergeCell ref="AJ21:AO21"/>
    <mergeCell ref="H21:M21"/>
    <mergeCell ref="O21:T21"/>
    <mergeCell ref="V21:AA21"/>
    <mergeCell ref="AC21:AH21"/>
  </mergeCells>
  <conditionalFormatting sqref="H18:M18 O18:T18 V18:AA18 AC18:AH18 AJ18:AO18 H21:M21 O21:T21 V21:AA21 AC21:AH21 AJ21:AO21">
    <cfRule type="expression" dxfId="153" priority="4">
      <formula>IF(M02S02F01="No",TRUE,FALSE)</formula>
    </cfRule>
  </conditionalFormatting>
  <conditionalFormatting sqref="H26:M26">
    <cfRule type="expression" dxfId="152" priority="2">
      <formula>IF(M02S02F01="No",TRUE,FALSE)</formula>
    </cfRule>
  </conditionalFormatting>
  <conditionalFormatting sqref="O26:T26 V26:AA26 AC26:AH26 AJ26:AO26">
    <cfRule type="expression" dxfId="151" priority="1">
      <formula>IF(M02S02F01="No",TRUE,FALSE)</formula>
    </cfRule>
  </conditionalFormatting>
  <conditionalFormatting sqref="AS8:AW8">
    <cfRule type="expression" dxfId="150" priority="5">
      <formula>IF($AS$8=PROJSTATMEASURE,FALSE,TRUE)</formula>
    </cfRule>
  </conditionalFormatting>
  <dataValidations count="5">
    <dataValidation type="list" allowBlank="1" showInputMessage="1" showErrorMessage="1" sqref="AB15" xr:uid="{0AA05449-3B89-470E-B016-97D10FC1FA91}">
      <formula1>INSTALLERLIST</formula1>
    </dataValidation>
    <dataValidation type="list" allowBlank="1" showInputMessage="1" showErrorMessage="1" sqref="AC18:AH18" xr:uid="{276C931B-24B4-44A9-BC74-8022F39C2DB1}">
      <formula1>STATESABBREV</formula1>
    </dataValidation>
    <dataValidation type="textLength" allowBlank="1" showInputMessage="1" showErrorMessage="1" error="Please enter a valid phone number. Example: (111) 111-1111" sqref="AC21:AH21 AC26:AH26" xr:uid="{93C54879-A161-4708-BF99-35A7C0781CB9}">
      <formula1>7</formula1>
      <formula2>15</formula2>
    </dataValidation>
    <dataValidation type="custom" allowBlank="1" showInputMessage="1" showErrorMessage="1" error="Please enter a valid email address." sqref="AJ21:AO21 AJ26:AO26" xr:uid="{77098B14-8A37-48A2-A2DD-B2E167171DC9}">
      <formula1>AND(FIND(".",AJ21),FIND("@",AJ21))</formula1>
    </dataValidation>
    <dataValidation type="list" allowBlank="1" showInputMessage="1" showErrorMessage="1" sqref="AB13" xr:uid="{E761C66C-ED0C-4173-AEF7-57BE1989EC7A}">
      <formula1>YESNOLIST</formula1>
    </dataValidation>
  </dataValidations>
  <hyperlinks>
    <hyperlink ref="B202" r:id="rId1" xr:uid="{B4220D35-7DB9-481F-B629-788FD3247808}"/>
    <hyperlink ref="J1:M3" location="'M01-S02'!J1" tooltip="Instructions" display="'M01-S02'!J1" xr:uid="{830B45FA-F60C-4A1D-8EC6-879FB0D9DD2C}"/>
    <hyperlink ref="AP1:AS3" location="'M05-S05'!AL1" tooltip=" " display="'M05-S05'!AL1" xr:uid="{0C52DF7C-E9A2-4870-8D01-1E3A11D48428}"/>
    <hyperlink ref="AL1:AO3" location="'M05-S04'!AH1" tooltip=" " display="'M05-S04'!AH1" xr:uid="{EC31BF71-079F-45BD-9F60-BFC2F437BE08}"/>
    <hyperlink ref="AT1:AW3" location="'M01-S03'!AP1" tooltip="Contact" display="'M01-S03'!AP1" xr:uid="{1689BC3C-37C4-4623-B429-915C1C2B175B}"/>
  </hyperlinks>
  <printOptions horizontalCentered="1"/>
  <pageMargins left="0" right="0" top="0" bottom="0" header="0" footer="0"/>
  <pageSetup scale="4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437A-27F0-4459-8F17-61E3D099E9C5}">
  <sheetPr codeName="Sheet10">
    <tabColor theme="8" tint="0.59999389629810485"/>
    <pageSetUpPr fitToPage="1"/>
  </sheetPr>
  <dimension ref="A1:AW202"/>
  <sheetViews>
    <sheetView showGridLines="0" showRowColHeaders="0" zoomScale="85" zoomScaleNormal="85" workbookViewId="0">
      <selection activeCell="H15" sqref="H15:M15"/>
    </sheetView>
  </sheetViews>
  <sheetFormatPr defaultColWidth="0" defaultRowHeight="15.95" customHeight="1" zeroHeight="1"/>
  <cols>
    <col min="1" max="49" width="4.7109375" customWidth="1"/>
    <col min="50" max="16384" width="4.7109375" hidden="1"/>
  </cols>
  <sheetData>
    <row r="1" spans="1:49" ht="15.7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49" ht="15.95" customHeight="1">
      <c r="A4" s="666">
        <f>INCENTOTAL</f>
        <v>0</v>
      </c>
      <c r="B4" s="666"/>
      <c r="C4" s="666"/>
      <c r="D4" s="666"/>
      <c r="E4" s="666"/>
      <c r="F4" s="203"/>
      <c r="G4" s="203"/>
      <c r="H4" s="203"/>
      <c r="I4" s="203"/>
    </row>
    <row r="5" spans="1:49" ht="15.95" customHeight="1">
      <c r="A5" s="667"/>
      <c r="B5" s="667"/>
      <c r="C5" s="667"/>
      <c r="D5" s="667"/>
      <c r="E5" s="667"/>
      <c r="F5" s="428"/>
      <c r="G5" s="428"/>
      <c r="H5" s="428"/>
      <c r="I5" s="428"/>
      <c r="AS5" s="630">
        <f ca="1">PROGRESSSTATUS</f>
        <v>0</v>
      </c>
      <c r="AT5" s="630"/>
      <c r="AU5" s="630"/>
      <c r="AV5" s="630"/>
      <c r="AW5" s="630"/>
    </row>
    <row r="6" spans="1:49" ht="15.95" customHeight="1">
      <c r="A6" s="667"/>
      <c r="B6" s="667"/>
      <c r="C6" s="667"/>
      <c r="D6" s="667"/>
      <c r="E6" s="667"/>
      <c r="F6" s="428"/>
      <c r="G6" s="428"/>
      <c r="H6" s="428"/>
      <c r="I6" s="428"/>
      <c r="AS6" s="630"/>
      <c r="AT6" s="630"/>
      <c r="AU6" s="630"/>
      <c r="AV6" s="630"/>
      <c r="AW6" s="630"/>
    </row>
    <row r="7" spans="1:49" ht="15.95" customHeight="1">
      <c r="A7" s="629" t="s">
        <v>83</v>
      </c>
      <c r="B7" s="629"/>
      <c r="C7" s="629"/>
      <c r="D7" s="629"/>
      <c r="E7" s="629"/>
      <c r="F7" s="85"/>
      <c r="G7" s="85"/>
      <c r="H7" s="85"/>
      <c r="I7" s="85"/>
      <c r="AS7" s="629" t="s">
        <v>299</v>
      </c>
      <c r="AT7" s="629"/>
      <c r="AU7" s="629"/>
      <c r="AV7" s="629"/>
      <c r="AW7" s="629"/>
    </row>
    <row r="8" spans="1:49" ht="15.95" customHeight="1" thickBot="1">
      <c r="A8" s="632"/>
      <c r="B8" s="632"/>
      <c r="C8" s="632"/>
      <c r="D8" s="632"/>
      <c r="E8" s="632"/>
      <c r="F8" s="429"/>
      <c r="G8" s="429"/>
      <c r="H8" s="429"/>
      <c r="I8" s="429"/>
      <c r="AS8" s="628" t="str">
        <f ca="1">PROJSTATUS</f>
        <v>Enter Measures</v>
      </c>
      <c r="AT8" s="628"/>
      <c r="AU8" s="628"/>
      <c r="AV8" s="628"/>
      <c r="AW8" s="628"/>
    </row>
    <row r="9" spans="1:49" s="88" customFormat="1" ht="15.95" customHeight="1">
      <c r="A9" s="631" t="str">
        <f>M2S3</f>
        <v>Customer Information</v>
      </c>
      <c r="B9" s="631"/>
      <c r="C9" s="631"/>
      <c r="D9" s="631"/>
      <c r="E9" s="631"/>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c r="AT9" s="631"/>
      <c r="AU9" s="631"/>
      <c r="AV9" s="631"/>
      <c r="AW9" s="631"/>
    </row>
    <row r="10" spans="1:49" s="88" customFormat="1" ht="15.95" customHeight="1">
      <c r="A10" s="621"/>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21"/>
      <c r="AO10" s="621"/>
      <c r="AP10" s="621"/>
      <c r="AQ10" s="621"/>
      <c r="AR10" s="621"/>
      <c r="AS10" s="621"/>
      <c r="AT10" s="621"/>
      <c r="AU10" s="621"/>
      <c r="AV10" s="621"/>
      <c r="AW10" s="621"/>
    </row>
    <row r="11" spans="1:49" ht="15.95" customHeight="1">
      <c r="J11" s="92"/>
      <c r="K11" s="92"/>
      <c r="L11" s="676" t="s">
        <v>1165</v>
      </c>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92"/>
      <c r="AN11" s="92"/>
      <c r="AO11" s="92"/>
      <c r="AP11" s="92"/>
      <c r="AQ11" s="92"/>
    </row>
    <row r="12" spans="1:49" ht="15.95" customHeight="1">
      <c r="J12" s="92"/>
      <c r="K12" s="92"/>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92"/>
      <c r="AN12" s="92"/>
      <c r="AO12" s="92"/>
      <c r="AP12" s="92"/>
      <c r="AQ12" s="92"/>
    </row>
    <row r="13" spans="1:49" ht="15.95" customHeight="1">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row>
    <row r="14" spans="1:49" ht="15.95" customHeight="1" thickBot="1">
      <c r="H14" s="654" t="s">
        <v>1365</v>
      </c>
      <c r="I14" s="654"/>
      <c r="J14" s="654"/>
      <c r="K14" s="654"/>
      <c r="L14" s="654"/>
      <c r="M14" s="654"/>
      <c r="N14" s="92"/>
      <c r="O14" s="654" t="s">
        <v>1366</v>
      </c>
      <c r="P14" s="654"/>
      <c r="Q14" s="654"/>
      <c r="R14" s="654"/>
      <c r="S14" s="654"/>
      <c r="T14" s="654"/>
      <c r="U14" s="94"/>
      <c r="V14" s="654" t="s">
        <v>1358</v>
      </c>
      <c r="W14" s="654"/>
      <c r="X14" s="654"/>
      <c r="Y14" s="654"/>
      <c r="Z14" s="654"/>
      <c r="AA14" s="654"/>
      <c r="AB14" s="94"/>
      <c r="AC14" s="654" t="s">
        <v>3095</v>
      </c>
      <c r="AD14" s="654"/>
      <c r="AE14" s="654"/>
      <c r="AF14" s="654"/>
      <c r="AG14" s="654"/>
      <c r="AH14" s="654"/>
      <c r="AI14" s="94"/>
      <c r="AJ14" s="654" t="s">
        <v>3094</v>
      </c>
      <c r="AK14" s="654"/>
      <c r="AL14" s="654"/>
      <c r="AM14" s="654"/>
      <c r="AN14" s="654"/>
      <c r="AO14" s="654"/>
    </row>
    <row r="15" spans="1:49" ht="15.95" customHeight="1" thickBot="1">
      <c r="H15" s="655"/>
      <c r="I15" s="656"/>
      <c r="J15" s="656"/>
      <c r="K15" s="656"/>
      <c r="L15" s="656"/>
      <c r="M15" s="657"/>
      <c r="N15" s="98"/>
      <c r="O15" s="655"/>
      <c r="P15" s="656"/>
      <c r="Q15" s="656"/>
      <c r="R15" s="656"/>
      <c r="S15" s="656"/>
      <c r="T15" s="657"/>
      <c r="U15" s="98"/>
      <c r="V15" s="655"/>
      <c r="W15" s="656"/>
      <c r="X15" s="656"/>
      <c r="Y15" s="656"/>
      <c r="Z15" s="656"/>
      <c r="AA15" s="657"/>
      <c r="AB15" s="98"/>
      <c r="AC15" s="655"/>
      <c r="AD15" s="656"/>
      <c r="AE15" s="656"/>
      <c r="AF15" s="656"/>
      <c r="AG15" s="656"/>
      <c r="AH15" s="657"/>
      <c r="AI15" s="98"/>
      <c r="AJ15" s="677"/>
      <c r="AK15" s="678"/>
      <c r="AL15" s="678"/>
      <c r="AM15" s="678"/>
      <c r="AN15" s="678"/>
      <c r="AO15" s="679"/>
    </row>
    <row r="16" spans="1:49" ht="15.95" customHeight="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row>
    <row r="17" spans="8:41" ht="15.95" customHeight="1" thickBot="1">
      <c r="H17" s="654" t="s">
        <v>1360</v>
      </c>
      <c r="I17" s="654"/>
      <c r="J17" s="654"/>
      <c r="K17" s="654"/>
      <c r="L17" s="654"/>
      <c r="M17" s="654"/>
      <c r="N17" s="94"/>
      <c r="O17" s="654" t="s">
        <v>1361</v>
      </c>
      <c r="P17" s="654"/>
      <c r="Q17" s="654"/>
      <c r="R17" s="654"/>
      <c r="S17" s="654"/>
      <c r="T17" s="654"/>
      <c r="U17" s="94"/>
      <c r="V17" s="654" t="s">
        <v>1362</v>
      </c>
      <c r="W17" s="654"/>
      <c r="X17" s="654"/>
      <c r="Y17" s="654"/>
      <c r="Z17" s="654"/>
      <c r="AA17" s="654"/>
      <c r="AB17" s="94"/>
      <c r="AC17" s="654" t="s">
        <v>1363</v>
      </c>
      <c r="AD17" s="654"/>
      <c r="AE17" s="654"/>
      <c r="AF17" s="654"/>
      <c r="AG17" s="654"/>
      <c r="AH17" s="654"/>
      <c r="AI17" s="92"/>
      <c r="AJ17" s="654" t="s">
        <v>1364</v>
      </c>
      <c r="AK17" s="654"/>
      <c r="AL17" s="654"/>
      <c r="AM17" s="654"/>
      <c r="AN17" s="654"/>
      <c r="AO17" s="654"/>
    </row>
    <row r="18" spans="8:41" ht="15.95" customHeight="1" thickBot="1">
      <c r="H18" s="655"/>
      <c r="I18" s="656"/>
      <c r="J18" s="656"/>
      <c r="K18" s="656"/>
      <c r="L18" s="656"/>
      <c r="M18" s="657"/>
      <c r="N18" s="98"/>
      <c r="O18" s="655"/>
      <c r="P18" s="656"/>
      <c r="Q18" s="656"/>
      <c r="R18" s="656"/>
      <c r="S18" s="656"/>
      <c r="T18" s="657"/>
      <c r="U18" s="98"/>
      <c r="V18" s="655"/>
      <c r="W18" s="656"/>
      <c r="X18" s="656"/>
      <c r="Y18" s="656"/>
      <c r="Z18" s="656"/>
      <c r="AA18" s="657"/>
      <c r="AB18" s="98"/>
      <c r="AC18" s="662"/>
      <c r="AD18" s="663"/>
      <c r="AE18" s="663"/>
      <c r="AF18" s="663"/>
      <c r="AG18" s="663"/>
      <c r="AH18" s="664"/>
      <c r="AI18" s="98"/>
      <c r="AJ18" s="661"/>
      <c r="AK18" s="656"/>
      <c r="AL18" s="656"/>
      <c r="AM18" s="656"/>
      <c r="AN18" s="656"/>
      <c r="AO18" s="657"/>
    </row>
    <row r="19" spans="8:41" ht="15.95" customHeight="1"/>
    <row r="20" spans="8:41" ht="15.95" customHeight="1"/>
    <row r="21" spans="8:41" ht="15.95" customHeight="1"/>
    <row r="22" spans="8:41" ht="15.95" customHeight="1"/>
    <row r="23" spans="8:41" ht="15.95" customHeight="1"/>
    <row r="24" spans="8:41" ht="15.95" customHeight="1"/>
    <row r="25" spans="8:41" ht="15.95" customHeight="1"/>
    <row r="26" spans="8:41" ht="15.95" customHeight="1"/>
    <row r="27" spans="8:41" ht="15.95" customHeight="1"/>
    <row r="28" spans="8:41" ht="15.95" customHeight="1"/>
    <row r="29" spans="8:41" ht="15.95"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wE2h8nqFbXEKq0kFZJuizrVXCxkxFwbb/vo9XAasYYYedr+vW3O3PdTPGcioUlCEE/evVbnQaJP2iAMxLsjgNg==" saltValue="69JlBEvGTzTcJWVbBovGPA==" spinCount="100000" sheet="1" objects="1" scenarios="1" selectLockedCells="1"/>
  <mergeCells count="34">
    <mergeCell ref="AT1:AW3"/>
    <mergeCell ref="A9:AW10"/>
    <mergeCell ref="AS5:AW6"/>
    <mergeCell ref="AS7:AW7"/>
    <mergeCell ref="AS8:AW8"/>
    <mergeCell ref="A4:E6"/>
    <mergeCell ref="A7:E8"/>
    <mergeCell ref="AP1:AS3"/>
    <mergeCell ref="F1:I3"/>
    <mergeCell ref="J1:M3"/>
    <mergeCell ref="AL1:AO3"/>
    <mergeCell ref="Q1:AG3"/>
    <mergeCell ref="O200:AI201"/>
    <mergeCell ref="H14:M14"/>
    <mergeCell ref="H15:M15"/>
    <mergeCell ref="O15:T15"/>
    <mergeCell ref="O14:T14"/>
    <mergeCell ref="V14:AA14"/>
    <mergeCell ref="AC14:AH14"/>
    <mergeCell ref="V15:AA15"/>
    <mergeCell ref="AC15:AH15"/>
    <mergeCell ref="H17:M17"/>
    <mergeCell ref="O17:T17"/>
    <mergeCell ref="V17:AA17"/>
    <mergeCell ref="AC17:AH17"/>
    <mergeCell ref="L11:AL12"/>
    <mergeCell ref="AJ17:AO17"/>
    <mergeCell ref="AJ18:AO18"/>
    <mergeCell ref="H18:M18"/>
    <mergeCell ref="O18:T18"/>
    <mergeCell ref="V18:AA18"/>
    <mergeCell ref="AC18:AH18"/>
    <mergeCell ref="AJ14:AO14"/>
    <mergeCell ref="AJ15:AO15"/>
  </mergeCells>
  <conditionalFormatting sqref="AS8:AW8">
    <cfRule type="expression" dxfId="149" priority="2">
      <formula>IF($AS$8=PROJSTATMEASURE,FALSE,TRUE)</formula>
    </cfRule>
  </conditionalFormatting>
  <dataValidations count="3">
    <dataValidation type="list" allowBlank="1" showInputMessage="1" showErrorMessage="1" sqref="AC15:AH15" xr:uid="{E72FC67E-C3D2-4E1A-9791-8DF83091A50A}">
      <formula1>STATESABBREV</formula1>
    </dataValidation>
    <dataValidation type="textLength" allowBlank="1" showInputMessage="1" showErrorMessage="1" error="Please enter a valid phone number. Example: (111) 111-1111" sqref="AC18:AH18" xr:uid="{B8D7F6FC-4540-4E58-9E5D-AE18AF703790}">
      <formula1>7</formula1>
      <formula2>15</formula2>
    </dataValidation>
    <dataValidation type="custom" allowBlank="1" showInputMessage="1" showErrorMessage="1" error="Please enter a valid email address." sqref="AJ18:AO18" xr:uid="{E75F176D-8AEE-4B5B-A85D-9182AA039E5B}">
      <formula1>AND(FIND(".",AJ18),FIND("@",AJ18))</formula1>
    </dataValidation>
  </dataValidations>
  <hyperlinks>
    <hyperlink ref="B202" r:id="rId1" xr:uid="{54E85E9A-0BAB-4AF7-B767-FE8809D6E68F}"/>
    <hyperlink ref="J1:M3" location="'M01-S02'!J1" tooltip="Instructions" display="'M01-S02'!J1" xr:uid="{5A1F10A0-6C3D-4EFB-A3E3-609FAD4A3A08}"/>
    <hyperlink ref="AP1:AS3" location="'M05-S05'!AL1" tooltip=" " display="'M05-S05'!AL1" xr:uid="{0A1070DF-9E7A-426C-82CD-3A7F2EAAA3AA}"/>
    <hyperlink ref="AL1:AO3" location="'M05-S04'!AH1" tooltip=" " display="'M05-S04'!AH1" xr:uid="{66282F4B-4A8D-49C4-AC0D-BB5029A55B7C}"/>
    <hyperlink ref="AT1:AW3" location="'M01-S03'!AP1" tooltip="Contact" display="'M01-S03'!AP1" xr:uid="{01091AD6-F73B-4129-AF3F-072078AD10F7}"/>
  </hyperlinks>
  <printOptions horizontalCentered="1"/>
  <pageMargins left="0" right="0" top="0" bottom="0" header="0" footer="0"/>
  <pageSetup scale="4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F4968-CF3F-49E0-B30C-000BC10BE7D1}">
  <sheetPr codeName="Sheet11">
    <tabColor theme="8" tint="0.59999389629810485"/>
    <pageSetUpPr fitToPage="1"/>
  </sheetPr>
  <dimension ref="A1:BN222"/>
  <sheetViews>
    <sheetView showGridLines="0" showRowColHeaders="0" zoomScale="85" zoomScaleNormal="85" workbookViewId="0">
      <selection activeCell="K15" sqref="K15:P15"/>
    </sheetView>
  </sheetViews>
  <sheetFormatPr defaultColWidth="0" defaultRowHeight="0" customHeight="1" zeroHeight="1"/>
  <cols>
    <col min="1" max="49" width="4.7109375" customWidth="1"/>
    <col min="50" max="62" width="4.7109375" hidden="1"/>
    <col min="63" max="66" width="1.7109375" hidden="1"/>
    <col min="67" max="16384" width="4.7109375" hidden="1"/>
  </cols>
  <sheetData>
    <row r="1" spans="1:66"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6"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6"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66" ht="15.95" customHeight="1">
      <c r="A4" s="666">
        <f>INCENTOTAL</f>
        <v>0</v>
      </c>
      <c r="B4" s="666"/>
      <c r="C4" s="666"/>
      <c r="D4" s="666"/>
      <c r="E4" s="666"/>
      <c r="F4" s="203"/>
      <c r="G4" s="203"/>
      <c r="H4" s="203"/>
      <c r="I4" s="203"/>
    </row>
    <row r="5" spans="1:66" ht="15.95" customHeight="1">
      <c r="A5" s="667"/>
      <c r="B5" s="667"/>
      <c r="C5" s="667"/>
      <c r="D5" s="667"/>
      <c r="E5" s="667"/>
      <c r="F5" s="428"/>
      <c r="G5" s="428"/>
      <c r="H5" s="428"/>
      <c r="I5" s="428"/>
      <c r="AS5" s="630">
        <f ca="1">PROGRESSSTATUS</f>
        <v>0</v>
      </c>
      <c r="AT5" s="630"/>
      <c r="AU5" s="630"/>
      <c r="AV5" s="630"/>
      <c r="AW5" s="630"/>
    </row>
    <row r="6" spans="1:66" ht="15.95" customHeight="1">
      <c r="A6" s="667"/>
      <c r="B6" s="667"/>
      <c r="C6" s="667"/>
      <c r="D6" s="667"/>
      <c r="E6" s="667"/>
      <c r="F6" s="428"/>
      <c r="G6" s="428"/>
      <c r="H6" s="428"/>
      <c r="I6" s="428"/>
      <c r="AS6" s="630"/>
      <c r="AT6" s="630"/>
      <c r="AU6" s="630"/>
      <c r="AV6" s="630"/>
      <c r="AW6" s="630"/>
    </row>
    <row r="7" spans="1:66" ht="15.95" customHeight="1">
      <c r="A7" s="629" t="s">
        <v>83</v>
      </c>
      <c r="B7" s="629"/>
      <c r="C7" s="629"/>
      <c r="D7" s="629"/>
      <c r="E7" s="629"/>
      <c r="F7" s="85"/>
      <c r="G7" s="85"/>
      <c r="H7" s="85"/>
      <c r="I7" s="85"/>
      <c r="AS7" s="629" t="s">
        <v>299</v>
      </c>
      <c r="AT7" s="629"/>
      <c r="AU7" s="629"/>
      <c r="AV7" s="629"/>
      <c r="AW7" s="629"/>
    </row>
    <row r="8" spans="1:66" ht="15.95" customHeight="1" thickBot="1">
      <c r="A8" s="632"/>
      <c r="B8" s="632"/>
      <c r="C8" s="632"/>
      <c r="D8" s="632"/>
      <c r="E8" s="632"/>
      <c r="F8" s="429"/>
      <c r="G8" s="429"/>
      <c r="H8" s="429"/>
      <c r="I8" s="429"/>
      <c r="AS8" s="628" t="str">
        <f ca="1">PROJSTATUS</f>
        <v>Enter Measures</v>
      </c>
      <c r="AT8" s="628"/>
      <c r="AU8" s="628"/>
      <c r="AV8" s="628"/>
      <c r="AW8" s="628"/>
    </row>
    <row r="9" spans="1:66" s="88" customFormat="1" ht="15.95" customHeight="1">
      <c r="A9" s="631" t="str">
        <f>M2S4</f>
        <v>Building Information</v>
      </c>
      <c r="B9" s="631"/>
      <c r="C9" s="631"/>
      <c r="D9" s="631"/>
      <c r="E9" s="631"/>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c r="AT9" s="631"/>
      <c r="AU9" s="631"/>
      <c r="AV9" s="631"/>
      <c r="AW9" s="631"/>
    </row>
    <row r="10" spans="1:66" s="88" customFormat="1" ht="15.95" customHeight="1">
      <c r="A10" s="621"/>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21"/>
      <c r="AO10" s="621"/>
      <c r="AP10" s="621"/>
      <c r="AQ10" s="621"/>
      <c r="AR10" s="621"/>
      <c r="AS10" s="621"/>
      <c r="AT10" s="621"/>
      <c r="AU10" s="621"/>
      <c r="AV10" s="621"/>
      <c r="AW10" s="621"/>
    </row>
    <row r="11" spans="1:66" ht="15.95" customHeight="1" thickBot="1">
      <c r="B11" s="92"/>
      <c r="C11" s="92"/>
      <c r="D11" s="92"/>
      <c r="E11" s="92"/>
      <c r="F11" s="92"/>
      <c r="G11" s="92"/>
      <c r="H11" s="92"/>
      <c r="I11" s="92"/>
      <c r="J11" s="92"/>
      <c r="K11" s="92"/>
      <c r="L11" s="676" t="s">
        <v>1659</v>
      </c>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92"/>
      <c r="AN11" s="92"/>
      <c r="AO11" s="92"/>
      <c r="AP11" s="92"/>
      <c r="AQ11" s="92"/>
      <c r="AR11" s="92"/>
      <c r="AS11" s="92"/>
      <c r="AT11" s="92"/>
      <c r="AU11" s="92"/>
      <c r="AV11" s="92"/>
      <c r="AW11" s="92"/>
    </row>
    <row r="12" spans="1:66" ht="15.95" customHeight="1" thickBot="1">
      <c r="B12" s="92"/>
      <c r="C12" s="92"/>
      <c r="D12" s="92"/>
      <c r="E12" s="92"/>
      <c r="F12" s="92"/>
      <c r="G12" s="92"/>
      <c r="H12" s="92"/>
      <c r="I12" s="92"/>
      <c r="J12" s="92"/>
      <c r="K12" s="92"/>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92"/>
      <c r="AN12" s="92"/>
      <c r="AO12" s="92"/>
      <c r="AP12" s="92"/>
      <c r="AQ12" s="92"/>
      <c r="AR12" s="92"/>
      <c r="AS12" s="92"/>
      <c r="AT12" s="92"/>
      <c r="AU12" s="92"/>
      <c r="AV12" s="92"/>
      <c r="AW12" s="92"/>
      <c r="AZ12" s="668" t="s">
        <v>2608</v>
      </c>
      <c r="BA12" s="668"/>
      <c r="BB12" s="668"/>
      <c r="BC12" s="668"/>
      <c r="BD12" s="668"/>
      <c r="BE12" s="668"/>
      <c r="BF12" s="668"/>
      <c r="BG12" s="668"/>
      <c r="BH12" s="668"/>
      <c r="BI12" s="668"/>
      <c r="BJ12" s="668"/>
      <c r="BK12" s="668"/>
      <c r="BL12" s="673"/>
      <c r="BM12" s="674"/>
      <c r="BN12" s="675"/>
    </row>
    <row r="13" spans="1:66" ht="15.95" customHeight="1">
      <c r="B13" s="92"/>
      <c r="C13" s="92"/>
      <c r="D13" s="92"/>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row>
    <row r="14" spans="1:66" ht="15.95" customHeight="1" thickBot="1">
      <c r="B14" s="92"/>
      <c r="C14" s="92"/>
      <c r="D14" s="92"/>
      <c r="E14" s="92"/>
      <c r="F14" s="92"/>
      <c r="G14" s="92"/>
      <c r="H14" s="92"/>
      <c r="K14" s="654" t="s">
        <v>1367</v>
      </c>
      <c r="L14" s="654"/>
      <c r="M14" s="654"/>
      <c r="N14" s="654"/>
      <c r="O14" s="654"/>
      <c r="P14" s="654"/>
      <c r="Q14" s="92"/>
      <c r="R14" s="654" t="s">
        <v>1166</v>
      </c>
      <c r="S14" s="654"/>
      <c r="T14" s="654"/>
      <c r="U14" s="654"/>
      <c r="V14" s="654"/>
      <c r="W14" s="654"/>
      <c r="X14" s="92"/>
      <c r="Y14" s="654" t="s">
        <v>1368</v>
      </c>
      <c r="Z14" s="654"/>
      <c r="AA14" s="654"/>
      <c r="AB14" s="654"/>
      <c r="AC14" s="654"/>
      <c r="AD14" s="654"/>
      <c r="AE14" s="92"/>
      <c r="AF14" s="654" t="s">
        <v>1369</v>
      </c>
      <c r="AG14" s="654"/>
      <c r="AH14" s="654"/>
      <c r="AI14" s="654"/>
      <c r="AJ14" s="654"/>
      <c r="AK14" s="654"/>
      <c r="AN14" s="92"/>
      <c r="AO14" s="92"/>
      <c r="AP14" s="92"/>
      <c r="AQ14" s="92"/>
      <c r="AR14" s="92"/>
      <c r="AS14" s="92"/>
      <c r="AT14" s="92"/>
      <c r="AU14" s="92"/>
      <c r="AV14" s="92"/>
      <c r="AW14" s="92"/>
      <c r="AZ14" s="654" t="s">
        <v>1308</v>
      </c>
      <c r="BA14" s="654"/>
      <c r="BB14" s="654"/>
      <c r="BC14" s="654"/>
      <c r="BD14" s="654"/>
      <c r="BE14" s="654"/>
    </row>
    <row r="15" spans="1:66" ht="15.95" customHeight="1" thickBot="1">
      <c r="B15" s="92"/>
      <c r="C15" s="92"/>
      <c r="D15" s="92"/>
      <c r="E15" s="92"/>
      <c r="F15" s="92"/>
      <c r="G15" s="92"/>
      <c r="H15" s="92"/>
      <c r="I15" s="92"/>
      <c r="J15" s="92"/>
      <c r="K15" s="655"/>
      <c r="L15" s="656"/>
      <c r="M15" s="656"/>
      <c r="N15" s="656"/>
      <c r="O15" s="656"/>
      <c r="P15" s="657"/>
      <c r="Q15" s="92"/>
      <c r="R15" s="655"/>
      <c r="S15" s="656"/>
      <c r="T15" s="656"/>
      <c r="U15" s="656"/>
      <c r="V15" s="656"/>
      <c r="W15" s="657"/>
      <c r="X15" s="92"/>
      <c r="Y15" s="655"/>
      <c r="Z15" s="656"/>
      <c r="AA15" s="656"/>
      <c r="AB15" s="656"/>
      <c r="AC15" s="656"/>
      <c r="AD15" s="657"/>
      <c r="AE15" s="92"/>
      <c r="AF15" s="698" t="str">
        <f>IF(M02S04F05="","",INDEX(RATECLASS[Rate],MATCH(M02S04F05,RATECLASS[Rate Schedules],0)))</f>
        <v/>
      </c>
      <c r="AG15" s="699"/>
      <c r="AH15" s="699"/>
      <c r="AI15" s="699"/>
      <c r="AJ15" s="699"/>
      <c r="AK15" s="700"/>
      <c r="AL15" s="92"/>
      <c r="AM15" s="92"/>
      <c r="AN15" s="92"/>
      <c r="AO15" s="92"/>
      <c r="AP15" s="92"/>
      <c r="AQ15" s="92"/>
      <c r="AR15" s="92"/>
      <c r="AS15" s="92"/>
      <c r="AT15" s="92"/>
      <c r="AU15" s="92"/>
      <c r="AV15" s="92"/>
      <c r="AW15" s="92"/>
      <c r="AZ15" s="683"/>
      <c r="BA15" s="684"/>
      <c r="BB15" s="684"/>
      <c r="BC15" s="684"/>
      <c r="BD15" s="684"/>
      <c r="BE15" s="685"/>
    </row>
    <row r="16" spans="1:66" ht="15.95" customHeight="1">
      <c r="B16" s="92"/>
      <c r="C16" s="92"/>
      <c r="D16" s="92"/>
      <c r="E16" s="92"/>
      <c r="F16" s="94"/>
      <c r="G16" s="94"/>
      <c r="H16" s="94"/>
      <c r="I16" s="94"/>
      <c r="J16" s="94"/>
      <c r="AL16" s="92"/>
      <c r="AM16" s="92"/>
      <c r="AN16" s="92"/>
      <c r="AO16" s="92"/>
      <c r="AP16" s="92"/>
      <c r="AQ16" s="92"/>
      <c r="AR16" s="92"/>
      <c r="AS16" s="92"/>
      <c r="AT16" s="92"/>
      <c r="AU16" s="92"/>
      <c r="AV16" s="92"/>
      <c r="AW16" s="92"/>
    </row>
    <row r="17" spans="1:50" ht="15.95" customHeight="1" thickBot="1">
      <c r="B17" s="92"/>
      <c r="C17" s="92"/>
      <c r="D17" s="92"/>
      <c r="E17" s="92"/>
      <c r="F17" s="92"/>
      <c r="G17" s="92"/>
      <c r="H17" s="711" t="s">
        <v>1370</v>
      </c>
      <c r="I17" s="711"/>
      <c r="J17" s="711"/>
      <c r="K17" s="711"/>
      <c r="L17" s="711"/>
      <c r="M17" s="711"/>
      <c r="N17" s="200"/>
      <c r="O17" s="711" t="s">
        <v>1371</v>
      </c>
      <c r="P17" s="711"/>
      <c r="Q17" s="711"/>
      <c r="R17" s="711"/>
      <c r="S17" s="711"/>
      <c r="T17" s="711"/>
      <c r="U17" s="200"/>
      <c r="V17" s="711" t="s">
        <v>1358</v>
      </c>
      <c r="W17" s="711"/>
      <c r="X17" s="711"/>
      <c r="Y17" s="711"/>
      <c r="Z17" s="711"/>
      <c r="AA17" s="711"/>
      <c r="AB17" s="200"/>
      <c r="AC17" s="711" t="s">
        <v>72</v>
      </c>
      <c r="AD17" s="711"/>
      <c r="AE17" s="711"/>
      <c r="AF17" s="711"/>
      <c r="AG17" s="711"/>
      <c r="AH17" s="711"/>
      <c r="AI17" s="200"/>
      <c r="AJ17" s="711" t="s">
        <v>1359</v>
      </c>
      <c r="AK17" s="711"/>
      <c r="AL17" s="711"/>
      <c r="AM17" s="711"/>
      <c r="AN17" s="711"/>
      <c r="AO17" s="711"/>
      <c r="AP17" s="92"/>
      <c r="AQ17" s="92"/>
      <c r="AR17" s="92"/>
      <c r="AS17" s="92"/>
      <c r="AT17" s="92"/>
      <c r="AU17" s="92"/>
      <c r="AV17" s="92"/>
      <c r="AW17" s="92"/>
    </row>
    <row r="18" spans="1:50" ht="15.95" customHeight="1" thickBot="1">
      <c r="B18" s="92"/>
      <c r="C18" s="92"/>
      <c r="D18" s="92"/>
      <c r="E18" s="92"/>
      <c r="F18" s="92"/>
      <c r="G18" s="92"/>
      <c r="H18" s="708"/>
      <c r="I18" s="709"/>
      <c r="J18" s="709"/>
      <c r="K18" s="709"/>
      <c r="L18" s="709"/>
      <c r="M18" s="710"/>
      <c r="N18" s="199"/>
      <c r="O18" s="708"/>
      <c r="P18" s="709"/>
      <c r="Q18" s="709"/>
      <c r="R18" s="709"/>
      <c r="S18" s="709"/>
      <c r="T18" s="710"/>
      <c r="U18" s="199"/>
      <c r="V18" s="708"/>
      <c r="W18" s="709"/>
      <c r="X18" s="709"/>
      <c r="Y18" s="709"/>
      <c r="Z18" s="709"/>
      <c r="AA18" s="710"/>
      <c r="AB18" s="199"/>
      <c r="AC18" s="705" t="s">
        <v>277</v>
      </c>
      <c r="AD18" s="706"/>
      <c r="AE18" s="706"/>
      <c r="AF18" s="706"/>
      <c r="AG18" s="706"/>
      <c r="AH18" s="707"/>
      <c r="AI18" s="199"/>
      <c r="AJ18" s="708"/>
      <c r="AK18" s="709"/>
      <c r="AL18" s="709"/>
      <c r="AM18" s="709"/>
      <c r="AN18" s="709"/>
      <c r="AO18" s="710"/>
      <c r="AP18" s="92"/>
      <c r="AQ18" s="92"/>
      <c r="AR18" s="92"/>
      <c r="AS18" s="92"/>
      <c r="AT18" s="92"/>
      <c r="AU18" s="92"/>
      <c r="AV18" s="92"/>
      <c r="AW18" s="92"/>
    </row>
    <row r="19" spans="1:50" ht="15.95" customHeight="1" thickBot="1">
      <c r="B19" s="92"/>
      <c r="C19" s="92"/>
      <c r="D19" s="92"/>
      <c r="E19" s="92"/>
      <c r="F19" s="92"/>
      <c r="G19" s="92"/>
      <c r="AP19" s="92"/>
      <c r="AQ19" s="92"/>
      <c r="AR19" s="92"/>
      <c r="AS19" s="92"/>
      <c r="AT19" s="92"/>
      <c r="AU19" s="92"/>
      <c r="AV19" s="92"/>
      <c r="AW19" s="92"/>
    </row>
    <row r="20" spans="1:50" ht="15.95" customHeight="1" thickBot="1">
      <c r="B20" s="92"/>
      <c r="C20" s="92"/>
      <c r="D20" s="92"/>
      <c r="E20" s="92"/>
      <c r="F20" s="92"/>
      <c r="G20" s="92"/>
      <c r="S20" s="371" t="s">
        <v>2739</v>
      </c>
      <c r="X20" s="670"/>
      <c r="Y20" s="671"/>
      <c r="Z20" s="671"/>
      <c r="AA20" s="671"/>
      <c r="AB20" s="671"/>
      <c r="AC20" s="671"/>
      <c r="AD20" s="672"/>
      <c r="AP20" s="92"/>
      <c r="AQ20" s="92"/>
      <c r="AR20" s="92"/>
      <c r="AS20" s="92"/>
      <c r="AT20" s="92"/>
      <c r="AU20" s="92"/>
      <c r="AV20" s="92"/>
      <c r="AW20" s="92"/>
    </row>
    <row r="21" spans="1:50" ht="15.95" customHeight="1">
      <c r="B21" s="92"/>
      <c r="C21" s="92"/>
      <c r="D21" s="92"/>
      <c r="E21" s="92"/>
      <c r="F21" s="92"/>
      <c r="G21" s="92"/>
      <c r="H21" s="94"/>
      <c r="I21" s="94"/>
      <c r="J21" s="94"/>
      <c r="K21" s="94"/>
      <c r="L21" s="94"/>
      <c r="M21" s="94"/>
      <c r="N21" s="92"/>
      <c r="O21" s="94"/>
      <c r="P21" s="94"/>
      <c r="Q21" s="94"/>
      <c r="R21" s="94"/>
      <c r="S21" s="94"/>
      <c r="T21" s="94"/>
      <c r="U21" s="92"/>
      <c r="V21" s="94"/>
      <c r="W21" s="94"/>
      <c r="X21" s="94"/>
      <c r="Y21" s="94"/>
      <c r="Z21" s="94"/>
      <c r="AA21" s="94"/>
      <c r="AB21" s="92"/>
      <c r="AC21" s="94"/>
      <c r="AD21" s="94"/>
      <c r="AE21" s="94"/>
      <c r="AF21" s="94"/>
      <c r="AG21" s="94"/>
      <c r="AH21" s="94"/>
      <c r="AI21" s="92"/>
      <c r="AJ21" s="94"/>
      <c r="AK21" s="94"/>
      <c r="AL21" s="94"/>
      <c r="AM21" s="94"/>
      <c r="AN21" s="94"/>
      <c r="AO21" s="94"/>
      <c r="AP21" s="92"/>
      <c r="AQ21" s="92"/>
      <c r="AR21" s="92"/>
      <c r="AS21" s="92"/>
      <c r="AT21" s="92"/>
      <c r="AU21" s="92"/>
      <c r="AV21" s="92"/>
      <c r="AW21" s="92"/>
    </row>
    <row r="22" spans="1:50" ht="15.95" customHeight="1" thickBot="1">
      <c r="B22" s="92"/>
      <c r="C22" s="92"/>
      <c r="D22" s="92"/>
      <c r="E22" s="92"/>
      <c r="F22" s="92"/>
      <c r="G22" s="92"/>
      <c r="H22" s="654" t="s">
        <v>1360</v>
      </c>
      <c r="I22" s="654"/>
      <c r="J22" s="654"/>
      <c r="K22" s="654"/>
      <c r="L22" s="654"/>
      <c r="M22" s="654"/>
      <c r="N22" s="92"/>
      <c r="O22" s="654" t="s">
        <v>1361</v>
      </c>
      <c r="P22" s="654"/>
      <c r="Q22" s="654"/>
      <c r="R22" s="654"/>
      <c r="S22" s="654"/>
      <c r="T22" s="654"/>
      <c r="U22" s="92"/>
      <c r="V22" s="654" t="s">
        <v>1362</v>
      </c>
      <c r="W22" s="654"/>
      <c r="X22" s="654"/>
      <c r="Y22" s="654"/>
      <c r="Z22" s="654"/>
      <c r="AA22" s="654"/>
      <c r="AB22" s="92"/>
      <c r="AC22" s="654" t="s">
        <v>1363</v>
      </c>
      <c r="AD22" s="654"/>
      <c r="AE22" s="654"/>
      <c r="AF22" s="654"/>
      <c r="AG22" s="654"/>
      <c r="AH22" s="654"/>
      <c r="AI22" s="92"/>
      <c r="AJ22" s="654" t="s">
        <v>1364</v>
      </c>
      <c r="AK22" s="654"/>
      <c r="AL22" s="654"/>
      <c r="AM22" s="654"/>
      <c r="AN22" s="654"/>
      <c r="AO22" s="654"/>
      <c r="AP22" s="92"/>
      <c r="AQ22" s="92"/>
      <c r="AR22" s="92"/>
      <c r="AS22" s="92"/>
      <c r="AT22" s="92"/>
      <c r="AU22" s="92"/>
      <c r="AV22" s="92"/>
      <c r="AW22" s="92"/>
    </row>
    <row r="23" spans="1:50" ht="15.95" customHeight="1" thickBot="1">
      <c r="B23" s="92"/>
      <c r="C23" s="92"/>
      <c r="D23" s="92"/>
      <c r="E23" s="92"/>
      <c r="F23" s="92"/>
      <c r="G23" s="92"/>
      <c r="H23" s="680" t="str">
        <f>IF(M02S04F02="the Customer Contact",M02S03F06, IF(M02S04F02="the Trade Ally / Contractor Contact", M02S02F07,""))</f>
        <v/>
      </c>
      <c r="I23" s="681"/>
      <c r="J23" s="681"/>
      <c r="K23" s="681"/>
      <c r="L23" s="681"/>
      <c r="M23" s="682"/>
      <c r="N23" s="92"/>
      <c r="O23" s="680" t="str">
        <f>IF(M02S04F02="the Customer Contact",M02S03F07, IF(M02S04F02="the Trade Ally / Contractor Contact", M02S02F08,""))</f>
        <v/>
      </c>
      <c r="P23" s="681"/>
      <c r="Q23" s="681"/>
      <c r="R23" s="681"/>
      <c r="S23" s="681"/>
      <c r="T23" s="682"/>
      <c r="U23" s="92"/>
      <c r="V23" s="680" t="str">
        <f>IF(M02S04F02="the Customer Contact",M02S03F08,IF(M02S04F02="the Trade Ally / Contractor Contact", M02S02F09,""))</f>
        <v/>
      </c>
      <c r="W23" s="681"/>
      <c r="X23" s="681"/>
      <c r="Y23" s="681"/>
      <c r="Z23" s="681"/>
      <c r="AA23" s="682"/>
      <c r="AB23" s="92"/>
      <c r="AC23" s="701" t="str">
        <f>IF(M02S04F02="the Customer Contact",M02S03F09, IF(M02S04F02="the Trade Ally / Contractor Contact", M02S02F10,""))</f>
        <v/>
      </c>
      <c r="AD23" s="702"/>
      <c r="AE23" s="702"/>
      <c r="AF23" s="702"/>
      <c r="AG23" s="702"/>
      <c r="AH23" s="703"/>
      <c r="AI23" s="92"/>
      <c r="AJ23" s="704" t="str">
        <f>IF(M02S04F02="the Customer Contact",M02S03F10,IF(M02S04F02="the Trade Ally / Contractor Contact", M02S02F11,""))</f>
        <v/>
      </c>
      <c r="AK23" s="681"/>
      <c r="AL23" s="681"/>
      <c r="AM23" s="681"/>
      <c r="AN23" s="681"/>
      <c r="AO23" s="682"/>
      <c r="AP23" s="92"/>
      <c r="AQ23" s="92"/>
      <c r="AR23" s="92"/>
      <c r="AS23" s="92"/>
      <c r="AT23" s="92"/>
      <c r="AU23" s="92"/>
      <c r="AV23" s="92"/>
      <c r="AW23" s="92"/>
    </row>
    <row r="24" spans="1:50" ht="15.95" customHeight="1">
      <c r="B24" s="92"/>
      <c r="C24" s="92"/>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row>
    <row r="25" spans="1:50" ht="15.95" customHeight="1">
      <c r="A25" s="621" t="s">
        <v>315</v>
      </c>
      <c r="B25" s="621"/>
      <c r="C25" s="621"/>
      <c r="D25" s="621"/>
      <c r="E25" s="621"/>
      <c r="F25" s="621"/>
      <c r="G25" s="621"/>
      <c r="H25" s="621"/>
      <c r="I25" s="621"/>
      <c r="J25" s="621"/>
      <c r="K25" s="621"/>
      <c r="L25" s="621"/>
      <c r="M25" s="621"/>
      <c r="N25" s="621"/>
      <c r="O25" s="621"/>
      <c r="P25" s="621"/>
      <c r="Q25" s="621"/>
      <c r="R25" s="621"/>
      <c r="S25" s="621"/>
      <c r="T25" s="621"/>
      <c r="U25" s="621"/>
      <c r="V25" s="621"/>
      <c r="W25" s="621"/>
      <c r="X25" s="621"/>
      <c r="Y25" s="621"/>
      <c r="Z25" s="621"/>
      <c r="AA25" s="621"/>
      <c r="AB25" s="621"/>
      <c r="AC25" s="621"/>
      <c r="AD25" s="621"/>
      <c r="AE25" s="621"/>
      <c r="AF25" s="621"/>
      <c r="AG25" s="621"/>
      <c r="AH25" s="621"/>
      <c r="AI25" s="621"/>
      <c r="AJ25" s="621"/>
      <c r="AK25" s="621"/>
      <c r="AL25" s="621"/>
      <c r="AM25" s="621"/>
      <c r="AN25" s="621"/>
      <c r="AO25" s="621"/>
      <c r="AP25" s="621"/>
      <c r="AQ25" s="621"/>
      <c r="AR25" s="621"/>
      <c r="AS25" s="621"/>
      <c r="AT25" s="621"/>
      <c r="AU25" s="621"/>
      <c r="AV25" s="621"/>
      <c r="AW25" s="621"/>
      <c r="AX25" s="89"/>
    </row>
    <row r="26" spans="1:50" ht="15.95" customHeight="1">
      <c r="A26" s="621"/>
      <c r="B26" s="621"/>
      <c r="C26" s="621"/>
      <c r="D26" s="621"/>
      <c r="E26" s="621"/>
      <c r="F26" s="621"/>
      <c r="G26" s="621"/>
      <c r="H26" s="621"/>
      <c r="I26" s="621"/>
      <c r="J26" s="621"/>
      <c r="K26" s="621"/>
      <c r="L26" s="621"/>
      <c r="M26" s="621"/>
      <c r="N26" s="621"/>
      <c r="O26" s="621"/>
      <c r="P26" s="621"/>
      <c r="Q26" s="621"/>
      <c r="R26" s="621"/>
      <c r="S26" s="621"/>
      <c r="T26" s="621"/>
      <c r="U26" s="621"/>
      <c r="V26" s="621"/>
      <c r="W26" s="621"/>
      <c r="X26" s="621"/>
      <c r="Y26" s="621"/>
      <c r="Z26" s="621"/>
      <c r="AA26" s="621"/>
      <c r="AB26" s="621"/>
      <c r="AC26" s="621"/>
      <c r="AD26" s="621"/>
      <c r="AE26" s="621"/>
      <c r="AF26" s="621"/>
      <c r="AG26" s="621"/>
      <c r="AH26" s="621"/>
      <c r="AI26" s="621"/>
      <c r="AJ26" s="621"/>
      <c r="AK26" s="621"/>
      <c r="AL26" s="621"/>
      <c r="AM26" s="621"/>
      <c r="AN26" s="621"/>
      <c r="AO26" s="621"/>
      <c r="AP26" s="621"/>
      <c r="AQ26" s="621"/>
      <c r="AR26" s="621"/>
      <c r="AS26" s="621"/>
      <c r="AT26" s="621"/>
      <c r="AU26" s="621"/>
      <c r="AV26" s="621"/>
      <c r="AW26" s="621"/>
      <c r="AX26" s="89"/>
    </row>
    <row r="27" spans="1:50" ht="15.95" customHeight="1"/>
    <row r="28" spans="1:50" ht="15.95" customHeight="1" thickBot="1">
      <c r="B28" s="92"/>
      <c r="C28" s="92"/>
      <c r="D28" s="92"/>
      <c r="E28" s="92"/>
      <c r="F28" s="92"/>
      <c r="G28" s="92"/>
      <c r="K28" s="654" t="s">
        <v>1372</v>
      </c>
      <c r="L28" s="654"/>
      <c r="M28" s="654"/>
      <c r="N28" s="654"/>
      <c r="O28" s="654"/>
      <c r="P28" s="654"/>
      <c r="Q28" s="92"/>
      <c r="R28" s="654" t="s">
        <v>2209</v>
      </c>
      <c r="S28" s="654"/>
      <c r="T28" s="654"/>
      <c r="U28" s="654"/>
      <c r="V28" s="654"/>
      <c r="W28" s="654"/>
      <c r="X28" s="92"/>
      <c r="Y28" s="94" t="s">
        <v>1373</v>
      </c>
      <c r="AE28" s="92"/>
      <c r="AG28" s="94"/>
      <c r="AH28" s="94"/>
      <c r="AI28" s="92"/>
      <c r="AJ28" s="94"/>
      <c r="AK28" s="94"/>
    </row>
    <row r="29" spans="1:50" ht="15.95" customHeight="1" thickBot="1">
      <c r="B29" s="92"/>
      <c r="C29" s="92"/>
      <c r="D29" s="92"/>
      <c r="E29" s="92"/>
      <c r="F29" s="92"/>
      <c r="G29" s="92"/>
      <c r="K29" s="655"/>
      <c r="L29" s="656"/>
      <c r="M29" s="656"/>
      <c r="N29" s="656"/>
      <c r="O29" s="656"/>
      <c r="P29" s="657"/>
      <c r="Q29" s="92"/>
      <c r="R29" s="655"/>
      <c r="S29" s="656"/>
      <c r="T29" s="656"/>
      <c r="U29" s="656"/>
      <c r="V29" s="656"/>
      <c r="W29" s="657"/>
      <c r="X29" s="92"/>
      <c r="Y29" s="655"/>
      <c r="Z29" s="656"/>
      <c r="AA29" s="656"/>
      <c r="AB29" s="656"/>
      <c r="AC29" s="656"/>
      <c r="AD29" s="656"/>
      <c r="AE29" s="656"/>
      <c r="AF29" s="656"/>
      <c r="AG29" s="656"/>
      <c r="AH29" s="656"/>
      <c r="AI29" s="656"/>
      <c r="AJ29" s="656"/>
      <c r="AK29" s="657"/>
      <c r="AP29" s="92"/>
    </row>
    <row r="30" spans="1:50" ht="15.95" customHeight="1">
      <c r="B30" s="92"/>
      <c r="C30" s="92"/>
      <c r="D30" s="92"/>
      <c r="E30" s="92"/>
      <c r="F30" s="94"/>
      <c r="G30" s="94"/>
      <c r="H30" s="94"/>
      <c r="I30" s="94"/>
      <c r="J30" s="94"/>
      <c r="AM30" s="92"/>
      <c r="AN30" s="94"/>
      <c r="AO30" s="94"/>
      <c r="AP30" s="94"/>
      <c r="AQ30" s="94"/>
      <c r="AR30" s="94"/>
      <c r="AS30" s="94"/>
      <c r="AT30" s="94"/>
      <c r="AU30" s="94"/>
      <c r="AV30" s="92"/>
    </row>
    <row r="31" spans="1:50" ht="15.95" customHeight="1" thickBot="1">
      <c r="B31" s="92"/>
      <c r="C31" s="92"/>
      <c r="D31" s="92"/>
      <c r="E31" s="92"/>
      <c r="F31" s="94"/>
      <c r="G31" s="94"/>
      <c r="H31" s="94"/>
      <c r="I31" s="94"/>
      <c r="J31" s="94"/>
      <c r="K31" s="654" t="s">
        <v>1374</v>
      </c>
      <c r="L31" s="654"/>
      <c r="M31" s="654"/>
      <c r="N31" s="654"/>
      <c r="O31" s="654"/>
      <c r="P31" s="654"/>
      <c r="Q31" s="92"/>
      <c r="R31" s="654" t="s">
        <v>1375</v>
      </c>
      <c r="S31" s="654"/>
      <c r="T31" s="654"/>
      <c r="U31" s="654"/>
      <c r="V31" s="654"/>
      <c r="W31" s="654"/>
      <c r="X31" s="92"/>
      <c r="Y31" s="654" t="s">
        <v>1376</v>
      </c>
      <c r="Z31" s="654"/>
      <c r="AA31" s="654"/>
      <c r="AB31" s="654"/>
      <c r="AC31" s="654"/>
      <c r="AD31" s="654"/>
      <c r="AE31" s="92"/>
      <c r="AF31" s="654" t="s">
        <v>1377</v>
      </c>
      <c r="AG31" s="654"/>
      <c r="AH31" s="654"/>
      <c r="AI31" s="654"/>
      <c r="AJ31" s="654"/>
      <c r="AK31" s="654"/>
    </row>
    <row r="32" spans="1:50" ht="15.95" customHeight="1" thickBot="1">
      <c r="B32" s="92"/>
      <c r="C32" s="92"/>
      <c r="D32" s="92"/>
      <c r="E32" s="92"/>
      <c r="F32" s="94"/>
      <c r="G32" s="94"/>
      <c r="K32" s="655"/>
      <c r="L32" s="656"/>
      <c r="M32" s="656"/>
      <c r="N32" s="656"/>
      <c r="O32" s="656"/>
      <c r="P32" s="657"/>
      <c r="Q32" s="92"/>
      <c r="R32" s="695"/>
      <c r="S32" s="696"/>
      <c r="T32" s="696"/>
      <c r="U32" s="696"/>
      <c r="V32" s="696"/>
      <c r="W32" s="697"/>
      <c r="X32" s="92"/>
      <c r="Y32" s="695"/>
      <c r="Z32" s="696"/>
      <c r="AA32" s="696"/>
      <c r="AB32" s="696"/>
      <c r="AC32" s="696"/>
      <c r="AD32" s="697"/>
      <c r="AE32" s="92"/>
      <c r="AF32" s="655"/>
      <c r="AG32" s="656"/>
      <c r="AH32" s="656"/>
      <c r="AI32" s="656"/>
      <c r="AJ32" s="656"/>
      <c r="AK32" s="657"/>
      <c r="AL32" s="92"/>
      <c r="AM32" s="92"/>
      <c r="AN32" s="92"/>
      <c r="AO32" s="92"/>
      <c r="AP32" s="94"/>
      <c r="AQ32" s="94"/>
      <c r="AR32" s="94"/>
      <c r="AS32" s="94"/>
      <c r="AT32" s="94"/>
      <c r="AU32" s="94"/>
      <c r="AV32" s="92"/>
    </row>
    <row r="33" spans="2:48" ht="15.95" customHeight="1">
      <c r="B33" s="92"/>
      <c r="C33" s="92"/>
      <c r="D33" s="92"/>
      <c r="E33" s="92"/>
      <c r="F33" s="92"/>
      <c r="G33" s="92"/>
      <c r="H33" s="92"/>
      <c r="I33" s="92"/>
      <c r="J33" s="92"/>
      <c r="AL33" s="92"/>
      <c r="AM33" s="92"/>
      <c r="AN33" s="92"/>
      <c r="AO33" s="92"/>
      <c r="AP33" s="92"/>
      <c r="AQ33" s="92"/>
      <c r="AR33" s="92"/>
      <c r="AS33" s="92"/>
      <c r="AT33" s="92"/>
      <c r="AU33" s="92"/>
      <c r="AV33" s="92"/>
    </row>
    <row r="34" spans="2:48" ht="15.95" customHeight="1" thickBot="1">
      <c r="B34" s="92"/>
      <c r="C34" s="92"/>
      <c r="D34" s="92"/>
      <c r="E34" s="92"/>
      <c r="F34" s="93"/>
      <c r="G34" s="93"/>
      <c r="H34" s="93" t="s">
        <v>1378</v>
      </c>
      <c r="I34" s="93"/>
      <c r="J34" s="93"/>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row>
    <row r="35" spans="2:48" ht="15.95" customHeight="1">
      <c r="B35" s="92"/>
      <c r="C35" s="92"/>
      <c r="D35" s="92"/>
      <c r="E35" s="92"/>
      <c r="F35" s="93"/>
      <c r="G35" s="93"/>
      <c r="H35" s="686"/>
      <c r="I35" s="687"/>
      <c r="J35" s="687"/>
      <c r="K35" s="687"/>
      <c r="L35" s="687"/>
      <c r="M35" s="687"/>
      <c r="N35" s="687"/>
      <c r="O35" s="687"/>
      <c r="P35" s="687"/>
      <c r="Q35" s="687"/>
      <c r="R35" s="687"/>
      <c r="S35" s="687"/>
      <c r="T35" s="687"/>
      <c r="U35" s="687"/>
      <c r="V35" s="687"/>
      <c r="W35" s="687"/>
      <c r="X35" s="687"/>
      <c r="Y35" s="687"/>
      <c r="Z35" s="687"/>
      <c r="AA35" s="687"/>
      <c r="AB35" s="687"/>
      <c r="AC35" s="687"/>
      <c r="AD35" s="687"/>
      <c r="AE35" s="687"/>
      <c r="AF35" s="687"/>
      <c r="AG35" s="687"/>
      <c r="AH35" s="687"/>
      <c r="AI35" s="687"/>
      <c r="AJ35" s="687"/>
      <c r="AK35" s="687"/>
      <c r="AL35" s="687"/>
      <c r="AM35" s="687"/>
      <c r="AN35" s="687"/>
      <c r="AO35" s="688"/>
      <c r="AP35" s="92"/>
      <c r="AQ35" s="92"/>
      <c r="AR35" s="92"/>
      <c r="AS35" s="92"/>
      <c r="AT35" s="92"/>
      <c r="AU35" s="92"/>
      <c r="AV35" s="92"/>
    </row>
    <row r="36" spans="2:48" ht="15.95" customHeight="1">
      <c r="B36" s="92"/>
      <c r="C36" s="92"/>
      <c r="D36" s="92"/>
      <c r="E36" s="92"/>
      <c r="F36" s="93"/>
      <c r="G36" s="93"/>
      <c r="H36" s="689"/>
      <c r="I36" s="690"/>
      <c r="J36" s="690"/>
      <c r="K36" s="690"/>
      <c r="L36" s="690"/>
      <c r="M36" s="690"/>
      <c r="N36" s="690"/>
      <c r="O36" s="690"/>
      <c r="P36" s="690"/>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691"/>
      <c r="AP36" s="92"/>
      <c r="AQ36" s="92"/>
      <c r="AR36" s="92"/>
      <c r="AS36" s="92"/>
      <c r="AT36" s="92"/>
      <c r="AU36" s="92"/>
      <c r="AV36" s="92"/>
    </row>
    <row r="37" spans="2:48" ht="15.95" customHeight="1">
      <c r="B37" s="92"/>
      <c r="C37" s="92"/>
      <c r="D37" s="92"/>
      <c r="E37" s="92"/>
      <c r="F37" s="93"/>
      <c r="G37" s="93"/>
      <c r="H37" s="689"/>
      <c r="I37" s="690"/>
      <c r="J37" s="690"/>
      <c r="K37" s="690"/>
      <c r="L37" s="690"/>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691"/>
      <c r="AP37" s="92"/>
      <c r="AQ37" s="92"/>
      <c r="AR37" s="92"/>
      <c r="AS37" s="92"/>
      <c r="AT37" s="92"/>
      <c r="AU37" s="92"/>
      <c r="AV37" s="92"/>
    </row>
    <row r="38" spans="2:48" ht="15.95" customHeight="1">
      <c r="B38" s="92"/>
      <c r="C38" s="92"/>
      <c r="D38" s="92"/>
      <c r="E38" s="92"/>
      <c r="F38" s="93"/>
      <c r="G38" s="93"/>
      <c r="H38" s="689"/>
      <c r="I38" s="690"/>
      <c r="J38" s="690"/>
      <c r="K38" s="690"/>
      <c r="L38" s="690"/>
      <c r="M38" s="690"/>
      <c r="N38" s="690"/>
      <c r="O38" s="690"/>
      <c r="P38" s="690"/>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691"/>
      <c r="AP38" s="92"/>
      <c r="AQ38" s="92"/>
      <c r="AR38" s="92"/>
      <c r="AS38" s="92"/>
      <c r="AT38" s="92"/>
      <c r="AU38" s="92"/>
      <c r="AV38" s="92"/>
    </row>
    <row r="39" spans="2:48" ht="15.95" customHeight="1">
      <c r="B39" s="92"/>
      <c r="C39" s="92"/>
      <c r="D39" s="92"/>
      <c r="E39" s="92"/>
      <c r="F39" s="93"/>
      <c r="G39" s="93"/>
      <c r="H39" s="689"/>
      <c r="I39" s="690"/>
      <c r="J39" s="690"/>
      <c r="K39" s="690"/>
      <c r="L39" s="690"/>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691"/>
      <c r="AP39" s="92"/>
      <c r="AQ39" s="92"/>
      <c r="AR39" s="92"/>
      <c r="AS39" s="92"/>
      <c r="AT39" s="92"/>
      <c r="AU39" s="92"/>
      <c r="AV39" s="92"/>
    </row>
    <row r="40" spans="2:48" ht="15.95" customHeight="1">
      <c r="B40" s="92"/>
      <c r="C40" s="92"/>
      <c r="D40" s="92"/>
      <c r="E40" s="92"/>
      <c r="F40" s="93"/>
      <c r="G40" s="93"/>
      <c r="H40" s="689"/>
      <c r="I40" s="690"/>
      <c r="J40" s="690"/>
      <c r="K40" s="690"/>
      <c r="L40" s="690"/>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691"/>
      <c r="AP40" s="92"/>
      <c r="AQ40" s="92"/>
      <c r="AR40" s="92"/>
      <c r="AS40" s="92"/>
      <c r="AT40" s="92"/>
      <c r="AU40" s="92"/>
      <c r="AV40" s="92"/>
    </row>
    <row r="41" spans="2:48" ht="15.95" customHeight="1">
      <c r="B41" s="92"/>
      <c r="C41" s="92"/>
      <c r="D41" s="92"/>
      <c r="E41" s="92"/>
      <c r="F41" s="93"/>
      <c r="G41" s="93"/>
      <c r="H41" s="689"/>
      <c r="I41" s="690"/>
      <c r="J41" s="690"/>
      <c r="K41" s="690"/>
      <c r="L41" s="690"/>
      <c r="M41" s="690"/>
      <c r="N41" s="690"/>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691"/>
      <c r="AP41" s="92"/>
      <c r="AQ41" s="92"/>
      <c r="AR41" s="92"/>
      <c r="AS41" s="92"/>
      <c r="AT41" s="92"/>
      <c r="AU41" s="92"/>
      <c r="AV41" s="92"/>
    </row>
    <row r="42" spans="2:48" ht="15.95" customHeight="1" thickBot="1">
      <c r="B42" s="92"/>
      <c r="C42" s="92"/>
      <c r="D42" s="92"/>
      <c r="E42" s="92"/>
      <c r="F42" s="93"/>
      <c r="G42" s="93"/>
      <c r="H42" s="692"/>
      <c r="I42" s="693"/>
      <c r="J42" s="693"/>
      <c r="K42" s="693"/>
      <c r="L42" s="693"/>
      <c r="M42" s="693"/>
      <c r="N42" s="693"/>
      <c r="O42" s="693"/>
      <c r="P42" s="693"/>
      <c r="Q42" s="693"/>
      <c r="R42" s="693"/>
      <c r="S42" s="693"/>
      <c r="T42" s="693"/>
      <c r="U42" s="693"/>
      <c r="V42" s="693"/>
      <c r="W42" s="693"/>
      <c r="X42" s="693"/>
      <c r="Y42" s="693"/>
      <c r="Z42" s="693"/>
      <c r="AA42" s="693"/>
      <c r="AB42" s="693"/>
      <c r="AC42" s="693"/>
      <c r="AD42" s="693"/>
      <c r="AE42" s="693"/>
      <c r="AF42" s="693"/>
      <c r="AG42" s="693"/>
      <c r="AH42" s="693"/>
      <c r="AI42" s="693"/>
      <c r="AJ42" s="693"/>
      <c r="AK42" s="693"/>
      <c r="AL42" s="693"/>
      <c r="AM42" s="693"/>
      <c r="AN42" s="693"/>
      <c r="AO42" s="694"/>
      <c r="AP42" s="92"/>
      <c r="AQ42" s="92"/>
      <c r="AR42" s="92"/>
      <c r="AS42" s="92"/>
      <c r="AT42" s="92"/>
      <c r="AU42" s="92"/>
      <c r="AV42" s="92"/>
    </row>
    <row r="43" spans="2:48" ht="15.95" customHeight="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row>
    <row r="44" spans="2:48" ht="15.95" hidden="1" customHeight="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row>
    <row r="45" spans="2:48" ht="15.95" hidden="1" customHeight="1"/>
    <row r="46" spans="2:48" ht="15.95" hidden="1" customHeight="1"/>
    <row r="47" spans="2:48" ht="15.95" hidden="1" customHeight="1"/>
    <row r="48" spans="2:48" ht="15.95" hidden="1" customHeight="1"/>
    <row r="49" customFormat="1" ht="15.95" hidden="1" customHeight="1"/>
    <row r="50" customFormat="1" ht="15.95" hidden="1" customHeight="1"/>
    <row r="51" customFormat="1" ht="15.95" hidden="1" customHeight="1"/>
    <row r="52" customFormat="1" ht="15.95" hidden="1" customHeight="1"/>
    <row r="53" customFormat="1" ht="15.95" hidden="1" customHeight="1"/>
    <row r="54" customFormat="1" ht="15.95" hidden="1" customHeight="1"/>
    <row r="55" customFormat="1" ht="15.95" hidden="1" customHeight="1"/>
    <row r="56" customFormat="1" ht="15.95" hidden="1" customHeight="1"/>
    <row r="57" customFormat="1" ht="15.95" hidden="1" customHeight="1"/>
    <row r="58" customFormat="1" ht="15.95" hidden="1" customHeight="1"/>
    <row r="59" customFormat="1" ht="15.95" hidden="1" customHeight="1"/>
    <row r="60" customFormat="1" ht="15.95" hidden="1" customHeight="1"/>
    <row r="61" customFormat="1" ht="15.95" hidden="1" customHeight="1"/>
    <row r="62" customFormat="1" ht="15.95" hidden="1" customHeight="1"/>
    <row r="63" customFormat="1" ht="15.95" hidden="1" customHeight="1"/>
    <row r="64" customFormat="1" ht="15.95" hidden="1" customHeight="1"/>
    <row r="65" customFormat="1" ht="15.95" hidden="1" customHeight="1"/>
    <row r="66" customFormat="1" ht="15.95" hidden="1" customHeight="1"/>
    <row r="67" customFormat="1" ht="15.95" hidden="1" customHeight="1"/>
    <row r="68" customFormat="1" ht="15.95" hidden="1" customHeight="1"/>
    <row r="69" customFormat="1" ht="15.95" hidden="1" customHeight="1"/>
    <row r="70" customFormat="1" ht="15.95" hidden="1" customHeight="1"/>
    <row r="71" customFormat="1" ht="15.95" hidden="1" customHeight="1"/>
    <row r="72" customFormat="1" ht="15.95" hidden="1" customHeight="1"/>
    <row r="73" customFormat="1" ht="15.95" hidden="1" customHeight="1"/>
    <row r="74" customFormat="1" ht="15.95" hidden="1" customHeight="1"/>
    <row r="75" customFormat="1" ht="15.95" hidden="1" customHeight="1"/>
    <row r="76" customFormat="1" ht="15.95" hidden="1" customHeight="1"/>
    <row r="77" customFormat="1" ht="15.95" hidden="1" customHeight="1"/>
    <row r="78" customFormat="1" ht="15.95" hidden="1" customHeight="1"/>
    <row r="79" customFormat="1" ht="15.95" hidden="1" customHeight="1"/>
    <row r="80" customFormat="1" ht="15.95" hidden="1" customHeight="1"/>
    <row r="81" customFormat="1" ht="15.95" hidden="1" customHeight="1"/>
    <row r="82" customFormat="1" ht="15.95" hidden="1" customHeight="1"/>
    <row r="83" customFormat="1" ht="15.95" hidden="1" customHeight="1"/>
    <row r="84" customFormat="1" ht="15.95" hidden="1" customHeight="1"/>
    <row r="85" customFormat="1" ht="15.95" hidden="1" customHeight="1"/>
    <row r="86" customFormat="1" ht="15.95" hidden="1" customHeight="1"/>
    <row r="87" customFormat="1" ht="15.95" hidden="1" customHeight="1"/>
    <row r="88" customFormat="1" ht="15.95" hidden="1" customHeight="1"/>
    <row r="89" customFormat="1" ht="15.95" hidden="1" customHeight="1"/>
    <row r="90" customFormat="1" ht="15.95" hidden="1" customHeight="1"/>
    <row r="91" customFormat="1" ht="15.95" hidden="1" customHeight="1"/>
    <row r="92" customFormat="1" ht="15.95" hidden="1" customHeight="1"/>
    <row r="93" customFormat="1" ht="15.95" hidden="1" customHeight="1"/>
    <row r="94" customFormat="1" ht="15.95" hidden="1" customHeight="1"/>
    <row r="95" customFormat="1" ht="15.95" hidden="1" customHeight="1"/>
    <row r="96" customFormat="1" ht="15.95" hidden="1" customHeight="1"/>
    <row r="97" customFormat="1" ht="15.95" hidden="1" customHeight="1"/>
    <row r="98" customFormat="1" ht="15.95" hidden="1" customHeight="1"/>
    <row r="99" customFormat="1" ht="15.95" hidden="1" customHeight="1"/>
    <row r="100" customFormat="1" ht="15.95" hidden="1" customHeight="1"/>
    <row r="101" customFormat="1" ht="15.95" hidden="1" customHeight="1"/>
    <row r="102" customFormat="1" ht="15.95" hidden="1" customHeight="1"/>
    <row r="103" customFormat="1" ht="15.95" hidden="1" customHeight="1"/>
    <row r="104" customFormat="1" ht="15.95" hidden="1" customHeight="1"/>
    <row r="105" customFormat="1" ht="15.95" hidden="1" customHeight="1"/>
    <row r="106" customFormat="1" ht="15.95" hidden="1" customHeight="1"/>
    <row r="107" customFormat="1" ht="15.95" hidden="1" customHeight="1"/>
    <row r="108" customFormat="1" ht="15.95" hidden="1" customHeight="1"/>
    <row r="109" customFormat="1" ht="15.95" hidden="1" customHeight="1"/>
    <row r="110" customFormat="1" ht="15.95" hidden="1" customHeight="1"/>
    <row r="111" customFormat="1" ht="15.95" hidden="1" customHeight="1"/>
    <row r="112" customFormat="1" ht="15.95" hidden="1" customHeight="1"/>
    <row r="113" customFormat="1" ht="15.95" hidden="1" customHeight="1"/>
    <row r="114" customFormat="1" ht="15.95" hidden="1" customHeight="1"/>
    <row r="115" customFormat="1" ht="15.95" hidden="1" customHeight="1"/>
    <row r="116" customFormat="1" ht="15.95" hidden="1" customHeight="1"/>
    <row r="117" customFormat="1" ht="15.95" hidden="1" customHeight="1"/>
    <row r="118" customFormat="1" ht="15.95" hidden="1" customHeight="1"/>
    <row r="119" customFormat="1" ht="15.95" hidden="1" customHeight="1"/>
    <row r="120" customFormat="1" ht="15.95" hidden="1" customHeight="1"/>
    <row r="121" customFormat="1" ht="15.95" hidden="1" customHeight="1"/>
    <row r="122" customFormat="1" ht="15.95" hidden="1" customHeight="1"/>
    <row r="123" customFormat="1" ht="15.95" hidden="1" customHeight="1"/>
    <row r="124" customFormat="1" ht="15.95" hidden="1" customHeight="1"/>
    <row r="125" customFormat="1" ht="15.95" hidden="1" customHeight="1"/>
    <row r="126" customFormat="1" ht="15.95" hidden="1" customHeight="1"/>
    <row r="127" customFormat="1" ht="15.95" hidden="1" customHeight="1"/>
    <row r="128" customFormat="1" ht="15.95" hidden="1" customHeight="1"/>
    <row r="129" customFormat="1" ht="15.95" hidden="1" customHeight="1"/>
    <row r="130" customFormat="1" ht="15.95" hidden="1" customHeight="1"/>
    <row r="131" customFormat="1" ht="15.95" hidden="1" customHeight="1"/>
    <row r="132" customFormat="1" ht="15.95" hidden="1" customHeight="1"/>
    <row r="133" customFormat="1" ht="15.95" hidden="1" customHeight="1"/>
    <row r="134" customFormat="1" ht="15.95" hidden="1" customHeight="1"/>
    <row r="135" customFormat="1" ht="15.95" hidden="1" customHeight="1"/>
    <row r="136" customFormat="1" ht="15.95" hidden="1" customHeight="1"/>
    <row r="137" customFormat="1" ht="15.95" hidden="1" customHeight="1"/>
    <row r="138" customFormat="1" ht="15.95" hidden="1" customHeight="1"/>
    <row r="139" customFormat="1" ht="15.95" hidden="1" customHeight="1"/>
    <row r="140" customFormat="1" ht="15.95" hidden="1" customHeight="1"/>
    <row r="141" customFormat="1" ht="15.95" hidden="1" customHeight="1"/>
    <row r="142" customFormat="1" ht="15.95" hidden="1" customHeight="1"/>
    <row r="143" customFormat="1" ht="15.95" hidden="1" customHeight="1"/>
    <row r="144" customFormat="1" ht="15.95" hidden="1" customHeight="1"/>
    <row r="145" customFormat="1" ht="15.95" hidden="1" customHeight="1"/>
    <row r="146" customFormat="1" ht="15.95" hidden="1" customHeight="1"/>
    <row r="147" customFormat="1" ht="15.95" hidden="1" customHeight="1"/>
    <row r="148" customFormat="1" ht="15.95" hidden="1" customHeight="1"/>
    <row r="149" customFormat="1" ht="15.95" hidden="1" customHeight="1"/>
    <row r="150" customFormat="1" ht="15.95" hidden="1" customHeight="1"/>
    <row r="151" customFormat="1" ht="15.95" hidden="1" customHeight="1"/>
    <row r="152" customFormat="1" ht="15.95" hidden="1" customHeight="1"/>
    <row r="153" customFormat="1" ht="15.95" hidden="1" customHeight="1"/>
    <row r="154" customFormat="1" ht="15.95" hidden="1" customHeight="1"/>
    <row r="155" customFormat="1" ht="15.95" hidden="1" customHeight="1"/>
    <row r="156" customFormat="1" ht="15.95" hidden="1" customHeight="1"/>
    <row r="157" customFormat="1" ht="15.95" hidden="1" customHeight="1"/>
    <row r="158" customFormat="1" ht="15.95" hidden="1" customHeight="1"/>
    <row r="159" customFormat="1" ht="15.95" hidden="1" customHeight="1"/>
    <row r="160" customFormat="1" ht="15.95" hidden="1" customHeight="1"/>
    <row r="161" customFormat="1" ht="15.95" hidden="1" customHeight="1"/>
    <row r="162" customFormat="1" ht="15.95" hidden="1" customHeight="1"/>
    <row r="163" customFormat="1" ht="15.95" hidden="1" customHeight="1"/>
    <row r="164" customFormat="1" ht="15.95" hidden="1" customHeight="1"/>
    <row r="165" customFormat="1" ht="15.95" hidden="1" customHeight="1"/>
    <row r="166" customFormat="1" ht="15.95" hidden="1" customHeight="1"/>
    <row r="167" customFormat="1" ht="15.95" hidden="1" customHeight="1"/>
    <row r="168" customFormat="1" ht="15.95" hidden="1" customHeight="1"/>
    <row r="169" customFormat="1" ht="15.95" hidden="1" customHeight="1"/>
    <row r="170" customFormat="1" ht="15.95" hidden="1" customHeight="1"/>
    <row r="171" customFormat="1" ht="15.95" hidden="1" customHeight="1"/>
    <row r="172" customFormat="1" ht="15.95" hidden="1" customHeight="1"/>
    <row r="173" customFormat="1" ht="15.95" hidden="1" customHeight="1"/>
    <row r="174" customFormat="1" ht="15.95" hidden="1" customHeight="1"/>
    <row r="175" customFormat="1" ht="15.95" hidden="1" customHeight="1"/>
    <row r="176" customFormat="1" ht="15.95" hidden="1" customHeight="1"/>
    <row r="177" customFormat="1" ht="15.95" hidden="1" customHeight="1"/>
    <row r="178" customFormat="1" ht="15.95" hidden="1" customHeight="1"/>
    <row r="179" customFormat="1" ht="15.95" hidden="1" customHeight="1"/>
    <row r="180" customFormat="1" ht="15.95" hidden="1" customHeight="1"/>
    <row r="181" customFormat="1" ht="15.95" hidden="1" customHeight="1"/>
    <row r="182" customFormat="1" ht="15.95" hidden="1" customHeight="1"/>
    <row r="183" customFormat="1" ht="15.95" hidden="1" customHeight="1"/>
    <row r="184" customFormat="1" ht="15.95" hidden="1" customHeight="1"/>
    <row r="185" customFormat="1" ht="15.95" hidden="1" customHeight="1"/>
    <row r="186" customFormat="1" ht="15.95" hidden="1" customHeight="1"/>
    <row r="187" customFormat="1" ht="15.95" hidden="1" customHeight="1"/>
    <row r="188" customFormat="1" ht="15.95" hidden="1" customHeight="1"/>
    <row r="189" customFormat="1" ht="15.95" hidden="1" customHeight="1"/>
    <row r="190" customFormat="1" ht="15.95" hidden="1" customHeight="1"/>
    <row r="191" customFormat="1" ht="15.95" hidden="1" customHeight="1"/>
    <row r="192" customFormat="1"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49" ht="15.95" hidden="1" customHeight="1"/>
    <row r="204" spans="1:49" ht="15.95" hidden="1" customHeight="1"/>
    <row r="205" spans="1:49" ht="15.95" hidden="1" customHeight="1"/>
    <row r="206" spans="1:49" ht="15.95" hidden="1" customHeight="1"/>
    <row r="207" spans="1:49" ht="15.95" hidden="1" customHeight="1"/>
    <row r="208" spans="1:49" ht="15.95" hidden="1" customHeight="1"/>
    <row r="209" ht="15.95" hidden="1" customHeight="1"/>
    <row r="210" ht="15.95" hidden="1" customHeight="1"/>
    <row r="211" ht="15.95" hidden="1" customHeight="1"/>
    <row r="212" ht="15.95" hidden="1" customHeight="1"/>
    <row r="213" ht="15.95" hidden="1" customHeight="1"/>
    <row r="214" ht="15.95" hidden="1" customHeight="1"/>
    <row r="215" ht="15.95" hidden="1" customHeight="1"/>
    <row r="216" ht="15.95" hidden="1" customHeight="1"/>
    <row r="217" ht="15.95" hidden="1" customHeight="1"/>
    <row r="218" ht="15.95" hidden="1" customHeight="1"/>
    <row r="219" ht="15.95" hidden="1" customHeight="1"/>
    <row r="220" ht="15.95" hidden="1" customHeight="1"/>
    <row r="221" ht="15.95" hidden="1" customHeight="1"/>
    <row r="222" ht="15.95" hidden="1" customHeight="1"/>
  </sheetData>
  <sheetProtection algorithmName="SHA-512" hashValue="jHYpnSwMYbMCBzA342CdJcm7bbl0gmLl93Yhx8/uOvzWKndmHdyU1yyyfR9koAL5NanOq06Jw4vKtfGlWBW2Zg==" saltValue="9OSmBSAJtBJEsVAkteJnOw==" spinCount="100000" sheet="1" objects="1" scenarios="1" selectLockedCells="1"/>
  <mergeCells count="62">
    <mergeCell ref="AT1:AW3"/>
    <mergeCell ref="X20:AD20"/>
    <mergeCell ref="A9:AW10"/>
    <mergeCell ref="AS5:AW6"/>
    <mergeCell ref="AS7:AW7"/>
    <mergeCell ref="AS8:AW8"/>
    <mergeCell ref="Y15:AD15"/>
    <mergeCell ref="Y14:AD14"/>
    <mergeCell ref="K14:P14"/>
    <mergeCell ref="R14:W14"/>
    <mergeCell ref="A4:E6"/>
    <mergeCell ref="A7:E8"/>
    <mergeCell ref="F1:I3"/>
    <mergeCell ref="J1:M3"/>
    <mergeCell ref="AL1:AO3"/>
    <mergeCell ref="AP1:AS3"/>
    <mergeCell ref="Q1:AG3"/>
    <mergeCell ref="AZ12:BK12"/>
    <mergeCell ref="BL12:BN12"/>
    <mergeCell ref="AC18:AH18"/>
    <mergeCell ref="AJ18:AO18"/>
    <mergeCell ref="L11:AL12"/>
    <mergeCell ref="H17:M17"/>
    <mergeCell ref="O17:T17"/>
    <mergeCell ref="V17:AA17"/>
    <mergeCell ref="AC17:AH17"/>
    <mergeCell ref="AJ17:AO17"/>
    <mergeCell ref="AZ14:BE14"/>
    <mergeCell ref="H18:M18"/>
    <mergeCell ref="O18:T18"/>
    <mergeCell ref="V18:AA18"/>
    <mergeCell ref="AF14:AK14"/>
    <mergeCell ref="AF15:AK15"/>
    <mergeCell ref="AC23:AH23"/>
    <mergeCell ref="AJ23:AO23"/>
    <mergeCell ref="H22:M22"/>
    <mergeCell ref="O22:T22"/>
    <mergeCell ref="AC22:AH22"/>
    <mergeCell ref="AJ22:AO22"/>
    <mergeCell ref="H23:M23"/>
    <mergeCell ref="O23:T23"/>
    <mergeCell ref="R31:W31"/>
    <mergeCell ref="Y31:AD31"/>
    <mergeCell ref="AF31:AK31"/>
    <mergeCell ref="K28:P28"/>
    <mergeCell ref="A25:AW26"/>
    <mergeCell ref="O200:AI201"/>
    <mergeCell ref="V23:AA23"/>
    <mergeCell ref="AZ15:BE15"/>
    <mergeCell ref="V22:AA22"/>
    <mergeCell ref="R28:W28"/>
    <mergeCell ref="K15:P15"/>
    <mergeCell ref="R15:W15"/>
    <mergeCell ref="AF32:AK32"/>
    <mergeCell ref="H35:AO42"/>
    <mergeCell ref="R29:W29"/>
    <mergeCell ref="K32:P32"/>
    <mergeCell ref="R32:W32"/>
    <mergeCell ref="Y32:AD32"/>
    <mergeCell ref="Y29:AK29"/>
    <mergeCell ref="K29:P29"/>
    <mergeCell ref="K31:P31"/>
  </mergeCells>
  <conditionalFormatting sqref="AS8:AW8">
    <cfRule type="expression" dxfId="148" priority="3">
      <formula>IF($AS$8=PROJSTATMEASURE,FALSE,TRUE)</formula>
    </cfRule>
  </conditionalFormatting>
  <dataValidations xWindow="604" yWindow="518" count="19">
    <dataValidation type="list" allowBlank="1" showInputMessage="1" showErrorMessage="1" sqref="K32:P32" xr:uid="{5C1725BA-0E1E-45FF-B4D1-1B38DE40A270}">
      <formula1>BUILDING</formula1>
    </dataValidation>
    <dataValidation type="whole" allowBlank="1" showInputMessage="1" showErrorMessage="1" prompt="Enter annual operating hours for the site._x000a_(Ex: open 8 hours/day * 5 days/week * 52 weeks/year = 2080 hours/year)" sqref="R32:W32" xr:uid="{59618DE2-A7A2-44C4-958F-D905D7501E0F}">
      <formula1>0</formula1>
      <formula2>8760</formula2>
    </dataValidation>
    <dataValidation type="whole" operator="greaterThan" allowBlank="1" showInputMessage="1" showErrorMessage="1" sqref="Y32:AD32" xr:uid="{8DE1D820-3C77-4B7C-AD47-2F29B60FE4CC}">
      <formula1>0</formula1>
    </dataValidation>
    <dataValidation type="list" allowBlank="1" showInputMessage="1" showErrorMessage="1" sqref="AF32:AK32" xr:uid="{47D14104-3D37-4FC6-8484-6F967495C51E}">
      <formula1>SHEAT</formula1>
    </dataValidation>
    <dataValidation type="list" allowBlank="1" showInputMessage="1" showErrorMessage="1" sqref="BL12:BN12" xr:uid="{DED0BB61-2EE9-4D92-94D5-80D860F1E31E}">
      <formula1>YESNOLIST</formula1>
    </dataValidation>
    <dataValidation type="list" allowBlank="1" showInputMessage="1" showErrorMessage="1" sqref="AC18:AH18" xr:uid="{C0129C5E-7A97-446F-AB44-918DAFF123B6}">
      <formula1>STATESABBREV</formula1>
    </dataValidation>
    <dataValidation type="list" operator="lessThanOrEqual" allowBlank="1" showInputMessage="1" showErrorMessage="1" error="Please enter your 10 digit account number without the leading zeros." prompt="Please consult your utility bill or your online account for your Rate Code." sqref="Y15:AD15" xr:uid="{E5D7314E-B462-4338-987F-852DABA28D9C}">
      <formula1>RATECLASSLIST</formula1>
    </dataValidation>
    <dataValidation type="list" allowBlank="1" showInputMessage="1" showErrorMessage="1" sqref="R29:W29" xr:uid="{6B916596-4B20-4D82-9328-2CA49F82BE84}">
      <formula1>BUSDEVELNAME</formula1>
    </dataValidation>
    <dataValidation type="list" allowBlank="1" showInputMessage="1" showErrorMessage="1" sqref="Y29:AK29" xr:uid="{5973E5A2-8667-4FFC-8701-0A433308E0C9}">
      <formula1>CUSTINFOLIST</formula1>
    </dataValidation>
    <dataValidation type="custom" allowBlank="1" showInputMessage="1" showErrorMessage="1" error="Please enter a valid email address." sqref="AJ23:AO23" xr:uid="{ED75450D-CF55-49FF-9B72-ADA50A9F6B1C}">
      <formula1>AND(FIND(".",AJ23),FIND("@",AJ23))</formula1>
    </dataValidation>
    <dataValidation type="textLength" allowBlank="1" showInputMessage="1" showErrorMessage="1" error="Please enter a valid phone number." sqref="AC23:AH23" xr:uid="{B0AC366F-BE0E-484E-AE29-0C7DE35CEDAA}">
      <formula1>7</formula1>
      <formula2>15</formula2>
    </dataValidation>
    <dataValidation allowBlank="1" showInputMessage="1" showErrorMessage="1" prompt="Please consult your utility bill for your account rate (Use your total monthly cost divided by your total kWh)." sqref="AF15:AK15" xr:uid="{915C5CA1-9F6A-4D52-9D8C-827D0F2970B6}"/>
    <dataValidation allowBlank="1" showInputMessage="1" showErrorMessage="1" prompt="Use this field for your personal project ID. _x000a_Example: Interior Lighting Phase 1" sqref="K29:P29" xr:uid="{E5D56153-BC85-4018-8345-8EAB50DE5142}"/>
    <dataValidation type="list" allowBlank="1" showInputMessage="1" showErrorMessage="1" prompt="Please use the dropdown to select zip code. You may also type in the field using the following format #####" sqref="AJ18:AO18" xr:uid="{7B676593-1E13-4D67-ABCA-4EF1A6E51D7E}">
      <formula1>ZIPCODES</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s, dashes, or leading zeros. " sqref="K15:P15 R15:W15" xr:uid="{8FF54D75-BAFE-4230-A478-BB4BAB786271}">
      <formula1>10</formula1>
    </dataValidation>
    <dataValidation allowBlank="1" showInputMessage="1" showErrorMessage="1" prompt="Please enter the name of the site where the equipment upgrades are occuring. " sqref="H18:M18" xr:uid="{39400BA9-AB92-43E7-8EED-275619B79AA5}"/>
    <dataValidation type="list" allowBlank="1" showInputMessage="1" showErrorMessage="1" prompt="Please use the dropdown to select your city. You may type the city name in the field if it matches the dropdown formatting as a proper name. _x000a_Example: &quot;Kansas City&quot;" sqref="V18:AA18" xr:uid="{A98310CC-6EAA-4C4B-9006-B8F763625A7F}">
      <formula1>CITIES_LIST</formula1>
    </dataValidation>
    <dataValidation type="list" allowBlank="1" showInputMessage="1" showErrorMessage="1" sqref="X20:AD20" xr:uid="{FEA1630E-DF48-4F63-BF8D-0FC1FFFA8EA1}">
      <formula1>"the Customer Contact, the Trade Ally / Contractor Contact, Other"</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F16:J16" xr:uid="{AA51ECA9-2A65-458F-8133-B347E350D1C6}">
      <formula1>10</formula1>
    </dataValidation>
  </dataValidations>
  <hyperlinks>
    <hyperlink ref="B202" r:id="rId1" xr:uid="{80E3E260-3153-48BE-AC11-82FC8C80614B}"/>
    <hyperlink ref="J1:M3" location="'M01-S02'!J1" tooltip="Instructions" display="'M01-S02'!J1" xr:uid="{631768A6-3A3A-4DDE-A6F5-CD4366DEE0C9}"/>
    <hyperlink ref="AP1:AS3" location="'M05-S05'!AL1" tooltip=" " display="'M05-S05'!AL1" xr:uid="{92D96C47-9F83-480C-947E-2BA548621325}"/>
    <hyperlink ref="AL1:AO3" location="'M05-S04'!AH1" tooltip=" " display="'M05-S04'!AH1" xr:uid="{3451111B-39EC-4586-96D9-294EF632F8D9}"/>
    <hyperlink ref="AT1:AW3" location="'M01-S03'!AP1" tooltip="Contact" display="'M01-S03'!AP1" xr:uid="{35D9CC31-AF31-4F2D-8782-198FFC9CA2AF}"/>
  </hyperlinks>
  <printOptions horizontalCentered="1"/>
  <pageMargins left="0" right="0" top="0" bottom="0" header="0" footer="0"/>
  <pageSetup scale="4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27896-9343-46B6-B4EF-C67B0892A0C5}">
  <sheetPr codeName="Sheet12">
    <tabColor theme="8" tint="0.59999389629810485"/>
    <pageSetUpPr fitToPage="1"/>
  </sheetPr>
  <dimension ref="A1:AX202"/>
  <sheetViews>
    <sheetView showGridLines="0" showRowColHeaders="0" zoomScale="85" zoomScaleNormal="85" workbookViewId="0">
      <selection activeCell="L6" sqref="L6"/>
    </sheetView>
  </sheetViews>
  <sheetFormatPr defaultColWidth="0" defaultRowHeight="15.95" customHeight="1" zeroHeight="1"/>
  <cols>
    <col min="1" max="49" width="4.7109375" customWidth="1"/>
    <col min="50" max="16384" width="4.7109375" hidden="1"/>
  </cols>
  <sheetData>
    <row r="1" spans="1:50"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50"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50"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50" ht="15.95" customHeight="1">
      <c r="A4" s="666">
        <f>INCENTOTAL</f>
        <v>0</v>
      </c>
      <c r="B4" s="666"/>
      <c r="C4" s="666"/>
      <c r="D4" s="666"/>
      <c r="E4" s="666"/>
      <c r="F4" s="203"/>
      <c r="G4" s="203"/>
      <c r="H4" s="203"/>
      <c r="I4" s="203"/>
    </row>
    <row r="5" spans="1:50" ht="15.95" customHeight="1">
      <c r="A5" s="667"/>
      <c r="B5" s="667"/>
      <c r="C5" s="667"/>
      <c r="D5" s="667"/>
      <c r="E5" s="667"/>
      <c r="F5" s="428"/>
      <c r="G5" s="428"/>
      <c r="H5" s="428"/>
      <c r="I5" s="428"/>
      <c r="AS5" s="630">
        <f ca="1">PROGRESSSTATUS</f>
        <v>0</v>
      </c>
      <c r="AT5" s="630"/>
      <c r="AU5" s="630"/>
      <c r="AV5" s="630"/>
      <c r="AW5" s="630"/>
    </row>
    <row r="6" spans="1:50" ht="15.95" customHeight="1">
      <c r="A6" s="667"/>
      <c r="B6" s="667"/>
      <c r="C6" s="667"/>
      <c r="D6" s="667"/>
      <c r="E6" s="667"/>
      <c r="F6" s="428"/>
      <c r="G6" s="428"/>
      <c r="H6" s="428"/>
      <c r="I6" s="428"/>
      <c r="L6" s="202"/>
      <c r="AS6" s="630"/>
      <c r="AT6" s="630"/>
      <c r="AU6" s="630"/>
      <c r="AV6" s="630"/>
      <c r="AW6" s="630"/>
    </row>
    <row r="7" spans="1:50" ht="15.95" customHeight="1">
      <c r="A7" s="629" t="s">
        <v>83</v>
      </c>
      <c r="B7" s="629"/>
      <c r="C7" s="629"/>
      <c r="D7" s="629"/>
      <c r="E7" s="629"/>
      <c r="F7" s="85"/>
      <c r="G7" s="85"/>
      <c r="H7" s="85"/>
      <c r="I7" s="85"/>
      <c r="AS7" s="629" t="s">
        <v>299</v>
      </c>
      <c r="AT7" s="629"/>
      <c r="AU7" s="629"/>
      <c r="AV7" s="629"/>
      <c r="AW7" s="629"/>
    </row>
    <row r="8" spans="1:50" ht="15.95" customHeight="1" thickBot="1">
      <c r="A8" s="632"/>
      <c r="B8" s="632"/>
      <c r="C8" s="632"/>
      <c r="D8" s="632"/>
      <c r="E8" s="632"/>
      <c r="F8" s="429"/>
      <c r="G8" s="429"/>
      <c r="H8" s="429"/>
      <c r="I8" s="429"/>
      <c r="AS8" s="628" t="str">
        <f ca="1">PROJSTATUS</f>
        <v>Enter Measures</v>
      </c>
      <c r="AT8" s="628"/>
      <c r="AU8" s="628"/>
      <c r="AV8" s="628"/>
      <c r="AW8" s="628"/>
    </row>
    <row r="9" spans="1:50" s="88" customFormat="1" ht="15.95" customHeight="1">
      <c r="A9" s="631" t="str">
        <f>M3S1</f>
        <v>Equipment Type</v>
      </c>
      <c r="B9" s="631"/>
      <c r="C9" s="631"/>
      <c r="D9" s="631"/>
      <c r="E9" s="631"/>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c r="AT9" s="631"/>
      <c r="AU9" s="631"/>
      <c r="AV9" s="631"/>
      <c r="AW9" s="631"/>
    </row>
    <row r="10" spans="1:50" s="88" customFormat="1" ht="15.95" customHeight="1">
      <c r="A10" s="621"/>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21"/>
      <c r="AO10" s="621"/>
      <c r="AP10" s="621"/>
      <c r="AQ10" s="621"/>
      <c r="AR10" s="621"/>
      <c r="AS10" s="621"/>
      <c r="AT10" s="621"/>
      <c r="AU10" s="621"/>
      <c r="AV10" s="621"/>
      <c r="AW10" s="621"/>
    </row>
    <row r="11" spans="1:50" s="88" customFormat="1" ht="15.95" customHeight="1">
      <c r="A11" s="106"/>
      <c r="B11" s="106"/>
      <c r="C11" s="106"/>
      <c r="D11" s="106"/>
      <c r="E11" s="106"/>
      <c r="F11" s="106"/>
      <c r="G11" s="106"/>
      <c r="H11" s="106"/>
      <c r="I11" s="106"/>
      <c r="J11" s="106"/>
      <c r="K11" s="106"/>
      <c r="L11" s="106"/>
      <c r="M11" s="106"/>
      <c r="N11" s="106"/>
      <c r="O11" s="106"/>
      <c r="P11" s="668" t="s">
        <v>1727</v>
      </c>
      <c r="Q11" s="668"/>
      <c r="R11" s="668"/>
      <c r="S11" s="668"/>
      <c r="T11" s="668"/>
      <c r="U11" s="668"/>
      <c r="V11" s="668"/>
      <c r="W11" s="668"/>
      <c r="X11" s="668"/>
      <c r="Y11" s="668"/>
      <c r="Z11" s="668"/>
      <c r="AA11" s="668"/>
      <c r="AB11" s="668"/>
      <c r="AC11" s="668"/>
      <c r="AD11" s="668"/>
      <c r="AE11" s="668"/>
      <c r="AF11" s="668"/>
      <c r="AG11" s="668"/>
      <c r="AH11" s="668"/>
      <c r="AI11" s="89"/>
      <c r="AJ11" s="106"/>
      <c r="AK11" s="106"/>
      <c r="AL11" s="106"/>
      <c r="AM11" s="106"/>
      <c r="AN11" s="106"/>
      <c r="AO11" s="106"/>
      <c r="AP11" s="106"/>
      <c r="AQ11" s="106"/>
      <c r="AR11" s="106"/>
      <c r="AS11" s="106"/>
      <c r="AT11" s="106"/>
      <c r="AU11" s="106"/>
      <c r="AV11" s="106"/>
      <c r="AW11" s="106"/>
    </row>
    <row r="12" spans="1:50" ht="15.95" customHeight="1">
      <c r="A12" s="90"/>
      <c r="B12" s="90"/>
      <c r="C12" s="90"/>
      <c r="D12" s="90"/>
      <c r="E12" s="90"/>
      <c r="F12" s="90"/>
      <c r="G12" s="90"/>
      <c r="H12" s="90"/>
      <c r="I12" s="90"/>
      <c r="J12" s="90"/>
      <c r="K12" s="90"/>
      <c r="T12" s="89"/>
      <c r="U12" s="89"/>
      <c r="V12" s="89"/>
      <c r="W12" s="89"/>
      <c r="X12" s="89"/>
      <c r="Y12" s="89"/>
      <c r="Z12" s="89"/>
      <c r="AA12" s="89"/>
      <c r="AB12" s="89"/>
      <c r="AC12" s="89"/>
      <c r="AD12" s="89"/>
      <c r="AE12" s="89"/>
      <c r="AF12" s="89"/>
      <c r="AG12" s="89"/>
      <c r="AH12" s="89"/>
      <c r="AI12" s="89"/>
      <c r="AM12" s="90"/>
      <c r="AN12" s="90"/>
      <c r="AO12" s="90"/>
      <c r="AP12" s="90"/>
      <c r="AQ12" s="90"/>
      <c r="AR12" s="90"/>
      <c r="AS12" s="90"/>
      <c r="AT12" s="90"/>
      <c r="AU12" s="90"/>
      <c r="AV12" s="90"/>
      <c r="AW12" s="90"/>
      <c r="AX12" s="90"/>
    </row>
    <row r="13" spans="1:50" ht="15.95" customHeight="1">
      <c r="A13" s="90"/>
      <c r="B13" s="90"/>
      <c r="C13" s="90"/>
      <c r="D13" s="90"/>
      <c r="E13" s="90"/>
      <c r="F13" s="90"/>
      <c r="I13" s="89"/>
      <c r="J13" s="89"/>
      <c r="K13" s="89"/>
      <c r="AM13" s="90"/>
      <c r="AN13" s="90"/>
      <c r="AO13" s="90"/>
      <c r="AP13" s="90"/>
      <c r="AQ13" s="90"/>
      <c r="AR13" s="90"/>
      <c r="AS13" s="90"/>
      <c r="AT13" s="90"/>
      <c r="AU13" s="90"/>
      <c r="AV13" s="90"/>
      <c r="AW13" s="90"/>
      <c r="AX13" s="90"/>
    </row>
    <row r="14" spans="1:50" ht="15.95" customHeight="1"/>
    <row r="15" spans="1:50" ht="15.95" customHeight="1"/>
    <row r="16" spans="1:50" ht="15.95" customHeight="1"/>
    <row r="17" spans="9:42" ht="15.95" customHeight="1"/>
    <row r="18" spans="9:42" ht="15.95" customHeight="1"/>
    <row r="19" spans="9:42" ht="15.95" customHeight="1">
      <c r="M19" s="712" t="str">
        <f>M3S3</f>
        <v>Lighting Controls</v>
      </c>
      <c r="N19" s="712"/>
      <c r="O19" s="712"/>
      <c r="P19" s="712"/>
      <c r="Q19" s="712"/>
      <c r="R19" s="712"/>
      <c r="S19" s="712"/>
      <c r="V19" s="712" t="str">
        <f>M3S4</f>
        <v>Refrigeration</v>
      </c>
      <c r="W19" s="712"/>
      <c r="X19" s="712"/>
      <c r="Y19" s="712"/>
      <c r="Z19" s="712"/>
      <c r="AA19" s="712"/>
      <c r="AB19" s="712"/>
      <c r="AE19" s="712" t="str">
        <f>M3S5</f>
        <v>HVAC</v>
      </c>
      <c r="AF19" s="712"/>
      <c r="AG19" s="712"/>
      <c r="AH19" s="712"/>
      <c r="AI19" s="712"/>
      <c r="AJ19" s="712"/>
      <c r="AK19" s="712"/>
    </row>
    <row r="20" spans="9:42" ht="15.95" customHeight="1">
      <c r="M20" s="712"/>
      <c r="N20" s="712"/>
      <c r="O20" s="712"/>
      <c r="P20" s="712"/>
      <c r="Q20" s="712"/>
      <c r="R20" s="712"/>
      <c r="S20" s="712"/>
      <c r="V20" s="712"/>
      <c r="W20" s="712"/>
      <c r="X20" s="712"/>
      <c r="Y20" s="712"/>
      <c r="Z20" s="712"/>
      <c r="AA20" s="712"/>
      <c r="AB20" s="712"/>
      <c r="AE20" s="712"/>
      <c r="AF20" s="712"/>
      <c r="AG20" s="712"/>
      <c r="AH20" s="712"/>
      <c r="AI20" s="712"/>
      <c r="AJ20" s="712"/>
      <c r="AK20" s="712"/>
    </row>
    <row r="21" spans="9:42" ht="15.95" customHeight="1"/>
    <row r="22" spans="9:42" ht="15.95" customHeight="1"/>
    <row r="23" spans="9:42" ht="15.95" customHeight="1">
      <c r="L23" s="87"/>
    </row>
    <row r="24" spans="9:42" ht="15.95" customHeight="1"/>
    <row r="25" spans="9:42" ht="15.95" customHeight="1"/>
    <row r="26" spans="9:42" ht="15.95" customHeight="1"/>
    <row r="27" spans="9:42" ht="15.95" customHeight="1"/>
    <row r="28" spans="9:42" ht="15.95" customHeight="1"/>
    <row r="29" spans="9:42" ht="15.95" customHeight="1">
      <c r="I29" s="712" t="str">
        <f>M4S8</f>
        <v>Motors and Drives</v>
      </c>
      <c r="J29" s="712"/>
      <c r="K29" s="712"/>
      <c r="L29" s="712"/>
      <c r="M29" s="712"/>
      <c r="N29" s="712"/>
      <c r="O29" s="712"/>
      <c r="R29" s="712" t="str">
        <f>M3S6</f>
        <v>Compressed Air / Process</v>
      </c>
      <c r="S29" s="712"/>
      <c r="T29" s="712"/>
      <c r="U29" s="712"/>
      <c r="V29" s="712"/>
      <c r="W29" s="712"/>
      <c r="X29" s="712"/>
      <c r="AA29" s="712" t="str">
        <f>M3S7</f>
        <v>Water Heating / Food Services</v>
      </c>
      <c r="AB29" s="712"/>
      <c r="AC29" s="712"/>
      <c r="AD29" s="712"/>
      <c r="AE29" s="712"/>
      <c r="AF29" s="712"/>
      <c r="AG29" s="712"/>
      <c r="AJ29" s="712" t="str">
        <f>M4S9</f>
        <v>Miscellaneous</v>
      </c>
      <c r="AK29" s="712"/>
      <c r="AL29" s="712"/>
      <c r="AM29" s="712"/>
      <c r="AN29" s="712"/>
      <c r="AO29" s="712"/>
      <c r="AP29" s="712"/>
    </row>
    <row r="30" spans="9:42" ht="15.95" customHeight="1">
      <c r="I30" s="712"/>
      <c r="J30" s="712"/>
      <c r="K30" s="712"/>
      <c r="L30" s="712"/>
      <c r="M30" s="712"/>
      <c r="N30" s="712"/>
      <c r="O30" s="712"/>
      <c r="R30" s="712"/>
      <c r="S30" s="712"/>
      <c r="T30" s="712"/>
      <c r="U30" s="712"/>
      <c r="V30" s="712"/>
      <c r="W30" s="712"/>
      <c r="X30" s="712"/>
      <c r="AA30" s="712"/>
      <c r="AB30" s="712"/>
      <c r="AC30" s="712"/>
      <c r="AD30" s="712"/>
      <c r="AE30" s="712"/>
      <c r="AF30" s="712"/>
      <c r="AG30" s="712"/>
      <c r="AJ30" s="712"/>
      <c r="AK30" s="712"/>
      <c r="AL30" s="712"/>
      <c r="AM30" s="712"/>
      <c r="AN30" s="712"/>
      <c r="AO30" s="712"/>
      <c r="AP30" s="712"/>
    </row>
    <row r="31" spans="9:42" ht="15.95" customHeight="1"/>
    <row r="32" spans="9:42" ht="15.95" customHeight="1"/>
    <row r="34" spans="21:39" ht="15.95" hidden="1" customHeight="1">
      <c r="X34" s="712"/>
      <c r="Y34" s="712"/>
      <c r="Z34" s="712"/>
      <c r="AA34" s="712"/>
      <c r="AB34" s="712"/>
      <c r="AC34" s="712"/>
      <c r="AD34" s="712"/>
    </row>
    <row r="35" spans="21:39" ht="15.95" hidden="1" customHeight="1">
      <c r="V35" s="87"/>
      <c r="W35" s="87"/>
      <c r="X35" s="712"/>
      <c r="Y35" s="712"/>
      <c r="Z35" s="712"/>
      <c r="AA35" s="712"/>
      <c r="AB35" s="712"/>
      <c r="AC35" s="712"/>
      <c r="AD35" s="712"/>
    </row>
    <row r="36" spans="21:39" ht="15.95" hidden="1" customHeight="1">
      <c r="U36" s="91"/>
      <c r="V36" s="87"/>
      <c r="W36" s="87"/>
      <c r="X36" s="91"/>
      <c r="Y36" s="91"/>
      <c r="Z36" s="91"/>
      <c r="AA36" s="91"/>
      <c r="AB36" s="91"/>
      <c r="AC36" s="91"/>
      <c r="AD36" s="91"/>
      <c r="AG36" s="91"/>
      <c r="AH36" s="91"/>
      <c r="AI36" s="91"/>
      <c r="AJ36" s="91"/>
      <c r="AK36" s="91"/>
      <c r="AL36" s="91"/>
      <c r="AM36" s="91"/>
    </row>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FT8kpOctqd198Zri72fQPNakorXGdQ0FLuR+TSAOu29M3qKmBbAZWAkHZ64zwfnUzwJh3bbN0nxIwxhYjknm5A==" saltValue="uByWrQTAK+6BvegFka+voA==" spinCount="100000" sheet="1" objects="1" scenarios="1" selectLockedCells="1"/>
  <sortState xmlns:xlrd2="http://schemas.microsoft.com/office/spreadsheetml/2017/richdata2" ref="N14:Z42">
    <sortCondition ref="N41"/>
  </sortState>
  <mergeCells count="22">
    <mergeCell ref="AT1:AW3"/>
    <mergeCell ref="AA29:AG30"/>
    <mergeCell ref="A9:AW10"/>
    <mergeCell ref="AS5:AW6"/>
    <mergeCell ref="AS7:AW7"/>
    <mergeCell ref="AS8:AW8"/>
    <mergeCell ref="A4:E6"/>
    <mergeCell ref="A7:E8"/>
    <mergeCell ref="O200:AI201"/>
    <mergeCell ref="AP1:AS3"/>
    <mergeCell ref="F1:I3"/>
    <mergeCell ref="J1:M3"/>
    <mergeCell ref="AL1:AO3"/>
    <mergeCell ref="M19:S20"/>
    <mergeCell ref="V19:AB20"/>
    <mergeCell ref="P11:AH11"/>
    <mergeCell ref="I29:O30"/>
    <mergeCell ref="X34:AD35"/>
    <mergeCell ref="AJ29:AP30"/>
    <mergeCell ref="AE19:AK20"/>
    <mergeCell ref="R29:X30"/>
    <mergeCell ref="Q1:AG3"/>
  </mergeCells>
  <conditionalFormatting sqref="AS8:AW8">
    <cfRule type="expression" dxfId="147" priority="1">
      <formula>IF($AS$8=PROJSTATMEASURE,FALSE,TRUE)</formula>
    </cfRule>
  </conditionalFormatting>
  <hyperlinks>
    <hyperlink ref="B202" r:id="rId1" xr:uid="{3D525E7B-FECE-4BF0-AEEF-897883F34D30}"/>
    <hyperlink ref="R29:X30" location="'M03-S06'!A1" tooltip="Compressed Air / Process" display="'M03-S06'!A1" xr:uid="{79ACB4FD-C6DF-4D76-A219-1BC237F40D03}"/>
    <hyperlink ref="AA29:AG30" location="'M03-S07'!A1" tooltip="Water Heating / Food Services" display="'M03-S07'!A1" xr:uid="{3E84A672-1833-410C-B746-5D40138000F8}"/>
    <hyperlink ref="I29:O30" location="'M04-S08'!A1" tooltip="Motors and Drives" display="'M04-S08'!A1" xr:uid="{1C63D201-6651-437A-B29E-2900D7BBFDD2}"/>
    <hyperlink ref="AJ29:AP30" location="'M04-S09'!A1" tooltip="Miscellaneous" display="'M04-S09'!A1" xr:uid="{EE4F7A69-F549-40FF-8E27-5E2B277A49A9}"/>
    <hyperlink ref="AE19:AK20" location="'M03-S05'!A1" tooltip="HVAC" display="'M03-S05'!A1" xr:uid="{30BF9F67-DAE1-4A44-9209-C43C9412904A}"/>
    <hyperlink ref="V19:AB20" location="'M03-S04'!A1" tooltip="Refrigeration" display="'M03-S04'!A1" xr:uid="{90D2E2BE-1616-40B2-A33D-1CB5D58BE470}"/>
    <hyperlink ref="M19:S20" location="'M03-S03'!A1" tooltip="Lighting Controls" display="'M03-S03'!A1" xr:uid="{6CD591F5-BBBE-401C-A158-1B6500795B3A}"/>
    <hyperlink ref="J1:M3" location="'M01-S02'!J1" tooltip="Instructions" display="'M01-S02'!J1" xr:uid="{763E42A0-A868-4FFC-86EC-C994D43D3E31}"/>
    <hyperlink ref="AP1:AS3" location="'M05-S05'!AL1" tooltip=" " display="'M05-S05'!AL1" xr:uid="{2562F06E-005E-4162-92CB-58BF3DBEDE15}"/>
    <hyperlink ref="AL1:AO3" location="'M05-S04'!AH1" tooltip=" " display="'M05-S04'!AH1" xr:uid="{8BFDA0A0-04AA-42B7-A3CD-70FB061FB561}"/>
    <hyperlink ref="AT1:AW3" location="'M01-S03'!AP1" tooltip="Contact" display="'M01-S03'!AP1" xr:uid="{D40C07BE-8029-43A6-ACB1-EC69C1A6E589}"/>
  </hyperlinks>
  <printOptions horizontalCentered="1"/>
  <pageMargins left="0" right="0" top="0" bottom="0" header="0" footer="0"/>
  <pageSetup scale="4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549F5-A18F-40F4-A059-75276241B08A}">
  <sheetPr codeName="Sheet19">
    <tabColor theme="8" tint="0.59999389629810485"/>
    <pageSetUpPr fitToPage="1"/>
  </sheetPr>
  <dimension ref="A1:BQ204"/>
  <sheetViews>
    <sheetView showGridLines="0" showRowColHeaders="0" zoomScale="85" zoomScaleNormal="85" workbookViewId="0">
      <selection activeCell="C18" sqref="C18:F19"/>
    </sheetView>
  </sheetViews>
  <sheetFormatPr defaultColWidth="0" defaultRowHeight="0" customHeight="1" zeroHeight="1"/>
  <cols>
    <col min="1" max="49" width="4.7109375" customWidth="1"/>
    <col min="50" max="50" width="9.5703125" hidden="1"/>
    <col min="51" max="51" width="15.7109375" hidden="1"/>
    <col min="52" max="58" width="9.5703125" hidden="1"/>
    <col min="59" max="61" width="12.7109375" hidden="1"/>
    <col min="62" max="64" width="9.5703125" hidden="1"/>
    <col min="65" max="65" width="10.7109375" hidden="1"/>
    <col min="66" max="67" width="13.7109375" hidden="1"/>
    <col min="68" max="68" width="9.5703125" hidden="1"/>
    <col min="69" max="69" width="14.7109375" hidden="1"/>
    <col min="70" max="16384" width="4.7109375" hidden="1"/>
  </cols>
  <sheetData>
    <row r="1" spans="1:6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9"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69" ht="15.95" customHeight="1">
      <c r="A4" s="722">
        <f>INCENTOTAL</f>
        <v>0</v>
      </c>
      <c r="B4" s="722"/>
      <c r="C4" s="722"/>
      <c r="D4" s="722"/>
      <c r="E4" s="722"/>
      <c r="F4" s="203"/>
      <c r="G4" s="203"/>
      <c r="H4" s="203"/>
      <c r="I4" s="203"/>
      <c r="BC4" s="88"/>
      <c r="BD4" s="88"/>
    </row>
    <row r="5" spans="1:69" ht="15.95" customHeight="1">
      <c r="A5" s="667"/>
      <c r="B5" s="667"/>
      <c r="C5" s="667"/>
      <c r="D5" s="667"/>
      <c r="E5" s="667"/>
      <c r="F5" s="428"/>
      <c r="G5" s="428"/>
      <c r="H5" s="428"/>
      <c r="I5" s="428"/>
      <c r="AS5" s="630">
        <f ca="1">PROGRESSSTATUS</f>
        <v>0</v>
      </c>
      <c r="AT5" s="630"/>
      <c r="AU5" s="630"/>
      <c r="AV5" s="630"/>
      <c r="AW5" s="630"/>
      <c r="AY5" s="22"/>
      <c r="AZ5" s="119" t="s">
        <v>1315</v>
      </c>
      <c r="BA5" s="119" t="s">
        <v>325</v>
      </c>
    </row>
    <row r="6" spans="1:69" ht="15.95" customHeight="1">
      <c r="A6" s="667"/>
      <c r="B6" s="667"/>
      <c r="C6" s="667"/>
      <c r="D6" s="667"/>
      <c r="E6" s="667"/>
      <c r="F6" s="428"/>
      <c r="G6" s="428"/>
      <c r="H6" s="428"/>
      <c r="I6" s="428"/>
      <c r="AS6" s="630"/>
      <c r="AT6" s="630"/>
      <c r="AU6" s="630"/>
      <c r="AV6" s="630"/>
      <c r="AW6" s="630"/>
      <c r="AY6" s="118" t="s">
        <v>1320</v>
      </c>
      <c r="AZ6" s="117" t="str">
        <f>CBPRESE</f>
        <v>NA</v>
      </c>
      <c r="BA6" s="117" t="str">
        <f>PAYPRESE</f>
        <v>NA</v>
      </c>
    </row>
    <row r="7" spans="1:69" ht="15.95" customHeight="1">
      <c r="A7" s="629" t="s">
        <v>83</v>
      </c>
      <c r="B7" s="629"/>
      <c r="C7" s="629"/>
      <c r="D7" s="629"/>
      <c r="E7" s="629"/>
      <c r="F7" s="85"/>
      <c r="G7" s="85"/>
      <c r="H7" s="85"/>
      <c r="I7" s="85"/>
      <c r="AS7" s="629" t="s">
        <v>299</v>
      </c>
      <c r="AT7" s="629"/>
      <c r="AU7" s="629"/>
      <c r="AV7" s="629"/>
      <c r="AW7" s="629"/>
      <c r="AY7" s="118" t="s">
        <v>135</v>
      </c>
      <c r="AZ7" s="117" t="str">
        <f>CBCUSE</f>
        <v>NA</v>
      </c>
      <c r="BA7" s="117" t="str">
        <f>PAYCUSE</f>
        <v>NA</v>
      </c>
    </row>
    <row r="8" spans="1:69" ht="15.95" customHeight="1" thickBot="1">
      <c r="A8" s="632"/>
      <c r="B8" s="632"/>
      <c r="C8" s="632"/>
      <c r="D8" s="632"/>
      <c r="E8" s="632"/>
      <c r="F8" s="429"/>
      <c r="G8" s="429"/>
      <c r="H8" s="429"/>
      <c r="I8" s="85"/>
      <c r="AS8" s="628" t="str">
        <f ca="1">PROJSTATUS</f>
        <v>Enter Measures</v>
      </c>
      <c r="AT8" s="628"/>
      <c r="AU8" s="628"/>
      <c r="AV8" s="628"/>
      <c r="AW8" s="628"/>
      <c r="AY8" s="118" t="s">
        <v>596</v>
      </c>
      <c r="AZ8" s="117" t="str">
        <f>CBALL</f>
        <v>NA</v>
      </c>
      <c r="BA8" s="117" t="str">
        <f>PAYALL</f>
        <v>NA</v>
      </c>
    </row>
    <row r="9" spans="1:69" s="88" customFormat="1" ht="15.95" customHeight="1">
      <c r="B9" s="89"/>
      <c r="C9" s="89"/>
      <c r="D9" s="89"/>
      <c r="E9" s="89"/>
      <c r="F9" s="89"/>
      <c r="G9" s="111"/>
      <c r="H9" s="111"/>
      <c r="I9" s="111"/>
      <c r="J9" s="818" t="str">
        <f>M3S2</f>
        <v>Lighting</v>
      </c>
      <c r="K9" s="818"/>
      <c r="L9" s="818"/>
      <c r="M9" s="818"/>
      <c r="N9" s="815" t="str">
        <f>M3S3</f>
        <v>Lighting Controls</v>
      </c>
      <c r="O9" s="816"/>
      <c r="P9" s="816"/>
      <c r="Q9" s="816"/>
      <c r="R9" s="815" t="str">
        <f>M3S4</f>
        <v>Refrigeration</v>
      </c>
      <c r="S9" s="816"/>
      <c r="T9" s="816"/>
      <c r="U9" s="816"/>
      <c r="V9" s="815" t="str">
        <f>M3S5</f>
        <v>HVAC</v>
      </c>
      <c r="W9" s="816"/>
      <c r="X9" s="816"/>
      <c r="Y9" s="816"/>
      <c r="Z9" s="815" t="str">
        <f>M4S8</f>
        <v>Motors and Drives</v>
      </c>
      <c r="AA9" s="816"/>
      <c r="AB9" s="816"/>
      <c r="AC9" s="816"/>
      <c r="AD9" s="815" t="str">
        <f>M3S6</f>
        <v>Compressed Air / Process</v>
      </c>
      <c r="AE9" s="816"/>
      <c r="AF9" s="816"/>
      <c r="AG9" s="816"/>
      <c r="AH9" s="815" t="str">
        <f>M3S7</f>
        <v>Water Heating / Food Services</v>
      </c>
      <c r="AI9" s="816"/>
      <c r="AJ9" s="816"/>
      <c r="AK9" s="816"/>
      <c r="AL9" s="815" t="str">
        <f>M4S9</f>
        <v>Miscellaneous</v>
      </c>
      <c r="AM9" s="816"/>
      <c r="AN9" s="816"/>
      <c r="AO9" s="816"/>
      <c r="AP9" s="110"/>
      <c r="AQ9" s="110"/>
      <c r="AR9" s="110"/>
      <c r="AS9" s="110"/>
      <c r="AT9" s="110"/>
      <c r="AU9" s="110"/>
      <c r="AV9" s="110"/>
    </row>
    <row r="10" spans="1:69" s="88" customFormat="1" ht="15.95" customHeight="1">
      <c r="B10" s="89"/>
      <c r="C10" s="89"/>
      <c r="D10" s="89"/>
      <c r="E10" s="89"/>
      <c r="F10" s="89"/>
      <c r="J10" s="819"/>
      <c r="K10" s="819"/>
      <c r="L10" s="819"/>
      <c r="M10" s="819"/>
      <c r="N10" s="817"/>
      <c r="O10" s="817"/>
      <c r="P10" s="817"/>
      <c r="Q10" s="817"/>
      <c r="R10" s="817"/>
      <c r="S10" s="817"/>
      <c r="T10" s="817"/>
      <c r="U10" s="817"/>
      <c r="V10" s="817"/>
      <c r="W10" s="817"/>
      <c r="X10" s="817"/>
      <c r="Y10" s="817"/>
      <c r="Z10" s="817"/>
      <c r="AA10" s="817"/>
      <c r="AB10" s="817"/>
      <c r="AC10" s="817"/>
      <c r="AD10" s="817"/>
      <c r="AE10" s="817"/>
      <c r="AF10" s="817"/>
      <c r="AG10" s="817"/>
      <c r="AH10" s="817"/>
      <c r="AI10" s="817"/>
      <c r="AJ10" s="817"/>
      <c r="AK10" s="817"/>
      <c r="AL10" s="817"/>
      <c r="AM10" s="817"/>
      <c r="AN10" s="817"/>
      <c r="AO10" s="817"/>
      <c r="AP10" s="89"/>
      <c r="AQ10" s="89"/>
      <c r="AR10" s="89"/>
      <c r="AS10" s="89"/>
      <c r="AT10" s="89"/>
      <c r="AU10" s="89"/>
      <c r="AV10" s="89"/>
    </row>
    <row r="11" spans="1:69" ht="15.95" customHeight="1">
      <c r="B11" s="106"/>
      <c r="C11" s="106"/>
      <c r="D11" s="106"/>
      <c r="E11" s="106"/>
      <c r="F11" s="106"/>
      <c r="J11" s="819"/>
      <c r="K11" s="819"/>
      <c r="L11" s="819"/>
      <c r="M11" s="819"/>
      <c r="N11" s="817"/>
      <c r="O11" s="817"/>
      <c r="P11" s="817"/>
      <c r="Q11" s="817"/>
      <c r="R11" s="817"/>
      <c r="S11" s="817"/>
      <c r="T11" s="817"/>
      <c r="U11" s="817"/>
      <c r="V11" s="817"/>
      <c r="W11" s="817"/>
      <c r="X11" s="817"/>
      <c r="Y11" s="817"/>
      <c r="Z11" s="817"/>
      <c r="AA11" s="817"/>
      <c r="AB11" s="817"/>
      <c r="AC11" s="817"/>
      <c r="AD11" s="817"/>
      <c r="AE11" s="817"/>
      <c r="AF11" s="817"/>
      <c r="AG11" s="817"/>
      <c r="AH11" s="817"/>
      <c r="AI11" s="817"/>
      <c r="AJ11" s="817"/>
      <c r="AK11" s="817"/>
      <c r="AL11" s="817"/>
      <c r="AM11" s="817"/>
      <c r="AN11" s="817"/>
      <c r="AO11" s="817"/>
      <c r="AP11" s="106"/>
      <c r="AQ11" s="106"/>
      <c r="AR11" s="106"/>
      <c r="AS11" s="106"/>
      <c r="AT11" s="106"/>
      <c r="AU11" s="106"/>
      <c r="AV11" s="106"/>
    </row>
    <row r="12" spans="1:69" ht="15.95" customHeight="1">
      <c r="A12" s="86"/>
      <c r="B12" s="86"/>
      <c r="C12" s="86"/>
      <c r="D12" s="86"/>
      <c r="E12" s="86"/>
      <c r="F12" s="86"/>
      <c r="G12" s="86"/>
      <c r="T12" s="821">
        <f>SUM(AR18:AU199)</f>
        <v>0</v>
      </c>
      <c r="U12" s="821"/>
      <c r="V12" s="821"/>
      <c r="W12" s="821"/>
      <c r="X12" s="821">
        <f>SUM(AX18:AX199)</f>
        <v>0</v>
      </c>
      <c r="Y12" s="821"/>
      <c r="Z12" s="821"/>
      <c r="AA12" s="821"/>
      <c r="AB12" s="820">
        <f ca="1">SUMIF(AR18:AU199,"&gt;0",AO18:AQ199)</f>
        <v>0</v>
      </c>
      <c r="AC12" s="820"/>
      <c r="AD12" s="820"/>
      <c r="AE12" s="820"/>
      <c r="AT12" s="377"/>
    </row>
    <row r="13" spans="1:69" ht="15.95" customHeight="1">
      <c r="A13" s="86"/>
      <c r="B13" s="86"/>
      <c r="C13" s="86"/>
      <c r="D13" s="86"/>
      <c r="E13" s="758" t="s">
        <v>1844</v>
      </c>
      <c r="F13" s="758"/>
      <c r="G13" s="758"/>
      <c r="H13" s="758"/>
      <c r="I13" s="758"/>
      <c r="J13" s="758"/>
      <c r="K13" s="758"/>
      <c r="L13" s="758"/>
      <c r="M13" s="758"/>
      <c r="N13" s="758"/>
      <c r="O13" s="758"/>
      <c r="P13" s="758"/>
      <c r="Q13" s="758"/>
      <c r="R13" s="758"/>
      <c r="T13" s="821"/>
      <c r="U13" s="821"/>
      <c r="V13" s="821"/>
      <c r="W13" s="821"/>
      <c r="X13" s="821"/>
      <c r="Y13" s="821"/>
      <c r="Z13" s="821"/>
      <c r="AA13" s="821"/>
      <c r="AB13" s="820"/>
      <c r="AC13" s="820"/>
      <c r="AD13" s="820"/>
      <c r="AE13" s="820"/>
      <c r="AJ13" s="378"/>
      <c r="AK13" s="378"/>
      <c r="AL13" s="378"/>
      <c r="AM13" s="840" t="str">
        <f>IF(IFERROR(MATCH("100% Total Cost", BI:BI, 0), FALSE), "The incentive for one or more measures is capped due to measure cost.", "")</f>
        <v/>
      </c>
      <c r="AN13" s="840"/>
      <c r="AO13" s="840"/>
      <c r="AP13" s="840"/>
      <c r="AQ13" s="840"/>
      <c r="AR13" s="840"/>
      <c r="AS13" s="840"/>
      <c r="AT13" s="840"/>
      <c r="AU13" s="840"/>
      <c r="AV13" s="378"/>
    </row>
    <row r="14" spans="1:69" ht="15.95" customHeight="1">
      <c r="T14" s="758" t="s">
        <v>1717</v>
      </c>
      <c r="U14" s="758"/>
      <c r="V14" s="758"/>
      <c r="W14" s="758"/>
      <c r="X14" s="758" t="s">
        <v>67</v>
      </c>
      <c r="Y14" s="758"/>
      <c r="Z14" s="758"/>
      <c r="AA14" s="758"/>
      <c r="AB14" s="758" t="s">
        <v>1161</v>
      </c>
      <c r="AC14" s="758"/>
      <c r="AD14" s="758"/>
      <c r="AE14" s="758"/>
      <c r="AI14" s="378"/>
      <c r="AJ14" s="378"/>
      <c r="AK14" s="378"/>
      <c r="AL14" s="378"/>
      <c r="AM14" s="840"/>
      <c r="AN14" s="840"/>
      <c r="AO14" s="840"/>
      <c r="AP14" s="840"/>
      <c r="AQ14" s="840"/>
      <c r="AR14" s="840"/>
      <c r="AS14" s="840"/>
      <c r="AT14" s="840"/>
      <c r="AU14" s="840"/>
      <c r="AV14" s="378"/>
    </row>
    <row r="15" spans="1:69" ht="15.95" customHeight="1"/>
    <row r="16" spans="1:69" ht="15.95" customHeight="1">
      <c r="C16" s="723" t="s">
        <v>1240</v>
      </c>
      <c r="D16" s="723"/>
      <c r="E16" s="723"/>
      <c r="F16" s="723"/>
      <c r="G16" s="723" t="s">
        <v>1250</v>
      </c>
      <c r="H16" s="723"/>
      <c r="I16" s="723"/>
      <c r="J16" s="723"/>
      <c r="K16" s="723"/>
      <c r="L16" s="723"/>
      <c r="M16" s="723" t="s">
        <v>1912</v>
      </c>
      <c r="N16" s="723"/>
      <c r="O16" s="723" t="s">
        <v>1913</v>
      </c>
      <c r="P16" s="723"/>
      <c r="Q16" s="723"/>
      <c r="R16" s="723" t="s">
        <v>1162</v>
      </c>
      <c r="S16" s="723"/>
      <c r="T16" s="723" t="s">
        <v>1163</v>
      </c>
      <c r="U16" s="723"/>
      <c r="V16" s="723" t="s">
        <v>74</v>
      </c>
      <c r="W16" s="723"/>
      <c r="X16" s="723" t="s">
        <v>1322</v>
      </c>
      <c r="Y16" s="723"/>
      <c r="Z16" s="723" t="s">
        <v>2912</v>
      </c>
      <c r="AA16" s="723"/>
      <c r="AB16" s="723"/>
      <c r="AC16" s="723" t="s">
        <v>2913</v>
      </c>
      <c r="AD16" s="723"/>
      <c r="AE16" s="723"/>
      <c r="AF16" s="723"/>
      <c r="AG16" s="723" t="s">
        <v>1249</v>
      </c>
      <c r="AH16" s="723"/>
      <c r="AI16" s="814" t="s">
        <v>1243</v>
      </c>
      <c r="AJ16" s="814"/>
      <c r="AK16" s="814"/>
      <c r="AL16" s="814"/>
      <c r="AM16" s="723" t="s">
        <v>1718</v>
      </c>
      <c r="AN16" s="723"/>
      <c r="AO16" s="723" t="s">
        <v>1108</v>
      </c>
      <c r="AP16" s="723"/>
      <c r="AQ16" s="723"/>
      <c r="AR16" s="723" t="s">
        <v>83</v>
      </c>
      <c r="AS16" s="723"/>
      <c r="AT16" s="723"/>
      <c r="AU16" s="723"/>
      <c r="AX16" s="752" t="s">
        <v>1257</v>
      </c>
      <c r="AY16" s="752" t="s">
        <v>1116</v>
      </c>
      <c r="AZ16" s="759" t="s">
        <v>1253</v>
      </c>
      <c r="BA16" s="759"/>
      <c r="BB16" s="756" t="s">
        <v>635</v>
      </c>
      <c r="BC16" s="756" t="s">
        <v>1256</v>
      </c>
      <c r="BD16" s="752" t="s">
        <v>1305</v>
      </c>
      <c r="BE16" s="759" t="s">
        <v>1254</v>
      </c>
      <c r="BF16" s="759"/>
      <c r="BG16" s="752" t="s">
        <v>2774</v>
      </c>
      <c r="BH16" s="752" t="s">
        <v>85</v>
      </c>
      <c r="BI16" s="752" t="s">
        <v>1306</v>
      </c>
      <c r="BJ16" s="752" t="s">
        <v>309</v>
      </c>
      <c r="BK16" s="736" t="s">
        <v>88</v>
      </c>
      <c r="BL16" s="736" t="s">
        <v>2130</v>
      </c>
      <c r="BM16" s="833"/>
      <c r="BN16" s="736" t="s">
        <v>2270</v>
      </c>
      <c r="BO16" s="736" t="s">
        <v>1303</v>
      </c>
      <c r="BP16" s="736" t="s">
        <v>2401</v>
      </c>
      <c r="BQ16" s="752" t="s">
        <v>2917</v>
      </c>
    </row>
    <row r="17" spans="1:69" ht="15.95" customHeight="1" thickBot="1">
      <c r="C17" s="724"/>
      <c r="D17" s="724"/>
      <c r="E17" s="724"/>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t="s">
        <v>1241</v>
      </c>
      <c r="AJ17" s="724"/>
      <c r="AK17" s="724" t="s">
        <v>1242</v>
      </c>
      <c r="AL17" s="724"/>
      <c r="AM17" s="724"/>
      <c r="AN17" s="724"/>
      <c r="AO17" s="724"/>
      <c r="AP17" s="724"/>
      <c r="AQ17" s="724"/>
      <c r="AR17" s="724"/>
      <c r="AS17" s="724"/>
      <c r="AT17" s="724"/>
      <c r="AU17" s="724"/>
      <c r="AX17" s="753"/>
      <c r="AY17" s="753"/>
      <c r="AZ17" s="107" t="s">
        <v>1251</v>
      </c>
      <c r="BA17" s="107" t="s">
        <v>1252</v>
      </c>
      <c r="BB17" s="757"/>
      <c r="BC17" s="757"/>
      <c r="BD17" s="753"/>
      <c r="BE17" s="107" t="s">
        <v>1251</v>
      </c>
      <c r="BF17" s="107" t="s">
        <v>1252</v>
      </c>
      <c r="BG17" s="753"/>
      <c r="BH17" s="753"/>
      <c r="BI17" s="753"/>
      <c r="BJ17" s="753"/>
      <c r="BK17" s="737"/>
      <c r="BL17" s="737"/>
      <c r="BM17" s="834"/>
      <c r="BN17" s="737"/>
      <c r="BO17" s="737"/>
      <c r="BP17" s="737"/>
      <c r="BQ17" s="753"/>
    </row>
    <row r="18" spans="1:69" ht="15.95" customHeight="1">
      <c r="B18" s="806">
        <v>1</v>
      </c>
      <c r="C18" s="716"/>
      <c r="D18" s="717"/>
      <c r="E18" s="717"/>
      <c r="F18" s="718"/>
      <c r="G18" s="741"/>
      <c r="H18" s="742"/>
      <c r="I18" s="742"/>
      <c r="J18" s="742"/>
      <c r="K18" s="742"/>
      <c r="L18" s="742"/>
      <c r="M18" s="716"/>
      <c r="N18" s="718"/>
      <c r="O18" s="716"/>
      <c r="P18" s="717"/>
      <c r="Q18" s="718"/>
      <c r="R18" s="807" t="str">
        <f>IFERROR(IF(INDEX(STDLIGHTINEFCAT2[System Wattage],MATCH('M03-S02'!$M18&amp;"_"&amp;INDEX(STDLIGHT[Ineff Dropdown 2],MATCH('M03-S02'!$G18,STDLIGHT[Measure Name],0))&amp;"_"&amp;O18,STDLIGHTINEFCAT2[Full Name],0))="","",INDEX(STDLIGHTINEFCAT2[System Wattage],MATCH('M03-S02'!$M18&amp;"_"&amp;INDEX(STDLIGHT[Ineff Dropdown 2],MATCH('M03-S02'!$G18,STDLIGHT[Measure Name],0))&amp;"_"&amp;O18,STDLIGHTINEFCAT2[Full Name],0))),"")</f>
        <v/>
      </c>
      <c r="S18" s="808"/>
      <c r="T18" s="809" t="str">
        <f>IF(C18="Permanent Lamp Removal",0,"")</f>
        <v/>
      </c>
      <c r="U18" s="810"/>
      <c r="V18" s="784"/>
      <c r="W18" s="784"/>
      <c r="X18" s="763"/>
      <c r="Y18" s="763"/>
      <c r="Z18" s="719"/>
      <c r="AA18" s="720"/>
      <c r="AB18" s="721"/>
      <c r="AC18" s="725"/>
      <c r="AD18" s="726"/>
      <c r="AE18" s="726"/>
      <c r="AF18" s="727"/>
      <c r="AG18" s="813"/>
      <c r="AH18" s="716"/>
      <c r="AI18" s="786"/>
      <c r="AJ18" s="787"/>
      <c r="AK18" s="787"/>
      <c r="AL18" s="788"/>
      <c r="AM18" s="822" t="str">
        <f>IFERROR(IF(G18="","",IF(C18&lt;&gt;INDEX(STDLIGHT[Eff Category 1],MATCH(G18,STDLIGHT[Measure Name],0)),0,INDEX(IF(AND(ACTIVEBONUS = TRUE,INDEX(STDLIGHT[Bonus Incentive],MATCH(G18,STDLIGHT[Measure Name],0))&lt;&gt; ""),STDLIGHT[Bonus Incentive],STDLIGHT[Base Incentive]),MATCH(G18,STDLIGHT[Measure Name],0)))),"")</f>
        <v/>
      </c>
      <c r="AN18" s="823"/>
      <c r="AO18" s="797" t="str">
        <f>IFERROR(IF(OR(C18="",G18="",M18="",O18="",R18="",T18="",V18="",X18="",AC18="",AG18="",AI18="",AK18=""),"",IF(BN18="Deemed",AZ18,IF(BN18="Calculated",BE18,""))),"")</f>
        <v/>
      </c>
      <c r="AP18" s="797"/>
      <c r="AQ18" s="797"/>
      <c r="AR18" s="826" t="str">
        <f>IFERROR(IF(OR(C18="",G18="",M18="",O18="",R18="",T18="",V18="",X18="",AC18="",AG18="",AI18="",AK18=""),"",IF(BJ18&lt;&gt;"",BJ18,IF(BP18&gt;0,BP18,ROUND(IF(AO18&lt;=0,0,MIN(AX18,BG18)),2)))),"")</f>
        <v/>
      </c>
      <c r="AS18" s="826"/>
      <c r="AT18" s="826"/>
      <c r="AU18" s="826"/>
      <c r="AV18" s="22"/>
      <c r="AX18" s="748" t="str">
        <f>IF(OR(C18="",G18="",M18="",O18="",R18="",T18="",V18="",X18="",AC18="",AG18="",AI18="",AK18=""),"",IF(AO18=0,"",ROUND(AI18+AK18,2)))</f>
        <v/>
      </c>
      <c r="AY18" s="750" t="str">
        <f>IFERROR(IF(OR(C18="",G18="",M18="",O18="",R18="",T18="",V18="",X18="",AC18="",AG18="",AI18="",AK18=""),"",INDEX(STDLIGHT[Current Unit],MATCH(G18,STDLIGHT[Measure Name],0))),"Err")</f>
        <v/>
      </c>
      <c r="AZ18" s="746" t="str">
        <f>IF(OR(C18="",G18="",M18="",O18="",R18="",T18="",V18="",X18="",AC18="",AG18="",AI18="",AK18=""),"",IFERROR(IF(G18="","",IF(C18&lt;&gt;INDEX(STDLIGHT[Eff Category 1],MATCH(G18,STDLIGHT[Measure Name],0)),0,
IF(BB18&lt;=BC18,0,
ROUND(V18*INDEX(STDLIGHT[Electric Energy Savings (Annual kWh/unit)],MATCH('M03-S02'!G18,STDLIGHT[Measure Name],0)),4)))),""))</f>
        <v/>
      </c>
      <c r="BA18" s="746" t="str">
        <f>IF(OR(C18="",G18="",M18="",O18="",R18="",T18="",V18="",X18="",AC18="",AG18="",AI18="",AK18=""),"",IFERROR(IF(G18="","",IF(C18&lt;&gt;INDEX(STDLIGHT[Eff Category 1],MATCH(G18,STDLIGHT[Measure Name],0)),0,
IF(BB18&lt;=BC18,0,
ROUND(V18*INDEX(STDLIGHT[Coincident Peak Demand Savings (kW/unit)],MATCH('M03-S02'!G18,STDLIGHT[Measure Name],0)),4)))),""))</f>
        <v/>
      </c>
      <c r="BB18" s="746" t="str">
        <f>IF(OR(C18="",G18="",M18="",O18="",R18="",T18="",V18="",X18="",AC18="",AG18="",AI18="",AK18=""),"",
IF(OR(ISNUMBER(SEARCH("Exterior",C18)),ISNUMBER(SEARCH("Parking",C18)),M02S04F22="Unconditioned",M02S04F22="Electric Heat Only",M02S04F22="Natural Gas Heat Only"),ROUND(R18*V18*X18/1000,4),
ROUND(R18*V18*X18/1000*INDEX(BUILDINGTYPE[Waste Heat Factor (e)],MATCH(M02S04F19,BUILDINGTYPE[Building Type],0)),4)))</f>
        <v/>
      </c>
      <c r="BC18" s="746" t="str">
        <f>IF(OR(C18="",G18="",M18="",O18="",R18="",T18="",V18="",X18="",AC18="",AG18="",AI18="",AK18=""),"",
IF(OR(ISNUMBER(SEARCH("Exterior",C18)),ISNUMBER(SEARCH("Parking",C18)),M02S04F22="Unconditioned",M02S04F22="Electric Heat Only",M02S04F22="Natural Gas Heat Only"),ROUND(T18*V18*X18/1000,4),
ROUND(T18*V18*X18/1000*INDEX(BUILDINGTYPE[Waste Heat Factor (e)],MATCH(M02S04F19,BUILDINGTYPE[Building Type],0)),4)))</f>
        <v/>
      </c>
      <c r="BD18" s="754" t="str">
        <f>IFERROR(IF(OR(C18="",G18="",M18="",O18="",R18="",T18="",V18="",X18="",AC18="",AG18="",AI18="",AK18=""),"",INDEX(STDLIGHT[End Use],MATCH(G18,STDLIGHT[Measure Name],0))),"Err")</f>
        <v/>
      </c>
      <c r="BE18" s="746" t="str">
        <f>IFERROR(IF(OR(C18="",G18="",M18="",O18="",R18="",T18="",V18="",X18="",AC18="",AG18="",AI18="",AK18=""),"",
IF(BB18&lt;=BC18,0,
IF(OR(ISNUMBER(SEARCH("Exterior",C18)),ISNUMBER(SEARCH("Parking",C18)),M02S04F22="Unconditioned",M02S04F22="Electric Heat Only",M02S04F22="Natural Gas Heat Only"),ROUND((R18-T18)*V18*X18/1000,4),
ROUND((R18-T18)*V18*X18/1000*INDEX(BUILDINGTYPE[Waste Heat Factor (e)],MATCH(M02S04F19,BUILDINGTYPE[Building Type],0)),4)))),"")</f>
        <v/>
      </c>
      <c r="BF18" s="746" t="str">
        <f>IFERROR(IF(OR(C18="",G18="",M18="",O18="",R18="",T18="",V18="",X18="",AC18="",AG18="",AI18="",AK18=""),"",
IF(BB18&lt;=BC18,0,
IF(ISNUMBER(SEARCH("Exterior",C18)),0,
IF(OR(ISNUMBER(SEARCH("Parking",C18)),M02S04F22="Unconditioned",M02S04F22="Electric Heat Only",M02S04F22="Natural Gas Heat Only"),ROUND((R18-T18)*V18/1000*INDEX(BUILDINGTYPE[Lighting Coincidence Factor],MATCH(M02S04F19,BUILDINGTYPE[Building Type],0)),4),
ROUND((R18-T18)*V18/1000*INDEX(BUILDINGTYPE[Lighting Coincidence Factor],MATCH(M02S04F19,BUILDINGTYPE[Building Type],0))*INDEX(BUILDINGTYPE[WHFd],MATCH(M02S04F19,BUILDINGTYPE[Building Type],0)),4))))),"")</f>
        <v/>
      </c>
      <c r="BG18" s="838" t="str">
        <f>IFERROR(ROUND(V18*AM18, 2), "")</f>
        <v/>
      </c>
      <c r="BH18" s="750" t="str">
        <f>IFERROR(IF(OR(C18="",G18="",M18="",O18="",R18="",T18="",V18="",X18="",AC18="",AG18="",AI18="",AK18="",ISNUMBER(AR18)=FALSE,AR18=0),"",INDEX(STDLIGHT[Measure Number],MATCH(G18,STDLIGHT[Measure Name],0))),"Err")</f>
        <v/>
      </c>
      <c r="BI18" s="754" t="str">
        <f>IFERROR(IF(BP18="",IF(AR18 &lt; BG18, "100% Total Cost", ""), ""), "")</f>
        <v/>
      </c>
      <c r="BJ18" s="750" t="str">
        <f>IFERROR(IF(OR(C18="",G18="",M18="",O18="",R18="",T18="",V18="",X18="",AC18="",AG18="",AI18="",AK18=""),"",
IF(BP18&gt;0,"",
IF(EXPIRATION&lt;&gt;"",PROJSTATEXP,
IF(M02S04F19="",MEASUREBLDG,
IF(BB18&lt;=BC18,MEASURESAVE,""))))),MEASURESUBMIT)</f>
        <v/>
      </c>
      <c r="BK18" s="828" t="str">
        <f>IFERROR(INDEX(STDLIGHT[Measure Life (Years)],MATCH(G18,STDLIGHT[Measure Name],0)),"")</f>
        <v/>
      </c>
      <c r="BL18" s="830" t="str">
        <f>IFERROR(IF(OR(C18="",G18="",M18="",O18="",R18="",T18="",V18="",X18="",AC18="",AG18="",AI18="",AK18=""),"",
ROUND(((1+ELOSS)*((BE18*INDEX(ELECCB[NPV AEC $/kWh],MATCH(BK18,ELECCB[Year Number],1)))+(BF18*INDEX(ELECCB[NPV ACC $/kW],MATCH(BK18,ELECCB[Year Number],1))))),2)),0)</f>
        <v/>
      </c>
      <c r="BM18" s="835"/>
      <c r="BN18" s="832" t="str">
        <f>IFERROR(IF(OR(C18="",G18="",M18="",O18="",R18="",T18="",V18="",X18="",AC18="",AG18="",AI18="",AK18=""),"",INDEX(STDLIGHT[Reporting Methodology],MATCH(G18,STDLIGHT[Measure Name],0))),"Err")</f>
        <v/>
      </c>
      <c r="BO18" s="735" t="str">
        <f>IFERROR(IF(BH18="","",INDEX(STDLIGHT[Incremental Measure Cost ($/Unit)],MATCH(G18,STDLIGHT[Measure Name],0))),"Err")</f>
        <v/>
      </c>
      <c r="BP18" s="837"/>
      <c r="BQ18" s="838" t="str">
        <f>_xlfn.LET(
_xlpm.IPU,
IFERROR(IF(G18="","",IF(C18&lt;&gt;INDEX(STDLIGHT[Eff Category 1],MATCH(G18,STDLIGHT[Measure Name],0)),0,INDEX(STDLIGHT[Base Incentive],MATCH(G18,STDLIGHT[Measure Name],0)))),""),
IFERROR(ROUND(V18*_xlpm.IPU, 2), ""))</f>
        <v/>
      </c>
    </row>
    <row r="19" spans="1:69" ht="15.95" customHeight="1">
      <c r="B19" s="806"/>
      <c r="C19" s="728"/>
      <c r="D19" s="729"/>
      <c r="E19" s="729"/>
      <c r="F19" s="730"/>
      <c r="G19" s="744"/>
      <c r="H19" s="745"/>
      <c r="I19" s="745"/>
      <c r="J19" s="745"/>
      <c r="K19" s="745"/>
      <c r="L19" s="745"/>
      <c r="M19" s="728"/>
      <c r="N19" s="730"/>
      <c r="O19" s="728"/>
      <c r="P19" s="729"/>
      <c r="Q19" s="730"/>
      <c r="R19" s="731"/>
      <c r="S19" s="732"/>
      <c r="T19" s="811"/>
      <c r="U19" s="812"/>
      <c r="V19" s="785"/>
      <c r="W19" s="785"/>
      <c r="X19" s="764"/>
      <c r="Y19" s="764"/>
      <c r="Z19" s="716"/>
      <c r="AA19" s="717"/>
      <c r="AB19" s="718"/>
      <c r="AC19" s="716"/>
      <c r="AD19" s="717"/>
      <c r="AE19" s="717"/>
      <c r="AF19" s="718"/>
      <c r="AG19" s="805"/>
      <c r="AH19" s="728"/>
      <c r="AI19" s="765"/>
      <c r="AJ19" s="766"/>
      <c r="AK19" s="766"/>
      <c r="AL19" s="767"/>
      <c r="AM19" s="824"/>
      <c r="AN19" s="825"/>
      <c r="AO19" s="798"/>
      <c r="AP19" s="798"/>
      <c r="AQ19" s="798"/>
      <c r="AR19" s="827"/>
      <c r="AS19" s="827"/>
      <c r="AT19" s="827"/>
      <c r="AU19" s="827"/>
      <c r="AV19" s="22"/>
      <c r="AX19" s="749"/>
      <c r="AY19" s="751"/>
      <c r="AZ19" s="747"/>
      <c r="BA19" s="747"/>
      <c r="BB19" s="747"/>
      <c r="BC19" s="747"/>
      <c r="BD19" s="755"/>
      <c r="BE19" s="747"/>
      <c r="BF19" s="747"/>
      <c r="BG19" s="839"/>
      <c r="BH19" s="751"/>
      <c r="BI19" s="755"/>
      <c r="BJ19" s="751"/>
      <c r="BK19" s="829"/>
      <c r="BL19" s="831"/>
      <c r="BM19" s="836"/>
      <c r="BN19" s="832"/>
      <c r="BO19" s="735"/>
      <c r="BP19" s="837"/>
      <c r="BQ19" s="839"/>
    </row>
    <row r="20" spans="1:69" ht="15.95" customHeight="1">
      <c r="A20" s="85"/>
      <c r="B20" s="806">
        <v>2</v>
      </c>
      <c r="C20" s="728"/>
      <c r="D20" s="729"/>
      <c r="E20" s="729"/>
      <c r="F20" s="730"/>
      <c r="G20" s="744"/>
      <c r="H20" s="745"/>
      <c r="I20" s="745"/>
      <c r="J20" s="745"/>
      <c r="K20" s="745"/>
      <c r="L20" s="745"/>
      <c r="M20" s="728"/>
      <c r="N20" s="730"/>
      <c r="O20" s="728"/>
      <c r="P20" s="729"/>
      <c r="Q20" s="730"/>
      <c r="R20" s="731" t="str">
        <f>IFERROR(IF(INDEX(STDLIGHTINEFCAT2[System Wattage],MATCH('M03-S02'!$M20&amp;"_"&amp;INDEX(STDLIGHT[Ineff Dropdown 2],MATCH('M03-S02'!$G20,STDLIGHT[Measure Name],0))&amp;"_"&amp;O20,STDLIGHTINEFCAT2[Full Name],0))="","",INDEX(STDLIGHTINEFCAT2[System Wattage],MATCH('M03-S02'!$M20&amp;"_"&amp;INDEX(STDLIGHT[Ineff Dropdown 2],MATCH('M03-S02'!$G20,STDLIGHT[Measure Name],0))&amp;"_"&amp;O20,STDLIGHTINEFCAT2[Full Name],0))),"")</f>
        <v/>
      </c>
      <c r="S20" s="732"/>
      <c r="T20" s="782" t="str">
        <f>IF(C20="Permanent Lamp Removal",0,"")</f>
        <v/>
      </c>
      <c r="U20" s="783"/>
      <c r="V20" s="784"/>
      <c r="W20" s="784"/>
      <c r="X20" s="763"/>
      <c r="Y20" s="763"/>
      <c r="Z20" s="713"/>
      <c r="AA20" s="714"/>
      <c r="AB20" s="715"/>
      <c r="AC20" s="713"/>
      <c r="AD20" s="714"/>
      <c r="AE20" s="714"/>
      <c r="AF20" s="715"/>
      <c r="AG20" s="805"/>
      <c r="AH20" s="728"/>
      <c r="AI20" s="765"/>
      <c r="AJ20" s="766"/>
      <c r="AK20" s="766"/>
      <c r="AL20" s="767"/>
      <c r="AM20" s="793" t="str">
        <f>IFERROR(IF(G20="","",IF(C20&lt;&gt;INDEX(STDLIGHT[Eff Category 1],MATCH(G20,STDLIGHT[Measure Name],0)),0,INDEX(IF(AND(ACTIVEBONUS = TRUE,INDEX(STDLIGHT[Bonus Incentive],MATCH(G20,STDLIGHT[Measure Name],0))&lt;&gt; ""),STDLIGHT[Bonus Incentive],STDLIGHT[Base Incentive]),MATCH(G20,STDLIGHT[Measure Name],0)))),"")</f>
        <v/>
      </c>
      <c r="AN20" s="794"/>
      <c r="AO20" s="797" t="str">
        <f>IFERROR(IF(OR(C20="",G20="",M20="",O20="",R20="",T20="",V20="",X20="",AC20="",AG20="",AI20="",AK20=""),"",IF(BN20="Deemed",AZ20,IF(BN20="Calculated",BE20,""))),"")</f>
        <v/>
      </c>
      <c r="AP20" s="797"/>
      <c r="AQ20" s="797"/>
      <c r="AR20" s="799" t="str">
        <f>IFERROR(IF(OR(C20="",G20="",M20="",O20="",R20="",T20="",V20="",X20="",AC20="",AG20="",AI20="",AK20=""),"",IF(BJ20&lt;&gt;"",BJ20,IF(BP20&gt;0,BP20,ROUND(IF(AO20&lt;=0,0,MIN(AX20,BG20)),2)))),"")</f>
        <v/>
      </c>
      <c r="AS20" s="800"/>
      <c r="AT20" s="800"/>
      <c r="AU20" s="801"/>
      <c r="AV20" s="22"/>
      <c r="AX20" s="748" t="str">
        <f>IF(OR(C20="",G20="",M20="",O20="",R20="",T20="",V20="",X20="",AC20="",AG20="",AI20="",AK20=""),"",IF(AO20=0,"",ROUND(AI20+AK20,2)))</f>
        <v/>
      </c>
      <c r="AY20" s="750" t="str">
        <f>IFERROR(IF(OR(C20="",G20="",M20="",O20="",R20="",T20="",V20="",X20="",AC20="",AG20="",AI20="",AK20=""),"",INDEX(STDLIGHT[Current Unit],MATCH(G20,STDLIGHT[Measure Name],0))),"Err")</f>
        <v/>
      </c>
      <c r="AZ20" s="746" t="str">
        <f>IF(OR(C20="",G20="",M20="",O20="",R20="",T20="",V20="",X20="",AC20="",AG20="",AI20="",AK20=""),"",IFERROR(IF(G20="","",IF(C20&lt;&gt;INDEX(STDLIGHT[Eff Category 1],MATCH(G20,STDLIGHT[Measure Name],0)),0,
IF(BB20&lt;=BC20,0,
ROUND(V20*INDEX(STDLIGHT[Electric Energy Savings (Annual kWh/unit)],MATCH('M03-S02'!G20,STDLIGHT[Measure Name],0)),4)))),""))</f>
        <v/>
      </c>
      <c r="BA20" s="746" t="str">
        <f>IF(OR(C20="",G20="",M20="",O20="",R20="",T20="",V20="",X20="",AC20="",AG20="",AI20="",AK20=""),"",IFERROR(IF(G20="","",IF(C20&lt;&gt;INDEX(STDLIGHT[Eff Category 1],MATCH(G20,STDLIGHT[Measure Name],0)),0,
IF(BB20&lt;=BC20,0,
ROUND(V20*INDEX(STDLIGHT[Coincident Peak Demand Savings (kW/unit)],MATCH('M03-S02'!G20,STDLIGHT[Measure Name],0)),4)))),""))</f>
        <v/>
      </c>
      <c r="BB20" s="746" t="str">
        <f>IF(OR(C20="",G20="",M20="",O20="",R20="",T20="",V20="",X20="",AC20="",AG20="",AI20="",AK20=""),"",
IF(OR(ISNUMBER(SEARCH("Exterior",C20)),ISNUMBER(SEARCH("Parking",C20)),M02S04F22="Unconditioned",M02S04F22="Electric Heat Only",M02S04F22="Natural Gas Heat Only"),ROUND(R20*V20*X20/1000,4),
ROUND(R20*V20*X20/1000*INDEX(BUILDINGTYPE[Waste Heat Factor (e)],MATCH(M02S04F19,BUILDINGTYPE[Building Type],0)),4)))</f>
        <v/>
      </c>
      <c r="BC20" s="746" t="str">
        <f>IF(OR(C20="",G20="",M20="",O20="",R20="",T20="",V20="",X20="",AC20="",AG20="",AI20="",AK20=""),"",
IF(OR(ISNUMBER(SEARCH("Exterior",C20)),ISNUMBER(SEARCH("Parking",C20)),M02S04F22="Unconditioned",M02S04F22="Electric Heat Only",M02S04F22="Natural Gas Heat Only"),ROUND(T20*V20*X20/1000,4),
ROUND(T20*V20*X20/1000*INDEX(BUILDINGTYPE[Waste Heat Factor (e)],MATCH(M02S04F19,BUILDINGTYPE[Building Type],0)),4)))</f>
        <v/>
      </c>
      <c r="BD20" s="754" t="str">
        <f>IFERROR(IF(OR(C20="",G20="",M20="",O20="",R20="",T20="",V20="",X20="",AC20="",AG20="",AI20="",AK20=""),"",INDEX(STDLIGHT[End Use],MATCH(G20,STDLIGHT[Measure Name],0))),"Err")</f>
        <v/>
      </c>
      <c r="BE20" s="746" t="str">
        <f>IFERROR(IF(OR(C20="",G20="",M20="",O20="",R20="",T20="",V20="",X20="",AC20="",AG20="",AI20="",AK20=""),"",
IF(BB20&lt;=BC20,0,
IF(OR(ISNUMBER(SEARCH("Exterior",C20)),ISNUMBER(SEARCH("Parking",C20)),M02S04F22="Unconditioned",M02S04F22="Electric Heat Only",M02S04F22="Natural Gas Heat Only"),ROUND((R20-T20)*V20*X20/1000,4),
ROUND((R20-T20)*V20*X20/1000*INDEX(BUILDINGTYPE[Waste Heat Factor (e)],MATCH(M02S04F19,BUILDINGTYPE[Building Type],0)),4)))),"")</f>
        <v/>
      </c>
      <c r="BF20" s="746" t="str">
        <f>IFERROR(IF(OR(C20="",G20="",M20="",O20="",R20="",T20="",V20="",X20="",AC20="",AG20="",AI20="",AK20=""),"",
IF(BB20&lt;=BC20,0,
IF(ISNUMBER(SEARCH("Exterior",C20)),0,
IF(OR(ISNUMBER(SEARCH("Parking",C20)),M02S04F22="Unconditioned",M02S04F22="Electric Heat Only",M02S04F22="Natural Gas Heat Only"),ROUND((R20-T20)*V20/1000*INDEX(BUILDINGTYPE[Lighting Coincidence Factor],MATCH(M02S04F19,BUILDINGTYPE[Building Type],0)),4),
ROUND((R20-T20)*V20/1000*INDEX(BUILDINGTYPE[Lighting Coincidence Factor],MATCH(M02S04F19,BUILDINGTYPE[Building Type],0))*INDEX(BUILDINGTYPE[WHFd],MATCH(M02S04F19,BUILDINGTYPE[Building Type],0)),4))))),"")</f>
        <v/>
      </c>
      <c r="BG20" s="838" t="str">
        <f>IFERROR(ROUND(V20*AM20, 2), "")</f>
        <v/>
      </c>
      <c r="BH20" s="750" t="str">
        <f>IFERROR(IF(OR(C20="",G20="",M20="",O20="",R20="",T20="",V20="",X20="",AC20="",AG20="",AI20="",AK20="",ISNUMBER(AR20)=FALSE,AR20=0),"",INDEX(STDLIGHT[Measure Number],MATCH(G20,STDLIGHT[Measure Name],0))),"Err")</f>
        <v/>
      </c>
      <c r="BI20" s="754" t="str">
        <f t="shared" ref="BI20" si="0">IFERROR(IF(BP20="",IF(AR20 &lt; BG20, "100% Total Cost", ""), ""), "")</f>
        <v/>
      </c>
      <c r="BJ20" s="750" t="str">
        <f>IFERROR(IF(OR(C20="",G20="",M20="",O20="",R20="",T20="",V20="",X20="",AC20="",AG20="",AI20="",AK20=""),"",
IF(BP20&gt;0,"",
IF(EXPIRATION&lt;&gt;"",PROJSTATEXP,
IF(M02S04F19="",MEASUREBLDG,
IF(BB20&lt;=BC20,MEASURESAVE,""))))),MEASURESUBMIT)</f>
        <v/>
      </c>
      <c r="BK20" s="828" t="str">
        <f>IFERROR(INDEX(STDLIGHT[Measure Life (Years)],MATCH(G20,STDLIGHT[Measure Name],0)),"")</f>
        <v/>
      </c>
      <c r="BL20" s="830" t="str">
        <f>IFERROR(IF(OR(C20="",G20="",M20="",O20="",R20="",T20="",V20="",X20="",AC20="",AG20="",AI20="",AK20=""),"",
ROUND(((1+ELOSS)*((BE20*INDEX(ELECCB[NPV AEC $/kWh],MATCH(BK20,ELECCB[Year Number],1)))+(BF20*INDEX(ELECCB[NPV ACC $/kW],MATCH(BK20,ELECCB[Year Number],1))))),2)),0)</f>
        <v/>
      </c>
      <c r="BM20" s="835"/>
      <c r="BN20" s="832" t="str">
        <f>IFERROR(IF(OR(C20="",G20="",M20="",O20="",R20="",T20="",V20="",X20="",AC20="",AG20="",AI20="",AK20=""),"",INDEX(STDLIGHT[Reporting Methodology],MATCH(G20,STDLIGHT[Measure Name],0))),"Err")</f>
        <v/>
      </c>
      <c r="BO20" s="735" t="str">
        <f>IFERROR(IF(BH20="","",INDEX(STDLIGHT[Incremental Measure Cost ($/Unit)],MATCH(G20,STDLIGHT[Measure Name],0))),"Err")</f>
        <v/>
      </c>
      <c r="BP20" s="837"/>
      <c r="BQ20" s="838" t="str">
        <f>_xlfn.LET(
_xlpm.IPU,
IFERROR(IF(G20="","",IF(C20&lt;&gt;INDEX(STDLIGHT[Eff Category 1],MATCH(G20,STDLIGHT[Measure Name],0)),0,INDEX(STDLIGHT[Base Incentive],MATCH(G20,STDLIGHT[Measure Name],0)))),""),
IFERROR(ROUND(V20*_xlpm.IPU, 2), ""))</f>
        <v/>
      </c>
    </row>
    <row r="21" spans="1:69" ht="15.95" customHeight="1">
      <c r="B21" s="806"/>
      <c r="C21" s="728"/>
      <c r="D21" s="729"/>
      <c r="E21" s="729"/>
      <c r="F21" s="730"/>
      <c r="G21" s="744"/>
      <c r="H21" s="745"/>
      <c r="I21" s="745"/>
      <c r="J21" s="745"/>
      <c r="K21" s="745"/>
      <c r="L21" s="745"/>
      <c r="M21" s="728"/>
      <c r="N21" s="730"/>
      <c r="O21" s="728"/>
      <c r="P21" s="729"/>
      <c r="Q21" s="730"/>
      <c r="R21" s="733"/>
      <c r="S21" s="734"/>
      <c r="T21" s="782"/>
      <c r="U21" s="783"/>
      <c r="V21" s="785"/>
      <c r="W21" s="785"/>
      <c r="X21" s="764"/>
      <c r="Y21" s="764"/>
      <c r="Z21" s="716"/>
      <c r="AA21" s="717"/>
      <c r="AB21" s="718"/>
      <c r="AC21" s="716"/>
      <c r="AD21" s="717"/>
      <c r="AE21" s="717"/>
      <c r="AF21" s="718"/>
      <c r="AG21" s="805"/>
      <c r="AH21" s="728"/>
      <c r="AI21" s="765"/>
      <c r="AJ21" s="766"/>
      <c r="AK21" s="766"/>
      <c r="AL21" s="767"/>
      <c r="AM21" s="795"/>
      <c r="AN21" s="796"/>
      <c r="AO21" s="798"/>
      <c r="AP21" s="798"/>
      <c r="AQ21" s="798"/>
      <c r="AR21" s="802"/>
      <c r="AS21" s="803"/>
      <c r="AT21" s="803"/>
      <c r="AU21" s="804"/>
      <c r="AV21" s="22"/>
      <c r="AX21" s="749"/>
      <c r="AY21" s="751"/>
      <c r="AZ21" s="747"/>
      <c r="BA21" s="747"/>
      <c r="BB21" s="747"/>
      <c r="BC21" s="747"/>
      <c r="BD21" s="755"/>
      <c r="BE21" s="747"/>
      <c r="BF21" s="747"/>
      <c r="BG21" s="839"/>
      <c r="BH21" s="751"/>
      <c r="BI21" s="755"/>
      <c r="BJ21" s="751"/>
      <c r="BK21" s="829"/>
      <c r="BL21" s="831"/>
      <c r="BM21" s="836"/>
      <c r="BN21" s="832"/>
      <c r="BO21" s="735"/>
      <c r="BP21" s="837"/>
      <c r="BQ21" s="839"/>
    </row>
    <row r="22" spans="1:69" ht="15.95" customHeight="1">
      <c r="B22" s="806">
        <v>3</v>
      </c>
      <c r="C22" s="728"/>
      <c r="D22" s="729"/>
      <c r="E22" s="729"/>
      <c r="F22" s="730"/>
      <c r="G22" s="744"/>
      <c r="H22" s="745"/>
      <c r="I22" s="745"/>
      <c r="J22" s="745"/>
      <c r="K22" s="745"/>
      <c r="L22" s="745"/>
      <c r="M22" s="728"/>
      <c r="N22" s="730"/>
      <c r="O22" s="728"/>
      <c r="P22" s="729"/>
      <c r="Q22" s="730"/>
      <c r="R22" s="731" t="str">
        <f>IFERROR(IF(INDEX(STDLIGHTINEFCAT2[System Wattage],MATCH('M03-S02'!$M22&amp;"_"&amp;INDEX(STDLIGHT[Ineff Dropdown 2],MATCH('M03-S02'!$G22,STDLIGHT[Measure Name],0))&amp;"_"&amp;O22,STDLIGHTINEFCAT2[Full Name],0))="","",INDEX(STDLIGHTINEFCAT2[System Wattage],MATCH('M03-S02'!$M22&amp;"_"&amp;INDEX(STDLIGHT[Ineff Dropdown 2],MATCH('M03-S02'!$G22,STDLIGHT[Measure Name],0))&amp;"_"&amp;O22,STDLIGHTINEFCAT2[Full Name],0))),"")</f>
        <v/>
      </c>
      <c r="S22" s="732"/>
      <c r="T22" s="782" t="str">
        <f t="shared" ref="T22" si="1">IF(C22="Permanent Lamp Removal",0,"")</f>
        <v/>
      </c>
      <c r="U22" s="783"/>
      <c r="V22" s="785"/>
      <c r="W22" s="785"/>
      <c r="X22" s="763"/>
      <c r="Y22" s="763"/>
      <c r="Z22" s="713"/>
      <c r="AA22" s="714"/>
      <c r="AB22" s="715"/>
      <c r="AC22" s="713"/>
      <c r="AD22" s="714"/>
      <c r="AE22" s="714"/>
      <c r="AF22" s="715"/>
      <c r="AG22" s="805"/>
      <c r="AH22" s="728"/>
      <c r="AI22" s="765"/>
      <c r="AJ22" s="766"/>
      <c r="AK22" s="766"/>
      <c r="AL22" s="767"/>
      <c r="AM22" s="793" t="str">
        <f>IFERROR(IF(G22="","",IF(C22&lt;&gt;INDEX(STDLIGHT[Eff Category 1],MATCH(G22,STDLIGHT[Measure Name],0)),0,INDEX(IF(AND(ACTIVEBONUS = TRUE,INDEX(STDLIGHT[Bonus Incentive],MATCH(G22,STDLIGHT[Measure Name],0))&lt;&gt; ""),STDLIGHT[Bonus Incentive],STDLIGHT[Base Incentive]),MATCH(G22,STDLIGHT[Measure Name],0)))),"")</f>
        <v/>
      </c>
      <c r="AN22" s="794"/>
      <c r="AO22" s="797" t="str">
        <f>IFERROR(IF(OR(C22="",G22="",M22="",O22="",R22="",T22="",V22="",X22="",AC22="",AG22="",AI22="",AK22=""),"",IF(BN22="Deemed",AZ22,IF(BN22="Calculated",BE22,""))),"")</f>
        <v/>
      </c>
      <c r="AP22" s="797"/>
      <c r="AQ22" s="797"/>
      <c r="AR22" s="799" t="str">
        <f>IFERROR(IF(OR(C22="",G22="",M22="",O22="",R22="",T22="",V22="",X22="",AC22="",AG22="",AI22="",AK22=""),"",IF(BJ22&lt;&gt;"",BJ22,IF(BP22&gt;0,BP22,ROUND(IF(AO22&lt;=0,0,MIN(AX22,BG22)),2)))),"")</f>
        <v/>
      </c>
      <c r="AS22" s="800"/>
      <c r="AT22" s="800"/>
      <c r="AU22" s="801"/>
      <c r="AV22" s="22"/>
      <c r="AX22" s="748" t="str">
        <f>IF(OR(C22="",G22="",M22="",O22="",R22="",T22="",V22="",X22="",AC22="",AG22="",AI22="",AK22=""),"",IF(AO22=0,"",ROUND(AI22+AK22,2)))</f>
        <v/>
      </c>
      <c r="AY22" s="750" t="str">
        <f>IFERROR(IF(OR(C22="",G22="",M22="",O22="",R22="",T22="",V22="",X22="",AC22="",AG22="",AI22="",AK22=""),"",INDEX(STDLIGHT[Current Unit],MATCH(G22,STDLIGHT[Measure Name],0))),"Err")</f>
        <v/>
      </c>
      <c r="AZ22" s="746" t="str">
        <f>IF(OR(C22="",G22="",M22="",O22="",R22="",T22="",V22="",X22="",AC22="",AG22="",AI22="",AK22=""),"",IFERROR(IF(G22="","",IF(C22&lt;&gt;INDEX(STDLIGHT[Eff Category 1],MATCH(G22,STDLIGHT[Measure Name],0)),0,
IF(BB22&lt;=BC22,0,
ROUND(V22*INDEX(STDLIGHT[Electric Energy Savings (Annual kWh/unit)],MATCH('M03-S02'!G22,STDLIGHT[Measure Name],0)),4)))),""))</f>
        <v/>
      </c>
      <c r="BA22" s="746" t="str">
        <f>IF(OR(C22="",G22="",M22="",O22="",R22="",T22="",V22="",X22="",AC22="",AG22="",AI22="",AK22=""),"",IFERROR(IF(G22="","",IF(C22&lt;&gt;INDEX(STDLIGHT[Eff Category 1],MATCH(G22,STDLIGHT[Measure Name],0)),0,
IF(BB22&lt;=BC22,0,
ROUND(V22*INDEX(STDLIGHT[Coincident Peak Demand Savings (kW/unit)],MATCH('M03-S02'!G22,STDLIGHT[Measure Name],0)),4)))),""))</f>
        <v/>
      </c>
      <c r="BB22" s="746" t="str">
        <f>IF(OR(C22="",G22="",M22="",O22="",R22="",T22="",V22="",X22="",AC22="",AG22="",AI22="",AK22=""),"",
IF(OR(ISNUMBER(SEARCH("Exterior",C22)),ISNUMBER(SEARCH("Parking",C22)),M02S04F22="Unconditioned",M02S04F22="Electric Heat Only",M02S04F22="Natural Gas Heat Only"),ROUND(R22*V22*X22/1000,4),
ROUND(R22*V22*X22/1000*INDEX(BUILDINGTYPE[Waste Heat Factor (e)],MATCH(M02S04F19,BUILDINGTYPE[Building Type],0)),4)))</f>
        <v/>
      </c>
      <c r="BC22" s="746" t="str">
        <f>IF(OR(C22="",G22="",M22="",O22="",R22="",T22="",V22="",X22="",AC22="",AG22="",AI22="",AK22=""),"",
IF(OR(ISNUMBER(SEARCH("Exterior",C22)),ISNUMBER(SEARCH("Parking",C22)),M02S04F22="Unconditioned",M02S04F22="Electric Heat Only",M02S04F22="Natural Gas Heat Only"),ROUND(T22*V22*X22/1000,4),
ROUND(T22*V22*X22/1000*INDEX(BUILDINGTYPE[Waste Heat Factor (e)],MATCH(M02S04F19,BUILDINGTYPE[Building Type],0)),4)))</f>
        <v/>
      </c>
      <c r="BD22" s="754" t="str">
        <f>IFERROR(IF(OR(C22="",G22="",M22="",O22="",R22="",T22="",V22="",X22="",AC22="",AG22="",AI22="",AK22=""),"",INDEX(STDLIGHT[End Use],MATCH(G22,STDLIGHT[Measure Name],0))),"Err")</f>
        <v/>
      </c>
      <c r="BE22" s="746" t="str">
        <f>IFERROR(IF(OR(C22="",G22="",M22="",O22="",R22="",T22="",V22="",X22="",AC22="",AG22="",AI22="",AK22=""),"",
IF(BB22&lt;=BC22,0,
IF(OR(ISNUMBER(SEARCH("Exterior",C22)),ISNUMBER(SEARCH("Parking",C22)),M02S04F22="Unconditioned",M02S04F22="Electric Heat Only",M02S04F22="Natural Gas Heat Only"),ROUND((R22-T22)*V22*X22/1000,4),
ROUND((R22-T22)*V22*X22/1000*INDEX(BUILDINGTYPE[Waste Heat Factor (e)],MATCH(M02S04F19,BUILDINGTYPE[Building Type],0)),4)))),"")</f>
        <v/>
      </c>
      <c r="BF22" s="746" t="str">
        <f>IFERROR(IF(OR(C22="",G22="",M22="",O22="",R22="",T22="",V22="",X22="",AC22="",AG22="",AI22="",AK22=""),"",
IF(BB22&lt;=BC22,0,
IF(ISNUMBER(SEARCH("Exterior",C22)),0,
IF(OR(ISNUMBER(SEARCH("Parking",C22)),M02S04F22="Unconditioned",M02S04F22="Electric Heat Only",M02S04F22="Natural Gas Heat Only"),ROUND((R22-T22)*V22/1000*INDEX(BUILDINGTYPE[Lighting Coincidence Factor],MATCH(M02S04F19,BUILDINGTYPE[Building Type],0)),4),
ROUND((R22-T22)*V22/1000*INDEX(BUILDINGTYPE[Lighting Coincidence Factor],MATCH(M02S04F19,BUILDINGTYPE[Building Type],0))*INDEX(BUILDINGTYPE[WHFd],MATCH(M02S04F19,BUILDINGTYPE[Building Type],0)),4))))),"")</f>
        <v/>
      </c>
      <c r="BG22" s="838" t="str">
        <f>IFERROR(ROUND(V22*AM22, 2), "")</f>
        <v/>
      </c>
      <c r="BH22" s="750" t="str">
        <f>IFERROR(IF(OR(C22="",G22="",M22="",O22="",R22="",T22="",V22="",X22="",AC22="",AG22="",AI22="",AK22="",ISNUMBER(AR22)=FALSE,AR22=0),"",INDEX(STDLIGHT[Measure Number],MATCH(G22,STDLIGHT[Measure Name],0))),"Err")</f>
        <v/>
      </c>
      <c r="BI22" s="754" t="str">
        <f t="shared" ref="BI22" si="2">IFERROR(IF(BP22="",IF(AR22 &lt; BG22, "100% Total Cost", ""), ""), "")</f>
        <v/>
      </c>
      <c r="BJ22" s="750" t="str">
        <f>IFERROR(IF(OR(C22="",G22="",M22="",O22="",R22="",T22="",V22="",X22="",AC22="",AG22="",AI22="",AK22=""),"",
IF(BP22&gt;0,"",
IF(EXPIRATION&lt;&gt;"",PROJSTATEXP,
IF(M02S04F19="",MEASUREBLDG,
IF(BB22&lt;=BC22,MEASURESAVE,""))))),MEASURESUBMIT)</f>
        <v/>
      </c>
      <c r="BK22" s="828" t="str">
        <f>IFERROR(INDEX(STDLIGHT[Measure Life (Years)],MATCH(G22,STDLIGHT[Measure Name],0)),"")</f>
        <v/>
      </c>
      <c r="BL22" s="830" t="str">
        <f>IFERROR(IF(OR(C22="",G22="",M22="",O22="",R22="",T22="",V22="",X22="",AC22="",AG22="",AI22="",AK22=""),"",
ROUND(((1+ELOSS)*((BE22*INDEX(ELECCB[NPV AEC $/kWh],MATCH(BK22,ELECCB[Year Number],1)))+(BF22*INDEX(ELECCB[NPV ACC $/kW],MATCH(BK22,ELECCB[Year Number],1))))),2)),0)</f>
        <v/>
      </c>
      <c r="BM22" s="835"/>
      <c r="BN22" s="832" t="str">
        <f>IFERROR(IF(OR(C22="",G22="",M22="",O22="",R22="",T22="",V22="",X22="",AC22="",AG22="",AI22="",AK22=""),"",INDEX(STDLIGHT[Reporting Methodology],MATCH(G22,STDLIGHT[Measure Name],0))),"Err")</f>
        <v/>
      </c>
      <c r="BO22" s="735" t="str">
        <f>IFERROR(IF(BH22="","",INDEX(STDLIGHT[Incremental Measure Cost ($/Unit)],MATCH(G22,STDLIGHT[Measure Name],0))),"Err")</f>
        <v/>
      </c>
      <c r="BP22" s="837"/>
      <c r="BQ22" s="838" t="str">
        <f>_xlfn.LET(
_xlpm.IPU,
IFERROR(IF(G22="","",IF(C22&lt;&gt;INDEX(STDLIGHT[Eff Category 1],MATCH(G22,STDLIGHT[Measure Name],0)),0,INDEX(STDLIGHT[Base Incentive],MATCH(G22,STDLIGHT[Measure Name],0)))),""),
IFERROR(ROUND(V22*_xlpm.IPU, 2), ""))</f>
        <v/>
      </c>
    </row>
    <row r="23" spans="1:69" ht="15.95" customHeight="1">
      <c r="A23" s="85"/>
      <c r="B23" s="806"/>
      <c r="C23" s="728"/>
      <c r="D23" s="729"/>
      <c r="E23" s="729"/>
      <c r="F23" s="730"/>
      <c r="G23" s="744"/>
      <c r="H23" s="745"/>
      <c r="I23" s="745"/>
      <c r="J23" s="745"/>
      <c r="K23" s="745"/>
      <c r="L23" s="745"/>
      <c r="M23" s="728"/>
      <c r="N23" s="730"/>
      <c r="O23" s="728"/>
      <c r="P23" s="729"/>
      <c r="Q23" s="730"/>
      <c r="R23" s="733"/>
      <c r="S23" s="734"/>
      <c r="T23" s="782"/>
      <c r="U23" s="783"/>
      <c r="V23" s="785"/>
      <c r="W23" s="785"/>
      <c r="X23" s="764"/>
      <c r="Y23" s="764"/>
      <c r="Z23" s="716"/>
      <c r="AA23" s="717"/>
      <c r="AB23" s="718"/>
      <c r="AC23" s="716"/>
      <c r="AD23" s="717"/>
      <c r="AE23" s="717"/>
      <c r="AF23" s="718"/>
      <c r="AG23" s="805"/>
      <c r="AH23" s="728"/>
      <c r="AI23" s="765"/>
      <c r="AJ23" s="766"/>
      <c r="AK23" s="766"/>
      <c r="AL23" s="767"/>
      <c r="AM23" s="795"/>
      <c r="AN23" s="796"/>
      <c r="AO23" s="798"/>
      <c r="AP23" s="798"/>
      <c r="AQ23" s="798"/>
      <c r="AR23" s="802"/>
      <c r="AS23" s="803"/>
      <c r="AT23" s="803"/>
      <c r="AU23" s="804"/>
      <c r="AV23" s="22"/>
      <c r="AX23" s="749"/>
      <c r="AY23" s="751"/>
      <c r="AZ23" s="747"/>
      <c r="BA23" s="747"/>
      <c r="BB23" s="747"/>
      <c r="BC23" s="747"/>
      <c r="BD23" s="755"/>
      <c r="BE23" s="747"/>
      <c r="BF23" s="747"/>
      <c r="BG23" s="839"/>
      <c r="BH23" s="751"/>
      <c r="BI23" s="755"/>
      <c r="BJ23" s="751"/>
      <c r="BK23" s="829"/>
      <c r="BL23" s="831"/>
      <c r="BM23" s="836"/>
      <c r="BN23" s="832"/>
      <c r="BO23" s="735"/>
      <c r="BP23" s="837"/>
      <c r="BQ23" s="839"/>
    </row>
    <row r="24" spans="1:69" ht="15.95" customHeight="1">
      <c r="B24" s="806">
        <v>4</v>
      </c>
      <c r="C24" s="728"/>
      <c r="D24" s="729"/>
      <c r="E24" s="729"/>
      <c r="F24" s="730"/>
      <c r="G24" s="744"/>
      <c r="H24" s="745"/>
      <c r="I24" s="745"/>
      <c r="J24" s="745"/>
      <c r="K24" s="745"/>
      <c r="L24" s="745"/>
      <c r="M24" s="728"/>
      <c r="N24" s="730"/>
      <c r="O24" s="728"/>
      <c r="P24" s="729"/>
      <c r="Q24" s="730"/>
      <c r="R24" s="731" t="str">
        <f>IFERROR(IF(INDEX(STDLIGHTINEFCAT2[System Wattage],MATCH('M03-S02'!$M24&amp;"_"&amp;INDEX(STDLIGHT[Ineff Dropdown 2],MATCH('M03-S02'!$G24,STDLIGHT[Measure Name],0))&amp;"_"&amp;O24,STDLIGHTINEFCAT2[Full Name],0))="","",INDEX(STDLIGHTINEFCAT2[System Wattage],MATCH('M03-S02'!$M24&amp;"_"&amp;INDEX(STDLIGHT[Ineff Dropdown 2],MATCH('M03-S02'!$G24,STDLIGHT[Measure Name],0))&amp;"_"&amp;O24,STDLIGHTINEFCAT2[Full Name],0))),"")</f>
        <v/>
      </c>
      <c r="S24" s="732"/>
      <c r="T24" s="782" t="str">
        <f t="shared" ref="T24" si="3">IF(C24="Permanent Lamp Removal",0,"")</f>
        <v/>
      </c>
      <c r="U24" s="783"/>
      <c r="V24" s="785"/>
      <c r="W24" s="785"/>
      <c r="X24" s="763"/>
      <c r="Y24" s="763"/>
      <c r="Z24" s="713"/>
      <c r="AA24" s="714"/>
      <c r="AB24" s="715"/>
      <c r="AC24" s="713"/>
      <c r="AD24" s="714"/>
      <c r="AE24" s="714"/>
      <c r="AF24" s="715"/>
      <c r="AG24" s="805"/>
      <c r="AH24" s="728"/>
      <c r="AI24" s="765"/>
      <c r="AJ24" s="766"/>
      <c r="AK24" s="766"/>
      <c r="AL24" s="767"/>
      <c r="AM24" s="793" t="str">
        <f>IFERROR(IF(G24="","",IF(C24&lt;&gt;INDEX(STDLIGHT[Eff Category 1],MATCH(G24,STDLIGHT[Measure Name],0)),0,INDEX(IF(AND(ACTIVEBONUS = TRUE,INDEX(STDLIGHT[Bonus Incentive],MATCH(G24,STDLIGHT[Measure Name],0))&lt;&gt; ""),STDLIGHT[Bonus Incentive],STDLIGHT[Base Incentive]),MATCH(G24,STDLIGHT[Measure Name],0)))),"")</f>
        <v/>
      </c>
      <c r="AN24" s="794"/>
      <c r="AO24" s="797" t="str">
        <f>IFERROR(IF(OR(C24="",G24="",M24="",O24="",R24="",T24="",V24="",X24="",AC24="",AG24="",AI24="",AK24=""),"",IF(BN24="Deemed",AZ24,IF(BN24="Calculated",BE24,""))),"")</f>
        <v/>
      </c>
      <c r="AP24" s="797"/>
      <c r="AQ24" s="797"/>
      <c r="AR24" s="799" t="str">
        <f>IFERROR(IF(OR(C24="",G24="",M24="",O24="",R24="",T24="",V24="",X24="",AC24="",AG24="",AI24="",AK24=""),"",IF(BJ24&lt;&gt;"",BJ24,IF(BP24&gt;0,BP24,ROUND(IF(AO24&lt;=0,0,MIN(AX24,BG24)),2)))),"")</f>
        <v/>
      </c>
      <c r="AS24" s="800"/>
      <c r="AT24" s="800"/>
      <c r="AU24" s="801"/>
      <c r="AV24" s="22"/>
      <c r="AX24" s="748" t="str">
        <f>IF(OR(C24="",G24="",M24="",O24="",R24="",T24="",V24="",X24="",AC24="",AG24="",AI24="",AK24=""),"",IF(AO24=0,"",ROUND(AI24+AK24,2)))</f>
        <v/>
      </c>
      <c r="AY24" s="750" t="str">
        <f>IFERROR(IF(OR(C24="",G24="",M24="",O24="",R24="",T24="",V24="",X24="",AC24="",AG24="",AI24="",AK24=""),"",INDEX(STDLIGHT[Current Unit],MATCH(G24,STDLIGHT[Measure Name],0))),"Err")</f>
        <v/>
      </c>
      <c r="AZ24" s="746" t="str">
        <f>IF(OR(C24="",G24="",M24="",O24="",R24="",T24="",V24="",X24="",AC24="",AG24="",AI24="",AK24=""),"",IFERROR(IF(G24="","",IF(C24&lt;&gt;INDEX(STDLIGHT[Eff Category 1],MATCH(G24,STDLIGHT[Measure Name],0)),0,
IF(BB24&lt;=BC24,0,
ROUND(V24*INDEX(STDLIGHT[Electric Energy Savings (Annual kWh/unit)],MATCH('M03-S02'!G24,STDLIGHT[Measure Name],0)),4)))),""))</f>
        <v/>
      </c>
      <c r="BA24" s="746" t="str">
        <f>IF(OR(C24="",G24="",M24="",O24="",R24="",T24="",V24="",X24="",AC24="",AG24="",AI24="",AK24=""),"",IFERROR(IF(G24="","",IF(C24&lt;&gt;INDEX(STDLIGHT[Eff Category 1],MATCH(G24,STDLIGHT[Measure Name],0)),0,
IF(BB24&lt;=BC24,0,
ROUND(V24*INDEX(STDLIGHT[Coincident Peak Demand Savings (kW/unit)],MATCH('M03-S02'!G24,STDLIGHT[Measure Name],0)),4)))),""))</f>
        <v/>
      </c>
      <c r="BB24" s="746" t="str">
        <f>IF(OR(C24="",G24="",M24="",O24="",R24="",T24="",V24="",X24="",AC24="",AG24="",AI24="",AK24=""),"",
IF(OR(ISNUMBER(SEARCH("Exterior",C24)),ISNUMBER(SEARCH("Parking",C24)),M02S04F22="Unconditioned",M02S04F22="Electric Heat Only",M02S04F22="Natural Gas Heat Only"),ROUND(R24*V24*X24/1000,4),
ROUND(R24*V24*X24/1000*INDEX(BUILDINGTYPE[Waste Heat Factor (e)],MATCH(M02S04F19,BUILDINGTYPE[Building Type],0)),4)))</f>
        <v/>
      </c>
      <c r="BC24" s="746" t="str">
        <f>IF(OR(C24="",G24="",M24="",O24="",R24="",T24="",V24="",X24="",AC24="",AG24="",AI24="",AK24=""),"",
IF(OR(ISNUMBER(SEARCH("Exterior",C24)),ISNUMBER(SEARCH("Parking",C24)),M02S04F22="Unconditioned",M02S04F22="Electric Heat Only",M02S04F22="Natural Gas Heat Only"),ROUND(T24*V24*X24/1000,4),
ROUND(T24*V24*X24/1000*INDEX(BUILDINGTYPE[Waste Heat Factor (e)],MATCH(M02S04F19,BUILDINGTYPE[Building Type],0)),4)))</f>
        <v/>
      </c>
      <c r="BD24" s="754" t="str">
        <f>IFERROR(IF(OR(C24="",G24="",M24="",O24="",R24="",T24="",V24="",X24="",AC24="",AG24="",AI24="",AK24=""),"",INDEX(STDLIGHT[End Use],MATCH(G24,STDLIGHT[Measure Name],0))),"Err")</f>
        <v/>
      </c>
      <c r="BE24" s="746" t="str">
        <f>IFERROR(IF(OR(C24="",G24="",M24="",O24="",R24="",T24="",V24="",X24="",AC24="",AG24="",AI24="",AK24=""),"",
IF(BB24&lt;=BC24,0,
IF(OR(ISNUMBER(SEARCH("Exterior",C24)),ISNUMBER(SEARCH("Parking",C24)),M02S04F22="Unconditioned",M02S04F22="Electric Heat Only",M02S04F22="Natural Gas Heat Only"),ROUND((R24-T24)*V24*X24/1000,4),
ROUND((R24-T24)*V24*X24/1000*INDEX(BUILDINGTYPE[Waste Heat Factor (e)],MATCH(M02S04F19,BUILDINGTYPE[Building Type],0)),4)))),"")</f>
        <v/>
      </c>
      <c r="BF24" s="746" t="str">
        <f>IFERROR(IF(OR(C24="",G24="",M24="",O24="",R24="",T24="",V24="",X24="",AC24="",AG24="",AI24="",AK24=""),"",
IF(BB24&lt;=BC24,0,
IF(ISNUMBER(SEARCH("Exterior",C24)),0,
IF(OR(ISNUMBER(SEARCH("Parking",C24)),M02S04F22="Unconditioned",M02S04F22="Electric Heat Only",M02S04F22="Natural Gas Heat Only"),ROUND((R24-T24)*V24/1000*INDEX(BUILDINGTYPE[Lighting Coincidence Factor],MATCH(M02S04F19,BUILDINGTYPE[Building Type],0)),4),
ROUND((R24-T24)*V24/1000*INDEX(BUILDINGTYPE[Lighting Coincidence Factor],MATCH(M02S04F19,BUILDINGTYPE[Building Type],0))*INDEX(BUILDINGTYPE[WHFd],MATCH(M02S04F19,BUILDINGTYPE[Building Type],0)),4))))),"")</f>
        <v/>
      </c>
      <c r="BG24" s="838" t="str">
        <f>IFERROR(ROUND(V24*AM24, 2), "")</f>
        <v/>
      </c>
      <c r="BH24" s="750" t="str">
        <f>IFERROR(IF(OR(C24="",G24="",M24="",O24="",R24="",T24="",V24="",X24="",AC24="",AG24="",AI24="",AK24="",ISNUMBER(AR24)=FALSE,AR24=0),"",INDEX(STDLIGHT[Measure Number],MATCH(G24,STDLIGHT[Measure Name],0))),"Err")</f>
        <v/>
      </c>
      <c r="BI24" s="754" t="str">
        <f t="shared" ref="BI24" si="4">IFERROR(IF(BP24="",IF(AR24 &lt; BG24, "100% Total Cost", ""), ""), "")</f>
        <v/>
      </c>
      <c r="BJ24" s="750" t="str">
        <f>IFERROR(IF(OR(C24="",G24="",M24="",O24="",R24="",T24="",V24="",X24="",AC24="",AG24="",AI24="",AK24=""),"",
IF(BP24&gt;0,"",
IF(EXPIRATION&lt;&gt;"",PROJSTATEXP,
IF(M02S04F19="",MEASUREBLDG,
IF(BB24&lt;=BC24,MEASURESAVE,""))))),MEASURESUBMIT)</f>
        <v/>
      </c>
      <c r="BK24" s="828" t="str">
        <f>IFERROR(INDEX(STDLIGHT[Measure Life (Years)],MATCH(G24,STDLIGHT[Measure Name],0)),"")</f>
        <v/>
      </c>
      <c r="BL24" s="830" t="str">
        <f>IFERROR(IF(OR(C24="",G24="",M24="",O24="",R24="",T24="",V24="",X24="",AC24="",AG24="",AI24="",AK24=""),"",
ROUND(((1+ELOSS)*((BE24*INDEX(ELECCB[NPV AEC $/kWh],MATCH(BK24,ELECCB[Year Number],1)))+(BF24*INDEX(ELECCB[NPV ACC $/kW],MATCH(BK24,ELECCB[Year Number],1))))),2)),0)</f>
        <v/>
      </c>
      <c r="BM24" s="835"/>
      <c r="BN24" s="832" t="str">
        <f>IFERROR(IF(OR(C24="",G24="",M24="",O24="",R24="",T24="",V24="",X24="",AC24="",AG24="",AI24="",AK24=""),"",INDEX(STDLIGHT[Reporting Methodology],MATCH(G24,STDLIGHT[Measure Name],0))),"Err")</f>
        <v/>
      </c>
      <c r="BO24" s="735" t="str">
        <f>IFERROR(IF(BH24="","",INDEX(STDLIGHT[Incremental Measure Cost ($/Unit)],MATCH(G24,STDLIGHT[Measure Name],0))),"Err")</f>
        <v/>
      </c>
      <c r="BP24" s="837"/>
      <c r="BQ24" s="838" t="str">
        <f>_xlfn.LET(
_xlpm.IPU,
IFERROR(IF(G24="","",IF(C24&lt;&gt;INDEX(STDLIGHT[Eff Category 1],MATCH(G24,STDLIGHT[Measure Name],0)),0,INDEX(STDLIGHT[Base Incentive],MATCH(G24,STDLIGHT[Measure Name],0)))),""),
IFERROR(ROUND(V24*_xlpm.IPU, 2), ""))</f>
        <v/>
      </c>
    </row>
    <row r="25" spans="1:69" ht="15.95" customHeight="1">
      <c r="A25" s="85"/>
      <c r="B25" s="806"/>
      <c r="C25" s="728"/>
      <c r="D25" s="729"/>
      <c r="E25" s="729"/>
      <c r="F25" s="730"/>
      <c r="G25" s="744"/>
      <c r="H25" s="745"/>
      <c r="I25" s="745"/>
      <c r="J25" s="745"/>
      <c r="K25" s="745"/>
      <c r="L25" s="745"/>
      <c r="M25" s="728"/>
      <c r="N25" s="730"/>
      <c r="O25" s="728"/>
      <c r="P25" s="729"/>
      <c r="Q25" s="730"/>
      <c r="R25" s="733"/>
      <c r="S25" s="734"/>
      <c r="T25" s="782"/>
      <c r="U25" s="783"/>
      <c r="V25" s="785"/>
      <c r="W25" s="785"/>
      <c r="X25" s="764"/>
      <c r="Y25" s="764"/>
      <c r="Z25" s="716"/>
      <c r="AA25" s="717"/>
      <c r="AB25" s="718"/>
      <c r="AC25" s="716"/>
      <c r="AD25" s="717"/>
      <c r="AE25" s="717"/>
      <c r="AF25" s="718"/>
      <c r="AG25" s="805"/>
      <c r="AH25" s="728"/>
      <c r="AI25" s="765"/>
      <c r="AJ25" s="766"/>
      <c r="AK25" s="766"/>
      <c r="AL25" s="767"/>
      <c r="AM25" s="795"/>
      <c r="AN25" s="796"/>
      <c r="AO25" s="798"/>
      <c r="AP25" s="798"/>
      <c r="AQ25" s="798"/>
      <c r="AR25" s="802"/>
      <c r="AS25" s="803"/>
      <c r="AT25" s="803"/>
      <c r="AU25" s="804"/>
      <c r="AV25" s="22"/>
      <c r="AX25" s="749"/>
      <c r="AY25" s="751"/>
      <c r="AZ25" s="747"/>
      <c r="BA25" s="747"/>
      <c r="BB25" s="747"/>
      <c r="BC25" s="747"/>
      <c r="BD25" s="755"/>
      <c r="BE25" s="747"/>
      <c r="BF25" s="747"/>
      <c r="BG25" s="839"/>
      <c r="BH25" s="751"/>
      <c r="BI25" s="755"/>
      <c r="BJ25" s="751"/>
      <c r="BK25" s="829"/>
      <c r="BL25" s="831"/>
      <c r="BM25" s="836"/>
      <c r="BN25" s="832"/>
      <c r="BO25" s="735"/>
      <c r="BP25" s="837"/>
      <c r="BQ25" s="839"/>
    </row>
    <row r="26" spans="1:69" ht="15.95" customHeight="1">
      <c r="B26" s="806">
        <v>5</v>
      </c>
      <c r="C26" s="728"/>
      <c r="D26" s="729"/>
      <c r="E26" s="729"/>
      <c r="F26" s="730"/>
      <c r="G26" s="738"/>
      <c r="H26" s="739"/>
      <c r="I26" s="739"/>
      <c r="J26" s="739"/>
      <c r="K26" s="739"/>
      <c r="L26" s="740"/>
      <c r="M26" s="728"/>
      <c r="N26" s="730"/>
      <c r="O26" s="728"/>
      <c r="P26" s="729"/>
      <c r="Q26" s="730"/>
      <c r="R26" s="731" t="str">
        <f>IFERROR(IF(INDEX(STDLIGHTINEFCAT2[System Wattage],MATCH('M03-S02'!$M26&amp;"_"&amp;INDEX(STDLIGHT[Ineff Dropdown 2],MATCH('M03-S02'!$G26,STDLIGHT[Measure Name],0))&amp;"_"&amp;O26,STDLIGHTINEFCAT2[Full Name],0))="","",INDEX(STDLIGHTINEFCAT2[System Wattage],MATCH('M03-S02'!$M26&amp;"_"&amp;INDEX(STDLIGHT[Ineff Dropdown 2],MATCH('M03-S02'!$G26,STDLIGHT[Measure Name],0))&amp;"_"&amp;O26,STDLIGHTINEFCAT2[Full Name],0))),"")</f>
        <v/>
      </c>
      <c r="S26" s="732"/>
      <c r="T26" s="782" t="str">
        <f t="shared" ref="T26" si="5">IF(C26="Permanent Lamp Removal",0,"")</f>
        <v/>
      </c>
      <c r="U26" s="783"/>
      <c r="V26" s="785"/>
      <c r="W26" s="785"/>
      <c r="X26" s="763"/>
      <c r="Y26" s="763"/>
      <c r="Z26" s="713"/>
      <c r="AA26" s="714"/>
      <c r="AB26" s="715"/>
      <c r="AC26" s="713"/>
      <c r="AD26" s="714"/>
      <c r="AE26" s="714"/>
      <c r="AF26" s="715"/>
      <c r="AG26" s="805"/>
      <c r="AH26" s="728"/>
      <c r="AI26" s="765"/>
      <c r="AJ26" s="766"/>
      <c r="AK26" s="766"/>
      <c r="AL26" s="767"/>
      <c r="AM26" s="793" t="str">
        <f>IFERROR(IF(G26="","",IF(C26&lt;&gt;INDEX(STDLIGHT[Eff Category 1],MATCH(G26,STDLIGHT[Measure Name],0)),0,INDEX(IF(AND(ACTIVEBONUS = TRUE,INDEX(STDLIGHT[Bonus Incentive],MATCH(G26,STDLIGHT[Measure Name],0))&lt;&gt; ""),STDLIGHT[Bonus Incentive],STDLIGHT[Base Incentive]),MATCH(G26,STDLIGHT[Measure Name],0)))),"")</f>
        <v/>
      </c>
      <c r="AN26" s="794"/>
      <c r="AO26" s="797" t="str">
        <f>IFERROR(IF(OR(C26="",G26="",M26="",O26="",R26="",T26="",V26="",X26="",AC26="",AG26="",AI26="",AK26=""),"",IF(BN26="Deemed",AZ26,IF(BN26="Calculated",BE26,""))),"")</f>
        <v/>
      </c>
      <c r="AP26" s="797"/>
      <c r="AQ26" s="797"/>
      <c r="AR26" s="799" t="str">
        <f>IFERROR(IF(OR(C26="",G26="",M26="",O26="",R26="",T26="",V26="",X26="",AC26="",AG26="",AI26="",AK26=""),"",IF(BJ26&lt;&gt;"",BJ26,IF(BP26&gt;0,BP26,ROUND(IF(AO26&lt;=0,0,MIN(AX26,BG26)),2)))),"")</f>
        <v/>
      </c>
      <c r="AS26" s="800"/>
      <c r="AT26" s="800"/>
      <c r="AU26" s="801"/>
      <c r="AV26" s="22"/>
      <c r="AX26" s="748" t="str">
        <f>IF(OR(C26="",G26="",M26="",O26="",R26="",T26="",V26="",X26="",AC26="",AG26="",AI26="",AK26=""),"",IF(AO26=0,"",ROUND(AI26+AK26,2)))</f>
        <v/>
      </c>
      <c r="AY26" s="750" t="str">
        <f>IFERROR(IF(OR(C26="",G26="",M26="",O26="",R26="",T26="",V26="",X26="",AC26="",AG26="",AI26="",AK26=""),"",INDEX(STDLIGHT[Current Unit],MATCH(G26,STDLIGHT[Measure Name],0))),"Err")</f>
        <v/>
      </c>
      <c r="AZ26" s="746" t="str">
        <f>IF(OR(C26="",G26="",M26="",O26="",R26="",T26="",V26="",X26="",AC26="",AG26="",AI26="",AK26=""),"",IFERROR(IF(G26="","",IF(C26&lt;&gt;INDEX(STDLIGHT[Eff Category 1],MATCH(G26,STDLIGHT[Measure Name],0)),0,
IF(BB26&lt;=BC26,0,
ROUND(V26*INDEX(STDLIGHT[Electric Energy Savings (Annual kWh/unit)],MATCH('M03-S02'!G26,STDLIGHT[Measure Name],0)),4)))),""))</f>
        <v/>
      </c>
      <c r="BA26" s="746" t="str">
        <f>IF(OR(C26="",G26="",M26="",O26="",R26="",T26="",V26="",X26="",AC26="",AG26="",AI26="",AK26=""),"",IFERROR(IF(G26="","",IF(C26&lt;&gt;INDEX(STDLIGHT[Eff Category 1],MATCH(G26,STDLIGHT[Measure Name],0)),0,
IF(BB26&lt;=BC26,0,
ROUND(V26*INDEX(STDLIGHT[Coincident Peak Demand Savings (kW/unit)],MATCH('M03-S02'!G26,STDLIGHT[Measure Name],0)),4)))),""))</f>
        <v/>
      </c>
      <c r="BB26" s="746" t="str">
        <f>IF(OR(C26="",G26="",M26="",O26="",R26="",T26="",V26="",X26="",AC26="",AG26="",AI26="",AK26=""),"",
IF(OR(ISNUMBER(SEARCH("Exterior",C26)),ISNUMBER(SEARCH("Parking",C26)),M02S04F22="Unconditioned",M02S04F22="Electric Heat Only",M02S04F22="Natural Gas Heat Only"),ROUND(R26*V26*X26/1000,4),
ROUND(R26*V26*X26/1000*INDEX(BUILDINGTYPE[Waste Heat Factor (e)],MATCH(M02S04F19,BUILDINGTYPE[Building Type],0)),4)))</f>
        <v/>
      </c>
      <c r="BC26" s="746" t="str">
        <f>IF(OR(C26="",G26="",M26="",O26="",R26="",T26="",V26="",X26="",AC26="",AG26="",AI26="",AK26=""),"",
IF(OR(ISNUMBER(SEARCH("Exterior",C26)),ISNUMBER(SEARCH("Parking",C26)),M02S04F22="Unconditioned",M02S04F22="Electric Heat Only",M02S04F22="Natural Gas Heat Only"),ROUND(T26*V26*X26/1000,4),
ROUND(T26*V26*X26/1000*INDEX(BUILDINGTYPE[Waste Heat Factor (e)],MATCH(M02S04F19,BUILDINGTYPE[Building Type],0)),4)))</f>
        <v/>
      </c>
      <c r="BD26" s="754" t="str">
        <f>IFERROR(IF(OR(C26="",G26="",M26="",O26="",R26="",T26="",V26="",X26="",AC26="",AG26="",AI26="",AK26=""),"",INDEX(STDLIGHT[End Use],MATCH(G26,STDLIGHT[Measure Name],0))),"Err")</f>
        <v/>
      </c>
      <c r="BE26" s="746" t="str">
        <f>IFERROR(IF(OR(C26="",G26="",M26="",O26="",R26="",T26="",V26="",X26="",AC26="",AG26="",AI26="",AK26=""),"",
IF(BB26&lt;=BC26,0,
IF(OR(ISNUMBER(SEARCH("Exterior",C26)),ISNUMBER(SEARCH("Parking",C26)),M02S04F22="Unconditioned",M02S04F22="Electric Heat Only",M02S04F22="Natural Gas Heat Only"),ROUND((R26-T26)*V26*X26/1000,4),
ROUND((R26-T26)*V26*X26/1000*INDEX(BUILDINGTYPE[Waste Heat Factor (e)],MATCH(M02S04F19,BUILDINGTYPE[Building Type],0)),4)))),"")</f>
        <v/>
      </c>
      <c r="BF26" s="746" t="str">
        <f>IFERROR(IF(OR(C26="",G26="",M26="",O26="",R26="",T26="",V26="",X26="",AC26="",AG26="",AI26="",AK26=""),"",
IF(BB26&lt;=BC26,0,
IF(ISNUMBER(SEARCH("Exterior",C26)),0,
IF(OR(ISNUMBER(SEARCH("Parking",C26)),M02S04F22="Unconditioned",M02S04F22="Electric Heat Only",M02S04F22="Natural Gas Heat Only"),ROUND((R26-T26)*V26/1000*INDEX(BUILDINGTYPE[Lighting Coincidence Factor],MATCH(M02S04F19,BUILDINGTYPE[Building Type],0)),4),
ROUND((R26-T26)*V26/1000*INDEX(BUILDINGTYPE[Lighting Coincidence Factor],MATCH(M02S04F19,BUILDINGTYPE[Building Type],0))*INDEX(BUILDINGTYPE[WHFd],MATCH(M02S04F19,BUILDINGTYPE[Building Type],0)),4))))),"")</f>
        <v/>
      </c>
      <c r="BG26" s="838" t="str">
        <f>IFERROR(ROUND(V26*AM26, 2), "")</f>
        <v/>
      </c>
      <c r="BH26" s="750" t="str">
        <f>IFERROR(IF(OR(C26="",G26="",M26="",O26="",R26="",T26="",V26="",X26="",AC26="",AG26="",AI26="",AK26="",ISNUMBER(AR26)=FALSE,AR26=0),"",INDEX(STDLIGHT[Measure Number],MATCH(G26,STDLIGHT[Measure Name],0))),"Err")</f>
        <v/>
      </c>
      <c r="BI26" s="754" t="str">
        <f t="shared" ref="BI26" si="6">IFERROR(IF(BP26="",IF(AR26 &lt; BG26, "100% Total Cost", ""), ""), "")</f>
        <v/>
      </c>
      <c r="BJ26" s="750" t="str">
        <f>IFERROR(IF(OR(C26="",G26="",M26="",O26="",R26="",T26="",V26="",X26="",AC26="",AG26="",AI26="",AK26=""),"",
IF(BP26&gt;0,"",
IF(EXPIRATION&lt;&gt;"",PROJSTATEXP,
IF(M02S04F19="",MEASUREBLDG,
IF(BB26&lt;=BC26,MEASURESAVE,""))))),MEASURESUBMIT)</f>
        <v/>
      </c>
      <c r="BK26" s="828" t="str">
        <f>IFERROR(INDEX(STDLIGHT[Measure Life (Years)],MATCH(G26,STDLIGHT[Measure Name],0)),"")</f>
        <v/>
      </c>
      <c r="BL26" s="830" t="str">
        <f>IFERROR(IF(OR(C26="",G26="",M26="",O26="",R26="",T26="",V26="",X26="",AC26="",AG26="",AI26="",AK26=""),"",
ROUND(((1+ELOSS)*((BE26*INDEX(ELECCB[NPV AEC $/kWh],MATCH(BK26,ELECCB[Year Number],1)))+(BF26*INDEX(ELECCB[NPV ACC $/kW],MATCH(BK26,ELECCB[Year Number],1))))),2)),0)</f>
        <v/>
      </c>
      <c r="BM26" s="835"/>
      <c r="BN26" s="832" t="str">
        <f>IFERROR(IF(OR(C26="",G26="",M26="",O26="",R26="",T26="",V26="",X26="",AC26="",AG26="",AI26="",AK26=""),"",INDEX(STDLIGHT[Reporting Methodology],MATCH(G26,STDLIGHT[Measure Name],0))),"Err")</f>
        <v/>
      </c>
      <c r="BO26" s="735" t="str">
        <f>IFERROR(IF(BH26="","",INDEX(STDLIGHT[Incremental Measure Cost ($/Unit)],MATCH(G26,STDLIGHT[Measure Name],0))),"Err")</f>
        <v/>
      </c>
      <c r="BP26" s="837"/>
      <c r="BQ26" s="838" t="str">
        <f>_xlfn.LET(
_xlpm.IPU,
IFERROR(IF(G26="","",IF(C26&lt;&gt;INDEX(STDLIGHT[Eff Category 1],MATCH(G26,STDLIGHT[Measure Name],0)),0,INDEX(STDLIGHT[Base Incentive],MATCH(G26,STDLIGHT[Measure Name],0)))),""),
IFERROR(ROUND(V26*_xlpm.IPU, 2), ""))</f>
        <v/>
      </c>
    </row>
    <row r="27" spans="1:69" ht="15.95" customHeight="1">
      <c r="B27" s="806"/>
      <c r="C27" s="728"/>
      <c r="D27" s="729"/>
      <c r="E27" s="729"/>
      <c r="F27" s="730"/>
      <c r="G27" s="741"/>
      <c r="H27" s="742"/>
      <c r="I27" s="742"/>
      <c r="J27" s="742"/>
      <c r="K27" s="742"/>
      <c r="L27" s="743"/>
      <c r="M27" s="728"/>
      <c r="N27" s="730"/>
      <c r="O27" s="728"/>
      <c r="P27" s="729"/>
      <c r="Q27" s="730"/>
      <c r="R27" s="733"/>
      <c r="S27" s="734"/>
      <c r="T27" s="782"/>
      <c r="U27" s="783"/>
      <c r="V27" s="785"/>
      <c r="W27" s="785"/>
      <c r="X27" s="764"/>
      <c r="Y27" s="764"/>
      <c r="Z27" s="716"/>
      <c r="AA27" s="717"/>
      <c r="AB27" s="718"/>
      <c r="AC27" s="716"/>
      <c r="AD27" s="717"/>
      <c r="AE27" s="717"/>
      <c r="AF27" s="718"/>
      <c r="AG27" s="805"/>
      <c r="AH27" s="728"/>
      <c r="AI27" s="765"/>
      <c r="AJ27" s="766"/>
      <c r="AK27" s="766"/>
      <c r="AL27" s="767"/>
      <c r="AM27" s="795"/>
      <c r="AN27" s="796"/>
      <c r="AO27" s="798"/>
      <c r="AP27" s="798"/>
      <c r="AQ27" s="798"/>
      <c r="AR27" s="802"/>
      <c r="AS27" s="803"/>
      <c r="AT27" s="803"/>
      <c r="AU27" s="804"/>
      <c r="AV27" s="22"/>
      <c r="AX27" s="749"/>
      <c r="AY27" s="751"/>
      <c r="AZ27" s="747"/>
      <c r="BA27" s="747"/>
      <c r="BB27" s="747"/>
      <c r="BC27" s="747"/>
      <c r="BD27" s="755"/>
      <c r="BE27" s="747"/>
      <c r="BF27" s="747"/>
      <c r="BG27" s="839"/>
      <c r="BH27" s="751"/>
      <c r="BI27" s="755"/>
      <c r="BJ27" s="751"/>
      <c r="BK27" s="829"/>
      <c r="BL27" s="831"/>
      <c r="BM27" s="836"/>
      <c r="BN27" s="832"/>
      <c r="BO27" s="735"/>
      <c r="BP27" s="837"/>
      <c r="BQ27" s="839"/>
    </row>
    <row r="28" spans="1:69" ht="15.95" customHeight="1">
      <c r="B28" s="806">
        <v>6</v>
      </c>
      <c r="C28" s="728"/>
      <c r="D28" s="729"/>
      <c r="E28" s="729"/>
      <c r="F28" s="730"/>
      <c r="G28" s="738"/>
      <c r="H28" s="739"/>
      <c r="I28" s="739"/>
      <c r="J28" s="739"/>
      <c r="K28" s="739"/>
      <c r="L28" s="740"/>
      <c r="M28" s="713"/>
      <c r="N28" s="715"/>
      <c r="O28" s="713"/>
      <c r="P28" s="714"/>
      <c r="Q28" s="715"/>
      <c r="R28" s="731" t="str">
        <f>IFERROR(IF(INDEX(STDLIGHTINEFCAT2[System Wattage],MATCH('M03-S02'!$M28&amp;"_"&amp;INDEX(STDLIGHT[Ineff Dropdown 2],MATCH('M03-S02'!$G28,STDLIGHT[Measure Name],0))&amp;"_"&amp;O28,STDLIGHTINEFCAT2[Full Name],0))="","",INDEX(STDLIGHTINEFCAT2[System Wattage],MATCH('M03-S02'!$M28&amp;"_"&amp;INDEX(STDLIGHT[Ineff Dropdown 2],MATCH('M03-S02'!$G28,STDLIGHT[Measure Name],0))&amp;"_"&amp;O28,STDLIGHTINEFCAT2[Full Name],0))),"")</f>
        <v/>
      </c>
      <c r="S28" s="732"/>
      <c r="T28" s="782" t="str">
        <f t="shared" ref="T28" si="7">IF(C28="Permanent Lamp Removal",0,"")</f>
        <v/>
      </c>
      <c r="U28" s="783"/>
      <c r="V28" s="789"/>
      <c r="W28" s="790"/>
      <c r="X28" s="768"/>
      <c r="Y28" s="769"/>
      <c r="Z28" s="713"/>
      <c r="AA28" s="714"/>
      <c r="AB28" s="715"/>
      <c r="AC28" s="713"/>
      <c r="AD28" s="714"/>
      <c r="AE28" s="714"/>
      <c r="AF28" s="715"/>
      <c r="AG28" s="713"/>
      <c r="AH28" s="780"/>
      <c r="AI28" s="772"/>
      <c r="AJ28" s="773"/>
      <c r="AK28" s="776"/>
      <c r="AL28" s="777"/>
      <c r="AM28" s="793" t="str">
        <f>IFERROR(IF(G28="","",IF(C28&lt;&gt;INDEX(STDLIGHT[Eff Category 1],MATCH(G28,STDLIGHT[Measure Name],0)),0,INDEX(IF(AND(ACTIVEBONUS = TRUE,INDEX(STDLIGHT[Bonus Incentive],MATCH(G28,STDLIGHT[Measure Name],0))&lt;&gt; ""),STDLIGHT[Bonus Incentive],STDLIGHT[Base Incentive]),MATCH(G28,STDLIGHT[Measure Name],0)))),"")</f>
        <v/>
      </c>
      <c r="AN28" s="794"/>
      <c r="AO28" s="797" t="str">
        <f>IFERROR(IF(OR(C28="",G28="",M28="",O28="",R28="",T28="",V28="",X28="",AC28="",AG28="",AI28="",AK28=""),"",IF(BN28="Deemed",AZ28,IF(BN28="Calculated",BE28,""))),"")</f>
        <v/>
      </c>
      <c r="AP28" s="797"/>
      <c r="AQ28" s="797"/>
      <c r="AR28" s="799" t="str">
        <f>IFERROR(IF(OR(C28="",G28="",M28="",O28="",R28="",T28="",V28="",X28="",AC28="",AG28="",AI28="",AK28=""),"",IF(BJ28&lt;&gt;"",BJ28,IF(BP28&gt;0,BP28,ROUND(IF(AO28&lt;=0,0,MIN(AX28,BG28)),2)))),"")</f>
        <v/>
      </c>
      <c r="AS28" s="800"/>
      <c r="AT28" s="800"/>
      <c r="AU28" s="801"/>
      <c r="AV28" s="22"/>
      <c r="AX28" s="748" t="str">
        <f>IF(OR(C28="",G28="",M28="",O28="",R28="",T28="",V28="",X28="",AC28="",AG28="",AI28="",AK28=""),"",IF(AO28=0,"",ROUND(AI28+AK28,2)))</f>
        <v/>
      </c>
      <c r="AY28" s="750" t="str">
        <f>IFERROR(IF(OR(C28="",G28="",M28="",O28="",R28="",T28="",V28="",X28="",AC28="",AG28="",AI28="",AK28=""),"",INDEX(STDLIGHT[Current Unit],MATCH(G28,STDLIGHT[Measure Name],0))),"Err")</f>
        <v/>
      </c>
      <c r="AZ28" s="746" t="str">
        <f>IF(OR(C28="",G28="",M28="",O28="",R28="",T28="",V28="",X28="",AC28="",AG28="",AI28="",AK28=""),"",IFERROR(IF(G28="","",IF(C28&lt;&gt;INDEX(STDLIGHT[Eff Category 1],MATCH(G28,STDLIGHT[Measure Name],0)),0,
IF(BB28&lt;=BC28,0,
ROUND(V28*INDEX(STDLIGHT[Electric Energy Savings (Annual kWh/unit)],MATCH('M03-S02'!G28,STDLIGHT[Measure Name],0)),4)))),""))</f>
        <v/>
      </c>
      <c r="BA28" s="746" t="str">
        <f>IF(OR(C28="",G28="",M28="",O28="",R28="",T28="",V28="",X28="",AC28="",AG28="",AI28="",AK28=""),"",IFERROR(IF(G28="","",IF(C28&lt;&gt;INDEX(STDLIGHT[Eff Category 1],MATCH(G28,STDLIGHT[Measure Name],0)),0,
IF(BB28&lt;=BC28,0,
ROUND(V28*INDEX(STDLIGHT[Coincident Peak Demand Savings (kW/unit)],MATCH('M03-S02'!G28,STDLIGHT[Measure Name],0)),4)))),""))</f>
        <v/>
      </c>
      <c r="BB28" s="746" t="str">
        <f>IF(OR(C28="",G28="",M28="",O28="",R28="",T28="",V28="",X28="",AC28="",AG28="",AI28="",AK28=""),"",
IF(OR(ISNUMBER(SEARCH("Exterior",C28)),ISNUMBER(SEARCH("Parking",C28)),M02S04F22="Unconditioned",M02S04F22="Electric Heat Only",M02S04F22="Natural Gas Heat Only"),ROUND(R28*V28*X28/1000,4),
ROUND(R28*V28*X28/1000*INDEX(BUILDINGTYPE[Waste Heat Factor (e)],MATCH(M02S04F19,BUILDINGTYPE[Building Type],0)),4)))</f>
        <v/>
      </c>
      <c r="BC28" s="746" t="str">
        <f>IF(OR(C28="",G28="",M28="",O28="",R28="",T28="",V28="",X28="",AC28="",AG28="",AI28="",AK28=""),"",
IF(OR(ISNUMBER(SEARCH("Exterior",C28)),ISNUMBER(SEARCH("Parking",C28)),M02S04F22="Unconditioned",M02S04F22="Electric Heat Only",M02S04F22="Natural Gas Heat Only"),ROUND(T28*V28*X28/1000,4),
ROUND(T28*V28*X28/1000*INDEX(BUILDINGTYPE[Waste Heat Factor (e)],MATCH(M02S04F19,BUILDINGTYPE[Building Type],0)),4)))</f>
        <v/>
      </c>
      <c r="BD28" s="754" t="str">
        <f>IFERROR(IF(OR(C28="",G28="",M28="",O28="",R28="",T28="",V28="",X28="",AC28="",AG28="",AI28="",AK28=""),"",INDEX(STDLIGHT[End Use],MATCH(G28,STDLIGHT[Measure Name],0))),"Err")</f>
        <v/>
      </c>
      <c r="BE28" s="746" t="str">
        <f>IFERROR(IF(OR(C28="",G28="",M28="",O28="",R28="",T28="",V28="",X28="",AC28="",AG28="",AI28="",AK28=""),"",
IF(BB28&lt;=BC28,0,
IF(OR(ISNUMBER(SEARCH("Exterior",C28)),ISNUMBER(SEARCH("Parking",C28)),M02S04F22="Unconditioned",M02S04F22="Electric Heat Only",M02S04F22="Natural Gas Heat Only"),ROUND((R28-T28)*V28*X28/1000,4),
ROUND((R28-T28)*V28*X28/1000*INDEX(BUILDINGTYPE[Waste Heat Factor (e)],MATCH(M02S04F19,BUILDINGTYPE[Building Type],0)),4)))),"")</f>
        <v/>
      </c>
      <c r="BF28" s="746" t="str">
        <f>IFERROR(IF(OR(C28="",G28="",M28="",O28="",R28="",T28="",V28="",X28="",AC28="",AG28="",AI28="",AK28=""),"",
IF(BB28&lt;=BC28,0,
IF(ISNUMBER(SEARCH("Exterior",C28)),0,
IF(OR(ISNUMBER(SEARCH("Parking",C28)),M02S04F22="Unconditioned",M02S04F22="Electric Heat Only",M02S04F22="Natural Gas Heat Only"),ROUND((R28-T28)*V28/1000*INDEX(BUILDINGTYPE[Lighting Coincidence Factor],MATCH(M02S04F19,BUILDINGTYPE[Building Type],0)),4),
ROUND((R28-T28)*V28/1000*INDEX(BUILDINGTYPE[Lighting Coincidence Factor],MATCH(M02S04F19,BUILDINGTYPE[Building Type],0))*INDEX(BUILDINGTYPE[WHFd],MATCH(M02S04F19,BUILDINGTYPE[Building Type],0)),4))))),"")</f>
        <v/>
      </c>
      <c r="BG28" s="838" t="str">
        <f>IFERROR(ROUND(V28*AM28, 2), "")</f>
        <v/>
      </c>
      <c r="BH28" s="750" t="str">
        <f>IFERROR(IF(OR(C28="",G28="",M28="",O28="",R28="",T28="",V28="",X28="",AC28="",AG28="",AI28="",AK28="",ISNUMBER(AR28)=FALSE,AR28=0),"",INDEX(STDLIGHT[Measure Number],MATCH(G28,STDLIGHT[Measure Name],0))),"Err")</f>
        <v/>
      </c>
      <c r="BI28" s="754" t="str">
        <f t="shared" ref="BI28" si="8">IFERROR(IF(BP28="",IF(AR28 &lt; BG28, "100% Total Cost", ""), ""), "")</f>
        <v/>
      </c>
      <c r="BJ28" s="750" t="str">
        <f>IFERROR(IF(OR(C28="",G28="",M28="",O28="",R28="",T28="",V28="",X28="",AC28="",AG28="",AI28="",AK28=""),"",
IF(BP28&gt;0,"",
IF(EXPIRATION&lt;&gt;"",PROJSTATEXP,
IF(M02S04F19="",MEASUREBLDG,
IF(BB28&lt;=BC28,MEASURESAVE,""))))),MEASURESUBMIT)</f>
        <v/>
      </c>
      <c r="BK28" s="828" t="str">
        <f>IFERROR(INDEX(STDLIGHT[Measure Life (Years)],MATCH(G28,STDLIGHT[Measure Name],0)),"")</f>
        <v/>
      </c>
      <c r="BL28" s="830" t="str">
        <f>IFERROR(IF(OR(C28="",G28="",M28="",O28="",R28="",T28="",V28="",X28="",AC28="",AG28="",AI28="",AK28=""),"",
ROUND(((1+ELOSS)*((BE28*INDEX(ELECCB[NPV AEC $/kWh],MATCH(BK28,ELECCB[Year Number],1)))+(BF28*INDEX(ELECCB[NPV ACC $/kW],MATCH(BK28,ELECCB[Year Number],1))))),2)),0)</f>
        <v/>
      </c>
      <c r="BM28" s="835"/>
      <c r="BN28" s="832" t="str">
        <f>IFERROR(IF(OR(C28="",G28="",M28="",O28="",R28="",T28="",V28="",X28="",AC28="",AG28="",AI28="",AK28=""),"",INDEX(STDLIGHT[Reporting Methodology],MATCH(G28,STDLIGHT[Measure Name],0))),"Err")</f>
        <v/>
      </c>
      <c r="BO28" s="735" t="str">
        <f>IFERROR(IF(BH28="","",INDEX(STDLIGHT[Incremental Measure Cost ($/Unit)],MATCH(G28,STDLIGHT[Measure Name],0))),"Err")</f>
        <v/>
      </c>
      <c r="BP28" s="837"/>
      <c r="BQ28" s="838" t="str">
        <f>_xlfn.LET(
_xlpm.IPU,
IFERROR(IF(G28="","",IF(C28&lt;&gt;INDEX(STDLIGHT[Eff Category 1],MATCH(G28,STDLIGHT[Measure Name],0)),0,INDEX(STDLIGHT[Base Incentive],MATCH(G28,STDLIGHT[Measure Name],0)))),""),
IFERROR(ROUND(V28*_xlpm.IPU, 2), ""))</f>
        <v/>
      </c>
    </row>
    <row r="29" spans="1:69" ht="15.95" customHeight="1">
      <c r="B29" s="806"/>
      <c r="C29" s="728"/>
      <c r="D29" s="729"/>
      <c r="E29" s="729"/>
      <c r="F29" s="730"/>
      <c r="G29" s="741"/>
      <c r="H29" s="742"/>
      <c r="I29" s="742"/>
      <c r="J29" s="742"/>
      <c r="K29" s="742"/>
      <c r="L29" s="743"/>
      <c r="M29" s="716"/>
      <c r="N29" s="718"/>
      <c r="O29" s="716"/>
      <c r="P29" s="717"/>
      <c r="Q29" s="718"/>
      <c r="R29" s="733"/>
      <c r="S29" s="734"/>
      <c r="T29" s="782"/>
      <c r="U29" s="783"/>
      <c r="V29" s="791"/>
      <c r="W29" s="792"/>
      <c r="X29" s="770"/>
      <c r="Y29" s="771"/>
      <c r="Z29" s="716"/>
      <c r="AA29" s="717"/>
      <c r="AB29" s="718"/>
      <c r="AC29" s="716"/>
      <c r="AD29" s="717"/>
      <c r="AE29" s="717"/>
      <c r="AF29" s="718"/>
      <c r="AG29" s="716"/>
      <c r="AH29" s="781"/>
      <c r="AI29" s="774"/>
      <c r="AJ29" s="775"/>
      <c r="AK29" s="778"/>
      <c r="AL29" s="779"/>
      <c r="AM29" s="795"/>
      <c r="AN29" s="796"/>
      <c r="AO29" s="798"/>
      <c r="AP29" s="798"/>
      <c r="AQ29" s="798"/>
      <c r="AR29" s="802"/>
      <c r="AS29" s="803"/>
      <c r="AT29" s="803"/>
      <c r="AU29" s="804"/>
      <c r="AV29" s="22"/>
      <c r="AX29" s="749"/>
      <c r="AY29" s="751"/>
      <c r="AZ29" s="747"/>
      <c r="BA29" s="747"/>
      <c r="BB29" s="747"/>
      <c r="BC29" s="747"/>
      <c r="BD29" s="755"/>
      <c r="BE29" s="747"/>
      <c r="BF29" s="747"/>
      <c r="BG29" s="839"/>
      <c r="BH29" s="751"/>
      <c r="BI29" s="755"/>
      <c r="BJ29" s="751"/>
      <c r="BK29" s="829"/>
      <c r="BL29" s="831"/>
      <c r="BM29" s="836"/>
      <c r="BN29" s="832"/>
      <c r="BO29" s="735"/>
      <c r="BP29" s="837"/>
      <c r="BQ29" s="839"/>
    </row>
    <row r="30" spans="1:69" ht="15.95" customHeight="1">
      <c r="B30" s="806">
        <v>7</v>
      </c>
      <c r="C30" s="728"/>
      <c r="D30" s="729"/>
      <c r="E30" s="729"/>
      <c r="F30" s="730"/>
      <c r="G30" s="738"/>
      <c r="H30" s="739"/>
      <c r="I30" s="739"/>
      <c r="J30" s="739"/>
      <c r="K30" s="739"/>
      <c r="L30" s="740"/>
      <c r="M30" s="728"/>
      <c r="N30" s="730"/>
      <c r="O30" s="728"/>
      <c r="P30" s="729"/>
      <c r="Q30" s="730"/>
      <c r="R30" s="731" t="str">
        <f>IFERROR(IF(INDEX(STDLIGHTINEFCAT2[System Wattage],MATCH('M03-S02'!$M30&amp;"_"&amp;INDEX(STDLIGHT[Ineff Dropdown 2],MATCH('M03-S02'!$G30,STDLIGHT[Measure Name],0))&amp;"_"&amp;O30,STDLIGHTINEFCAT2[Full Name],0))="","",INDEX(STDLIGHTINEFCAT2[System Wattage],MATCH('M03-S02'!$M30&amp;"_"&amp;INDEX(STDLIGHT[Ineff Dropdown 2],MATCH('M03-S02'!$G30,STDLIGHT[Measure Name],0))&amp;"_"&amp;O30,STDLIGHTINEFCAT2[Full Name],0))),"")</f>
        <v/>
      </c>
      <c r="S30" s="732"/>
      <c r="T30" s="782" t="str">
        <f t="shared" ref="T30" si="9">IF(C30="Permanent Lamp Removal",0,"")</f>
        <v/>
      </c>
      <c r="U30" s="783"/>
      <c r="V30" s="785"/>
      <c r="W30" s="785"/>
      <c r="X30" s="763"/>
      <c r="Y30" s="763"/>
      <c r="Z30" s="713"/>
      <c r="AA30" s="714"/>
      <c r="AB30" s="715"/>
      <c r="AC30" s="713"/>
      <c r="AD30" s="714"/>
      <c r="AE30" s="714"/>
      <c r="AF30" s="715"/>
      <c r="AG30" s="805"/>
      <c r="AH30" s="728"/>
      <c r="AI30" s="765"/>
      <c r="AJ30" s="766"/>
      <c r="AK30" s="766"/>
      <c r="AL30" s="767"/>
      <c r="AM30" s="793" t="str">
        <f>IFERROR(IF(G30="","",IF(C30&lt;&gt;INDEX(STDLIGHT[Eff Category 1],MATCH(G30,STDLIGHT[Measure Name],0)),0,INDEX(IF(AND(ACTIVEBONUS = TRUE,INDEX(STDLIGHT[Bonus Incentive],MATCH(G30,STDLIGHT[Measure Name],0))&lt;&gt; ""),STDLIGHT[Bonus Incentive],STDLIGHT[Base Incentive]),MATCH(G30,STDLIGHT[Measure Name],0)))),"")</f>
        <v/>
      </c>
      <c r="AN30" s="794"/>
      <c r="AO30" s="797" t="str">
        <f>IFERROR(IF(OR(C30="",G30="",M30="",O30="",R30="",T30="",V30="",X30="",AC30="",AG30="",AI30="",AK30=""),"",IF(BN30="Deemed",AZ30,IF(BN30="Calculated",BE30,""))),"")</f>
        <v/>
      </c>
      <c r="AP30" s="797"/>
      <c r="AQ30" s="797"/>
      <c r="AR30" s="799" t="str">
        <f>IFERROR(IF(OR(C30="",G30="",M30="",O30="",R30="",T30="",V30="",X30="",AC30="",AG30="",AI30="",AK30=""),"",IF(BJ30&lt;&gt;"",BJ30,IF(BP30&gt;0,BP30,ROUND(IF(AO30&lt;=0,0,MIN(AX30,BG30)),2)))),"")</f>
        <v/>
      </c>
      <c r="AS30" s="800"/>
      <c r="AT30" s="800"/>
      <c r="AU30" s="801"/>
      <c r="AV30" s="22"/>
      <c r="AX30" s="748" t="str">
        <f>IF(OR(C30="",G30="",M30="",O30="",R30="",T30="",V30="",X30="",AC30="",AG30="",AI30="",AK30=""),"",IF(AO30=0,"",ROUND(AI30+AK30,2)))</f>
        <v/>
      </c>
      <c r="AY30" s="750" t="str">
        <f>IFERROR(IF(OR(C30="",G30="",M30="",O30="",R30="",T30="",V30="",X30="",AC30="",AG30="",AI30="",AK30=""),"",INDEX(STDLIGHT[Current Unit],MATCH(G30,STDLIGHT[Measure Name],0))),"Err")</f>
        <v/>
      </c>
      <c r="AZ30" s="746" t="str">
        <f>IF(OR(C30="",G30="",M30="",O30="",R30="",T30="",V30="",X30="",AC30="",AG30="",AI30="",AK30=""),"",IFERROR(IF(G30="","",IF(C30&lt;&gt;INDEX(STDLIGHT[Eff Category 1],MATCH(G30,STDLIGHT[Measure Name],0)),0,
IF(BB30&lt;=BC30,0,
ROUND(V30*INDEX(STDLIGHT[Electric Energy Savings (Annual kWh/unit)],MATCH('M03-S02'!G30,STDLIGHT[Measure Name],0)),4)))),""))</f>
        <v/>
      </c>
      <c r="BA30" s="746" t="str">
        <f>IF(OR(C30="",G30="",M30="",O30="",R30="",T30="",V30="",X30="",AC30="",AG30="",AI30="",AK30=""),"",IFERROR(IF(G30="","",IF(C30&lt;&gt;INDEX(STDLIGHT[Eff Category 1],MATCH(G30,STDLIGHT[Measure Name],0)),0,
IF(BB30&lt;=BC30,0,
ROUND(V30*INDEX(STDLIGHT[Coincident Peak Demand Savings (kW/unit)],MATCH('M03-S02'!G30,STDLIGHT[Measure Name],0)),4)))),""))</f>
        <v/>
      </c>
      <c r="BB30" s="746" t="str">
        <f>IF(OR(C30="",G30="",M30="",O30="",R30="",T30="",V30="",X30="",AC30="",AG30="",AI30="",AK30=""),"",
IF(OR(ISNUMBER(SEARCH("Exterior",C30)),ISNUMBER(SEARCH("Parking",C30)),M02S04F22="Unconditioned",M02S04F22="Electric Heat Only",M02S04F22="Natural Gas Heat Only"),ROUND(R30*V30*X30/1000,4),
ROUND(R30*V30*X30/1000*INDEX(BUILDINGTYPE[Waste Heat Factor (e)],MATCH(M02S04F19,BUILDINGTYPE[Building Type],0)),4)))</f>
        <v/>
      </c>
      <c r="BC30" s="746" t="str">
        <f>IF(OR(C30="",G30="",M30="",O30="",R30="",T30="",V30="",X30="",AC30="",AG30="",AI30="",AK30=""),"",
IF(OR(ISNUMBER(SEARCH("Exterior",C30)),ISNUMBER(SEARCH("Parking",C30)),M02S04F22="Unconditioned",M02S04F22="Electric Heat Only",M02S04F22="Natural Gas Heat Only"),ROUND(T30*V30*X30/1000,4),
ROUND(T30*V30*X30/1000*INDEX(BUILDINGTYPE[Waste Heat Factor (e)],MATCH(M02S04F19,BUILDINGTYPE[Building Type],0)),4)))</f>
        <v/>
      </c>
      <c r="BD30" s="754" t="str">
        <f>IFERROR(IF(OR(C30="",G30="",M30="",O30="",R30="",T30="",V30="",X30="",AC30="",AG30="",AI30="",AK30=""),"",INDEX(STDLIGHT[End Use],MATCH(G30,STDLIGHT[Measure Name],0))),"Err")</f>
        <v/>
      </c>
      <c r="BE30" s="746" t="str">
        <f>IFERROR(IF(OR(C30="",G30="",M30="",O30="",R30="",T30="",V30="",X30="",AC30="",AG30="",AI30="",AK30=""),"",
IF(BB30&lt;=BC30,0,
IF(OR(ISNUMBER(SEARCH("Exterior",C30)),ISNUMBER(SEARCH("Parking",C30)),M02S04F22="Unconditioned",M02S04F22="Electric Heat Only",M02S04F22="Natural Gas Heat Only"),ROUND((R30-T30)*V30*X30/1000,4),
ROUND((R30-T30)*V30*X30/1000*INDEX(BUILDINGTYPE[Waste Heat Factor (e)],MATCH(M02S04F19,BUILDINGTYPE[Building Type],0)),4)))),"")</f>
        <v/>
      </c>
      <c r="BF30" s="746" t="str">
        <f>IFERROR(IF(OR(C30="",G30="",M30="",O30="",R30="",T30="",V30="",X30="",AC30="",AG30="",AI30="",AK30=""),"",
IF(BB30&lt;=BC30,0,
IF(ISNUMBER(SEARCH("Exterior",C30)),0,
IF(OR(ISNUMBER(SEARCH("Parking",C30)),M02S04F22="Unconditioned",M02S04F22="Electric Heat Only",M02S04F22="Natural Gas Heat Only"),ROUND((R30-T30)*V30/1000*INDEX(BUILDINGTYPE[Lighting Coincidence Factor],MATCH(M02S04F19,BUILDINGTYPE[Building Type],0)),4),
ROUND((R30-T30)*V30/1000*INDEX(BUILDINGTYPE[Lighting Coincidence Factor],MATCH(M02S04F19,BUILDINGTYPE[Building Type],0))*INDEX(BUILDINGTYPE[WHFd],MATCH(M02S04F19,BUILDINGTYPE[Building Type],0)),4))))),"")</f>
        <v/>
      </c>
      <c r="BG30" s="838" t="str">
        <f>IFERROR(ROUND(V30*AM30, 2), "")</f>
        <v/>
      </c>
      <c r="BH30" s="750" t="str">
        <f>IFERROR(IF(OR(C30="",G30="",M30="",O30="",R30="",T30="",V30="",X30="",AC30="",AG30="",AI30="",AK30="",ISNUMBER(AR30)=FALSE,AR30=0),"",INDEX(STDLIGHT[Measure Number],MATCH(G30,STDLIGHT[Measure Name],0))),"Err")</f>
        <v/>
      </c>
      <c r="BI30" s="754" t="str">
        <f t="shared" ref="BI30" si="10">IFERROR(IF(BP30="",IF(AR30 &lt; BG30, "100% Total Cost", ""), ""), "")</f>
        <v/>
      </c>
      <c r="BJ30" s="750" t="str">
        <f>IFERROR(IF(OR(C30="",G30="",M30="",O30="",R30="",T30="",V30="",X30="",AC30="",AG30="",AI30="",AK30=""),"",
IF(BP30&gt;0,"",
IF(EXPIRATION&lt;&gt;"",PROJSTATEXP,
IF(M02S04F19="",MEASUREBLDG,
IF(BB30&lt;=BC30,MEASURESAVE,""))))),MEASURESUBMIT)</f>
        <v/>
      </c>
      <c r="BK30" s="828" t="str">
        <f>IFERROR(INDEX(STDLIGHT[Measure Life (Years)],MATCH(G30,STDLIGHT[Measure Name],0)),"")</f>
        <v/>
      </c>
      <c r="BL30" s="830" t="str">
        <f>IFERROR(IF(OR(C30="",G30="",M30="",O30="",R30="",T30="",V30="",X30="",AC30="",AG30="",AI30="",AK30=""),"",
ROUND(((1+ELOSS)*((BE30*INDEX(ELECCB[NPV AEC $/kWh],MATCH(BK30,ELECCB[Year Number],1)))+(BF30*INDEX(ELECCB[NPV ACC $/kW],MATCH(BK30,ELECCB[Year Number],1))))),2)),0)</f>
        <v/>
      </c>
      <c r="BM30" s="835"/>
      <c r="BN30" s="832" t="str">
        <f>IFERROR(IF(OR(C30="",G30="",M30="",O30="",R30="",T30="",V30="",X30="",AC30="",AG30="",AI30="",AK30=""),"",INDEX(STDLIGHT[Reporting Methodology],MATCH(G30,STDLIGHT[Measure Name],0))),"Err")</f>
        <v/>
      </c>
      <c r="BO30" s="735" t="str">
        <f>IFERROR(IF(BH30="","",INDEX(STDLIGHT[Incremental Measure Cost ($/Unit)],MATCH(G30,STDLIGHT[Measure Name],0))),"Err")</f>
        <v/>
      </c>
      <c r="BP30" s="837"/>
      <c r="BQ30" s="838" t="str">
        <f>_xlfn.LET(
_xlpm.IPU,
IFERROR(IF(G30="","",IF(C30&lt;&gt;INDEX(STDLIGHT[Eff Category 1],MATCH(G30,STDLIGHT[Measure Name],0)),0,INDEX(STDLIGHT[Base Incentive],MATCH(G30,STDLIGHT[Measure Name],0)))),""),
IFERROR(ROUND(V30*_xlpm.IPU, 2), ""))</f>
        <v/>
      </c>
    </row>
    <row r="31" spans="1:69" ht="15.95" customHeight="1">
      <c r="B31" s="806"/>
      <c r="C31" s="728"/>
      <c r="D31" s="729"/>
      <c r="E31" s="729"/>
      <c r="F31" s="730"/>
      <c r="G31" s="741"/>
      <c r="H31" s="742"/>
      <c r="I31" s="742"/>
      <c r="J31" s="742"/>
      <c r="K31" s="742"/>
      <c r="L31" s="743"/>
      <c r="M31" s="728"/>
      <c r="N31" s="730"/>
      <c r="O31" s="728"/>
      <c r="P31" s="729"/>
      <c r="Q31" s="730"/>
      <c r="R31" s="733"/>
      <c r="S31" s="734"/>
      <c r="T31" s="782"/>
      <c r="U31" s="783"/>
      <c r="V31" s="785"/>
      <c r="W31" s="785"/>
      <c r="X31" s="764"/>
      <c r="Y31" s="764"/>
      <c r="Z31" s="716"/>
      <c r="AA31" s="717"/>
      <c r="AB31" s="718"/>
      <c r="AC31" s="716"/>
      <c r="AD31" s="717"/>
      <c r="AE31" s="717"/>
      <c r="AF31" s="718"/>
      <c r="AG31" s="805"/>
      <c r="AH31" s="728"/>
      <c r="AI31" s="765"/>
      <c r="AJ31" s="766"/>
      <c r="AK31" s="766"/>
      <c r="AL31" s="767"/>
      <c r="AM31" s="795"/>
      <c r="AN31" s="796"/>
      <c r="AO31" s="798"/>
      <c r="AP31" s="798"/>
      <c r="AQ31" s="798"/>
      <c r="AR31" s="802"/>
      <c r="AS31" s="803"/>
      <c r="AT31" s="803"/>
      <c r="AU31" s="804"/>
      <c r="AV31" s="22"/>
      <c r="AX31" s="749"/>
      <c r="AY31" s="751"/>
      <c r="AZ31" s="747"/>
      <c r="BA31" s="747"/>
      <c r="BB31" s="747"/>
      <c r="BC31" s="747"/>
      <c r="BD31" s="755"/>
      <c r="BE31" s="747"/>
      <c r="BF31" s="747"/>
      <c r="BG31" s="839"/>
      <c r="BH31" s="751"/>
      <c r="BI31" s="755"/>
      <c r="BJ31" s="751"/>
      <c r="BK31" s="829"/>
      <c r="BL31" s="831"/>
      <c r="BM31" s="836"/>
      <c r="BN31" s="832"/>
      <c r="BO31" s="735"/>
      <c r="BP31" s="837"/>
      <c r="BQ31" s="839"/>
    </row>
    <row r="32" spans="1:69" ht="15.95" customHeight="1">
      <c r="B32" s="806">
        <v>8</v>
      </c>
      <c r="C32" s="728"/>
      <c r="D32" s="729"/>
      <c r="E32" s="729"/>
      <c r="F32" s="730"/>
      <c r="G32" s="738"/>
      <c r="H32" s="739"/>
      <c r="I32" s="739"/>
      <c r="J32" s="739"/>
      <c r="K32" s="739"/>
      <c r="L32" s="740"/>
      <c r="M32" s="728"/>
      <c r="N32" s="730"/>
      <c r="O32" s="728"/>
      <c r="P32" s="729"/>
      <c r="Q32" s="730"/>
      <c r="R32" s="731" t="str">
        <f>IFERROR(IF(INDEX(STDLIGHTINEFCAT2[System Wattage],MATCH('M03-S02'!$M32&amp;"_"&amp;INDEX(STDLIGHT[Ineff Dropdown 2],MATCH('M03-S02'!$G32,STDLIGHT[Measure Name],0))&amp;"_"&amp;O32,STDLIGHTINEFCAT2[Full Name],0))="","",INDEX(STDLIGHTINEFCAT2[System Wattage],MATCH('M03-S02'!$M32&amp;"_"&amp;INDEX(STDLIGHT[Ineff Dropdown 2],MATCH('M03-S02'!$G32,STDLIGHT[Measure Name],0))&amp;"_"&amp;O32,STDLIGHTINEFCAT2[Full Name],0))),"")</f>
        <v/>
      </c>
      <c r="S32" s="732"/>
      <c r="T32" s="782" t="str">
        <f t="shared" ref="T32" si="11">IF(C32="Permanent Lamp Removal",0,"")</f>
        <v/>
      </c>
      <c r="U32" s="783"/>
      <c r="V32" s="785"/>
      <c r="W32" s="785"/>
      <c r="X32" s="763"/>
      <c r="Y32" s="763"/>
      <c r="Z32" s="713"/>
      <c r="AA32" s="714"/>
      <c r="AB32" s="715"/>
      <c r="AC32" s="713"/>
      <c r="AD32" s="714"/>
      <c r="AE32" s="714"/>
      <c r="AF32" s="715"/>
      <c r="AG32" s="805"/>
      <c r="AH32" s="728"/>
      <c r="AI32" s="765"/>
      <c r="AJ32" s="766"/>
      <c r="AK32" s="766"/>
      <c r="AL32" s="767"/>
      <c r="AM32" s="793" t="str">
        <f>IFERROR(IF(G32="","",IF(C32&lt;&gt;INDEX(STDLIGHT[Eff Category 1],MATCH(G32,STDLIGHT[Measure Name],0)),0,INDEX(IF(AND(ACTIVEBONUS = TRUE,INDEX(STDLIGHT[Bonus Incentive],MATCH(G32,STDLIGHT[Measure Name],0))&lt;&gt; ""),STDLIGHT[Bonus Incentive],STDLIGHT[Base Incentive]),MATCH(G32,STDLIGHT[Measure Name],0)))),"")</f>
        <v/>
      </c>
      <c r="AN32" s="794"/>
      <c r="AO32" s="797" t="str">
        <f>IFERROR(IF(OR(C32="",G32="",M32="",O32="",R32="",T32="",V32="",X32="",AC32="",AG32="",AI32="",AK32=""),"",IF(BN32="Deemed",AZ32,IF(BN32="Calculated",BE32,""))),"")</f>
        <v/>
      </c>
      <c r="AP32" s="797"/>
      <c r="AQ32" s="797"/>
      <c r="AR32" s="799" t="str">
        <f>IFERROR(IF(OR(C32="",G32="",M32="",O32="",R32="",T32="",V32="",X32="",AC32="",AG32="",AI32="",AK32=""),"",IF(BJ32&lt;&gt;"",BJ32,IF(BP32&gt;0,BP32,ROUND(IF(AO32&lt;=0,0,MIN(AX32,BG32)),2)))),"")</f>
        <v/>
      </c>
      <c r="AS32" s="800"/>
      <c r="AT32" s="800"/>
      <c r="AU32" s="801"/>
      <c r="AV32" s="22"/>
      <c r="AX32" s="748" t="str">
        <f>IF(OR(C32="",G32="",M32="",O32="",R32="",T32="",V32="",X32="",AC32="",AG32="",AI32="",AK32=""),"",IF(AO32=0,"",ROUND(AI32+AK32,2)))</f>
        <v/>
      </c>
      <c r="AY32" s="750" t="str">
        <f>IFERROR(IF(OR(C32="",G32="",M32="",O32="",R32="",T32="",V32="",X32="",AC32="",AG32="",AI32="",AK32=""),"",INDEX(STDLIGHT[Current Unit],MATCH(G32,STDLIGHT[Measure Name],0))),"Err")</f>
        <v/>
      </c>
      <c r="AZ32" s="746" t="str">
        <f>IF(OR(C32="",G32="",M32="",O32="",R32="",T32="",V32="",X32="",AC32="",AG32="",AI32="",AK32=""),"",IFERROR(IF(G32="","",IF(C32&lt;&gt;INDEX(STDLIGHT[Eff Category 1],MATCH(G32,STDLIGHT[Measure Name],0)),0,
IF(BB32&lt;=BC32,0,
ROUND(V32*INDEX(STDLIGHT[Electric Energy Savings (Annual kWh/unit)],MATCH('M03-S02'!G32,STDLIGHT[Measure Name],0)),4)))),""))</f>
        <v/>
      </c>
      <c r="BA32" s="746" t="str">
        <f>IF(OR(C32="",G32="",M32="",O32="",R32="",T32="",V32="",X32="",AC32="",AG32="",AI32="",AK32=""),"",IFERROR(IF(G32="","",IF(C32&lt;&gt;INDEX(STDLIGHT[Eff Category 1],MATCH(G32,STDLIGHT[Measure Name],0)),0,
IF(BB32&lt;=BC32,0,
ROUND(V32*INDEX(STDLIGHT[Coincident Peak Demand Savings (kW/unit)],MATCH('M03-S02'!G32,STDLIGHT[Measure Name],0)),4)))),""))</f>
        <v/>
      </c>
      <c r="BB32" s="746" t="str">
        <f>IF(OR(C32="",G32="",M32="",O32="",R32="",T32="",V32="",X32="",AC32="",AG32="",AI32="",AK32=""),"",
IF(OR(ISNUMBER(SEARCH("Exterior",C32)),ISNUMBER(SEARCH("Parking",C32)),M02S04F22="Unconditioned",M02S04F22="Electric Heat Only",M02S04F22="Natural Gas Heat Only"),ROUND(R32*V32*X32/1000,4),
ROUND(R32*V32*X32/1000*INDEX(BUILDINGTYPE[Waste Heat Factor (e)],MATCH(M02S04F19,BUILDINGTYPE[Building Type],0)),4)))</f>
        <v/>
      </c>
      <c r="BC32" s="746" t="str">
        <f>IF(OR(C32="",G32="",M32="",O32="",R32="",T32="",V32="",X32="",AC32="",AG32="",AI32="",AK32=""),"",
IF(OR(ISNUMBER(SEARCH("Exterior",C32)),ISNUMBER(SEARCH("Parking",C32)),M02S04F22="Unconditioned",M02S04F22="Electric Heat Only",M02S04F22="Natural Gas Heat Only"),ROUND(T32*V32*X32/1000,4),
ROUND(T32*V32*X32/1000*INDEX(BUILDINGTYPE[Waste Heat Factor (e)],MATCH(M02S04F19,BUILDINGTYPE[Building Type],0)),4)))</f>
        <v/>
      </c>
      <c r="BD32" s="754" t="str">
        <f>IFERROR(IF(OR(C32="",G32="",M32="",O32="",R32="",T32="",V32="",X32="",AC32="",AG32="",AI32="",AK32=""),"",INDEX(STDLIGHT[End Use],MATCH(G32,STDLIGHT[Measure Name],0))),"Err")</f>
        <v/>
      </c>
      <c r="BE32" s="746" t="str">
        <f>IFERROR(IF(OR(C32="",G32="",M32="",O32="",R32="",T32="",V32="",X32="",AC32="",AG32="",AI32="",AK32=""),"",
IF(BB32&lt;=BC32,0,
IF(OR(ISNUMBER(SEARCH("Exterior",C32)),ISNUMBER(SEARCH("Parking",C32)),M02S04F22="Unconditioned",M02S04F22="Electric Heat Only",M02S04F22="Natural Gas Heat Only"),ROUND((R32-T32)*V32*X32/1000,4),
ROUND((R32-T32)*V32*X32/1000*INDEX(BUILDINGTYPE[Waste Heat Factor (e)],MATCH(M02S04F19,BUILDINGTYPE[Building Type],0)),4)))),"")</f>
        <v/>
      </c>
      <c r="BF32" s="746" t="str">
        <f>IFERROR(IF(OR(C32="",G32="",M32="",O32="",R32="",T32="",V32="",X32="",AC32="",AG32="",AI32="",AK32=""),"",
IF(BB32&lt;=BC32,0,
IF(ISNUMBER(SEARCH("Exterior",C32)),0,
IF(OR(ISNUMBER(SEARCH("Parking",C32)),M02S04F22="Unconditioned",M02S04F22="Electric Heat Only",M02S04F22="Natural Gas Heat Only"),ROUND((R32-T32)*V32/1000*INDEX(BUILDINGTYPE[Lighting Coincidence Factor],MATCH(M02S04F19,BUILDINGTYPE[Building Type],0)),4),
ROUND((R32-T32)*V32/1000*INDEX(BUILDINGTYPE[Lighting Coincidence Factor],MATCH(M02S04F19,BUILDINGTYPE[Building Type],0))*INDEX(BUILDINGTYPE[WHFd],MATCH(M02S04F19,BUILDINGTYPE[Building Type],0)),4))))),"")</f>
        <v/>
      </c>
      <c r="BG32" s="838" t="str">
        <f>IFERROR(ROUND(V32*AM32, 2), "")</f>
        <v/>
      </c>
      <c r="BH32" s="750" t="str">
        <f>IFERROR(IF(OR(C32="",G32="",M32="",O32="",R32="",T32="",V32="",X32="",AC32="",AG32="",AI32="",AK32="",ISNUMBER(AR32)=FALSE,AR32=0),"",INDEX(STDLIGHT[Measure Number],MATCH(G32,STDLIGHT[Measure Name],0))),"Err")</f>
        <v/>
      </c>
      <c r="BI32" s="754" t="str">
        <f t="shared" ref="BI32" si="12">IFERROR(IF(BP32="",IF(AR32 &lt; BG32, "100% Total Cost", ""), ""), "")</f>
        <v/>
      </c>
      <c r="BJ32" s="750" t="str">
        <f>IFERROR(IF(OR(C32="",G32="",M32="",O32="",R32="",T32="",V32="",X32="",AC32="",AG32="",AI32="",AK32=""),"",
IF(BP32&gt;0,"",
IF(EXPIRATION&lt;&gt;"",PROJSTATEXP,
IF(M02S04F19="",MEASUREBLDG,
IF(BB32&lt;=BC32,MEASURESAVE,""))))),MEASURESUBMIT)</f>
        <v/>
      </c>
      <c r="BK32" s="828" t="str">
        <f>IFERROR(INDEX(STDLIGHT[Measure Life (Years)],MATCH(G32,STDLIGHT[Measure Name],0)),"")</f>
        <v/>
      </c>
      <c r="BL32" s="830" t="str">
        <f>IFERROR(IF(OR(C32="",G32="",M32="",O32="",R32="",T32="",V32="",X32="",AC32="",AG32="",AI32="",AK32=""),"",
ROUND(((1+ELOSS)*((BE32*INDEX(ELECCB[NPV AEC $/kWh],MATCH(BK32,ELECCB[Year Number],1)))+(BF32*INDEX(ELECCB[NPV ACC $/kW],MATCH(BK32,ELECCB[Year Number],1))))),2)),0)</f>
        <v/>
      </c>
      <c r="BM32" s="835"/>
      <c r="BN32" s="832" t="str">
        <f>IFERROR(IF(OR(C32="",G32="",M32="",O32="",R32="",T32="",V32="",X32="",AC32="",AG32="",AI32="",AK32=""),"",INDEX(STDLIGHT[Reporting Methodology],MATCH(G32,STDLIGHT[Measure Name],0))),"Err")</f>
        <v/>
      </c>
      <c r="BO32" s="735" t="str">
        <f>IFERROR(IF(BH32="","",INDEX(STDLIGHT[Incremental Measure Cost ($/Unit)],MATCH(G32,STDLIGHT[Measure Name],0))),"Err")</f>
        <v/>
      </c>
      <c r="BP32" s="837"/>
      <c r="BQ32" s="838" t="str">
        <f>_xlfn.LET(
_xlpm.IPU,
IFERROR(IF(G32="","",IF(C32&lt;&gt;INDEX(STDLIGHT[Eff Category 1],MATCH(G32,STDLIGHT[Measure Name],0)),0,INDEX(STDLIGHT[Base Incentive],MATCH(G32,STDLIGHT[Measure Name],0)))),""),
IFERROR(ROUND(V32*_xlpm.IPU, 2), ""))</f>
        <v/>
      </c>
    </row>
    <row r="33" spans="2:69" ht="15.95" customHeight="1">
      <c r="B33" s="806"/>
      <c r="C33" s="728"/>
      <c r="D33" s="729"/>
      <c r="E33" s="729"/>
      <c r="F33" s="730"/>
      <c r="G33" s="741"/>
      <c r="H33" s="742"/>
      <c r="I33" s="742"/>
      <c r="J33" s="742"/>
      <c r="K33" s="742"/>
      <c r="L33" s="743"/>
      <c r="M33" s="728"/>
      <c r="N33" s="730"/>
      <c r="O33" s="728"/>
      <c r="P33" s="729"/>
      <c r="Q33" s="730"/>
      <c r="R33" s="733"/>
      <c r="S33" s="734"/>
      <c r="T33" s="782"/>
      <c r="U33" s="783"/>
      <c r="V33" s="785"/>
      <c r="W33" s="785"/>
      <c r="X33" s="764"/>
      <c r="Y33" s="764"/>
      <c r="Z33" s="716"/>
      <c r="AA33" s="717"/>
      <c r="AB33" s="718"/>
      <c r="AC33" s="716"/>
      <c r="AD33" s="717"/>
      <c r="AE33" s="717"/>
      <c r="AF33" s="718"/>
      <c r="AG33" s="805"/>
      <c r="AH33" s="728"/>
      <c r="AI33" s="765"/>
      <c r="AJ33" s="766"/>
      <c r="AK33" s="766"/>
      <c r="AL33" s="767"/>
      <c r="AM33" s="795"/>
      <c r="AN33" s="796"/>
      <c r="AO33" s="798"/>
      <c r="AP33" s="798"/>
      <c r="AQ33" s="798"/>
      <c r="AR33" s="802"/>
      <c r="AS33" s="803"/>
      <c r="AT33" s="803"/>
      <c r="AU33" s="804"/>
      <c r="AV33" s="22"/>
      <c r="AX33" s="749"/>
      <c r="AY33" s="751"/>
      <c r="AZ33" s="747"/>
      <c r="BA33" s="747"/>
      <c r="BB33" s="747"/>
      <c r="BC33" s="747"/>
      <c r="BD33" s="755"/>
      <c r="BE33" s="747"/>
      <c r="BF33" s="747"/>
      <c r="BG33" s="839"/>
      <c r="BH33" s="751"/>
      <c r="BI33" s="755"/>
      <c r="BJ33" s="751"/>
      <c r="BK33" s="829"/>
      <c r="BL33" s="831"/>
      <c r="BM33" s="836"/>
      <c r="BN33" s="832"/>
      <c r="BO33" s="735"/>
      <c r="BP33" s="837"/>
      <c r="BQ33" s="839"/>
    </row>
    <row r="34" spans="2:69" ht="15.95" customHeight="1">
      <c r="B34" s="806">
        <v>9</v>
      </c>
      <c r="C34" s="728"/>
      <c r="D34" s="729"/>
      <c r="E34" s="729"/>
      <c r="F34" s="730"/>
      <c r="G34" s="738"/>
      <c r="H34" s="739"/>
      <c r="I34" s="739"/>
      <c r="J34" s="739"/>
      <c r="K34" s="739"/>
      <c r="L34" s="740"/>
      <c r="M34" s="728"/>
      <c r="N34" s="730"/>
      <c r="O34" s="728"/>
      <c r="P34" s="729"/>
      <c r="Q34" s="730"/>
      <c r="R34" s="731" t="str">
        <f>IFERROR(IF(INDEX(STDLIGHTINEFCAT2[System Wattage],MATCH('M03-S02'!$M34&amp;"_"&amp;INDEX(STDLIGHT[Ineff Dropdown 2],MATCH('M03-S02'!$G34,STDLIGHT[Measure Name],0))&amp;"_"&amp;O34,STDLIGHTINEFCAT2[Full Name],0))="","",INDEX(STDLIGHTINEFCAT2[System Wattage],MATCH('M03-S02'!$M34&amp;"_"&amp;INDEX(STDLIGHT[Ineff Dropdown 2],MATCH('M03-S02'!$G34,STDLIGHT[Measure Name],0))&amp;"_"&amp;O34,STDLIGHTINEFCAT2[Full Name],0))),"")</f>
        <v/>
      </c>
      <c r="S34" s="732"/>
      <c r="T34" s="782" t="str">
        <f t="shared" ref="T34" si="13">IF(C34="Permanent Lamp Removal",0,"")</f>
        <v/>
      </c>
      <c r="U34" s="783"/>
      <c r="V34" s="785"/>
      <c r="W34" s="785"/>
      <c r="X34" s="763"/>
      <c r="Y34" s="763"/>
      <c r="Z34" s="713"/>
      <c r="AA34" s="714"/>
      <c r="AB34" s="715"/>
      <c r="AC34" s="713"/>
      <c r="AD34" s="714"/>
      <c r="AE34" s="714"/>
      <c r="AF34" s="715"/>
      <c r="AG34" s="805"/>
      <c r="AH34" s="728"/>
      <c r="AI34" s="765"/>
      <c r="AJ34" s="766"/>
      <c r="AK34" s="766"/>
      <c r="AL34" s="767"/>
      <c r="AM34" s="793" t="str">
        <f>IFERROR(IF(G34="","",IF(C34&lt;&gt;INDEX(STDLIGHT[Eff Category 1],MATCH(G34,STDLIGHT[Measure Name],0)),0,INDEX(IF(AND(ACTIVEBONUS = TRUE,INDEX(STDLIGHT[Bonus Incentive],MATCH(G34,STDLIGHT[Measure Name],0))&lt;&gt; ""),STDLIGHT[Bonus Incentive],STDLIGHT[Base Incentive]),MATCH(G34,STDLIGHT[Measure Name],0)))),"")</f>
        <v/>
      </c>
      <c r="AN34" s="794"/>
      <c r="AO34" s="797" t="str">
        <f>IFERROR(IF(OR(C34="",G34="",M34="",O34="",R34="",T34="",V34="",X34="",AC34="",AG34="",AI34="",AK34=""),"",IF(BN34="Deemed",AZ34,IF(BN34="Calculated",BE34,""))),"")</f>
        <v/>
      </c>
      <c r="AP34" s="797"/>
      <c r="AQ34" s="797"/>
      <c r="AR34" s="799" t="str">
        <f>IFERROR(IF(OR(C34="",G34="",M34="",O34="",R34="",T34="",V34="",X34="",AC34="",AG34="",AI34="",AK34=""),"",IF(BJ34&lt;&gt;"",BJ34,IF(BP34&gt;0,BP34,ROUND(IF(AO34&lt;=0,0,MIN(AX34,BG34)),2)))),"")</f>
        <v/>
      </c>
      <c r="AS34" s="800"/>
      <c r="AT34" s="800"/>
      <c r="AU34" s="801"/>
      <c r="AV34" s="22"/>
      <c r="AX34" s="748" t="str">
        <f>IF(OR(C34="",G34="",M34="",O34="",R34="",T34="",V34="",X34="",AC34="",AG34="",AI34="",AK34=""),"",IF(AO34=0,"",ROUND(AI34+AK34,2)))</f>
        <v/>
      </c>
      <c r="AY34" s="750" t="str">
        <f>IFERROR(IF(OR(C34="",G34="",M34="",O34="",R34="",T34="",V34="",X34="",AC34="",AG34="",AI34="",AK34=""),"",INDEX(STDLIGHT[Current Unit],MATCH(G34,STDLIGHT[Measure Name],0))),"Err")</f>
        <v/>
      </c>
      <c r="AZ34" s="746" t="str">
        <f>IF(OR(C34="",G34="",M34="",O34="",R34="",T34="",V34="",X34="",AC34="",AG34="",AI34="",AK34=""),"",IFERROR(IF(G34="","",IF(C34&lt;&gt;INDEX(STDLIGHT[Eff Category 1],MATCH(G34,STDLIGHT[Measure Name],0)),0,
IF(BB34&lt;=BC34,0,
ROUND(V34*INDEX(STDLIGHT[Electric Energy Savings (Annual kWh/unit)],MATCH('M03-S02'!G34,STDLIGHT[Measure Name],0)),4)))),""))</f>
        <v/>
      </c>
      <c r="BA34" s="746" t="str">
        <f>IF(OR(C34="",G34="",M34="",O34="",R34="",T34="",V34="",X34="",AC34="",AG34="",AI34="",AK34=""),"",IFERROR(IF(G34="","",IF(C34&lt;&gt;INDEX(STDLIGHT[Eff Category 1],MATCH(G34,STDLIGHT[Measure Name],0)),0,
IF(BB34&lt;=BC34,0,
ROUND(V34*INDEX(STDLIGHT[Coincident Peak Demand Savings (kW/unit)],MATCH('M03-S02'!G34,STDLIGHT[Measure Name],0)),4)))),""))</f>
        <v/>
      </c>
      <c r="BB34" s="746" t="str">
        <f>IF(OR(C34="",G34="",M34="",O34="",R34="",T34="",V34="",X34="",AC34="",AG34="",AI34="",AK34=""),"",
IF(OR(ISNUMBER(SEARCH("Exterior",C34)),ISNUMBER(SEARCH("Parking",C34)),M02S04F22="Unconditioned",M02S04F22="Electric Heat Only",M02S04F22="Natural Gas Heat Only"),ROUND(R34*V34*X34/1000,4),
ROUND(R34*V34*X34/1000*INDEX(BUILDINGTYPE[Waste Heat Factor (e)],MATCH(M02S04F19,BUILDINGTYPE[Building Type],0)),4)))</f>
        <v/>
      </c>
      <c r="BC34" s="746" t="str">
        <f>IF(OR(C34="",G34="",M34="",O34="",R34="",T34="",V34="",X34="",AC34="",AG34="",AI34="",AK34=""),"",
IF(OR(ISNUMBER(SEARCH("Exterior",C34)),ISNUMBER(SEARCH("Parking",C34)),M02S04F22="Unconditioned",M02S04F22="Electric Heat Only",M02S04F22="Natural Gas Heat Only"),ROUND(T34*V34*X34/1000,4),
ROUND(T34*V34*X34/1000*INDEX(BUILDINGTYPE[Waste Heat Factor (e)],MATCH(M02S04F19,BUILDINGTYPE[Building Type],0)),4)))</f>
        <v/>
      </c>
      <c r="BD34" s="754" t="str">
        <f>IFERROR(IF(OR(C34="",G34="",M34="",O34="",R34="",T34="",V34="",X34="",AC34="",AG34="",AI34="",AK34=""),"",INDEX(STDLIGHT[End Use],MATCH(G34,STDLIGHT[Measure Name],0))),"Err")</f>
        <v/>
      </c>
      <c r="BE34" s="746" t="str">
        <f>IFERROR(IF(OR(C34="",G34="",M34="",O34="",R34="",T34="",V34="",X34="",AC34="",AG34="",AI34="",AK34=""),"",
IF(BB34&lt;=BC34,0,
IF(OR(ISNUMBER(SEARCH("Exterior",C34)),ISNUMBER(SEARCH("Parking",C34)),M02S04F22="Unconditioned",M02S04F22="Electric Heat Only",M02S04F22="Natural Gas Heat Only"),ROUND((R34-T34)*V34*X34/1000,4),
ROUND((R34-T34)*V34*X34/1000*INDEX(BUILDINGTYPE[Waste Heat Factor (e)],MATCH(M02S04F19,BUILDINGTYPE[Building Type],0)),4)))),"")</f>
        <v/>
      </c>
      <c r="BF34" s="746" t="str">
        <f>IFERROR(IF(OR(C34="",G34="",M34="",O34="",R34="",T34="",V34="",X34="",AC34="",AG34="",AI34="",AK34=""),"",
IF(BB34&lt;=BC34,0,
IF(ISNUMBER(SEARCH("Exterior",C34)),0,
IF(OR(ISNUMBER(SEARCH("Parking",C34)),M02S04F22="Unconditioned",M02S04F22="Electric Heat Only",M02S04F22="Natural Gas Heat Only"),ROUND((R34-T34)*V34/1000*INDEX(BUILDINGTYPE[Lighting Coincidence Factor],MATCH(M02S04F19,BUILDINGTYPE[Building Type],0)),4),
ROUND((R34-T34)*V34/1000*INDEX(BUILDINGTYPE[Lighting Coincidence Factor],MATCH(M02S04F19,BUILDINGTYPE[Building Type],0))*INDEX(BUILDINGTYPE[WHFd],MATCH(M02S04F19,BUILDINGTYPE[Building Type],0)),4))))),"")</f>
        <v/>
      </c>
      <c r="BG34" s="838" t="str">
        <f>IFERROR(ROUND(V34*AM34, 2), "")</f>
        <v/>
      </c>
      <c r="BH34" s="750" t="str">
        <f>IFERROR(IF(OR(C34="",G34="",M34="",O34="",R34="",T34="",V34="",X34="",AC34="",AG34="",AI34="",AK34="",ISNUMBER(AR34)=FALSE,AR34=0),"",INDEX(STDLIGHT[Measure Number],MATCH(G34,STDLIGHT[Measure Name],0))),"Err")</f>
        <v/>
      </c>
      <c r="BI34" s="754" t="str">
        <f t="shared" ref="BI34" si="14">IFERROR(IF(BP34="",IF(AR34 &lt; BG34, "100% Total Cost", ""), ""), "")</f>
        <v/>
      </c>
      <c r="BJ34" s="750" t="str">
        <f>IFERROR(IF(OR(C34="",G34="",M34="",O34="",R34="",T34="",V34="",X34="",AC34="",AG34="",AI34="",AK34=""),"",
IF(BP34&gt;0,"",
IF(EXPIRATION&lt;&gt;"",PROJSTATEXP,
IF(M02S04F19="",MEASUREBLDG,
IF(BB34&lt;=BC34,MEASURESAVE,""))))),MEASURESUBMIT)</f>
        <v/>
      </c>
      <c r="BK34" s="828" t="str">
        <f>IFERROR(INDEX(STDLIGHT[Measure Life (Years)],MATCH(G34,STDLIGHT[Measure Name],0)),"")</f>
        <v/>
      </c>
      <c r="BL34" s="830" t="str">
        <f>IFERROR(IF(OR(C34="",G34="",M34="",O34="",R34="",T34="",V34="",X34="",AC34="",AG34="",AI34="",AK34=""),"",
ROUND(((1+ELOSS)*((BE34*INDEX(ELECCB[NPV AEC $/kWh],MATCH(BK34,ELECCB[Year Number],1)))+(BF34*INDEX(ELECCB[NPV ACC $/kW],MATCH(BK34,ELECCB[Year Number],1))))),2)),0)</f>
        <v/>
      </c>
      <c r="BM34" s="835"/>
      <c r="BN34" s="832" t="str">
        <f>IFERROR(IF(OR(C34="",G34="",M34="",O34="",R34="",T34="",V34="",X34="",AC34="",AG34="",AI34="",AK34=""),"",INDEX(STDLIGHT[Reporting Methodology],MATCH(G34,STDLIGHT[Measure Name],0))),"Err")</f>
        <v/>
      </c>
      <c r="BO34" s="735" t="str">
        <f>IFERROR(IF(BH34="","",INDEX(STDLIGHT[Incremental Measure Cost ($/Unit)],MATCH(G34,STDLIGHT[Measure Name],0))),"Err")</f>
        <v/>
      </c>
      <c r="BP34" s="837"/>
      <c r="BQ34" s="838" t="str">
        <f>_xlfn.LET(
_xlpm.IPU,
IFERROR(IF(G34="","",IF(C34&lt;&gt;INDEX(STDLIGHT[Eff Category 1],MATCH(G34,STDLIGHT[Measure Name],0)),0,INDEX(STDLIGHT[Base Incentive],MATCH(G34,STDLIGHT[Measure Name],0)))),""),
IFERROR(ROUND(V34*_xlpm.IPU, 2), ""))</f>
        <v/>
      </c>
    </row>
    <row r="35" spans="2:69" ht="15.95" customHeight="1">
      <c r="B35" s="806"/>
      <c r="C35" s="728"/>
      <c r="D35" s="729"/>
      <c r="E35" s="729"/>
      <c r="F35" s="730"/>
      <c r="G35" s="741"/>
      <c r="H35" s="742"/>
      <c r="I35" s="742"/>
      <c r="J35" s="742"/>
      <c r="K35" s="742"/>
      <c r="L35" s="743"/>
      <c r="M35" s="728"/>
      <c r="N35" s="730"/>
      <c r="O35" s="728"/>
      <c r="P35" s="729"/>
      <c r="Q35" s="730"/>
      <c r="R35" s="733"/>
      <c r="S35" s="734"/>
      <c r="T35" s="782"/>
      <c r="U35" s="783"/>
      <c r="V35" s="785"/>
      <c r="W35" s="785"/>
      <c r="X35" s="764"/>
      <c r="Y35" s="764"/>
      <c r="Z35" s="716"/>
      <c r="AA35" s="717"/>
      <c r="AB35" s="718"/>
      <c r="AC35" s="716"/>
      <c r="AD35" s="717"/>
      <c r="AE35" s="717"/>
      <c r="AF35" s="718"/>
      <c r="AG35" s="805"/>
      <c r="AH35" s="728"/>
      <c r="AI35" s="765"/>
      <c r="AJ35" s="766"/>
      <c r="AK35" s="766"/>
      <c r="AL35" s="767"/>
      <c r="AM35" s="795"/>
      <c r="AN35" s="796"/>
      <c r="AO35" s="798"/>
      <c r="AP35" s="798"/>
      <c r="AQ35" s="798"/>
      <c r="AR35" s="802"/>
      <c r="AS35" s="803"/>
      <c r="AT35" s="803"/>
      <c r="AU35" s="804"/>
      <c r="AV35" s="22"/>
      <c r="AX35" s="749"/>
      <c r="AY35" s="751"/>
      <c r="AZ35" s="747"/>
      <c r="BA35" s="747"/>
      <c r="BB35" s="747"/>
      <c r="BC35" s="747"/>
      <c r="BD35" s="755"/>
      <c r="BE35" s="747"/>
      <c r="BF35" s="747"/>
      <c r="BG35" s="839"/>
      <c r="BH35" s="751"/>
      <c r="BI35" s="755"/>
      <c r="BJ35" s="751"/>
      <c r="BK35" s="829"/>
      <c r="BL35" s="831"/>
      <c r="BM35" s="836"/>
      <c r="BN35" s="832"/>
      <c r="BO35" s="735"/>
      <c r="BP35" s="837"/>
      <c r="BQ35" s="839"/>
    </row>
    <row r="36" spans="2:69" ht="15.95" customHeight="1">
      <c r="B36" s="806">
        <v>10</v>
      </c>
      <c r="C36" s="728"/>
      <c r="D36" s="729"/>
      <c r="E36" s="729"/>
      <c r="F36" s="730"/>
      <c r="G36" s="738"/>
      <c r="H36" s="739"/>
      <c r="I36" s="739"/>
      <c r="J36" s="739"/>
      <c r="K36" s="739"/>
      <c r="L36" s="740"/>
      <c r="M36" s="728"/>
      <c r="N36" s="730"/>
      <c r="O36" s="728"/>
      <c r="P36" s="729"/>
      <c r="Q36" s="730"/>
      <c r="R36" s="731" t="str">
        <f>IFERROR(IF(INDEX(STDLIGHTINEFCAT2[System Wattage],MATCH('M03-S02'!$M36&amp;"_"&amp;INDEX(STDLIGHT[Ineff Dropdown 2],MATCH('M03-S02'!$G36,STDLIGHT[Measure Name],0))&amp;"_"&amp;O36,STDLIGHTINEFCAT2[Full Name],0))="","",INDEX(STDLIGHTINEFCAT2[System Wattage],MATCH('M03-S02'!$M36&amp;"_"&amp;INDEX(STDLIGHT[Ineff Dropdown 2],MATCH('M03-S02'!$G36,STDLIGHT[Measure Name],0))&amp;"_"&amp;O36,STDLIGHTINEFCAT2[Full Name],0))),"")</f>
        <v/>
      </c>
      <c r="S36" s="732"/>
      <c r="T36" s="782" t="str">
        <f t="shared" ref="T36" si="15">IF(C36="Permanent Lamp Removal",0,"")</f>
        <v/>
      </c>
      <c r="U36" s="783"/>
      <c r="V36" s="785"/>
      <c r="W36" s="785"/>
      <c r="X36" s="763"/>
      <c r="Y36" s="763"/>
      <c r="Z36" s="713"/>
      <c r="AA36" s="714"/>
      <c r="AB36" s="715"/>
      <c r="AC36" s="713"/>
      <c r="AD36" s="714"/>
      <c r="AE36" s="714"/>
      <c r="AF36" s="715"/>
      <c r="AG36" s="805"/>
      <c r="AH36" s="728"/>
      <c r="AI36" s="765"/>
      <c r="AJ36" s="766"/>
      <c r="AK36" s="766"/>
      <c r="AL36" s="767"/>
      <c r="AM36" s="793" t="str">
        <f>IFERROR(IF(G36="","",IF(C36&lt;&gt;INDEX(STDLIGHT[Eff Category 1],MATCH(G36,STDLIGHT[Measure Name],0)),0,INDEX(IF(AND(ACTIVEBONUS = TRUE,INDEX(STDLIGHT[Bonus Incentive],MATCH(G36,STDLIGHT[Measure Name],0))&lt;&gt; ""),STDLIGHT[Bonus Incentive],STDLIGHT[Base Incentive]),MATCH(G36,STDLIGHT[Measure Name],0)))),"")</f>
        <v/>
      </c>
      <c r="AN36" s="794"/>
      <c r="AO36" s="797" t="str">
        <f>IFERROR(IF(OR(C36="",G36="",M36="",O36="",R36="",T36="",V36="",X36="",AC36="",AG36="",AI36="",AK36=""),"",IF(BN36="Deemed",AZ36,IF(BN36="Calculated",BE36,""))),"")</f>
        <v/>
      </c>
      <c r="AP36" s="797"/>
      <c r="AQ36" s="797"/>
      <c r="AR36" s="799" t="str">
        <f>IFERROR(IF(OR(C36="",G36="",M36="",O36="",R36="",T36="",V36="",X36="",AC36="",AG36="",AI36="",AK36=""),"",IF(BJ36&lt;&gt;"",BJ36,IF(BP36&gt;0,BP36,ROUND(IF(AO36&lt;=0,0,MIN(AX36,BG36)),2)))),"")</f>
        <v/>
      </c>
      <c r="AS36" s="800"/>
      <c r="AT36" s="800"/>
      <c r="AU36" s="801"/>
      <c r="AV36" s="22"/>
      <c r="AX36" s="748" t="str">
        <f>IF(OR(C36="",G36="",M36="",O36="",R36="",T36="",V36="",X36="",AC36="",AG36="",AI36="",AK36=""),"",IF(AO36=0,"",ROUND(AI36+AK36,2)))</f>
        <v/>
      </c>
      <c r="AY36" s="750" t="str">
        <f>IFERROR(IF(OR(C36="",G36="",M36="",O36="",R36="",T36="",V36="",X36="",AC36="",AG36="",AI36="",AK36=""),"",INDEX(STDLIGHT[Current Unit],MATCH(G36,STDLIGHT[Measure Name],0))),"Err")</f>
        <v/>
      </c>
      <c r="AZ36" s="746" t="str">
        <f>IF(OR(C36="",G36="",M36="",O36="",R36="",T36="",V36="",X36="",AC36="",AG36="",AI36="",AK36=""),"",IFERROR(IF(G36="","",IF(C36&lt;&gt;INDEX(STDLIGHT[Eff Category 1],MATCH(G36,STDLIGHT[Measure Name],0)),0,
IF(BB36&lt;=BC36,0,
ROUND(V36*INDEX(STDLIGHT[Electric Energy Savings (Annual kWh/unit)],MATCH('M03-S02'!G36,STDLIGHT[Measure Name],0)),4)))),""))</f>
        <v/>
      </c>
      <c r="BA36" s="746" t="str">
        <f>IF(OR(C36="",G36="",M36="",O36="",R36="",T36="",V36="",X36="",AC36="",AG36="",AI36="",AK36=""),"",IFERROR(IF(G36="","",IF(C36&lt;&gt;INDEX(STDLIGHT[Eff Category 1],MATCH(G36,STDLIGHT[Measure Name],0)),0,
IF(BB36&lt;=BC36,0,
ROUND(V36*INDEX(STDLIGHT[Coincident Peak Demand Savings (kW/unit)],MATCH('M03-S02'!G36,STDLIGHT[Measure Name],0)),4)))),""))</f>
        <v/>
      </c>
      <c r="BB36" s="746" t="str">
        <f>IF(OR(C36="",G36="",M36="",O36="",R36="",T36="",V36="",X36="",AC36="",AG36="",AI36="",AK36=""),"",
IF(OR(ISNUMBER(SEARCH("Exterior",C36)),ISNUMBER(SEARCH("Parking",C36)),M02S04F22="Unconditioned",M02S04F22="Electric Heat Only",M02S04F22="Natural Gas Heat Only"),ROUND(R36*V36*X36/1000,4),
ROUND(R36*V36*X36/1000*INDEX(BUILDINGTYPE[Waste Heat Factor (e)],MATCH(M02S04F19,BUILDINGTYPE[Building Type],0)),4)))</f>
        <v/>
      </c>
      <c r="BC36" s="746" t="str">
        <f>IF(OR(C36="",G36="",M36="",O36="",R36="",T36="",V36="",X36="",AC36="",AG36="",AI36="",AK36=""),"",
IF(OR(ISNUMBER(SEARCH("Exterior",C36)),ISNUMBER(SEARCH("Parking",C36)),M02S04F22="Unconditioned",M02S04F22="Electric Heat Only",M02S04F22="Natural Gas Heat Only"),ROUND(T36*V36*X36/1000,4),
ROUND(T36*V36*X36/1000*INDEX(BUILDINGTYPE[Waste Heat Factor (e)],MATCH(M02S04F19,BUILDINGTYPE[Building Type],0)),4)))</f>
        <v/>
      </c>
      <c r="BD36" s="754" t="str">
        <f>IFERROR(IF(OR(C36="",G36="",M36="",O36="",R36="",T36="",V36="",X36="",AC36="",AG36="",AI36="",AK36=""),"",INDEX(STDLIGHT[End Use],MATCH(G36,STDLIGHT[Measure Name],0))),"Err")</f>
        <v/>
      </c>
      <c r="BE36" s="746" t="str">
        <f>IFERROR(IF(OR(C36="",G36="",M36="",O36="",R36="",T36="",V36="",X36="",AC36="",AG36="",AI36="",AK36=""),"",
IF(BB36&lt;=BC36,0,
IF(OR(ISNUMBER(SEARCH("Exterior",C36)),ISNUMBER(SEARCH("Parking",C36)),M02S04F22="Unconditioned",M02S04F22="Electric Heat Only",M02S04F22="Natural Gas Heat Only"),ROUND((R36-T36)*V36*X36/1000,4),
ROUND((R36-T36)*V36*X36/1000*INDEX(BUILDINGTYPE[Waste Heat Factor (e)],MATCH(M02S04F19,BUILDINGTYPE[Building Type],0)),4)))),"")</f>
        <v/>
      </c>
      <c r="BF36" s="746" t="str">
        <f>IFERROR(IF(OR(C36="",G36="",M36="",O36="",R36="",T36="",V36="",X36="",AC36="",AG36="",AI36="",AK36=""),"",
IF(BB36&lt;=BC36,0,
IF(ISNUMBER(SEARCH("Exterior",C36)),0,
IF(OR(ISNUMBER(SEARCH("Parking",C36)),M02S04F22="Unconditioned",M02S04F22="Electric Heat Only",M02S04F22="Natural Gas Heat Only"),ROUND((R36-T36)*V36/1000*INDEX(BUILDINGTYPE[Lighting Coincidence Factor],MATCH(M02S04F19,BUILDINGTYPE[Building Type],0)),4),
ROUND((R36-T36)*V36/1000*INDEX(BUILDINGTYPE[Lighting Coincidence Factor],MATCH(M02S04F19,BUILDINGTYPE[Building Type],0))*INDEX(BUILDINGTYPE[WHFd],MATCH(M02S04F19,BUILDINGTYPE[Building Type],0)),4))))),"")</f>
        <v/>
      </c>
      <c r="BG36" s="838" t="str">
        <f>IFERROR(ROUND(V36*AM36, 2), "")</f>
        <v/>
      </c>
      <c r="BH36" s="750" t="str">
        <f>IFERROR(IF(OR(C36="",G36="",M36="",O36="",R36="",T36="",V36="",X36="",AC36="",AG36="",AI36="",AK36="",ISNUMBER(AR36)=FALSE,AR36=0),"",INDEX(STDLIGHT[Measure Number],MATCH(G36,STDLIGHT[Measure Name],0))),"Err")</f>
        <v/>
      </c>
      <c r="BI36" s="754" t="str">
        <f t="shared" ref="BI36" si="16">IFERROR(IF(BP36="",IF(AR36 &lt; BG36, "100% Total Cost", ""), ""), "")</f>
        <v/>
      </c>
      <c r="BJ36" s="750" t="str">
        <f>IFERROR(IF(OR(C36="",G36="",M36="",O36="",R36="",T36="",V36="",X36="",AC36="",AG36="",AI36="",AK36=""),"",
IF(BP36&gt;0,"",
IF(EXPIRATION&lt;&gt;"",PROJSTATEXP,
IF(M02S04F19="",MEASUREBLDG,
IF(BB36&lt;=BC36,MEASURESAVE,""))))),MEASURESUBMIT)</f>
        <v/>
      </c>
      <c r="BK36" s="828" t="str">
        <f>IFERROR(INDEX(STDLIGHT[Measure Life (Years)],MATCH(G36,STDLIGHT[Measure Name],0)),"")</f>
        <v/>
      </c>
      <c r="BL36" s="830" t="str">
        <f>IFERROR(IF(OR(C36="",G36="",M36="",O36="",R36="",T36="",V36="",X36="",AC36="",AG36="",AI36="",AK36=""),"",
ROUND(((1+ELOSS)*((BE36*INDEX(ELECCB[NPV AEC $/kWh],MATCH(BK36,ELECCB[Year Number],1)))+(BF36*INDEX(ELECCB[NPV ACC $/kW],MATCH(BK36,ELECCB[Year Number],1))))),2)),0)</f>
        <v/>
      </c>
      <c r="BM36" s="835"/>
      <c r="BN36" s="832" t="str">
        <f>IFERROR(IF(OR(C36="",G36="",M36="",O36="",R36="",T36="",V36="",X36="",AC36="",AG36="",AI36="",AK36=""),"",INDEX(STDLIGHT[Reporting Methodology],MATCH(G36,STDLIGHT[Measure Name],0))),"Err")</f>
        <v/>
      </c>
      <c r="BO36" s="735" t="str">
        <f>IFERROR(IF(BH36="","",INDEX(STDLIGHT[Incremental Measure Cost ($/Unit)],MATCH(G36,STDLIGHT[Measure Name],0))),"Err")</f>
        <v/>
      </c>
      <c r="BP36" s="837"/>
      <c r="BQ36" s="838" t="str">
        <f>_xlfn.LET(
_xlpm.IPU,
IFERROR(IF(G36="","",IF(C36&lt;&gt;INDEX(STDLIGHT[Eff Category 1],MATCH(G36,STDLIGHT[Measure Name],0)),0,INDEX(STDLIGHT[Base Incentive],MATCH(G36,STDLIGHT[Measure Name],0)))),""),
IFERROR(ROUND(V36*_xlpm.IPU, 2), ""))</f>
        <v/>
      </c>
    </row>
    <row r="37" spans="2:69" ht="15.95" customHeight="1">
      <c r="B37" s="806"/>
      <c r="C37" s="728"/>
      <c r="D37" s="729"/>
      <c r="E37" s="729"/>
      <c r="F37" s="730"/>
      <c r="G37" s="741"/>
      <c r="H37" s="742"/>
      <c r="I37" s="742"/>
      <c r="J37" s="742"/>
      <c r="K37" s="742"/>
      <c r="L37" s="743"/>
      <c r="M37" s="728"/>
      <c r="N37" s="730"/>
      <c r="O37" s="728"/>
      <c r="P37" s="729"/>
      <c r="Q37" s="730"/>
      <c r="R37" s="733"/>
      <c r="S37" s="734"/>
      <c r="T37" s="782"/>
      <c r="U37" s="783"/>
      <c r="V37" s="785"/>
      <c r="W37" s="785"/>
      <c r="X37" s="764"/>
      <c r="Y37" s="764"/>
      <c r="Z37" s="716"/>
      <c r="AA37" s="717"/>
      <c r="AB37" s="718"/>
      <c r="AC37" s="716"/>
      <c r="AD37" s="717"/>
      <c r="AE37" s="717"/>
      <c r="AF37" s="718"/>
      <c r="AG37" s="805"/>
      <c r="AH37" s="728"/>
      <c r="AI37" s="765"/>
      <c r="AJ37" s="766"/>
      <c r="AK37" s="766"/>
      <c r="AL37" s="767"/>
      <c r="AM37" s="795"/>
      <c r="AN37" s="796"/>
      <c r="AO37" s="798"/>
      <c r="AP37" s="798"/>
      <c r="AQ37" s="798"/>
      <c r="AR37" s="802"/>
      <c r="AS37" s="803"/>
      <c r="AT37" s="803"/>
      <c r="AU37" s="804"/>
      <c r="AV37" s="22"/>
      <c r="AX37" s="749"/>
      <c r="AY37" s="751"/>
      <c r="AZ37" s="747"/>
      <c r="BA37" s="747"/>
      <c r="BB37" s="747"/>
      <c r="BC37" s="747"/>
      <c r="BD37" s="755"/>
      <c r="BE37" s="747"/>
      <c r="BF37" s="747"/>
      <c r="BG37" s="839"/>
      <c r="BH37" s="751"/>
      <c r="BI37" s="755"/>
      <c r="BJ37" s="751"/>
      <c r="BK37" s="829"/>
      <c r="BL37" s="831"/>
      <c r="BM37" s="836"/>
      <c r="BN37" s="832"/>
      <c r="BO37" s="735"/>
      <c r="BP37" s="837"/>
      <c r="BQ37" s="839"/>
    </row>
    <row r="38" spans="2:69" ht="15.95" customHeight="1">
      <c r="B38" s="806">
        <v>11</v>
      </c>
      <c r="C38" s="728"/>
      <c r="D38" s="729"/>
      <c r="E38" s="729"/>
      <c r="F38" s="730"/>
      <c r="G38" s="738"/>
      <c r="H38" s="739"/>
      <c r="I38" s="739"/>
      <c r="J38" s="739"/>
      <c r="K38" s="739"/>
      <c r="L38" s="740"/>
      <c r="M38" s="728"/>
      <c r="N38" s="730"/>
      <c r="O38" s="728"/>
      <c r="P38" s="729"/>
      <c r="Q38" s="730"/>
      <c r="R38" s="731" t="str">
        <f>IFERROR(IF(INDEX(STDLIGHTINEFCAT2[System Wattage],MATCH('M03-S02'!$M38&amp;"_"&amp;INDEX(STDLIGHT[Ineff Dropdown 2],MATCH('M03-S02'!$G38,STDLIGHT[Measure Name],0))&amp;"_"&amp;O38,STDLIGHTINEFCAT2[Full Name],0))="","",INDEX(STDLIGHTINEFCAT2[System Wattage],MATCH('M03-S02'!$M38&amp;"_"&amp;INDEX(STDLIGHT[Ineff Dropdown 2],MATCH('M03-S02'!$G38,STDLIGHT[Measure Name],0))&amp;"_"&amp;O38,STDLIGHTINEFCAT2[Full Name],0))),"")</f>
        <v/>
      </c>
      <c r="S38" s="732"/>
      <c r="T38" s="782" t="str">
        <f t="shared" ref="T38" si="17">IF(C38="Permanent Lamp Removal",0,"")</f>
        <v/>
      </c>
      <c r="U38" s="783"/>
      <c r="V38" s="785"/>
      <c r="W38" s="785"/>
      <c r="X38" s="763"/>
      <c r="Y38" s="763"/>
      <c r="Z38" s="713"/>
      <c r="AA38" s="714"/>
      <c r="AB38" s="715"/>
      <c r="AC38" s="713"/>
      <c r="AD38" s="714"/>
      <c r="AE38" s="714"/>
      <c r="AF38" s="715"/>
      <c r="AG38" s="805"/>
      <c r="AH38" s="728"/>
      <c r="AI38" s="765"/>
      <c r="AJ38" s="766"/>
      <c r="AK38" s="766"/>
      <c r="AL38" s="767"/>
      <c r="AM38" s="793" t="str">
        <f>IFERROR(IF(G38="","",IF(C38&lt;&gt;INDEX(STDLIGHT[Eff Category 1],MATCH(G38,STDLIGHT[Measure Name],0)),0,INDEX(IF(AND(ACTIVEBONUS = TRUE,INDEX(STDLIGHT[Bonus Incentive],MATCH(G38,STDLIGHT[Measure Name],0))&lt;&gt; ""),STDLIGHT[Bonus Incentive],STDLIGHT[Base Incentive]),MATCH(G38,STDLIGHT[Measure Name],0)))),"")</f>
        <v/>
      </c>
      <c r="AN38" s="794"/>
      <c r="AO38" s="797" t="str">
        <f>IFERROR(IF(OR(C38="",G38="",M38="",O38="",R38="",T38="",V38="",X38="",AC38="",AG38="",AI38="",AK38=""),"",IF(BN38="Deemed",AZ38,IF(BN38="Calculated",BE38,""))),"")</f>
        <v/>
      </c>
      <c r="AP38" s="797"/>
      <c r="AQ38" s="797"/>
      <c r="AR38" s="799" t="str">
        <f>IFERROR(IF(OR(C38="",G38="",M38="",O38="",R38="",T38="",V38="",X38="",AC38="",AG38="",AI38="",AK38=""),"",IF(BJ38&lt;&gt;"",BJ38,IF(BP38&gt;0,BP38,ROUND(IF(AO38&lt;=0,0,MIN(AX38,BG38)),2)))),"")</f>
        <v/>
      </c>
      <c r="AS38" s="800"/>
      <c r="AT38" s="800"/>
      <c r="AU38" s="801"/>
      <c r="AV38" s="22"/>
      <c r="AX38" s="748" t="str">
        <f>IF(OR(C38="",G38="",M38="",O38="",R38="",T38="",V38="",X38="",AC38="",AG38="",AI38="",AK38=""),"",IF(AO38=0,"",ROUND(AI38+AK38,2)))</f>
        <v/>
      </c>
      <c r="AY38" s="750" t="str">
        <f>IFERROR(IF(OR(C38="",G38="",M38="",O38="",R38="",T38="",V38="",X38="",AC38="",AG38="",AI38="",AK38=""),"",INDEX(STDLIGHT[Current Unit],MATCH(G38,STDLIGHT[Measure Name],0))),"Err")</f>
        <v/>
      </c>
      <c r="AZ38" s="746" t="str">
        <f>IF(OR(C38="",G38="",M38="",O38="",R38="",T38="",V38="",X38="",AC38="",AG38="",AI38="",AK38=""),"",IFERROR(IF(G38="","",IF(C38&lt;&gt;INDEX(STDLIGHT[Eff Category 1],MATCH(G38,STDLIGHT[Measure Name],0)),0,
IF(BB38&lt;=BC38,0,
ROUND(V38*INDEX(STDLIGHT[Electric Energy Savings (Annual kWh/unit)],MATCH('M03-S02'!G38,STDLIGHT[Measure Name],0)),4)))),""))</f>
        <v/>
      </c>
      <c r="BA38" s="746" t="str">
        <f>IF(OR(C38="",G38="",M38="",O38="",R38="",T38="",V38="",X38="",AC38="",AG38="",AI38="",AK38=""),"",IFERROR(IF(G38="","",IF(C38&lt;&gt;INDEX(STDLIGHT[Eff Category 1],MATCH(G38,STDLIGHT[Measure Name],0)),0,
IF(BB38&lt;=BC38,0,
ROUND(V38*INDEX(STDLIGHT[Coincident Peak Demand Savings (kW/unit)],MATCH('M03-S02'!G38,STDLIGHT[Measure Name],0)),4)))),""))</f>
        <v/>
      </c>
      <c r="BB38" s="746" t="str">
        <f>IF(OR(C38="",G38="",M38="",O38="",R38="",T38="",V38="",X38="",AC38="",AG38="",AI38="",AK38=""),"",
IF(OR(ISNUMBER(SEARCH("Exterior",C38)),ISNUMBER(SEARCH("Parking",C38)),M02S04F22="Unconditioned",M02S04F22="Electric Heat Only",M02S04F22="Natural Gas Heat Only"),ROUND(R38*V38*X38/1000,4),
ROUND(R38*V38*X38/1000*INDEX(BUILDINGTYPE[Waste Heat Factor (e)],MATCH(M02S04F19,BUILDINGTYPE[Building Type],0)),4)))</f>
        <v/>
      </c>
      <c r="BC38" s="746" t="str">
        <f>IF(OR(C38="",G38="",M38="",O38="",R38="",T38="",V38="",X38="",AC38="",AG38="",AI38="",AK38=""),"",
IF(OR(ISNUMBER(SEARCH("Exterior",C38)),ISNUMBER(SEARCH("Parking",C38)),M02S04F22="Unconditioned",M02S04F22="Electric Heat Only",M02S04F22="Natural Gas Heat Only"),ROUND(T38*V38*X38/1000,4),
ROUND(T38*V38*X38/1000*INDEX(BUILDINGTYPE[Waste Heat Factor (e)],MATCH(M02S04F19,BUILDINGTYPE[Building Type],0)),4)))</f>
        <v/>
      </c>
      <c r="BD38" s="754" t="str">
        <f>IFERROR(IF(OR(C38="",G38="",M38="",O38="",R38="",T38="",V38="",X38="",AC38="",AG38="",AI38="",AK38=""),"",INDEX(STDLIGHT[End Use],MATCH(G38,STDLIGHT[Measure Name],0))),"Err")</f>
        <v/>
      </c>
      <c r="BE38" s="746" t="str">
        <f>IFERROR(IF(OR(C38="",G38="",M38="",O38="",R38="",T38="",V38="",X38="",AC38="",AG38="",AI38="",AK38=""),"",
IF(BB38&lt;=BC38,0,
IF(OR(ISNUMBER(SEARCH("Exterior",C38)),ISNUMBER(SEARCH("Parking",C38)),M02S04F22="Unconditioned",M02S04F22="Electric Heat Only",M02S04F22="Natural Gas Heat Only"),ROUND((R38-T38)*V38*X38/1000,4),
ROUND((R38-T38)*V38*X38/1000*INDEX(BUILDINGTYPE[Waste Heat Factor (e)],MATCH(M02S04F19,BUILDINGTYPE[Building Type],0)),4)))),"")</f>
        <v/>
      </c>
      <c r="BF38" s="746" t="str">
        <f>IFERROR(IF(OR(C38="",G38="",M38="",O38="",R38="",T38="",V38="",X38="",AC38="",AG38="",AI38="",AK38=""),"",
IF(BB38&lt;=BC38,0,
IF(ISNUMBER(SEARCH("Exterior",C38)),0,
IF(OR(ISNUMBER(SEARCH("Parking",C38)),M02S04F22="Unconditioned",M02S04F22="Electric Heat Only",M02S04F22="Natural Gas Heat Only"),ROUND((R38-T38)*V38/1000*INDEX(BUILDINGTYPE[Lighting Coincidence Factor],MATCH(M02S04F19,BUILDINGTYPE[Building Type],0)),4),
ROUND((R38-T38)*V38/1000*INDEX(BUILDINGTYPE[Lighting Coincidence Factor],MATCH(M02S04F19,BUILDINGTYPE[Building Type],0))*INDEX(BUILDINGTYPE[WHFd],MATCH(M02S04F19,BUILDINGTYPE[Building Type],0)),4))))),"")</f>
        <v/>
      </c>
      <c r="BG38" s="838" t="str">
        <f>IFERROR(ROUND(V38*AM38, 2), "")</f>
        <v/>
      </c>
      <c r="BH38" s="750" t="str">
        <f>IFERROR(IF(OR(C38="",G38="",M38="",O38="",R38="",T38="",V38="",X38="",AC38="",AG38="",AI38="",AK38="",ISNUMBER(AR38)=FALSE,AR38=0),"",INDEX(STDLIGHT[Measure Number],MATCH(G38,STDLIGHT[Measure Name],0))),"Err")</f>
        <v/>
      </c>
      <c r="BI38" s="754" t="str">
        <f t="shared" ref="BI38" si="18">IFERROR(IF(BP38="",IF(AR38 &lt; BG38, "100% Total Cost", ""), ""), "")</f>
        <v/>
      </c>
      <c r="BJ38" s="750" t="str">
        <f>IFERROR(IF(OR(C38="",G38="",M38="",O38="",R38="",T38="",V38="",X38="",AC38="",AG38="",AI38="",AK38=""),"",
IF(BP38&gt;0,"",
IF(EXPIRATION&lt;&gt;"",PROJSTATEXP,
IF(M02S04F19="",MEASUREBLDG,
IF(BB38&lt;=BC38,MEASURESAVE,""))))),MEASURESUBMIT)</f>
        <v/>
      </c>
      <c r="BK38" s="828" t="str">
        <f>IFERROR(INDEX(STDLIGHT[Measure Life (Years)],MATCH(G38,STDLIGHT[Measure Name],0)),"")</f>
        <v/>
      </c>
      <c r="BL38" s="830" t="str">
        <f>IFERROR(IF(OR(C38="",G38="",M38="",O38="",R38="",T38="",V38="",X38="",AC38="",AG38="",AI38="",AK38=""),"",
ROUND(((1+ELOSS)*((BE38*INDEX(ELECCB[NPV AEC $/kWh],MATCH(BK38,ELECCB[Year Number],1)))+(BF38*INDEX(ELECCB[NPV ACC $/kW],MATCH(BK38,ELECCB[Year Number],1))))),2)),0)</f>
        <v/>
      </c>
      <c r="BM38" s="835"/>
      <c r="BN38" s="832" t="str">
        <f>IFERROR(IF(OR(C38="",G38="",M38="",O38="",R38="",T38="",V38="",X38="",AC38="",AG38="",AI38="",AK38=""),"",INDEX(STDLIGHT[Reporting Methodology],MATCH(G38,STDLIGHT[Measure Name],0))),"Err")</f>
        <v/>
      </c>
      <c r="BO38" s="735" t="str">
        <f>IFERROR(IF(BH38="","",INDEX(STDLIGHT[Incremental Measure Cost ($/Unit)],MATCH(G38,STDLIGHT[Measure Name],0))),"Err")</f>
        <v/>
      </c>
      <c r="BP38" s="837"/>
      <c r="BQ38" s="838" t="str">
        <f>_xlfn.LET(
_xlpm.IPU,
IFERROR(IF(G38="","",IF(C38&lt;&gt;INDEX(STDLIGHT[Eff Category 1],MATCH(G38,STDLIGHT[Measure Name],0)),0,INDEX(STDLIGHT[Base Incentive],MATCH(G38,STDLIGHT[Measure Name],0)))),""),
IFERROR(ROUND(V38*_xlpm.IPU, 2), ""))</f>
        <v/>
      </c>
    </row>
    <row r="39" spans="2:69" ht="15.95" customHeight="1">
      <c r="B39" s="806"/>
      <c r="C39" s="728"/>
      <c r="D39" s="729"/>
      <c r="E39" s="729"/>
      <c r="F39" s="730"/>
      <c r="G39" s="741"/>
      <c r="H39" s="742"/>
      <c r="I39" s="742"/>
      <c r="J39" s="742"/>
      <c r="K39" s="742"/>
      <c r="L39" s="743"/>
      <c r="M39" s="728"/>
      <c r="N39" s="730"/>
      <c r="O39" s="728"/>
      <c r="P39" s="729"/>
      <c r="Q39" s="730"/>
      <c r="R39" s="733"/>
      <c r="S39" s="734"/>
      <c r="T39" s="782"/>
      <c r="U39" s="783"/>
      <c r="V39" s="785"/>
      <c r="W39" s="785"/>
      <c r="X39" s="764"/>
      <c r="Y39" s="764"/>
      <c r="Z39" s="716"/>
      <c r="AA39" s="717"/>
      <c r="AB39" s="718"/>
      <c r="AC39" s="716"/>
      <c r="AD39" s="717"/>
      <c r="AE39" s="717"/>
      <c r="AF39" s="718"/>
      <c r="AG39" s="805"/>
      <c r="AH39" s="728"/>
      <c r="AI39" s="765"/>
      <c r="AJ39" s="766"/>
      <c r="AK39" s="766"/>
      <c r="AL39" s="767"/>
      <c r="AM39" s="795"/>
      <c r="AN39" s="796"/>
      <c r="AO39" s="798"/>
      <c r="AP39" s="798"/>
      <c r="AQ39" s="798"/>
      <c r="AR39" s="802"/>
      <c r="AS39" s="803"/>
      <c r="AT39" s="803"/>
      <c r="AU39" s="804"/>
      <c r="AV39" s="22"/>
      <c r="AX39" s="749"/>
      <c r="AY39" s="751"/>
      <c r="AZ39" s="747"/>
      <c r="BA39" s="747"/>
      <c r="BB39" s="747"/>
      <c r="BC39" s="747"/>
      <c r="BD39" s="755"/>
      <c r="BE39" s="747"/>
      <c r="BF39" s="747"/>
      <c r="BG39" s="839"/>
      <c r="BH39" s="751"/>
      <c r="BI39" s="755"/>
      <c r="BJ39" s="751"/>
      <c r="BK39" s="829"/>
      <c r="BL39" s="831"/>
      <c r="BM39" s="836"/>
      <c r="BN39" s="832"/>
      <c r="BO39" s="735"/>
      <c r="BP39" s="837"/>
      <c r="BQ39" s="839"/>
    </row>
    <row r="40" spans="2:69" ht="15.95" customHeight="1">
      <c r="B40" s="806">
        <v>12</v>
      </c>
      <c r="C40" s="728"/>
      <c r="D40" s="729"/>
      <c r="E40" s="729"/>
      <c r="F40" s="730"/>
      <c r="G40" s="738"/>
      <c r="H40" s="739"/>
      <c r="I40" s="739"/>
      <c r="J40" s="739"/>
      <c r="K40" s="739"/>
      <c r="L40" s="740"/>
      <c r="M40" s="728"/>
      <c r="N40" s="730"/>
      <c r="O40" s="728"/>
      <c r="P40" s="729"/>
      <c r="Q40" s="730"/>
      <c r="R40" s="731" t="str">
        <f>IFERROR(IF(INDEX(STDLIGHTINEFCAT2[System Wattage],MATCH('M03-S02'!$M40&amp;"_"&amp;INDEX(STDLIGHT[Ineff Dropdown 2],MATCH('M03-S02'!$G40,STDLIGHT[Measure Name],0))&amp;"_"&amp;O40,STDLIGHTINEFCAT2[Full Name],0))="","",INDEX(STDLIGHTINEFCAT2[System Wattage],MATCH('M03-S02'!$M40&amp;"_"&amp;INDEX(STDLIGHT[Ineff Dropdown 2],MATCH('M03-S02'!$G40,STDLIGHT[Measure Name],0))&amp;"_"&amp;O40,STDLIGHTINEFCAT2[Full Name],0))),"")</f>
        <v/>
      </c>
      <c r="S40" s="732"/>
      <c r="T40" s="782" t="str">
        <f t="shared" ref="T40" si="19">IF(C40="Permanent Lamp Removal",0,"")</f>
        <v/>
      </c>
      <c r="U40" s="783"/>
      <c r="V40" s="785"/>
      <c r="W40" s="785"/>
      <c r="X40" s="763"/>
      <c r="Y40" s="763"/>
      <c r="Z40" s="713"/>
      <c r="AA40" s="714"/>
      <c r="AB40" s="715"/>
      <c r="AC40" s="713"/>
      <c r="AD40" s="714"/>
      <c r="AE40" s="714"/>
      <c r="AF40" s="715"/>
      <c r="AG40" s="805"/>
      <c r="AH40" s="728"/>
      <c r="AI40" s="765"/>
      <c r="AJ40" s="766"/>
      <c r="AK40" s="766"/>
      <c r="AL40" s="767"/>
      <c r="AM40" s="793" t="str">
        <f>IFERROR(IF(G40="","",IF(C40&lt;&gt;INDEX(STDLIGHT[Eff Category 1],MATCH(G40,STDLIGHT[Measure Name],0)),0,INDEX(IF(AND(ACTIVEBONUS = TRUE,INDEX(STDLIGHT[Bonus Incentive],MATCH(G40,STDLIGHT[Measure Name],0))&lt;&gt; ""),STDLIGHT[Bonus Incentive],STDLIGHT[Base Incentive]),MATCH(G40,STDLIGHT[Measure Name],0)))),"")</f>
        <v/>
      </c>
      <c r="AN40" s="794"/>
      <c r="AO40" s="797" t="str">
        <f>IFERROR(IF(OR(C40="",G40="",M40="",O40="",R40="",T40="",V40="",X40="",AC40="",AG40="",AI40="",AK40=""),"",IF(BN40="Deemed",AZ40,IF(BN40="Calculated",BE40,""))),"")</f>
        <v/>
      </c>
      <c r="AP40" s="797"/>
      <c r="AQ40" s="797"/>
      <c r="AR40" s="799" t="str">
        <f>IFERROR(IF(OR(C40="",G40="",M40="",O40="",R40="",T40="",V40="",X40="",AC40="",AG40="",AI40="",AK40=""),"",IF(BJ40&lt;&gt;"",BJ40,IF(BP40&gt;0,BP40,ROUND(IF(AO40&lt;=0,0,MIN(AX40,BG40)),2)))),"")</f>
        <v/>
      </c>
      <c r="AS40" s="800"/>
      <c r="AT40" s="800"/>
      <c r="AU40" s="801"/>
      <c r="AV40" s="22"/>
      <c r="AX40" s="748" t="str">
        <f>IF(OR(C40="",G40="",M40="",O40="",R40="",T40="",V40="",X40="",AC40="",AG40="",AI40="",AK40=""),"",IF(AO40=0,"",ROUND(AI40+AK40,2)))</f>
        <v/>
      </c>
      <c r="AY40" s="750" t="str">
        <f>IFERROR(IF(OR(C40="",G40="",M40="",O40="",R40="",T40="",V40="",X40="",AC40="",AG40="",AI40="",AK40=""),"",INDEX(STDLIGHT[Current Unit],MATCH(G40,STDLIGHT[Measure Name],0))),"Err")</f>
        <v/>
      </c>
      <c r="AZ40" s="746" t="str">
        <f>IF(OR(C40="",G40="",M40="",O40="",R40="",T40="",V40="",X40="",AC40="",AG40="",AI40="",AK40=""),"",IFERROR(IF(G40="","",IF(C40&lt;&gt;INDEX(STDLIGHT[Eff Category 1],MATCH(G40,STDLIGHT[Measure Name],0)),0,
IF(BB40&lt;=BC40,0,
ROUND(V40*INDEX(STDLIGHT[Electric Energy Savings (Annual kWh/unit)],MATCH('M03-S02'!G40,STDLIGHT[Measure Name],0)),4)))),""))</f>
        <v/>
      </c>
      <c r="BA40" s="746" t="str">
        <f>IF(OR(C40="",G40="",M40="",O40="",R40="",T40="",V40="",X40="",AC40="",AG40="",AI40="",AK40=""),"",IFERROR(IF(G40="","",IF(C40&lt;&gt;INDEX(STDLIGHT[Eff Category 1],MATCH(G40,STDLIGHT[Measure Name],0)),0,
IF(BB40&lt;=BC40,0,
ROUND(V40*INDEX(STDLIGHT[Coincident Peak Demand Savings (kW/unit)],MATCH('M03-S02'!G40,STDLIGHT[Measure Name],0)),4)))),""))</f>
        <v/>
      </c>
      <c r="BB40" s="746" t="str">
        <f>IF(OR(C40="",G40="",M40="",O40="",R40="",T40="",V40="",X40="",AC40="",AG40="",AI40="",AK40=""),"",
IF(OR(ISNUMBER(SEARCH("Exterior",C40)),ISNUMBER(SEARCH("Parking",C40)),M02S04F22="Unconditioned",M02S04F22="Electric Heat Only",M02S04F22="Natural Gas Heat Only"),ROUND(R40*V40*X40/1000,4),
ROUND(R40*V40*X40/1000*INDEX(BUILDINGTYPE[Waste Heat Factor (e)],MATCH(M02S04F19,BUILDINGTYPE[Building Type],0)),4)))</f>
        <v/>
      </c>
      <c r="BC40" s="746" t="str">
        <f>IF(OR(C40="",G40="",M40="",O40="",R40="",T40="",V40="",X40="",AC40="",AG40="",AI40="",AK40=""),"",
IF(OR(ISNUMBER(SEARCH("Exterior",C40)),ISNUMBER(SEARCH("Parking",C40)),M02S04F22="Unconditioned",M02S04F22="Electric Heat Only",M02S04F22="Natural Gas Heat Only"),ROUND(T40*V40*X40/1000,4),
ROUND(T40*V40*X40/1000*INDEX(BUILDINGTYPE[Waste Heat Factor (e)],MATCH(M02S04F19,BUILDINGTYPE[Building Type],0)),4)))</f>
        <v/>
      </c>
      <c r="BD40" s="754" t="str">
        <f>IFERROR(IF(OR(C40="",G40="",M40="",O40="",R40="",T40="",V40="",X40="",AC40="",AG40="",AI40="",AK40=""),"",INDEX(STDLIGHT[End Use],MATCH(G40,STDLIGHT[Measure Name],0))),"Err")</f>
        <v/>
      </c>
      <c r="BE40" s="746" t="str">
        <f>IFERROR(IF(OR(C40="",G40="",M40="",O40="",R40="",T40="",V40="",X40="",AC40="",AG40="",AI40="",AK40=""),"",
IF(BB40&lt;=BC40,0,
IF(OR(ISNUMBER(SEARCH("Exterior",C40)),ISNUMBER(SEARCH("Parking",C40)),M02S04F22="Unconditioned",M02S04F22="Electric Heat Only",M02S04F22="Natural Gas Heat Only"),ROUND((R40-T40)*V40*X40/1000,4),
ROUND((R40-T40)*V40*X40/1000*INDEX(BUILDINGTYPE[Waste Heat Factor (e)],MATCH(M02S04F19,BUILDINGTYPE[Building Type],0)),4)))),"")</f>
        <v/>
      </c>
      <c r="BF40" s="746" t="str">
        <f>IFERROR(IF(OR(C40="",G40="",M40="",O40="",R40="",T40="",V40="",X40="",AC40="",AG40="",AI40="",AK40=""),"",
IF(BB40&lt;=BC40,0,
IF(ISNUMBER(SEARCH("Exterior",C40)),0,
IF(OR(ISNUMBER(SEARCH("Parking",C40)),M02S04F22="Unconditioned",M02S04F22="Electric Heat Only",M02S04F22="Natural Gas Heat Only"),ROUND((R40-T40)*V40/1000*INDEX(BUILDINGTYPE[Lighting Coincidence Factor],MATCH(M02S04F19,BUILDINGTYPE[Building Type],0)),4),
ROUND((R40-T40)*V40/1000*INDEX(BUILDINGTYPE[Lighting Coincidence Factor],MATCH(M02S04F19,BUILDINGTYPE[Building Type],0))*INDEX(BUILDINGTYPE[WHFd],MATCH(M02S04F19,BUILDINGTYPE[Building Type],0)),4))))),"")</f>
        <v/>
      </c>
      <c r="BG40" s="838" t="str">
        <f>IFERROR(ROUND(V40*AM40, 2), "")</f>
        <v/>
      </c>
      <c r="BH40" s="750" t="str">
        <f>IFERROR(IF(OR(C40="",G40="",M40="",O40="",R40="",T40="",V40="",X40="",AC40="",AG40="",AI40="",AK40="",ISNUMBER(AR40)=FALSE,AR40=0),"",INDEX(STDLIGHT[Measure Number],MATCH(G40,STDLIGHT[Measure Name],0))),"Err")</f>
        <v/>
      </c>
      <c r="BI40" s="754" t="str">
        <f t="shared" ref="BI40" si="20">IFERROR(IF(BP40="",IF(AR40 &lt; BG40, "100% Total Cost", ""), ""), "")</f>
        <v/>
      </c>
      <c r="BJ40" s="750" t="str">
        <f>IFERROR(IF(OR(C40="",G40="",M40="",O40="",R40="",T40="",V40="",X40="",AC40="",AG40="",AI40="",AK40=""),"",
IF(BP40&gt;0,"",
IF(EXPIRATION&lt;&gt;"",PROJSTATEXP,
IF(M02S04F19="",MEASUREBLDG,
IF(BB40&lt;=BC40,MEASURESAVE,""))))),MEASURESUBMIT)</f>
        <v/>
      </c>
      <c r="BK40" s="828" t="str">
        <f>IFERROR(INDEX(STDLIGHT[Measure Life (Years)],MATCH(G40,STDLIGHT[Measure Name],0)),"")</f>
        <v/>
      </c>
      <c r="BL40" s="830" t="str">
        <f>IFERROR(IF(OR(C40="",G40="",M40="",O40="",R40="",T40="",V40="",X40="",AC40="",AG40="",AI40="",AK40=""),"",
ROUND(((1+ELOSS)*((BE40*INDEX(ELECCB[NPV AEC $/kWh],MATCH(BK40,ELECCB[Year Number],1)))+(BF40*INDEX(ELECCB[NPV ACC $/kW],MATCH(BK40,ELECCB[Year Number],1))))),2)),0)</f>
        <v/>
      </c>
      <c r="BM40" s="835"/>
      <c r="BN40" s="832" t="str">
        <f>IFERROR(IF(OR(C40="",G40="",M40="",O40="",R40="",T40="",V40="",X40="",AC40="",AG40="",AI40="",AK40=""),"",INDEX(STDLIGHT[Reporting Methodology],MATCH(G40,STDLIGHT[Measure Name],0))),"Err")</f>
        <v/>
      </c>
      <c r="BO40" s="735" t="str">
        <f>IFERROR(IF(BH40="","",INDEX(STDLIGHT[Incremental Measure Cost ($/Unit)],MATCH(G40,STDLIGHT[Measure Name],0))),"Err")</f>
        <v/>
      </c>
      <c r="BP40" s="837"/>
      <c r="BQ40" s="838" t="str">
        <f>_xlfn.LET(
_xlpm.IPU,
IFERROR(IF(G40="","",IF(C40&lt;&gt;INDEX(STDLIGHT[Eff Category 1],MATCH(G40,STDLIGHT[Measure Name],0)),0,INDEX(STDLIGHT[Base Incentive],MATCH(G40,STDLIGHT[Measure Name],0)))),""),
IFERROR(ROUND(V40*_xlpm.IPU, 2), ""))</f>
        <v/>
      </c>
    </row>
    <row r="41" spans="2:69" ht="15.95" customHeight="1">
      <c r="B41" s="806"/>
      <c r="C41" s="728"/>
      <c r="D41" s="729"/>
      <c r="E41" s="729"/>
      <c r="F41" s="730"/>
      <c r="G41" s="741"/>
      <c r="H41" s="742"/>
      <c r="I41" s="742"/>
      <c r="J41" s="742"/>
      <c r="K41" s="742"/>
      <c r="L41" s="743"/>
      <c r="M41" s="728"/>
      <c r="N41" s="730"/>
      <c r="O41" s="728"/>
      <c r="P41" s="729"/>
      <c r="Q41" s="730"/>
      <c r="R41" s="733"/>
      <c r="S41" s="734"/>
      <c r="T41" s="782"/>
      <c r="U41" s="783"/>
      <c r="V41" s="785"/>
      <c r="W41" s="785"/>
      <c r="X41" s="764"/>
      <c r="Y41" s="764"/>
      <c r="Z41" s="716"/>
      <c r="AA41" s="717"/>
      <c r="AB41" s="718"/>
      <c r="AC41" s="716"/>
      <c r="AD41" s="717"/>
      <c r="AE41" s="717"/>
      <c r="AF41" s="718"/>
      <c r="AG41" s="805"/>
      <c r="AH41" s="728"/>
      <c r="AI41" s="765"/>
      <c r="AJ41" s="766"/>
      <c r="AK41" s="766"/>
      <c r="AL41" s="767"/>
      <c r="AM41" s="795"/>
      <c r="AN41" s="796"/>
      <c r="AO41" s="798"/>
      <c r="AP41" s="798"/>
      <c r="AQ41" s="798"/>
      <c r="AR41" s="802"/>
      <c r="AS41" s="803"/>
      <c r="AT41" s="803"/>
      <c r="AU41" s="804"/>
      <c r="AV41" s="22"/>
      <c r="AX41" s="749"/>
      <c r="AY41" s="751"/>
      <c r="AZ41" s="747"/>
      <c r="BA41" s="747"/>
      <c r="BB41" s="747"/>
      <c r="BC41" s="747"/>
      <c r="BD41" s="755"/>
      <c r="BE41" s="747"/>
      <c r="BF41" s="747"/>
      <c r="BG41" s="839"/>
      <c r="BH41" s="751"/>
      <c r="BI41" s="755"/>
      <c r="BJ41" s="751"/>
      <c r="BK41" s="829"/>
      <c r="BL41" s="831"/>
      <c r="BM41" s="836"/>
      <c r="BN41" s="832"/>
      <c r="BO41" s="735"/>
      <c r="BP41" s="837"/>
      <c r="BQ41" s="839"/>
    </row>
    <row r="42" spans="2:69" ht="15.95" customHeight="1">
      <c r="B42" s="806">
        <v>13</v>
      </c>
      <c r="C42" s="728"/>
      <c r="D42" s="729"/>
      <c r="E42" s="729"/>
      <c r="F42" s="730"/>
      <c r="G42" s="738"/>
      <c r="H42" s="739"/>
      <c r="I42" s="739"/>
      <c r="J42" s="739"/>
      <c r="K42" s="739"/>
      <c r="L42" s="740"/>
      <c r="M42" s="728"/>
      <c r="N42" s="730"/>
      <c r="O42" s="728"/>
      <c r="P42" s="729"/>
      <c r="Q42" s="730"/>
      <c r="R42" s="731" t="str">
        <f>IFERROR(IF(INDEX(STDLIGHTINEFCAT2[System Wattage],MATCH('M03-S02'!$M42&amp;"_"&amp;INDEX(STDLIGHT[Ineff Dropdown 2],MATCH('M03-S02'!$G42,STDLIGHT[Measure Name],0))&amp;"_"&amp;O42,STDLIGHTINEFCAT2[Full Name],0))="","",INDEX(STDLIGHTINEFCAT2[System Wattage],MATCH('M03-S02'!$M42&amp;"_"&amp;INDEX(STDLIGHT[Ineff Dropdown 2],MATCH('M03-S02'!$G42,STDLIGHT[Measure Name],0))&amp;"_"&amp;O42,STDLIGHTINEFCAT2[Full Name],0))),"")</f>
        <v/>
      </c>
      <c r="S42" s="732"/>
      <c r="T42" s="782" t="str">
        <f t="shared" ref="T42" si="21">IF(C42="Permanent Lamp Removal",0,"")</f>
        <v/>
      </c>
      <c r="U42" s="783"/>
      <c r="V42" s="785"/>
      <c r="W42" s="785"/>
      <c r="X42" s="763"/>
      <c r="Y42" s="763"/>
      <c r="Z42" s="713"/>
      <c r="AA42" s="714"/>
      <c r="AB42" s="715"/>
      <c r="AC42" s="713"/>
      <c r="AD42" s="714"/>
      <c r="AE42" s="714"/>
      <c r="AF42" s="715"/>
      <c r="AG42" s="805"/>
      <c r="AH42" s="728"/>
      <c r="AI42" s="765"/>
      <c r="AJ42" s="766"/>
      <c r="AK42" s="766"/>
      <c r="AL42" s="767"/>
      <c r="AM42" s="793" t="str">
        <f>IFERROR(IF(G42="","",IF(C42&lt;&gt;INDEX(STDLIGHT[Eff Category 1],MATCH(G42,STDLIGHT[Measure Name],0)),0,INDEX(IF(AND(ACTIVEBONUS = TRUE,INDEX(STDLIGHT[Bonus Incentive],MATCH(G42,STDLIGHT[Measure Name],0))&lt;&gt; ""),STDLIGHT[Bonus Incentive],STDLIGHT[Base Incentive]),MATCH(G42,STDLIGHT[Measure Name],0)))),"")</f>
        <v/>
      </c>
      <c r="AN42" s="794"/>
      <c r="AO42" s="797" t="str">
        <f>IFERROR(IF(OR(C42="",G42="",M42="",O42="",R42="",T42="",V42="",X42="",AC42="",AG42="",AI42="",AK42=""),"",IF(BN42="Deemed",AZ42,IF(BN42="Calculated",BE42,""))),"")</f>
        <v/>
      </c>
      <c r="AP42" s="797"/>
      <c r="AQ42" s="797"/>
      <c r="AR42" s="799" t="str">
        <f>IFERROR(IF(OR(C42="",G42="",M42="",O42="",R42="",T42="",V42="",X42="",AC42="",AG42="",AI42="",AK42=""),"",IF(BJ42&lt;&gt;"",BJ42,IF(BP42&gt;0,BP42,ROUND(IF(AO42&lt;=0,0,MIN(AX42,BG42)),2)))),"")</f>
        <v/>
      </c>
      <c r="AS42" s="800"/>
      <c r="AT42" s="800"/>
      <c r="AU42" s="801"/>
      <c r="AV42" s="22"/>
      <c r="AX42" s="748" t="str">
        <f>IF(OR(C42="",G42="",M42="",O42="",R42="",T42="",V42="",X42="",AC42="",AG42="",AI42="",AK42=""),"",IF(AO42=0,"",ROUND(AI42+AK42,2)))</f>
        <v/>
      </c>
      <c r="AY42" s="750" t="str">
        <f>IFERROR(IF(OR(C42="",G42="",M42="",O42="",R42="",T42="",V42="",X42="",AC42="",AG42="",AI42="",AK42=""),"",INDEX(STDLIGHT[Current Unit],MATCH(G42,STDLIGHT[Measure Name],0))),"Err")</f>
        <v/>
      </c>
      <c r="AZ42" s="746" t="str">
        <f>IF(OR(C42="",G42="",M42="",O42="",R42="",T42="",V42="",X42="",AC42="",AG42="",AI42="",AK42=""),"",IFERROR(IF(G42="","",IF(C42&lt;&gt;INDEX(STDLIGHT[Eff Category 1],MATCH(G42,STDLIGHT[Measure Name],0)),0,
IF(BB42&lt;=BC42,0,
ROUND(V42*INDEX(STDLIGHT[Electric Energy Savings (Annual kWh/unit)],MATCH('M03-S02'!G42,STDLIGHT[Measure Name],0)),4)))),""))</f>
        <v/>
      </c>
      <c r="BA42" s="746" t="str">
        <f>IF(OR(C42="",G42="",M42="",O42="",R42="",T42="",V42="",X42="",AC42="",AG42="",AI42="",AK42=""),"",IFERROR(IF(G42="","",IF(C42&lt;&gt;INDEX(STDLIGHT[Eff Category 1],MATCH(G42,STDLIGHT[Measure Name],0)),0,
IF(BB42&lt;=BC42,0,
ROUND(V42*INDEX(STDLIGHT[Coincident Peak Demand Savings (kW/unit)],MATCH('M03-S02'!G42,STDLIGHT[Measure Name],0)),4)))),""))</f>
        <v/>
      </c>
      <c r="BB42" s="746" t="str">
        <f>IF(OR(C42="",G42="",M42="",O42="",R42="",T42="",V42="",X42="",AC42="",AG42="",AI42="",AK42=""),"",
IF(OR(ISNUMBER(SEARCH("Exterior",C42)),ISNUMBER(SEARCH("Parking",C42)),M02S04F22="Unconditioned",M02S04F22="Electric Heat Only",M02S04F22="Natural Gas Heat Only"),ROUND(R42*V42*X42/1000,4),
ROUND(R42*V42*X42/1000*INDEX(BUILDINGTYPE[Waste Heat Factor (e)],MATCH(M02S04F19,BUILDINGTYPE[Building Type],0)),4)))</f>
        <v/>
      </c>
      <c r="BC42" s="746" t="str">
        <f>IF(OR(C42="",G42="",M42="",O42="",R42="",T42="",V42="",X42="",AC42="",AG42="",AI42="",AK42=""),"",
IF(OR(ISNUMBER(SEARCH("Exterior",C42)),ISNUMBER(SEARCH("Parking",C42)),M02S04F22="Unconditioned",M02S04F22="Electric Heat Only",M02S04F22="Natural Gas Heat Only"),ROUND(T42*V42*X42/1000,4),
ROUND(T42*V42*X42/1000*INDEX(BUILDINGTYPE[Waste Heat Factor (e)],MATCH(M02S04F19,BUILDINGTYPE[Building Type],0)),4)))</f>
        <v/>
      </c>
      <c r="BD42" s="754" t="str">
        <f>IFERROR(IF(OR(C42="",G42="",M42="",O42="",R42="",T42="",V42="",X42="",AC42="",AG42="",AI42="",AK42=""),"",INDEX(STDLIGHT[End Use],MATCH(G42,STDLIGHT[Measure Name],0))),"Err")</f>
        <v/>
      </c>
      <c r="BE42" s="746" t="str">
        <f>IFERROR(IF(OR(C42="",G42="",M42="",O42="",R42="",T42="",V42="",X42="",AC42="",AG42="",AI42="",AK42=""),"",
IF(BB42&lt;=BC42,0,
IF(OR(ISNUMBER(SEARCH("Exterior",C42)),ISNUMBER(SEARCH("Parking",C42)),M02S04F22="Unconditioned",M02S04F22="Electric Heat Only",M02S04F22="Natural Gas Heat Only"),ROUND((R42-T42)*V42*X42/1000,4),
ROUND((R42-T42)*V42*X42/1000*INDEX(BUILDINGTYPE[Waste Heat Factor (e)],MATCH(M02S04F19,BUILDINGTYPE[Building Type],0)),4)))),"")</f>
        <v/>
      </c>
      <c r="BF42" s="746" t="str">
        <f>IFERROR(IF(OR(C42="",G42="",M42="",O42="",R42="",T42="",V42="",X42="",AC42="",AG42="",AI42="",AK42=""),"",
IF(BB42&lt;=BC42,0,
IF(ISNUMBER(SEARCH("Exterior",C42)),0,
IF(OR(ISNUMBER(SEARCH("Parking",C42)),M02S04F22="Unconditioned",M02S04F22="Electric Heat Only",M02S04F22="Natural Gas Heat Only"),ROUND((R42-T42)*V42/1000*INDEX(BUILDINGTYPE[Lighting Coincidence Factor],MATCH(M02S04F19,BUILDINGTYPE[Building Type],0)),4),
ROUND((R42-T42)*V42/1000*INDEX(BUILDINGTYPE[Lighting Coincidence Factor],MATCH(M02S04F19,BUILDINGTYPE[Building Type],0))*INDEX(BUILDINGTYPE[WHFd],MATCH(M02S04F19,BUILDINGTYPE[Building Type],0)),4))))),"")</f>
        <v/>
      </c>
      <c r="BG42" s="838" t="str">
        <f>IFERROR(ROUND(V42*AM42, 2), "")</f>
        <v/>
      </c>
      <c r="BH42" s="750" t="str">
        <f>IFERROR(IF(OR(C42="",G42="",M42="",O42="",R42="",T42="",V42="",X42="",AC42="",AG42="",AI42="",AK42="",ISNUMBER(AR42)=FALSE,AR42=0),"",INDEX(STDLIGHT[Measure Number],MATCH(G42,STDLIGHT[Measure Name],0))),"Err")</f>
        <v/>
      </c>
      <c r="BI42" s="754" t="str">
        <f t="shared" ref="BI42" si="22">IFERROR(IF(BP42="",IF(AR42 &lt; BG42, "100% Total Cost", ""), ""), "")</f>
        <v/>
      </c>
      <c r="BJ42" s="750" t="str">
        <f>IFERROR(IF(OR(C42="",G42="",M42="",O42="",R42="",T42="",V42="",X42="",AC42="",AG42="",AI42="",AK42=""),"",
IF(BP42&gt;0,"",
IF(EXPIRATION&lt;&gt;"",PROJSTATEXP,
IF(M02S04F19="",MEASUREBLDG,
IF(BB42&lt;=BC42,MEASURESAVE,""))))),MEASURESUBMIT)</f>
        <v/>
      </c>
      <c r="BK42" s="828" t="str">
        <f>IFERROR(INDEX(STDLIGHT[Measure Life (Years)],MATCH(G42,STDLIGHT[Measure Name],0)),"")</f>
        <v/>
      </c>
      <c r="BL42" s="830" t="str">
        <f>IFERROR(IF(OR(C42="",G42="",M42="",O42="",R42="",T42="",V42="",X42="",AC42="",AG42="",AI42="",AK42=""),"",
ROUND(((1+ELOSS)*((BE42*INDEX(ELECCB[NPV AEC $/kWh],MATCH(BK42,ELECCB[Year Number],1)))+(BF42*INDEX(ELECCB[NPV ACC $/kW],MATCH(BK42,ELECCB[Year Number],1))))),2)),0)</f>
        <v/>
      </c>
      <c r="BM42" s="835"/>
      <c r="BN42" s="832" t="str">
        <f>IFERROR(IF(OR(C42="",G42="",M42="",O42="",R42="",T42="",V42="",X42="",AC42="",AG42="",AI42="",AK42=""),"",INDEX(STDLIGHT[Reporting Methodology],MATCH(G42,STDLIGHT[Measure Name],0))),"Err")</f>
        <v/>
      </c>
      <c r="BO42" s="735" t="str">
        <f>IFERROR(IF(BH42="","",INDEX(STDLIGHT[Incremental Measure Cost ($/Unit)],MATCH(G42,STDLIGHT[Measure Name],0))),"Err")</f>
        <v/>
      </c>
      <c r="BP42" s="837"/>
      <c r="BQ42" s="838" t="str">
        <f>_xlfn.LET(
_xlpm.IPU,
IFERROR(IF(G42="","",IF(C42&lt;&gt;INDEX(STDLIGHT[Eff Category 1],MATCH(G42,STDLIGHT[Measure Name],0)),0,INDEX(STDLIGHT[Base Incentive],MATCH(G42,STDLIGHT[Measure Name],0)))),""),
IFERROR(ROUND(V42*_xlpm.IPU, 2), ""))</f>
        <v/>
      </c>
    </row>
    <row r="43" spans="2:69" ht="15.95" customHeight="1">
      <c r="B43" s="806"/>
      <c r="C43" s="728"/>
      <c r="D43" s="729"/>
      <c r="E43" s="729"/>
      <c r="F43" s="730"/>
      <c r="G43" s="741"/>
      <c r="H43" s="742"/>
      <c r="I43" s="742"/>
      <c r="J43" s="742"/>
      <c r="K43" s="742"/>
      <c r="L43" s="743"/>
      <c r="M43" s="728"/>
      <c r="N43" s="730"/>
      <c r="O43" s="728"/>
      <c r="P43" s="729"/>
      <c r="Q43" s="730"/>
      <c r="R43" s="733"/>
      <c r="S43" s="734"/>
      <c r="T43" s="782"/>
      <c r="U43" s="783"/>
      <c r="V43" s="785"/>
      <c r="W43" s="785"/>
      <c r="X43" s="764"/>
      <c r="Y43" s="764"/>
      <c r="Z43" s="716"/>
      <c r="AA43" s="717"/>
      <c r="AB43" s="718"/>
      <c r="AC43" s="716"/>
      <c r="AD43" s="717"/>
      <c r="AE43" s="717"/>
      <c r="AF43" s="718"/>
      <c r="AG43" s="805"/>
      <c r="AH43" s="728"/>
      <c r="AI43" s="765"/>
      <c r="AJ43" s="766"/>
      <c r="AK43" s="766"/>
      <c r="AL43" s="767"/>
      <c r="AM43" s="795"/>
      <c r="AN43" s="796"/>
      <c r="AO43" s="798"/>
      <c r="AP43" s="798"/>
      <c r="AQ43" s="798"/>
      <c r="AR43" s="802"/>
      <c r="AS43" s="803"/>
      <c r="AT43" s="803"/>
      <c r="AU43" s="804"/>
      <c r="AV43" s="22"/>
      <c r="AX43" s="749"/>
      <c r="AY43" s="751"/>
      <c r="AZ43" s="747"/>
      <c r="BA43" s="747"/>
      <c r="BB43" s="747"/>
      <c r="BC43" s="747"/>
      <c r="BD43" s="755"/>
      <c r="BE43" s="747"/>
      <c r="BF43" s="747"/>
      <c r="BG43" s="839"/>
      <c r="BH43" s="751"/>
      <c r="BI43" s="755"/>
      <c r="BJ43" s="751"/>
      <c r="BK43" s="829"/>
      <c r="BL43" s="831"/>
      <c r="BM43" s="836"/>
      <c r="BN43" s="832"/>
      <c r="BO43" s="735"/>
      <c r="BP43" s="837"/>
      <c r="BQ43" s="839"/>
    </row>
    <row r="44" spans="2:69" ht="15.95" customHeight="1">
      <c r="B44" s="806">
        <v>14</v>
      </c>
      <c r="C44" s="728"/>
      <c r="D44" s="729"/>
      <c r="E44" s="729"/>
      <c r="F44" s="730"/>
      <c r="G44" s="744"/>
      <c r="H44" s="745"/>
      <c r="I44" s="745"/>
      <c r="J44" s="745"/>
      <c r="K44" s="745"/>
      <c r="L44" s="745"/>
      <c r="M44" s="728"/>
      <c r="N44" s="730"/>
      <c r="O44" s="728"/>
      <c r="P44" s="729"/>
      <c r="Q44" s="730"/>
      <c r="R44" s="731" t="str">
        <f>IFERROR(IF(INDEX(STDLIGHTINEFCAT2[System Wattage],MATCH('M03-S02'!$M44&amp;"_"&amp;INDEX(STDLIGHT[Ineff Dropdown 2],MATCH('M03-S02'!$G44,STDLIGHT[Measure Name],0))&amp;"_"&amp;O44,STDLIGHTINEFCAT2[Full Name],0))="","",INDEX(STDLIGHTINEFCAT2[System Wattage],MATCH('M03-S02'!$M44&amp;"_"&amp;INDEX(STDLIGHT[Ineff Dropdown 2],MATCH('M03-S02'!$G44,STDLIGHT[Measure Name],0))&amp;"_"&amp;O44,STDLIGHTINEFCAT2[Full Name],0))),"")</f>
        <v/>
      </c>
      <c r="S44" s="732"/>
      <c r="T44" s="782" t="str">
        <f t="shared" ref="T44" si="23">IF(C44="Permanent Lamp Removal",0,"")</f>
        <v/>
      </c>
      <c r="U44" s="783"/>
      <c r="V44" s="785"/>
      <c r="W44" s="785"/>
      <c r="X44" s="763"/>
      <c r="Y44" s="763"/>
      <c r="Z44" s="713"/>
      <c r="AA44" s="714"/>
      <c r="AB44" s="715"/>
      <c r="AC44" s="713"/>
      <c r="AD44" s="714"/>
      <c r="AE44" s="714"/>
      <c r="AF44" s="715"/>
      <c r="AG44" s="805"/>
      <c r="AH44" s="728"/>
      <c r="AI44" s="765"/>
      <c r="AJ44" s="766"/>
      <c r="AK44" s="766"/>
      <c r="AL44" s="767"/>
      <c r="AM44" s="793" t="str">
        <f>IFERROR(IF(G44="","",IF(C44&lt;&gt;INDEX(STDLIGHT[Eff Category 1],MATCH(G44,STDLIGHT[Measure Name],0)),0,INDEX(IF(AND(ACTIVEBONUS = TRUE,INDEX(STDLIGHT[Bonus Incentive],MATCH(G44,STDLIGHT[Measure Name],0))&lt;&gt; ""),STDLIGHT[Bonus Incentive],STDLIGHT[Base Incentive]),MATCH(G44,STDLIGHT[Measure Name],0)))),"")</f>
        <v/>
      </c>
      <c r="AN44" s="794"/>
      <c r="AO44" s="797" t="str">
        <f>IFERROR(IF(OR(C44="",G44="",M44="",O44="",R44="",T44="",V44="",X44="",AC44="",AG44="",AI44="",AK44=""),"",IF(BN44="Deemed",AZ44,IF(BN44="Calculated",BE44,""))),"")</f>
        <v/>
      </c>
      <c r="AP44" s="797"/>
      <c r="AQ44" s="797"/>
      <c r="AR44" s="799" t="str">
        <f>IFERROR(IF(OR(C44="",G44="",M44="",O44="",R44="",T44="",V44="",X44="",AC44="",AG44="",AI44="",AK44=""),"",IF(BJ44&lt;&gt;"",BJ44,IF(BP44&gt;0,BP44,ROUND(IF(AO44&lt;=0,0,MIN(AX44,BG44)),2)))),"")</f>
        <v/>
      </c>
      <c r="AS44" s="800"/>
      <c r="AT44" s="800"/>
      <c r="AU44" s="801"/>
      <c r="AV44" s="22"/>
      <c r="AX44" s="748" t="str">
        <f>IF(OR(C44="",G44="",M44="",O44="",R44="",T44="",V44="",X44="",AC44="",AG44="",AI44="",AK44=""),"",IF(AO44=0,"",ROUND(AI44+AK44,2)))</f>
        <v/>
      </c>
      <c r="AY44" s="750" t="str">
        <f>IFERROR(IF(OR(C44="",G44="",M44="",O44="",R44="",T44="",V44="",X44="",AC44="",AG44="",AI44="",AK44=""),"",INDEX(STDLIGHT[Current Unit],MATCH(G44,STDLIGHT[Measure Name],0))),"Err")</f>
        <v/>
      </c>
      <c r="AZ44" s="746" t="str">
        <f>IF(OR(C44="",G44="",M44="",O44="",R44="",T44="",V44="",X44="",AC44="",AG44="",AI44="",AK44=""),"",IFERROR(IF(G44="","",IF(C44&lt;&gt;INDEX(STDLIGHT[Eff Category 1],MATCH(G44,STDLIGHT[Measure Name],0)),0,
IF(BB44&lt;=BC44,0,
ROUND(V44*INDEX(STDLIGHT[Electric Energy Savings (Annual kWh/unit)],MATCH('M03-S02'!G44,STDLIGHT[Measure Name],0)),4)))),""))</f>
        <v/>
      </c>
      <c r="BA44" s="746" t="str">
        <f>IF(OR(C44="",G44="",M44="",O44="",R44="",T44="",V44="",X44="",AC44="",AG44="",AI44="",AK44=""),"",IFERROR(IF(G44="","",IF(C44&lt;&gt;INDEX(STDLIGHT[Eff Category 1],MATCH(G44,STDLIGHT[Measure Name],0)),0,
IF(BB44&lt;=BC44,0,
ROUND(V44*INDEX(STDLIGHT[Coincident Peak Demand Savings (kW/unit)],MATCH('M03-S02'!G44,STDLIGHT[Measure Name],0)),4)))),""))</f>
        <v/>
      </c>
      <c r="BB44" s="746" t="str">
        <f>IF(OR(C44="",G44="",M44="",O44="",R44="",T44="",V44="",X44="",AC44="",AG44="",AI44="",AK44=""),"",
IF(OR(ISNUMBER(SEARCH("Exterior",C44)),ISNUMBER(SEARCH("Parking",C44)),M02S04F22="Unconditioned",M02S04F22="Electric Heat Only",M02S04F22="Natural Gas Heat Only"),ROUND(R44*V44*X44/1000,4),
ROUND(R44*V44*X44/1000*INDEX(BUILDINGTYPE[Waste Heat Factor (e)],MATCH(M02S04F19,BUILDINGTYPE[Building Type],0)),4)))</f>
        <v/>
      </c>
      <c r="BC44" s="746" t="str">
        <f>IF(OR(C44="",G44="",M44="",O44="",R44="",T44="",V44="",X44="",AC44="",AG44="",AI44="",AK44=""),"",
IF(OR(ISNUMBER(SEARCH("Exterior",C44)),ISNUMBER(SEARCH("Parking",C44)),M02S04F22="Unconditioned",M02S04F22="Electric Heat Only",M02S04F22="Natural Gas Heat Only"),ROUND(T44*V44*X44/1000,4),
ROUND(T44*V44*X44/1000*INDEX(BUILDINGTYPE[Waste Heat Factor (e)],MATCH(M02S04F19,BUILDINGTYPE[Building Type],0)),4)))</f>
        <v/>
      </c>
      <c r="BD44" s="754" t="str">
        <f>IFERROR(IF(OR(C44="",G44="",M44="",O44="",R44="",T44="",V44="",X44="",AC44="",AG44="",AI44="",AK44=""),"",INDEX(STDLIGHT[End Use],MATCH(G44,STDLIGHT[Measure Name],0))),"Err")</f>
        <v/>
      </c>
      <c r="BE44" s="746" t="str">
        <f>IFERROR(IF(OR(C44="",G44="",M44="",O44="",R44="",T44="",V44="",X44="",AC44="",AG44="",AI44="",AK44=""),"",
IF(BB44&lt;=BC44,0,
IF(OR(ISNUMBER(SEARCH("Exterior",C44)),ISNUMBER(SEARCH("Parking",C44)),M02S04F22="Unconditioned",M02S04F22="Electric Heat Only",M02S04F22="Natural Gas Heat Only"),ROUND((R44-T44)*V44*X44/1000,4),
ROUND((R44-T44)*V44*X44/1000*INDEX(BUILDINGTYPE[Waste Heat Factor (e)],MATCH(M02S04F19,BUILDINGTYPE[Building Type],0)),4)))),"")</f>
        <v/>
      </c>
      <c r="BF44" s="746" t="str">
        <f>IFERROR(IF(OR(C44="",G44="",M44="",O44="",R44="",T44="",V44="",X44="",AC44="",AG44="",AI44="",AK44=""),"",
IF(BB44&lt;=BC44,0,
IF(ISNUMBER(SEARCH("Exterior",C44)),0,
IF(OR(ISNUMBER(SEARCH("Parking",C44)),M02S04F22="Unconditioned",M02S04F22="Electric Heat Only",M02S04F22="Natural Gas Heat Only"),ROUND((R44-T44)*V44/1000*INDEX(BUILDINGTYPE[Lighting Coincidence Factor],MATCH(M02S04F19,BUILDINGTYPE[Building Type],0)),4),
ROUND((R44-T44)*V44/1000*INDEX(BUILDINGTYPE[Lighting Coincidence Factor],MATCH(M02S04F19,BUILDINGTYPE[Building Type],0))*INDEX(BUILDINGTYPE[WHFd],MATCH(M02S04F19,BUILDINGTYPE[Building Type],0)),4))))),"")</f>
        <v/>
      </c>
      <c r="BG44" s="838" t="str">
        <f>IFERROR(ROUND(V44*AM44, 2), "")</f>
        <v/>
      </c>
      <c r="BH44" s="750" t="str">
        <f>IFERROR(IF(OR(C44="",G44="",M44="",O44="",R44="",T44="",V44="",X44="",AC44="",AG44="",AI44="",AK44="",ISNUMBER(AR44)=FALSE,AR44=0),"",INDEX(STDLIGHT[Measure Number],MATCH(G44,STDLIGHT[Measure Name],0))),"Err")</f>
        <v/>
      </c>
      <c r="BI44" s="754" t="str">
        <f t="shared" ref="BI44" si="24">IFERROR(IF(BP44="",IF(AR44 &lt; BG44, "100% Total Cost", ""), ""), "")</f>
        <v/>
      </c>
      <c r="BJ44" s="750" t="str">
        <f>IFERROR(IF(OR(C44="",G44="",M44="",O44="",R44="",T44="",V44="",X44="",AC44="",AG44="",AI44="",AK44=""),"",
IF(BP44&gt;0,"",
IF(EXPIRATION&lt;&gt;"",PROJSTATEXP,
IF(M02S04F19="",MEASUREBLDG,
IF(BB44&lt;=BC44,MEASURESAVE,""))))),MEASURESUBMIT)</f>
        <v/>
      </c>
      <c r="BK44" s="828" t="str">
        <f>IFERROR(INDEX(STDLIGHT[Measure Life (Years)],MATCH(G44,STDLIGHT[Measure Name],0)),"")</f>
        <v/>
      </c>
      <c r="BL44" s="830" t="str">
        <f>IFERROR(IF(OR(C44="",G44="",M44="",O44="",R44="",T44="",V44="",X44="",AC44="",AG44="",AI44="",AK44=""),"",
ROUND(((1+ELOSS)*((BE44*INDEX(ELECCB[NPV AEC $/kWh],MATCH(BK44,ELECCB[Year Number],1)))+(BF44*INDEX(ELECCB[NPV ACC $/kW],MATCH(BK44,ELECCB[Year Number],1))))),2)),0)</f>
        <v/>
      </c>
      <c r="BM44" s="835"/>
      <c r="BN44" s="832" t="str">
        <f>IFERROR(IF(OR(C44="",G44="",M44="",O44="",R44="",T44="",V44="",X44="",AC44="",AG44="",AI44="",AK44=""),"",INDEX(STDLIGHT[Reporting Methodology],MATCH(G44,STDLIGHT[Measure Name],0))),"Err")</f>
        <v/>
      </c>
      <c r="BO44" s="735" t="str">
        <f>IFERROR(IF(BH44="","",INDEX(STDLIGHT[Incremental Measure Cost ($/Unit)],MATCH(G44,STDLIGHT[Measure Name],0))),"Err")</f>
        <v/>
      </c>
      <c r="BP44" s="837"/>
      <c r="BQ44" s="838" t="str">
        <f>_xlfn.LET(
_xlpm.IPU,
IFERROR(IF(G44="","",IF(C44&lt;&gt;INDEX(STDLIGHT[Eff Category 1],MATCH(G44,STDLIGHT[Measure Name],0)),0,INDEX(STDLIGHT[Base Incentive],MATCH(G44,STDLIGHT[Measure Name],0)))),""),
IFERROR(ROUND(V44*_xlpm.IPU, 2), ""))</f>
        <v/>
      </c>
    </row>
    <row r="45" spans="2:69" ht="15.95" customHeight="1">
      <c r="B45" s="806"/>
      <c r="C45" s="728"/>
      <c r="D45" s="729"/>
      <c r="E45" s="729"/>
      <c r="F45" s="730"/>
      <c r="G45" s="744"/>
      <c r="H45" s="745"/>
      <c r="I45" s="745"/>
      <c r="J45" s="745"/>
      <c r="K45" s="745"/>
      <c r="L45" s="745"/>
      <c r="M45" s="728"/>
      <c r="N45" s="730"/>
      <c r="O45" s="728"/>
      <c r="P45" s="729"/>
      <c r="Q45" s="730"/>
      <c r="R45" s="733"/>
      <c r="S45" s="734"/>
      <c r="T45" s="782"/>
      <c r="U45" s="783"/>
      <c r="V45" s="785"/>
      <c r="W45" s="785"/>
      <c r="X45" s="764"/>
      <c r="Y45" s="764"/>
      <c r="Z45" s="716"/>
      <c r="AA45" s="717"/>
      <c r="AB45" s="718"/>
      <c r="AC45" s="716"/>
      <c r="AD45" s="717"/>
      <c r="AE45" s="717"/>
      <c r="AF45" s="718"/>
      <c r="AG45" s="805"/>
      <c r="AH45" s="728"/>
      <c r="AI45" s="765"/>
      <c r="AJ45" s="766"/>
      <c r="AK45" s="766"/>
      <c r="AL45" s="767"/>
      <c r="AM45" s="795"/>
      <c r="AN45" s="796"/>
      <c r="AO45" s="798"/>
      <c r="AP45" s="798"/>
      <c r="AQ45" s="798"/>
      <c r="AR45" s="802"/>
      <c r="AS45" s="803"/>
      <c r="AT45" s="803"/>
      <c r="AU45" s="804"/>
      <c r="AV45" s="22"/>
      <c r="AX45" s="749"/>
      <c r="AY45" s="751"/>
      <c r="AZ45" s="747"/>
      <c r="BA45" s="747"/>
      <c r="BB45" s="747"/>
      <c r="BC45" s="747"/>
      <c r="BD45" s="755"/>
      <c r="BE45" s="747"/>
      <c r="BF45" s="747"/>
      <c r="BG45" s="839"/>
      <c r="BH45" s="751"/>
      <c r="BI45" s="755"/>
      <c r="BJ45" s="751"/>
      <c r="BK45" s="829"/>
      <c r="BL45" s="831"/>
      <c r="BM45" s="836"/>
      <c r="BN45" s="832"/>
      <c r="BO45" s="735"/>
      <c r="BP45" s="837"/>
      <c r="BQ45" s="839"/>
    </row>
    <row r="46" spans="2:69" ht="15.95" customHeight="1">
      <c r="B46" s="806">
        <v>15</v>
      </c>
      <c r="C46" s="728"/>
      <c r="D46" s="729"/>
      <c r="E46" s="729"/>
      <c r="F46" s="730"/>
      <c r="G46" s="741"/>
      <c r="H46" s="742"/>
      <c r="I46" s="742"/>
      <c r="J46" s="742"/>
      <c r="K46" s="742"/>
      <c r="L46" s="742"/>
      <c r="M46" s="716"/>
      <c r="N46" s="718"/>
      <c r="O46" s="716"/>
      <c r="P46" s="717"/>
      <c r="Q46" s="718"/>
      <c r="R46" s="731" t="str">
        <f>IFERROR(IF(INDEX(STDLIGHTINEFCAT2[System Wattage],MATCH('M03-S02'!$M46&amp;"_"&amp;INDEX(STDLIGHT[Ineff Dropdown 2],MATCH('M03-S02'!$G46,STDLIGHT[Measure Name],0))&amp;"_"&amp;O46,STDLIGHTINEFCAT2[Full Name],0))="","",INDEX(STDLIGHTINEFCAT2[System Wattage],MATCH('M03-S02'!$M46&amp;"_"&amp;INDEX(STDLIGHT[Ineff Dropdown 2],MATCH('M03-S02'!$G46,STDLIGHT[Measure Name],0))&amp;"_"&amp;O46,STDLIGHTINEFCAT2[Full Name],0))),"")</f>
        <v/>
      </c>
      <c r="S46" s="732"/>
      <c r="T46" s="782" t="str">
        <f t="shared" ref="T46" si="25">IF(C46="Permanent Lamp Removal",0,"")</f>
        <v/>
      </c>
      <c r="U46" s="783"/>
      <c r="V46" s="784"/>
      <c r="W46" s="784"/>
      <c r="X46" s="763"/>
      <c r="Y46" s="763"/>
      <c r="Z46" s="719"/>
      <c r="AA46" s="720"/>
      <c r="AB46" s="721"/>
      <c r="AC46" s="713"/>
      <c r="AD46" s="714"/>
      <c r="AE46" s="714"/>
      <c r="AF46" s="715"/>
      <c r="AG46" s="813"/>
      <c r="AH46" s="716"/>
      <c r="AI46" s="786"/>
      <c r="AJ46" s="787"/>
      <c r="AK46" s="787"/>
      <c r="AL46" s="788"/>
      <c r="AM46" s="793" t="str">
        <f>IFERROR(IF(G46="","",IF(C46&lt;&gt;INDEX(STDLIGHT[Eff Category 1],MATCH(G46,STDLIGHT[Measure Name],0)),0,INDEX(IF(AND(ACTIVEBONUS = TRUE,INDEX(STDLIGHT[Bonus Incentive],MATCH(G46,STDLIGHT[Measure Name],0))&lt;&gt; ""),STDLIGHT[Bonus Incentive],STDLIGHT[Base Incentive]),MATCH(G46,STDLIGHT[Measure Name],0)))),"")</f>
        <v/>
      </c>
      <c r="AN46" s="794"/>
      <c r="AO46" s="797" t="str">
        <f>IFERROR(IF(OR(C46="",G46="",M46="",O46="",R46="",T46="",V46="",X46="",AC46="",AG46="",AI46="",AK46=""),"",IF(BN46="Deemed",AZ46,IF(BN46="Calculated",BE46,""))),"")</f>
        <v/>
      </c>
      <c r="AP46" s="797"/>
      <c r="AQ46" s="797"/>
      <c r="AR46" s="799" t="str">
        <f>IFERROR(IF(OR(C46="",G46="",M46="",O46="",R46="",T46="",V46="",X46="",AC46="",AG46="",AI46="",AK46=""),"",IF(BJ46&lt;&gt;"",BJ46,IF(BP46&gt;0,BP46,ROUND(IF(AO46&lt;=0,0,MIN(AX46,BG46)),2)))),"")</f>
        <v/>
      </c>
      <c r="AS46" s="800"/>
      <c r="AT46" s="800"/>
      <c r="AU46" s="801"/>
      <c r="AV46" s="22"/>
      <c r="AX46" s="748" t="str">
        <f>IF(OR(C46="",G46="",M46="",O46="",R46="",T46="",V46="",X46="",AC46="",AG46="",AI46="",AK46=""),"",IF(AO46=0,"",ROUND(AI46+AK46,2)))</f>
        <v/>
      </c>
      <c r="AY46" s="750" t="str">
        <f>IFERROR(IF(OR(C46="",G46="",M46="",O46="",R46="",T46="",V46="",X46="",AC46="",AG46="",AI46="",AK46=""),"",INDEX(STDLIGHT[Current Unit],MATCH(G46,STDLIGHT[Measure Name],0))),"Err")</f>
        <v/>
      </c>
      <c r="AZ46" s="746" t="str">
        <f>IF(OR(C46="",G46="",M46="",O46="",R46="",T46="",V46="",X46="",AC46="",AG46="",AI46="",AK46=""),"",IFERROR(IF(G46="","",IF(C46&lt;&gt;INDEX(STDLIGHT[Eff Category 1],MATCH(G46,STDLIGHT[Measure Name],0)),0,
IF(BB46&lt;=BC46,0,
ROUND(V46*INDEX(STDLIGHT[Electric Energy Savings (Annual kWh/unit)],MATCH('M03-S02'!G46,STDLIGHT[Measure Name],0)),4)))),""))</f>
        <v/>
      </c>
      <c r="BA46" s="746" t="str">
        <f>IF(OR(C46="",G46="",M46="",O46="",R46="",T46="",V46="",X46="",AC46="",AG46="",AI46="",AK46=""),"",IFERROR(IF(G46="","",IF(C46&lt;&gt;INDEX(STDLIGHT[Eff Category 1],MATCH(G46,STDLIGHT[Measure Name],0)),0,
IF(BB46&lt;=BC46,0,
ROUND(V46*INDEX(STDLIGHT[Coincident Peak Demand Savings (kW/unit)],MATCH('M03-S02'!G46,STDLIGHT[Measure Name],0)),4)))),""))</f>
        <v/>
      </c>
      <c r="BB46" s="746" t="str">
        <f>IF(OR(C46="",G46="",M46="",O46="",R46="",T46="",V46="",X46="",AC46="",AG46="",AI46="",AK46=""),"",
IF(OR(ISNUMBER(SEARCH("Exterior",C46)),ISNUMBER(SEARCH("Parking",C46)),M02S04F22="Unconditioned",M02S04F22="Electric Heat Only",M02S04F22="Natural Gas Heat Only"),ROUND(R46*V46*X46/1000,4),
ROUND(R46*V46*X46/1000*INDEX(BUILDINGTYPE[Waste Heat Factor (e)],MATCH(M02S04F19,BUILDINGTYPE[Building Type],0)),4)))</f>
        <v/>
      </c>
      <c r="BC46" s="746" t="str">
        <f>IF(OR(C46="",G46="",M46="",O46="",R46="",T46="",V46="",X46="",AC46="",AG46="",AI46="",AK46=""),"",
IF(OR(ISNUMBER(SEARCH("Exterior",C46)),ISNUMBER(SEARCH("Parking",C46)),M02S04F22="Unconditioned",M02S04F22="Electric Heat Only",M02S04F22="Natural Gas Heat Only"),ROUND(T46*V46*X46/1000,4),
ROUND(T46*V46*X46/1000*INDEX(BUILDINGTYPE[Waste Heat Factor (e)],MATCH(M02S04F19,BUILDINGTYPE[Building Type],0)),4)))</f>
        <v/>
      </c>
      <c r="BD46" s="754" t="str">
        <f>IFERROR(IF(OR(C46="",G46="",M46="",O46="",R46="",T46="",V46="",X46="",AC46="",AG46="",AI46="",AK46=""),"",INDEX(STDLIGHT[End Use],MATCH(G46,STDLIGHT[Measure Name],0))),"Err")</f>
        <v/>
      </c>
      <c r="BE46" s="746" t="str">
        <f>IFERROR(IF(OR(C46="",G46="",M46="",O46="",R46="",T46="",V46="",X46="",AC46="",AG46="",AI46="",AK46=""),"",
IF(BB46&lt;=BC46,0,
IF(OR(ISNUMBER(SEARCH("Exterior",C46)),ISNUMBER(SEARCH("Parking",C46)),M02S04F22="Unconditioned",M02S04F22="Electric Heat Only",M02S04F22="Natural Gas Heat Only"),ROUND((R46-T46)*V46*X46/1000,4),
ROUND((R46-T46)*V46*X46/1000*INDEX(BUILDINGTYPE[Waste Heat Factor (e)],MATCH(M02S04F19,BUILDINGTYPE[Building Type],0)),4)))),"")</f>
        <v/>
      </c>
      <c r="BF46" s="746" t="str">
        <f>IFERROR(IF(OR(C46="",G46="",M46="",O46="",R46="",T46="",V46="",X46="",AC46="",AG46="",AI46="",AK46=""),"",
IF(BB46&lt;=BC46,0,
IF(ISNUMBER(SEARCH("Exterior",C46)),0,
IF(OR(ISNUMBER(SEARCH("Parking",C46)),M02S04F22="Unconditioned",M02S04F22="Electric Heat Only",M02S04F22="Natural Gas Heat Only"),ROUND((R46-T46)*V46/1000*INDEX(BUILDINGTYPE[Lighting Coincidence Factor],MATCH(M02S04F19,BUILDINGTYPE[Building Type],0)),4),
ROUND((R46-T46)*V46/1000*INDEX(BUILDINGTYPE[Lighting Coincidence Factor],MATCH(M02S04F19,BUILDINGTYPE[Building Type],0))*INDEX(BUILDINGTYPE[WHFd],MATCH(M02S04F19,BUILDINGTYPE[Building Type],0)),4))))),"")</f>
        <v/>
      </c>
      <c r="BG46" s="838" t="str">
        <f>IFERROR(ROUND(V46*AM46, 2), "")</f>
        <v/>
      </c>
      <c r="BH46" s="750" t="str">
        <f>IFERROR(IF(OR(C46="",G46="",M46="",O46="",R46="",T46="",V46="",X46="",AC46="",AG46="",AI46="",AK46="",ISNUMBER(AR46)=FALSE,AR46=0),"",INDEX(STDLIGHT[Measure Number],MATCH(G46,STDLIGHT[Measure Name],0))),"Err")</f>
        <v/>
      </c>
      <c r="BI46" s="754" t="str">
        <f t="shared" ref="BI46" si="26">IFERROR(IF(BP46="",IF(AR46 &lt; BG46, "100% Total Cost", ""), ""), "")</f>
        <v/>
      </c>
      <c r="BJ46" s="750" t="str">
        <f>IFERROR(IF(OR(C46="",G46="",M46="",O46="",R46="",T46="",V46="",X46="",AC46="",AG46="",AI46="",AK46=""),"",
IF(BP46&gt;0,"",
IF(EXPIRATION&lt;&gt;"",PROJSTATEXP,
IF(M02S04F19="",MEASUREBLDG,
IF(BB46&lt;=BC46,MEASURESAVE,""))))),MEASURESUBMIT)</f>
        <v/>
      </c>
      <c r="BK46" s="828" t="str">
        <f>IFERROR(INDEX(STDLIGHT[Measure Life (Years)],MATCH(G46,STDLIGHT[Measure Name],0)),"")</f>
        <v/>
      </c>
      <c r="BL46" s="830" t="str">
        <f>IFERROR(IF(OR(C46="",G46="",M46="",O46="",R46="",T46="",V46="",X46="",AC46="",AG46="",AI46="",AK46=""),"",
ROUND(((1+ELOSS)*((BE46*INDEX(ELECCB[NPV AEC $/kWh],MATCH(BK46,ELECCB[Year Number],1)))+(BF46*INDEX(ELECCB[NPV ACC $/kW],MATCH(BK46,ELECCB[Year Number],1))))),2)),0)</f>
        <v/>
      </c>
      <c r="BM46" s="835"/>
      <c r="BN46" s="832" t="str">
        <f>IFERROR(IF(OR(C46="",G46="",M46="",O46="",R46="",T46="",V46="",X46="",AC46="",AG46="",AI46="",AK46=""),"",INDEX(STDLIGHT[Reporting Methodology],MATCH(G46,STDLIGHT[Measure Name],0))),"Err")</f>
        <v/>
      </c>
      <c r="BO46" s="735" t="str">
        <f>IFERROR(IF(BH46="","",INDEX(STDLIGHT[Incremental Measure Cost ($/Unit)],MATCH(G46,STDLIGHT[Measure Name],0))),"Err")</f>
        <v/>
      </c>
      <c r="BP46" s="837"/>
      <c r="BQ46" s="838" t="str">
        <f>_xlfn.LET(
_xlpm.IPU,
IFERROR(IF(G46="","",IF(C46&lt;&gt;INDEX(STDLIGHT[Eff Category 1],MATCH(G46,STDLIGHT[Measure Name],0)),0,INDEX(STDLIGHT[Base Incentive],MATCH(G46,STDLIGHT[Measure Name],0)))),""),
IFERROR(ROUND(V46*_xlpm.IPU, 2), ""))</f>
        <v/>
      </c>
    </row>
    <row r="47" spans="2:69" ht="15.95" customHeight="1">
      <c r="B47" s="806"/>
      <c r="C47" s="728"/>
      <c r="D47" s="729"/>
      <c r="E47" s="729"/>
      <c r="F47" s="730"/>
      <c r="G47" s="744"/>
      <c r="H47" s="745"/>
      <c r="I47" s="745"/>
      <c r="J47" s="745"/>
      <c r="K47" s="745"/>
      <c r="L47" s="745"/>
      <c r="M47" s="728"/>
      <c r="N47" s="730"/>
      <c r="O47" s="728"/>
      <c r="P47" s="729"/>
      <c r="Q47" s="730"/>
      <c r="R47" s="733"/>
      <c r="S47" s="734"/>
      <c r="T47" s="782"/>
      <c r="U47" s="783"/>
      <c r="V47" s="785"/>
      <c r="W47" s="785"/>
      <c r="X47" s="764"/>
      <c r="Y47" s="764"/>
      <c r="Z47" s="716"/>
      <c r="AA47" s="717"/>
      <c r="AB47" s="718"/>
      <c r="AC47" s="716"/>
      <c r="AD47" s="717"/>
      <c r="AE47" s="717"/>
      <c r="AF47" s="718"/>
      <c r="AG47" s="805"/>
      <c r="AH47" s="728"/>
      <c r="AI47" s="765"/>
      <c r="AJ47" s="766"/>
      <c r="AK47" s="766"/>
      <c r="AL47" s="767"/>
      <c r="AM47" s="795"/>
      <c r="AN47" s="796"/>
      <c r="AO47" s="798"/>
      <c r="AP47" s="798"/>
      <c r="AQ47" s="798"/>
      <c r="AR47" s="802"/>
      <c r="AS47" s="803"/>
      <c r="AT47" s="803"/>
      <c r="AU47" s="804"/>
      <c r="AV47" s="22"/>
      <c r="AX47" s="749"/>
      <c r="AY47" s="751"/>
      <c r="AZ47" s="747"/>
      <c r="BA47" s="747"/>
      <c r="BB47" s="747"/>
      <c r="BC47" s="747"/>
      <c r="BD47" s="755"/>
      <c r="BE47" s="747"/>
      <c r="BF47" s="747"/>
      <c r="BG47" s="839"/>
      <c r="BH47" s="751"/>
      <c r="BI47" s="755"/>
      <c r="BJ47" s="751"/>
      <c r="BK47" s="829"/>
      <c r="BL47" s="831"/>
      <c r="BM47" s="836"/>
      <c r="BN47" s="832"/>
      <c r="BO47" s="735"/>
      <c r="BP47" s="837"/>
      <c r="BQ47" s="839"/>
    </row>
    <row r="48" spans="2:69" ht="15.95" customHeight="1">
      <c r="B48" s="806">
        <v>16</v>
      </c>
      <c r="C48" s="728"/>
      <c r="D48" s="729"/>
      <c r="E48" s="729"/>
      <c r="F48" s="730"/>
      <c r="G48" s="741"/>
      <c r="H48" s="742"/>
      <c r="I48" s="742"/>
      <c r="J48" s="742"/>
      <c r="K48" s="742"/>
      <c r="L48" s="742"/>
      <c r="M48" s="716"/>
      <c r="N48" s="718"/>
      <c r="O48" s="716"/>
      <c r="P48" s="717"/>
      <c r="Q48" s="718"/>
      <c r="R48" s="731" t="str">
        <f>IFERROR(IF(INDEX(STDLIGHTINEFCAT2[System Wattage],MATCH('M03-S02'!$M48&amp;"_"&amp;INDEX(STDLIGHT[Ineff Dropdown 2],MATCH('M03-S02'!$G48,STDLIGHT[Measure Name],0))&amp;"_"&amp;O48,STDLIGHTINEFCAT2[Full Name],0))="","",INDEX(STDLIGHTINEFCAT2[System Wattage],MATCH('M03-S02'!$M48&amp;"_"&amp;INDEX(STDLIGHT[Ineff Dropdown 2],MATCH('M03-S02'!$G48,STDLIGHT[Measure Name],0))&amp;"_"&amp;O48,STDLIGHTINEFCAT2[Full Name],0))),"")</f>
        <v/>
      </c>
      <c r="S48" s="732"/>
      <c r="T48" s="782" t="str">
        <f t="shared" ref="T48" si="27">IF(C48="Permanent Lamp Removal",0,"")</f>
        <v/>
      </c>
      <c r="U48" s="783"/>
      <c r="V48" s="784"/>
      <c r="W48" s="784"/>
      <c r="X48" s="763"/>
      <c r="Y48" s="763"/>
      <c r="Z48" s="719"/>
      <c r="AA48" s="720"/>
      <c r="AB48" s="721"/>
      <c r="AC48" s="713"/>
      <c r="AD48" s="714"/>
      <c r="AE48" s="714"/>
      <c r="AF48" s="715"/>
      <c r="AG48" s="813"/>
      <c r="AH48" s="716"/>
      <c r="AI48" s="786"/>
      <c r="AJ48" s="787"/>
      <c r="AK48" s="787"/>
      <c r="AL48" s="788"/>
      <c r="AM48" s="793" t="str">
        <f>IFERROR(IF(G48="","",IF(C48&lt;&gt;INDEX(STDLIGHT[Eff Category 1],MATCH(G48,STDLIGHT[Measure Name],0)),0,INDEX(IF(AND(ACTIVEBONUS = TRUE,INDEX(STDLIGHT[Bonus Incentive],MATCH(G48,STDLIGHT[Measure Name],0))&lt;&gt; ""),STDLIGHT[Bonus Incentive],STDLIGHT[Base Incentive]),MATCH(G48,STDLIGHT[Measure Name],0)))),"")</f>
        <v/>
      </c>
      <c r="AN48" s="794"/>
      <c r="AO48" s="797" t="str">
        <f>IFERROR(IF(OR(C48="",G48="",M48="",O48="",R48="",T48="",V48="",X48="",AC48="",AG48="",AI48="",AK48=""),"",IF(BN48="Deemed",AZ48,IF(BN48="Calculated",BE48,""))),"")</f>
        <v/>
      </c>
      <c r="AP48" s="797"/>
      <c r="AQ48" s="797"/>
      <c r="AR48" s="799" t="str">
        <f>IFERROR(IF(OR(C48="",G48="",M48="",O48="",R48="",T48="",V48="",X48="",AC48="",AG48="",AI48="",AK48=""),"",IF(BJ48&lt;&gt;"",BJ48,IF(BP48&gt;0,BP48,ROUND(IF(AO48&lt;=0,0,MIN(AX48,BG48)),2)))),"")</f>
        <v/>
      </c>
      <c r="AS48" s="800"/>
      <c r="AT48" s="800"/>
      <c r="AU48" s="801"/>
      <c r="AV48" s="22"/>
      <c r="AX48" s="748" t="str">
        <f>IF(OR(C48="",G48="",M48="",O48="",R48="",T48="",V48="",X48="",AC48="",AG48="",AI48="",AK48=""),"",IF(AO48=0,"",ROUND(AI48+AK48,2)))</f>
        <v/>
      </c>
      <c r="AY48" s="750" t="str">
        <f>IFERROR(IF(OR(C48="",G48="",M48="",O48="",R48="",T48="",V48="",X48="",AC48="",AG48="",AI48="",AK48=""),"",INDEX(STDLIGHT[Current Unit],MATCH(G48,STDLIGHT[Measure Name],0))),"Err")</f>
        <v/>
      </c>
      <c r="AZ48" s="746" t="str">
        <f>IF(OR(C48="",G48="",M48="",O48="",R48="",T48="",V48="",X48="",AC48="",AG48="",AI48="",AK48=""),"",IFERROR(IF(G48="","",IF(C48&lt;&gt;INDEX(STDLIGHT[Eff Category 1],MATCH(G48,STDLIGHT[Measure Name],0)),0,
IF(BB48&lt;=BC48,0,
ROUND(V48*INDEX(STDLIGHT[Electric Energy Savings (Annual kWh/unit)],MATCH('M03-S02'!G48,STDLIGHT[Measure Name],0)),4)))),""))</f>
        <v/>
      </c>
      <c r="BA48" s="746" t="str">
        <f>IF(OR(C48="",G48="",M48="",O48="",R48="",T48="",V48="",X48="",AC48="",AG48="",AI48="",AK48=""),"",IFERROR(IF(G48="","",IF(C48&lt;&gt;INDEX(STDLIGHT[Eff Category 1],MATCH(G48,STDLIGHT[Measure Name],0)),0,
IF(BB48&lt;=BC48,0,
ROUND(V48*INDEX(STDLIGHT[Coincident Peak Demand Savings (kW/unit)],MATCH('M03-S02'!G48,STDLIGHT[Measure Name],0)),4)))),""))</f>
        <v/>
      </c>
      <c r="BB48" s="746" t="str">
        <f>IF(OR(C48="",G48="",M48="",O48="",R48="",T48="",V48="",X48="",AC48="",AG48="",AI48="",AK48=""),"",
IF(OR(ISNUMBER(SEARCH("Exterior",C48)),ISNUMBER(SEARCH("Parking",C48)),M02S04F22="Unconditioned",M02S04F22="Electric Heat Only",M02S04F22="Natural Gas Heat Only"),ROUND(R48*V48*X48/1000,4),
ROUND(R48*V48*X48/1000*INDEX(BUILDINGTYPE[Waste Heat Factor (e)],MATCH(M02S04F19,BUILDINGTYPE[Building Type],0)),4)))</f>
        <v/>
      </c>
      <c r="BC48" s="746" t="str">
        <f>IF(OR(C48="",G48="",M48="",O48="",R48="",T48="",V48="",X48="",AC48="",AG48="",AI48="",AK48=""),"",
IF(OR(ISNUMBER(SEARCH("Exterior",C48)),ISNUMBER(SEARCH("Parking",C48)),M02S04F22="Unconditioned",M02S04F22="Electric Heat Only",M02S04F22="Natural Gas Heat Only"),ROUND(T48*V48*X48/1000,4),
ROUND(T48*V48*X48/1000*INDEX(BUILDINGTYPE[Waste Heat Factor (e)],MATCH(M02S04F19,BUILDINGTYPE[Building Type],0)),4)))</f>
        <v/>
      </c>
      <c r="BD48" s="754" t="str">
        <f>IFERROR(IF(OR(C48="",G48="",M48="",O48="",R48="",T48="",V48="",X48="",AC48="",AG48="",AI48="",AK48=""),"",INDEX(STDLIGHT[End Use],MATCH(G48,STDLIGHT[Measure Name],0))),"Err")</f>
        <v/>
      </c>
      <c r="BE48" s="746" t="str">
        <f>IFERROR(IF(OR(C48="",G48="",M48="",O48="",R48="",T48="",V48="",X48="",AC48="",AG48="",AI48="",AK48=""),"",
IF(BB48&lt;=BC48,0,
IF(OR(ISNUMBER(SEARCH("Exterior",C48)),ISNUMBER(SEARCH("Parking",C48)),M02S04F22="Unconditioned",M02S04F22="Electric Heat Only",M02S04F22="Natural Gas Heat Only"),ROUND((R48-T48)*V48*X48/1000,4),
ROUND((R48-T48)*V48*X48/1000*INDEX(BUILDINGTYPE[Waste Heat Factor (e)],MATCH(M02S04F19,BUILDINGTYPE[Building Type],0)),4)))),"")</f>
        <v/>
      </c>
      <c r="BF48" s="746" t="str">
        <f>IFERROR(IF(OR(C48="",G48="",M48="",O48="",R48="",T48="",V48="",X48="",AC48="",AG48="",AI48="",AK48=""),"",
IF(BB48&lt;=BC48,0,
IF(ISNUMBER(SEARCH("Exterior",C48)),0,
IF(OR(ISNUMBER(SEARCH("Parking",C48)),M02S04F22="Unconditioned",M02S04F22="Electric Heat Only",M02S04F22="Natural Gas Heat Only"),ROUND((R48-T48)*V48/1000*INDEX(BUILDINGTYPE[Lighting Coincidence Factor],MATCH(M02S04F19,BUILDINGTYPE[Building Type],0)),4),
ROUND((R48-T48)*V48/1000*INDEX(BUILDINGTYPE[Lighting Coincidence Factor],MATCH(M02S04F19,BUILDINGTYPE[Building Type],0))*INDEX(BUILDINGTYPE[WHFd],MATCH(M02S04F19,BUILDINGTYPE[Building Type],0)),4))))),"")</f>
        <v/>
      </c>
      <c r="BG48" s="838" t="str">
        <f>IFERROR(ROUND(V48*AM48, 2), "")</f>
        <v/>
      </c>
      <c r="BH48" s="750" t="str">
        <f>IFERROR(IF(OR(C48="",G48="",M48="",O48="",R48="",T48="",V48="",X48="",AC48="",AG48="",AI48="",AK48="",ISNUMBER(AR48)=FALSE,AR48=0),"",INDEX(STDLIGHT[Measure Number],MATCH(G48,STDLIGHT[Measure Name],0))),"Err")</f>
        <v/>
      </c>
      <c r="BI48" s="754" t="str">
        <f t="shared" ref="BI48" si="28">IFERROR(IF(BP48="",IF(AR48 &lt; BG48, "100% Total Cost", ""), ""), "")</f>
        <v/>
      </c>
      <c r="BJ48" s="750" t="str">
        <f>IFERROR(IF(OR(C48="",G48="",M48="",O48="",R48="",T48="",V48="",X48="",AC48="",AG48="",AI48="",AK48=""),"",
IF(BP48&gt;0,"",
IF(EXPIRATION&lt;&gt;"",PROJSTATEXP,
IF(M02S04F19="",MEASUREBLDG,
IF(BB48&lt;=BC48,MEASURESAVE,""))))),MEASURESUBMIT)</f>
        <v/>
      </c>
      <c r="BK48" s="828" t="str">
        <f>IFERROR(INDEX(STDLIGHT[Measure Life (Years)],MATCH(G48,STDLIGHT[Measure Name],0)),"")</f>
        <v/>
      </c>
      <c r="BL48" s="830" t="str">
        <f>IFERROR(IF(OR(C48="",G48="",M48="",O48="",R48="",T48="",V48="",X48="",AC48="",AG48="",AI48="",AK48=""),"",
ROUND(((1+ELOSS)*((BE48*INDEX(ELECCB[NPV AEC $/kWh],MATCH(BK48,ELECCB[Year Number],1)))+(BF48*INDEX(ELECCB[NPV ACC $/kW],MATCH(BK48,ELECCB[Year Number],1))))),2)),0)</f>
        <v/>
      </c>
      <c r="BM48" s="835"/>
      <c r="BN48" s="832" t="str">
        <f>IFERROR(IF(OR(C48="",G48="",M48="",O48="",R48="",T48="",V48="",X48="",AC48="",AG48="",AI48="",AK48=""),"",INDEX(STDLIGHT[Reporting Methodology],MATCH(G48,STDLIGHT[Measure Name],0))),"Err")</f>
        <v/>
      </c>
      <c r="BO48" s="735" t="str">
        <f>IFERROR(IF(BH48="","",INDEX(STDLIGHT[Incremental Measure Cost ($/Unit)],MATCH(G48,STDLIGHT[Measure Name],0))),"Err")</f>
        <v/>
      </c>
      <c r="BP48" s="837"/>
      <c r="BQ48" s="838" t="str">
        <f>_xlfn.LET(
_xlpm.IPU,
IFERROR(IF(G48="","",IF(C48&lt;&gt;INDEX(STDLIGHT[Eff Category 1],MATCH(G48,STDLIGHT[Measure Name],0)),0,INDEX(STDLIGHT[Base Incentive],MATCH(G48,STDLIGHT[Measure Name],0)))),""),
IFERROR(ROUND(V48*_xlpm.IPU, 2), ""))</f>
        <v/>
      </c>
    </row>
    <row r="49" spans="2:69" ht="15.95" customHeight="1">
      <c r="B49" s="806"/>
      <c r="C49" s="728"/>
      <c r="D49" s="729"/>
      <c r="E49" s="729"/>
      <c r="F49" s="730"/>
      <c r="G49" s="744"/>
      <c r="H49" s="745"/>
      <c r="I49" s="745"/>
      <c r="J49" s="745"/>
      <c r="K49" s="745"/>
      <c r="L49" s="745"/>
      <c r="M49" s="728"/>
      <c r="N49" s="730"/>
      <c r="O49" s="728"/>
      <c r="P49" s="729"/>
      <c r="Q49" s="730"/>
      <c r="R49" s="733"/>
      <c r="S49" s="734"/>
      <c r="T49" s="782"/>
      <c r="U49" s="783"/>
      <c r="V49" s="785"/>
      <c r="W49" s="785"/>
      <c r="X49" s="764"/>
      <c r="Y49" s="764"/>
      <c r="Z49" s="716"/>
      <c r="AA49" s="717"/>
      <c r="AB49" s="718"/>
      <c r="AC49" s="716"/>
      <c r="AD49" s="717"/>
      <c r="AE49" s="717"/>
      <c r="AF49" s="718"/>
      <c r="AG49" s="805"/>
      <c r="AH49" s="728"/>
      <c r="AI49" s="765"/>
      <c r="AJ49" s="766"/>
      <c r="AK49" s="766"/>
      <c r="AL49" s="767"/>
      <c r="AM49" s="795"/>
      <c r="AN49" s="796"/>
      <c r="AO49" s="798"/>
      <c r="AP49" s="798"/>
      <c r="AQ49" s="798"/>
      <c r="AR49" s="802"/>
      <c r="AS49" s="803"/>
      <c r="AT49" s="803"/>
      <c r="AU49" s="804"/>
      <c r="AV49" s="22"/>
      <c r="AX49" s="749"/>
      <c r="AY49" s="751"/>
      <c r="AZ49" s="747"/>
      <c r="BA49" s="747"/>
      <c r="BB49" s="747"/>
      <c r="BC49" s="747"/>
      <c r="BD49" s="755"/>
      <c r="BE49" s="747"/>
      <c r="BF49" s="747"/>
      <c r="BG49" s="839"/>
      <c r="BH49" s="751"/>
      <c r="BI49" s="755"/>
      <c r="BJ49" s="751"/>
      <c r="BK49" s="829"/>
      <c r="BL49" s="831"/>
      <c r="BM49" s="836"/>
      <c r="BN49" s="832"/>
      <c r="BO49" s="735"/>
      <c r="BP49" s="837"/>
      <c r="BQ49" s="839"/>
    </row>
    <row r="50" spans="2:69" ht="15.95" customHeight="1">
      <c r="B50" s="806">
        <v>17</v>
      </c>
      <c r="C50" s="728"/>
      <c r="D50" s="729"/>
      <c r="E50" s="729"/>
      <c r="F50" s="730"/>
      <c r="G50" s="741"/>
      <c r="H50" s="742"/>
      <c r="I50" s="742"/>
      <c r="J50" s="742"/>
      <c r="K50" s="742"/>
      <c r="L50" s="742"/>
      <c r="M50" s="716"/>
      <c r="N50" s="718"/>
      <c r="O50" s="716"/>
      <c r="P50" s="717"/>
      <c r="Q50" s="718"/>
      <c r="R50" s="731" t="str">
        <f>IFERROR(IF(INDEX(STDLIGHTINEFCAT2[System Wattage],MATCH('M03-S02'!$M50&amp;"_"&amp;INDEX(STDLIGHT[Ineff Dropdown 2],MATCH('M03-S02'!$G50,STDLIGHT[Measure Name],0))&amp;"_"&amp;O50,STDLIGHTINEFCAT2[Full Name],0))="","",INDEX(STDLIGHTINEFCAT2[System Wattage],MATCH('M03-S02'!$M50&amp;"_"&amp;INDEX(STDLIGHT[Ineff Dropdown 2],MATCH('M03-S02'!$G50,STDLIGHT[Measure Name],0))&amp;"_"&amp;O50,STDLIGHTINEFCAT2[Full Name],0))),"")</f>
        <v/>
      </c>
      <c r="S50" s="732"/>
      <c r="T50" s="782" t="str">
        <f t="shared" ref="T50" si="29">IF(C50="Permanent Lamp Removal",0,"")</f>
        <v/>
      </c>
      <c r="U50" s="783"/>
      <c r="V50" s="784"/>
      <c r="W50" s="784"/>
      <c r="X50" s="763"/>
      <c r="Y50" s="763"/>
      <c r="Z50" s="719"/>
      <c r="AA50" s="720"/>
      <c r="AB50" s="721"/>
      <c r="AC50" s="713"/>
      <c r="AD50" s="714"/>
      <c r="AE50" s="714"/>
      <c r="AF50" s="715"/>
      <c r="AG50" s="813"/>
      <c r="AH50" s="716"/>
      <c r="AI50" s="786"/>
      <c r="AJ50" s="787"/>
      <c r="AK50" s="787"/>
      <c r="AL50" s="788"/>
      <c r="AM50" s="793" t="str">
        <f>IFERROR(IF(G50="","",IF(C50&lt;&gt;INDEX(STDLIGHT[Eff Category 1],MATCH(G50,STDLIGHT[Measure Name],0)),0,INDEX(IF(AND(ACTIVEBONUS = TRUE,INDEX(STDLIGHT[Bonus Incentive],MATCH(G50,STDLIGHT[Measure Name],0))&lt;&gt; ""),STDLIGHT[Bonus Incentive],STDLIGHT[Base Incentive]),MATCH(G50,STDLIGHT[Measure Name],0)))),"")</f>
        <v/>
      </c>
      <c r="AN50" s="794"/>
      <c r="AO50" s="797" t="str">
        <f>IFERROR(IF(OR(C50="",G50="",M50="",O50="",R50="",T50="",V50="",X50="",AC50="",AG50="",AI50="",AK50=""),"",IF(BN50="Deemed",AZ50,IF(BN50="Calculated",BE50,""))),"")</f>
        <v/>
      </c>
      <c r="AP50" s="797"/>
      <c r="AQ50" s="797"/>
      <c r="AR50" s="799" t="str">
        <f>IFERROR(IF(OR(C50="",G50="",M50="",O50="",R50="",T50="",V50="",X50="",AC50="",AG50="",AI50="",AK50=""),"",IF(BJ50&lt;&gt;"",BJ50,IF(BP50&gt;0,BP50,ROUND(IF(AO50&lt;=0,0,MIN(AX50,BG50)),2)))),"")</f>
        <v/>
      </c>
      <c r="AS50" s="800"/>
      <c r="AT50" s="800"/>
      <c r="AU50" s="801"/>
      <c r="AV50" s="22"/>
      <c r="AX50" s="748" t="str">
        <f>IF(OR(C50="",G50="",M50="",O50="",R50="",T50="",V50="",X50="",AC50="",AG50="",AI50="",AK50=""),"",IF(AO50=0,"",ROUND(AI50+AK50,2)))</f>
        <v/>
      </c>
      <c r="AY50" s="750" t="str">
        <f>IFERROR(IF(OR(C50="",G50="",M50="",O50="",R50="",T50="",V50="",X50="",AC50="",AG50="",AI50="",AK50=""),"",INDEX(STDLIGHT[Current Unit],MATCH(G50,STDLIGHT[Measure Name],0))),"Err")</f>
        <v/>
      </c>
      <c r="AZ50" s="746" t="str">
        <f>IF(OR(C50="",G50="",M50="",O50="",R50="",T50="",V50="",X50="",AC50="",AG50="",AI50="",AK50=""),"",IFERROR(IF(G50="","",IF(C50&lt;&gt;INDEX(STDLIGHT[Eff Category 1],MATCH(G50,STDLIGHT[Measure Name],0)),0,
IF(BB50&lt;=BC50,0,
ROUND(V50*INDEX(STDLIGHT[Electric Energy Savings (Annual kWh/unit)],MATCH('M03-S02'!G50,STDLIGHT[Measure Name],0)),4)))),""))</f>
        <v/>
      </c>
      <c r="BA50" s="746" t="str">
        <f>IF(OR(C50="",G50="",M50="",O50="",R50="",T50="",V50="",X50="",AC50="",AG50="",AI50="",AK50=""),"",IFERROR(IF(G50="","",IF(C50&lt;&gt;INDEX(STDLIGHT[Eff Category 1],MATCH(G50,STDLIGHT[Measure Name],0)),0,
IF(BB50&lt;=BC50,0,
ROUND(V50*INDEX(STDLIGHT[Coincident Peak Demand Savings (kW/unit)],MATCH('M03-S02'!G50,STDLIGHT[Measure Name],0)),4)))),""))</f>
        <v/>
      </c>
      <c r="BB50" s="746" t="str">
        <f>IF(OR(C50="",G50="",M50="",O50="",R50="",T50="",V50="",X50="",AC50="",AG50="",AI50="",AK50=""),"",
IF(OR(ISNUMBER(SEARCH("Exterior",C50)),ISNUMBER(SEARCH("Parking",C50)),M02S04F22="Unconditioned",M02S04F22="Electric Heat Only",M02S04F22="Natural Gas Heat Only"),ROUND(R50*V50*X50/1000,4),
ROUND(R50*V50*X50/1000*INDEX(BUILDINGTYPE[Waste Heat Factor (e)],MATCH(M02S04F19,BUILDINGTYPE[Building Type],0)),4)))</f>
        <v/>
      </c>
      <c r="BC50" s="746" t="str">
        <f>IF(OR(C50="",G50="",M50="",O50="",R50="",T50="",V50="",X50="",AC50="",AG50="",AI50="",AK50=""),"",
IF(OR(ISNUMBER(SEARCH("Exterior",C50)),ISNUMBER(SEARCH("Parking",C50)),M02S04F22="Unconditioned",M02S04F22="Electric Heat Only",M02S04F22="Natural Gas Heat Only"),ROUND(T50*V50*X50/1000,4),
ROUND(T50*V50*X50/1000*INDEX(BUILDINGTYPE[Waste Heat Factor (e)],MATCH(M02S04F19,BUILDINGTYPE[Building Type],0)),4)))</f>
        <v/>
      </c>
      <c r="BD50" s="754" t="str">
        <f>IFERROR(IF(OR(C50="",G50="",M50="",O50="",R50="",T50="",V50="",X50="",AC50="",AG50="",AI50="",AK50=""),"",INDEX(STDLIGHT[End Use],MATCH(G50,STDLIGHT[Measure Name],0))),"Err")</f>
        <v/>
      </c>
      <c r="BE50" s="746" t="str">
        <f>IFERROR(IF(OR(C50="",G50="",M50="",O50="",R50="",T50="",V50="",X50="",AC50="",AG50="",AI50="",AK50=""),"",
IF(BB50&lt;=BC50,0,
IF(OR(ISNUMBER(SEARCH("Exterior",C50)),ISNUMBER(SEARCH("Parking",C50)),M02S04F22="Unconditioned",M02S04F22="Electric Heat Only",M02S04F22="Natural Gas Heat Only"),ROUND((R50-T50)*V50*X50/1000,4),
ROUND((R50-T50)*V50*X50/1000*INDEX(BUILDINGTYPE[Waste Heat Factor (e)],MATCH(M02S04F19,BUILDINGTYPE[Building Type],0)),4)))),"")</f>
        <v/>
      </c>
      <c r="BF50" s="746" t="str">
        <f>IFERROR(IF(OR(C50="",G50="",M50="",O50="",R50="",T50="",V50="",X50="",AC50="",AG50="",AI50="",AK50=""),"",
IF(BB50&lt;=BC50,0,
IF(ISNUMBER(SEARCH("Exterior",C50)),0,
IF(OR(ISNUMBER(SEARCH("Parking",C50)),M02S04F22="Unconditioned",M02S04F22="Electric Heat Only",M02S04F22="Natural Gas Heat Only"),ROUND((R50-T50)*V50/1000*INDEX(BUILDINGTYPE[Lighting Coincidence Factor],MATCH(M02S04F19,BUILDINGTYPE[Building Type],0)),4),
ROUND((R50-T50)*V50/1000*INDEX(BUILDINGTYPE[Lighting Coincidence Factor],MATCH(M02S04F19,BUILDINGTYPE[Building Type],0))*INDEX(BUILDINGTYPE[WHFd],MATCH(M02S04F19,BUILDINGTYPE[Building Type],0)),4))))),"")</f>
        <v/>
      </c>
      <c r="BG50" s="838" t="str">
        <f>IFERROR(ROUND(V50*AM50, 2), "")</f>
        <v/>
      </c>
      <c r="BH50" s="750" t="str">
        <f>IFERROR(IF(OR(C50="",G50="",M50="",O50="",R50="",T50="",V50="",X50="",AC50="",AG50="",AI50="",AK50="",ISNUMBER(AR50)=FALSE,AR50=0),"",INDEX(STDLIGHT[Measure Number],MATCH(G50,STDLIGHT[Measure Name],0))),"Err")</f>
        <v/>
      </c>
      <c r="BI50" s="754" t="str">
        <f t="shared" ref="BI50" si="30">IFERROR(IF(BP50="",IF(AR50 &lt; BG50, "100% Total Cost", ""), ""), "")</f>
        <v/>
      </c>
      <c r="BJ50" s="750" t="str">
        <f>IFERROR(IF(OR(C50="",G50="",M50="",O50="",R50="",T50="",V50="",X50="",AC50="",AG50="",AI50="",AK50=""),"",
IF(BP50&gt;0,"",
IF(EXPIRATION&lt;&gt;"",PROJSTATEXP,
IF(M02S04F19="",MEASUREBLDG,
IF(BB50&lt;=BC50,MEASURESAVE,""))))),MEASURESUBMIT)</f>
        <v/>
      </c>
      <c r="BK50" s="828" t="str">
        <f>IFERROR(INDEX(STDLIGHT[Measure Life (Years)],MATCH(G50,STDLIGHT[Measure Name],0)),"")</f>
        <v/>
      </c>
      <c r="BL50" s="830" t="str">
        <f>IFERROR(IF(OR(C50="",G50="",M50="",O50="",R50="",T50="",V50="",X50="",AC50="",AG50="",AI50="",AK50=""),"",
ROUND(((1+ELOSS)*((BE50*INDEX(ELECCB[NPV AEC $/kWh],MATCH(BK50,ELECCB[Year Number],1)))+(BF50*INDEX(ELECCB[NPV ACC $/kW],MATCH(BK50,ELECCB[Year Number],1))))),2)),0)</f>
        <v/>
      </c>
      <c r="BM50" s="835"/>
      <c r="BN50" s="832" t="str">
        <f>IFERROR(IF(OR(C50="",G50="",M50="",O50="",R50="",T50="",V50="",X50="",AC50="",AG50="",AI50="",AK50=""),"",INDEX(STDLIGHT[Reporting Methodology],MATCH(G50,STDLIGHT[Measure Name],0))),"Err")</f>
        <v/>
      </c>
      <c r="BO50" s="735" t="str">
        <f>IFERROR(IF(BH50="","",INDEX(STDLIGHT[Incremental Measure Cost ($/Unit)],MATCH(G50,STDLIGHT[Measure Name],0))),"Err")</f>
        <v/>
      </c>
      <c r="BP50" s="837"/>
      <c r="BQ50" s="838" t="str">
        <f>_xlfn.LET(
_xlpm.IPU,
IFERROR(IF(G50="","",IF(C50&lt;&gt;INDEX(STDLIGHT[Eff Category 1],MATCH(G50,STDLIGHT[Measure Name],0)),0,INDEX(STDLIGHT[Base Incentive],MATCH(G50,STDLIGHT[Measure Name],0)))),""),
IFERROR(ROUND(V50*_xlpm.IPU, 2), ""))</f>
        <v/>
      </c>
    </row>
    <row r="51" spans="2:69" ht="15.95" customHeight="1">
      <c r="B51" s="806"/>
      <c r="C51" s="728"/>
      <c r="D51" s="729"/>
      <c r="E51" s="729"/>
      <c r="F51" s="730"/>
      <c r="G51" s="744"/>
      <c r="H51" s="745"/>
      <c r="I51" s="745"/>
      <c r="J51" s="745"/>
      <c r="K51" s="745"/>
      <c r="L51" s="745"/>
      <c r="M51" s="728"/>
      <c r="N51" s="730"/>
      <c r="O51" s="728"/>
      <c r="P51" s="729"/>
      <c r="Q51" s="730"/>
      <c r="R51" s="733"/>
      <c r="S51" s="734"/>
      <c r="T51" s="782"/>
      <c r="U51" s="783"/>
      <c r="V51" s="785"/>
      <c r="W51" s="785"/>
      <c r="X51" s="764"/>
      <c r="Y51" s="764"/>
      <c r="Z51" s="716"/>
      <c r="AA51" s="717"/>
      <c r="AB51" s="718"/>
      <c r="AC51" s="716"/>
      <c r="AD51" s="717"/>
      <c r="AE51" s="717"/>
      <c r="AF51" s="718"/>
      <c r="AG51" s="805"/>
      <c r="AH51" s="728"/>
      <c r="AI51" s="765"/>
      <c r="AJ51" s="766"/>
      <c r="AK51" s="766"/>
      <c r="AL51" s="767"/>
      <c r="AM51" s="795"/>
      <c r="AN51" s="796"/>
      <c r="AO51" s="798"/>
      <c r="AP51" s="798"/>
      <c r="AQ51" s="798"/>
      <c r="AR51" s="802"/>
      <c r="AS51" s="803"/>
      <c r="AT51" s="803"/>
      <c r="AU51" s="804"/>
      <c r="AV51" s="22"/>
      <c r="AX51" s="749"/>
      <c r="AY51" s="751"/>
      <c r="AZ51" s="747"/>
      <c r="BA51" s="747"/>
      <c r="BB51" s="747"/>
      <c r="BC51" s="747"/>
      <c r="BD51" s="755"/>
      <c r="BE51" s="747"/>
      <c r="BF51" s="747"/>
      <c r="BG51" s="839"/>
      <c r="BH51" s="751"/>
      <c r="BI51" s="755"/>
      <c r="BJ51" s="751"/>
      <c r="BK51" s="829"/>
      <c r="BL51" s="831"/>
      <c r="BM51" s="836"/>
      <c r="BN51" s="832"/>
      <c r="BO51" s="735"/>
      <c r="BP51" s="837"/>
      <c r="BQ51" s="839"/>
    </row>
    <row r="52" spans="2:69" ht="15.95" customHeight="1">
      <c r="B52" s="806">
        <v>18</v>
      </c>
      <c r="C52" s="728"/>
      <c r="D52" s="729"/>
      <c r="E52" s="729"/>
      <c r="F52" s="730"/>
      <c r="G52" s="741"/>
      <c r="H52" s="742"/>
      <c r="I52" s="742"/>
      <c r="J52" s="742"/>
      <c r="K52" s="742"/>
      <c r="L52" s="742"/>
      <c r="M52" s="716"/>
      <c r="N52" s="718"/>
      <c r="O52" s="716"/>
      <c r="P52" s="717"/>
      <c r="Q52" s="718"/>
      <c r="R52" s="731" t="str">
        <f>IFERROR(IF(INDEX(STDLIGHTINEFCAT2[System Wattage],MATCH('M03-S02'!$M52&amp;"_"&amp;INDEX(STDLIGHT[Ineff Dropdown 2],MATCH('M03-S02'!$G52,STDLIGHT[Measure Name],0))&amp;"_"&amp;O52,STDLIGHTINEFCAT2[Full Name],0))="","",INDEX(STDLIGHTINEFCAT2[System Wattage],MATCH('M03-S02'!$M52&amp;"_"&amp;INDEX(STDLIGHT[Ineff Dropdown 2],MATCH('M03-S02'!$G52,STDLIGHT[Measure Name],0))&amp;"_"&amp;O52,STDLIGHTINEFCAT2[Full Name],0))),"")</f>
        <v/>
      </c>
      <c r="S52" s="732"/>
      <c r="T52" s="782" t="str">
        <f t="shared" ref="T52" si="31">IF(C52="Permanent Lamp Removal",0,"")</f>
        <v/>
      </c>
      <c r="U52" s="783"/>
      <c r="V52" s="784"/>
      <c r="W52" s="784"/>
      <c r="X52" s="763"/>
      <c r="Y52" s="763"/>
      <c r="Z52" s="719"/>
      <c r="AA52" s="720"/>
      <c r="AB52" s="721"/>
      <c r="AC52" s="713"/>
      <c r="AD52" s="714"/>
      <c r="AE52" s="714"/>
      <c r="AF52" s="715"/>
      <c r="AG52" s="813"/>
      <c r="AH52" s="716"/>
      <c r="AI52" s="786"/>
      <c r="AJ52" s="787"/>
      <c r="AK52" s="787"/>
      <c r="AL52" s="788"/>
      <c r="AM52" s="793" t="str">
        <f>IFERROR(IF(G52="","",IF(C52&lt;&gt;INDEX(STDLIGHT[Eff Category 1],MATCH(G52,STDLIGHT[Measure Name],0)),0,INDEX(IF(AND(ACTIVEBONUS = TRUE,INDEX(STDLIGHT[Bonus Incentive],MATCH(G52,STDLIGHT[Measure Name],0))&lt;&gt; ""),STDLIGHT[Bonus Incentive],STDLIGHT[Base Incentive]),MATCH(G52,STDLIGHT[Measure Name],0)))),"")</f>
        <v/>
      </c>
      <c r="AN52" s="794"/>
      <c r="AO52" s="797" t="str">
        <f>IFERROR(IF(OR(C52="",G52="",M52="",O52="",R52="",T52="",V52="",X52="",AC52="",AG52="",AI52="",AK52=""),"",IF(BN52="Deemed",AZ52,IF(BN52="Calculated",BE52,""))),"")</f>
        <v/>
      </c>
      <c r="AP52" s="797"/>
      <c r="AQ52" s="797"/>
      <c r="AR52" s="799" t="str">
        <f>IFERROR(IF(OR(C52="",G52="",M52="",O52="",R52="",T52="",V52="",X52="",AC52="",AG52="",AI52="",AK52=""),"",IF(BJ52&lt;&gt;"",BJ52,IF(BP52&gt;0,BP52,ROUND(IF(AO52&lt;=0,0,MIN(AX52,BG52)),2)))),"")</f>
        <v/>
      </c>
      <c r="AS52" s="800"/>
      <c r="AT52" s="800"/>
      <c r="AU52" s="801"/>
      <c r="AV52" s="22"/>
      <c r="AX52" s="748" t="str">
        <f>IF(OR(C52="",G52="",M52="",O52="",R52="",T52="",V52="",X52="",AC52="",AG52="",AI52="",AK52=""),"",IF(AO52=0,"",ROUND(AI52+AK52,2)))</f>
        <v/>
      </c>
      <c r="AY52" s="750" t="str">
        <f>IFERROR(IF(OR(C52="",G52="",M52="",O52="",R52="",T52="",V52="",X52="",AC52="",AG52="",AI52="",AK52=""),"",INDEX(STDLIGHT[Current Unit],MATCH(G52,STDLIGHT[Measure Name],0))),"Err")</f>
        <v/>
      </c>
      <c r="AZ52" s="746" t="str">
        <f>IF(OR(C52="",G52="",M52="",O52="",R52="",T52="",V52="",X52="",AC52="",AG52="",AI52="",AK52=""),"",IFERROR(IF(G52="","",IF(C52&lt;&gt;INDEX(STDLIGHT[Eff Category 1],MATCH(G52,STDLIGHT[Measure Name],0)),0,
IF(BB52&lt;=BC52,0,
ROUND(V52*INDEX(STDLIGHT[Electric Energy Savings (Annual kWh/unit)],MATCH('M03-S02'!G52,STDLIGHT[Measure Name],0)),4)))),""))</f>
        <v/>
      </c>
      <c r="BA52" s="746" t="str">
        <f>IF(OR(C52="",G52="",M52="",O52="",R52="",T52="",V52="",X52="",AC52="",AG52="",AI52="",AK52=""),"",IFERROR(IF(G52="","",IF(C52&lt;&gt;INDEX(STDLIGHT[Eff Category 1],MATCH(G52,STDLIGHT[Measure Name],0)),0,
IF(BB52&lt;=BC52,0,
ROUND(V52*INDEX(STDLIGHT[Coincident Peak Demand Savings (kW/unit)],MATCH('M03-S02'!G52,STDLIGHT[Measure Name],0)),4)))),""))</f>
        <v/>
      </c>
      <c r="BB52" s="746" t="str">
        <f>IF(OR(C52="",G52="",M52="",O52="",R52="",T52="",V52="",X52="",AC52="",AG52="",AI52="",AK52=""),"",
IF(OR(ISNUMBER(SEARCH("Exterior",C52)),ISNUMBER(SEARCH("Parking",C52)),M02S04F22="Unconditioned",M02S04F22="Electric Heat Only",M02S04F22="Natural Gas Heat Only"),ROUND(R52*V52*X52/1000,4),
ROUND(R52*V52*X52/1000*INDEX(BUILDINGTYPE[Waste Heat Factor (e)],MATCH(M02S04F19,BUILDINGTYPE[Building Type],0)),4)))</f>
        <v/>
      </c>
      <c r="BC52" s="746" t="str">
        <f>IF(OR(C52="",G52="",M52="",O52="",R52="",T52="",V52="",X52="",AC52="",AG52="",AI52="",AK52=""),"",
IF(OR(ISNUMBER(SEARCH("Exterior",C52)),ISNUMBER(SEARCH("Parking",C52)),M02S04F22="Unconditioned",M02S04F22="Electric Heat Only",M02S04F22="Natural Gas Heat Only"),ROUND(T52*V52*X52/1000,4),
ROUND(T52*V52*X52/1000*INDEX(BUILDINGTYPE[Waste Heat Factor (e)],MATCH(M02S04F19,BUILDINGTYPE[Building Type],0)),4)))</f>
        <v/>
      </c>
      <c r="BD52" s="754" t="str">
        <f>IFERROR(IF(OR(C52="",G52="",M52="",O52="",R52="",T52="",V52="",X52="",AC52="",AG52="",AI52="",AK52=""),"",INDEX(STDLIGHT[End Use],MATCH(G52,STDLIGHT[Measure Name],0))),"Err")</f>
        <v/>
      </c>
      <c r="BE52" s="746" t="str">
        <f>IFERROR(IF(OR(C52="",G52="",M52="",O52="",R52="",T52="",V52="",X52="",AC52="",AG52="",AI52="",AK52=""),"",
IF(BB52&lt;=BC52,0,
IF(OR(ISNUMBER(SEARCH("Exterior",C52)),ISNUMBER(SEARCH("Parking",C52)),M02S04F22="Unconditioned",M02S04F22="Electric Heat Only",M02S04F22="Natural Gas Heat Only"),ROUND((R52-T52)*V52*X52/1000,4),
ROUND((R52-T52)*V52*X52/1000*INDEX(BUILDINGTYPE[Waste Heat Factor (e)],MATCH(M02S04F19,BUILDINGTYPE[Building Type],0)),4)))),"")</f>
        <v/>
      </c>
      <c r="BF52" s="746" t="str">
        <f>IFERROR(IF(OR(C52="",G52="",M52="",O52="",R52="",T52="",V52="",X52="",AC52="",AG52="",AI52="",AK52=""),"",
IF(BB52&lt;=BC52,0,
IF(ISNUMBER(SEARCH("Exterior",C52)),0,
IF(OR(ISNUMBER(SEARCH("Parking",C52)),M02S04F22="Unconditioned",M02S04F22="Electric Heat Only",M02S04F22="Natural Gas Heat Only"),ROUND((R52-T52)*V52/1000*INDEX(BUILDINGTYPE[Lighting Coincidence Factor],MATCH(M02S04F19,BUILDINGTYPE[Building Type],0)),4),
ROUND((R52-T52)*V52/1000*INDEX(BUILDINGTYPE[Lighting Coincidence Factor],MATCH(M02S04F19,BUILDINGTYPE[Building Type],0))*INDEX(BUILDINGTYPE[WHFd],MATCH(M02S04F19,BUILDINGTYPE[Building Type],0)),4))))),"")</f>
        <v/>
      </c>
      <c r="BG52" s="838" t="str">
        <f>IFERROR(ROUND(V52*AM52, 2), "")</f>
        <v/>
      </c>
      <c r="BH52" s="750" t="str">
        <f>IFERROR(IF(OR(C52="",G52="",M52="",O52="",R52="",T52="",V52="",X52="",AC52="",AG52="",AI52="",AK52="",ISNUMBER(AR52)=FALSE,AR52=0),"",INDEX(STDLIGHT[Measure Number],MATCH(G52,STDLIGHT[Measure Name],0))),"Err")</f>
        <v/>
      </c>
      <c r="BI52" s="754" t="str">
        <f t="shared" ref="BI52" si="32">IFERROR(IF(BP52="",IF(AR52 &lt; BG52, "100% Total Cost", ""), ""), "")</f>
        <v/>
      </c>
      <c r="BJ52" s="750" t="str">
        <f>IFERROR(IF(OR(C52="",G52="",M52="",O52="",R52="",T52="",V52="",X52="",AC52="",AG52="",AI52="",AK52=""),"",
IF(BP52&gt;0,"",
IF(EXPIRATION&lt;&gt;"",PROJSTATEXP,
IF(M02S04F19="",MEASUREBLDG,
IF(BB52&lt;=BC52,MEASURESAVE,""))))),MEASURESUBMIT)</f>
        <v/>
      </c>
      <c r="BK52" s="828" t="str">
        <f>IFERROR(INDEX(STDLIGHT[Measure Life (Years)],MATCH(G52,STDLIGHT[Measure Name],0)),"")</f>
        <v/>
      </c>
      <c r="BL52" s="830" t="str">
        <f>IFERROR(IF(OR(C52="",G52="",M52="",O52="",R52="",T52="",V52="",X52="",AC52="",AG52="",AI52="",AK52=""),"",
ROUND(((1+ELOSS)*((BE52*INDEX(ELECCB[NPV AEC $/kWh],MATCH(BK52,ELECCB[Year Number],1)))+(BF52*INDEX(ELECCB[NPV ACC $/kW],MATCH(BK52,ELECCB[Year Number],1))))),2)),0)</f>
        <v/>
      </c>
      <c r="BM52" s="835"/>
      <c r="BN52" s="832" t="str">
        <f>IFERROR(IF(OR(C52="",G52="",M52="",O52="",R52="",T52="",V52="",X52="",AC52="",AG52="",AI52="",AK52=""),"",INDEX(STDLIGHT[Reporting Methodology],MATCH(G52,STDLIGHT[Measure Name],0))),"Err")</f>
        <v/>
      </c>
      <c r="BO52" s="735" t="str">
        <f>IFERROR(IF(BH52="","",INDEX(STDLIGHT[Incremental Measure Cost ($/Unit)],MATCH(G52,STDLIGHT[Measure Name],0))),"Err")</f>
        <v/>
      </c>
      <c r="BP52" s="837"/>
      <c r="BQ52" s="838" t="str">
        <f>_xlfn.LET(
_xlpm.IPU,
IFERROR(IF(G52="","",IF(C52&lt;&gt;INDEX(STDLIGHT[Eff Category 1],MATCH(G52,STDLIGHT[Measure Name],0)),0,INDEX(STDLIGHT[Base Incentive],MATCH(G52,STDLIGHT[Measure Name],0)))),""),
IFERROR(ROUND(V52*_xlpm.IPU, 2), ""))</f>
        <v/>
      </c>
    </row>
    <row r="53" spans="2:69" ht="15.95" customHeight="1">
      <c r="B53" s="806"/>
      <c r="C53" s="728"/>
      <c r="D53" s="729"/>
      <c r="E53" s="729"/>
      <c r="F53" s="730"/>
      <c r="G53" s="744"/>
      <c r="H53" s="745"/>
      <c r="I53" s="745"/>
      <c r="J53" s="745"/>
      <c r="K53" s="745"/>
      <c r="L53" s="745"/>
      <c r="M53" s="728"/>
      <c r="N53" s="730"/>
      <c r="O53" s="728"/>
      <c r="P53" s="729"/>
      <c r="Q53" s="730"/>
      <c r="R53" s="733"/>
      <c r="S53" s="734"/>
      <c r="T53" s="782"/>
      <c r="U53" s="783"/>
      <c r="V53" s="785"/>
      <c r="W53" s="785"/>
      <c r="X53" s="764"/>
      <c r="Y53" s="764"/>
      <c r="Z53" s="716"/>
      <c r="AA53" s="717"/>
      <c r="AB53" s="718"/>
      <c r="AC53" s="716"/>
      <c r="AD53" s="717"/>
      <c r="AE53" s="717"/>
      <c r="AF53" s="718"/>
      <c r="AG53" s="805"/>
      <c r="AH53" s="728"/>
      <c r="AI53" s="765"/>
      <c r="AJ53" s="766"/>
      <c r="AK53" s="766"/>
      <c r="AL53" s="767"/>
      <c r="AM53" s="795"/>
      <c r="AN53" s="796"/>
      <c r="AO53" s="798"/>
      <c r="AP53" s="798"/>
      <c r="AQ53" s="798"/>
      <c r="AR53" s="802"/>
      <c r="AS53" s="803"/>
      <c r="AT53" s="803"/>
      <c r="AU53" s="804"/>
      <c r="AV53" s="22"/>
      <c r="AX53" s="749"/>
      <c r="AY53" s="751"/>
      <c r="AZ53" s="747"/>
      <c r="BA53" s="747"/>
      <c r="BB53" s="747"/>
      <c r="BC53" s="747"/>
      <c r="BD53" s="755"/>
      <c r="BE53" s="747"/>
      <c r="BF53" s="747"/>
      <c r="BG53" s="839"/>
      <c r="BH53" s="751"/>
      <c r="BI53" s="755"/>
      <c r="BJ53" s="751"/>
      <c r="BK53" s="829"/>
      <c r="BL53" s="831"/>
      <c r="BM53" s="836"/>
      <c r="BN53" s="832"/>
      <c r="BO53" s="735"/>
      <c r="BP53" s="837"/>
      <c r="BQ53" s="839"/>
    </row>
    <row r="54" spans="2:69" ht="15.95" customHeight="1">
      <c r="B54" s="806">
        <v>19</v>
      </c>
      <c r="C54" s="728"/>
      <c r="D54" s="729"/>
      <c r="E54" s="729"/>
      <c r="F54" s="730"/>
      <c r="G54" s="741"/>
      <c r="H54" s="742"/>
      <c r="I54" s="742"/>
      <c r="J54" s="742"/>
      <c r="K54" s="742"/>
      <c r="L54" s="742"/>
      <c r="M54" s="716"/>
      <c r="N54" s="718"/>
      <c r="O54" s="716"/>
      <c r="P54" s="717"/>
      <c r="Q54" s="718"/>
      <c r="R54" s="731" t="str">
        <f>IFERROR(IF(INDEX(STDLIGHTINEFCAT2[System Wattage],MATCH('M03-S02'!$M54&amp;"_"&amp;INDEX(STDLIGHT[Ineff Dropdown 2],MATCH('M03-S02'!$G54,STDLIGHT[Measure Name],0))&amp;"_"&amp;O54,STDLIGHTINEFCAT2[Full Name],0))="","",INDEX(STDLIGHTINEFCAT2[System Wattage],MATCH('M03-S02'!$M54&amp;"_"&amp;INDEX(STDLIGHT[Ineff Dropdown 2],MATCH('M03-S02'!$G54,STDLIGHT[Measure Name],0))&amp;"_"&amp;O54,STDLIGHTINEFCAT2[Full Name],0))),"")</f>
        <v/>
      </c>
      <c r="S54" s="732"/>
      <c r="T54" s="782" t="str">
        <f t="shared" ref="T54" si="33">IF(C54="Permanent Lamp Removal",0,"")</f>
        <v/>
      </c>
      <c r="U54" s="783"/>
      <c r="V54" s="784"/>
      <c r="W54" s="784"/>
      <c r="X54" s="763"/>
      <c r="Y54" s="763"/>
      <c r="Z54" s="719"/>
      <c r="AA54" s="720"/>
      <c r="AB54" s="721"/>
      <c r="AC54" s="713"/>
      <c r="AD54" s="714"/>
      <c r="AE54" s="714"/>
      <c r="AF54" s="715"/>
      <c r="AG54" s="813"/>
      <c r="AH54" s="716"/>
      <c r="AI54" s="786"/>
      <c r="AJ54" s="787"/>
      <c r="AK54" s="787"/>
      <c r="AL54" s="788"/>
      <c r="AM54" s="793" t="str">
        <f>IFERROR(IF(G54="","",IF(C54&lt;&gt;INDEX(STDLIGHT[Eff Category 1],MATCH(G54,STDLIGHT[Measure Name],0)),0,INDEX(IF(AND(ACTIVEBONUS = TRUE,INDEX(STDLIGHT[Bonus Incentive],MATCH(G54,STDLIGHT[Measure Name],0))&lt;&gt; ""),STDLIGHT[Bonus Incentive],STDLIGHT[Base Incentive]),MATCH(G54,STDLIGHT[Measure Name],0)))),"")</f>
        <v/>
      </c>
      <c r="AN54" s="794"/>
      <c r="AO54" s="797" t="str">
        <f>IFERROR(IF(OR(C54="",G54="",M54="",O54="",R54="",T54="",V54="",X54="",AC54="",AG54="",AI54="",AK54=""),"",IF(BN54="Deemed",AZ54,IF(BN54="Calculated",BE54,""))),"")</f>
        <v/>
      </c>
      <c r="AP54" s="797"/>
      <c r="AQ54" s="797"/>
      <c r="AR54" s="799" t="str">
        <f>IFERROR(IF(OR(C54="",G54="",M54="",O54="",R54="",T54="",V54="",X54="",AC54="",AG54="",AI54="",AK54=""),"",IF(BJ54&lt;&gt;"",BJ54,IF(BP54&gt;0,BP54,ROUND(IF(AO54&lt;=0,0,MIN(AX54,BG54)),2)))),"")</f>
        <v/>
      </c>
      <c r="AS54" s="800"/>
      <c r="AT54" s="800"/>
      <c r="AU54" s="801"/>
      <c r="AV54" s="22"/>
      <c r="AX54" s="748" t="str">
        <f>IF(OR(C54="",G54="",M54="",O54="",R54="",T54="",V54="",X54="",AC54="",AG54="",AI54="",AK54=""),"",IF(AO54=0,"",ROUND(AI54+AK54,2)))</f>
        <v/>
      </c>
      <c r="AY54" s="750" t="str">
        <f>IFERROR(IF(OR(C54="",G54="",M54="",O54="",R54="",T54="",V54="",X54="",AC54="",AG54="",AI54="",AK54=""),"",INDEX(STDLIGHT[Current Unit],MATCH(G54,STDLIGHT[Measure Name],0))),"Err")</f>
        <v/>
      </c>
      <c r="AZ54" s="746" t="str">
        <f>IF(OR(C54="",G54="",M54="",O54="",R54="",T54="",V54="",X54="",AC54="",AG54="",AI54="",AK54=""),"",IFERROR(IF(G54="","",IF(C54&lt;&gt;INDEX(STDLIGHT[Eff Category 1],MATCH(G54,STDLIGHT[Measure Name],0)),0,
IF(BB54&lt;=BC54,0,
ROUND(V54*INDEX(STDLIGHT[Electric Energy Savings (Annual kWh/unit)],MATCH('M03-S02'!G54,STDLIGHT[Measure Name],0)),4)))),""))</f>
        <v/>
      </c>
      <c r="BA54" s="746" t="str">
        <f>IF(OR(C54="",G54="",M54="",O54="",R54="",T54="",V54="",X54="",AC54="",AG54="",AI54="",AK54=""),"",IFERROR(IF(G54="","",IF(C54&lt;&gt;INDEX(STDLIGHT[Eff Category 1],MATCH(G54,STDLIGHT[Measure Name],0)),0,
IF(BB54&lt;=BC54,0,
ROUND(V54*INDEX(STDLIGHT[Coincident Peak Demand Savings (kW/unit)],MATCH('M03-S02'!G54,STDLIGHT[Measure Name],0)),4)))),""))</f>
        <v/>
      </c>
      <c r="BB54" s="746" t="str">
        <f>IF(OR(C54="",G54="",M54="",O54="",R54="",T54="",V54="",X54="",AC54="",AG54="",AI54="",AK54=""),"",
IF(OR(ISNUMBER(SEARCH("Exterior",C54)),ISNUMBER(SEARCH("Parking",C54)),M02S04F22="Unconditioned",M02S04F22="Electric Heat Only",M02S04F22="Natural Gas Heat Only"),ROUND(R54*V54*X54/1000,4),
ROUND(R54*V54*X54/1000*INDEX(BUILDINGTYPE[Waste Heat Factor (e)],MATCH(M02S04F19,BUILDINGTYPE[Building Type],0)),4)))</f>
        <v/>
      </c>
      <c r="BC54" s="746" t="str">
        <f>IF(OR(C54="",G54="",M54="",O54="",R54="",T54="",V54="",X54="",AC54="",AG54="",AI54="",AK54=""),"",
IF(OR(ISNUMBER(SEARCH("Exterior",C54)),ISNUMBER(SEARCH("Parking",C54)),M02S04F22="Unconditioned",M02S04F22="Electric Heat Only",M02S04F22="Natural Gas Heat Only"),ROUND(T54*V54*X54/1000,4),
ROUND(T54*V54*X54/1000*INDEX(BUILDINGTYPE[Waste Heat Factor (e)],MATCH(M02S04F19,BUILDINGTYPE[Building Type],0)),4)))</f>
        <v/>
      </c>
      <c r="BD54" s="754" t="str">
        <f>IFERROR(IF(OR(C54="",G54="",M54="",O54="",R54="",T54="",V54="",X54="",AC54="",AG54="",AI54="",AK54=""),"",INDEX(STDLIGHT[End Use],MATCH(G54,STDLIGHT[Measure Name],0))),"Err")</f>
        <v/>
      </c>
      <c r="BE54" s="746" t="str">
        <f>IFERROR(IF(OR(C54="",G54="",M54="",O54="",R54="",T54="",V54="",X54="",AC54="",AG54="",AI54="",AK54=""),"",
IF(BB54&lt;=BC54,0,
IF(OR(ISNUMBER(SEARCH("Exterior",C54)),ISNUMBER(SEARCH("Parking",C54)),M02S04F22="Unconditioned",M02S04F22="Electric Heat Only",M02S04F22="Natural Gas Heat Only"),ROUND((R54-T54)*V54*X54/1000,4),
ROUND((R54-T54)*V54*X54/1000*INDEX(BUILDINGTYPE[Waste Heat Factor (e)],MATCH(M02S04F19,BUILDINGTYPE[Building Type],0)),4)))),"")</f>
        <v/>
      </c>
      <c r="BF54" s="746" t="str">
        <f>IFERROR(IF(OR(C54="",G54="",M54="",O54="",R54="",T54="",V54="",X54="",AC54="",AG54="",AI54="",AK54=""),"",
IF(BB54&lt;=BC54,0,
IF(ISNUMBER(SEARCH("Exterior",C54)),0,
IF(OR(ISNUMBER(SEARCH("Parking",C54)),M02S04F22="Unconditioned",M02S04F22="Electric Heat Only",M02S04F22="Natural Gas Heat Only"),ROUND((R54-T54)*V54/1000*INDEX(BUILDINGTYPE[Lighting Coincidence Factor],MATCH(M02S04F19,BUILDINGTYPE[Building Type],0)),4),
ROUND((R54-T54)*V54/1000*INDEX(BUILDINGTYPE[Lighting Coincidence Factor],MATCH(M02S04F19,BUILDINGTYPE[Building Type],0))*INDEX(BUILDINGTYPE[WHFd],MATCH(M02S04F19,BUILDINGTYPE[Building Type],0)),4))))),"")</f>
        <v/>
      </c>
      <c r="BG54" s="838" t="str">
        <f>IFERROR(ROUND(V54*AM54, 2), "")</f>
        <v/>
      </c>
      <c r="BH54" s="750" t="str">
        <f>IFERROR(IF(OR(C54="",G54="",M54="",O54="",R54="",T54="",V54="",X54="",AC54="",AG54="",AI54="",AK54="",ISNUMBER(AR54)=FALSE,AR54=0),"",INDEX(STDLIGHT[Measure Number],MATCH(G54,STDLIGHT[Measure Name],0))),"Err")</f>
        <v/>
      </c>
      <c r="BI54" s="754" t="str">
        <f t="shared" ref="BI54" si="34">IFERROR(IF(BP54="",IF(AR54 &lt; BG54, "100% Total Cost", ""), ""), "")</f>
        <v/>
      </c>
      <c r="BJ54" s="750" t="str">
        <f>IFERROR(IF(OR(C54="",G54="",M54="",O54="",R54="",T54="",V54="",X54="",AC54="",AG54="",AI54="",AK54=""),"",
IF(BP54&gt;0,"",
IF(EXPIRATION&lt;&gt;"",PROJSTATEXP,
IF(M02S04F19="",MEASUREBLDG,
IF(BB54&lt;=BC54,MEASURESAVE,""))))),MEASURESUBMIT)</f>
        <v/>
      </c>
      <c r="BK54" s="828" t="str">
        <f>IFERROR(INDEX(STDLIGHT[Measure Life (Years)],MATCH(G54,STDLIGHT[Measure Name],0)),"")</f>
        <v/>
      </c>
      <c r="BL54" s="830" t="str">
        <f>IFERROR(IF(OR(C54="",G54="",M54="",O54="",R54="",T54="",V54="",X54="",AC54="",AG54="",AI54="",AK54=""),"",
ROUND(((1+ELOSS)*((BE54*INDEX(ELECCB[NPV AEC $/kWh],MATCH(BK54,ELECCB[Year Number],1)))+(BF54*INDEX(ELECCB[NPV ACC $/kW],MATCH(BK54,ELECCB[Year Number],1))))),2)),0)</f>
        <v/>
      </c>
      <c r="BM54" s="835"/>
      <c r="BN54" s="832" t="str">
        <f>IFERROR(IF(OR(C54="",G54="",M54="",O54="",R54="",T54="",V54="",X54="",AC54="",AG54="",AI54="",AK54=""),"",INDEX(STDLIGHT[Reporting Methodology],MATCH(G54,STDLIGHT[Measure Name],0))),"Err")</f>
        <v/>
      </c>
      <c r="BO54" s="735" t="str">
        <f>IFERROR(IF(BH54="","",INDEX(STDLIGHT[Incremental Measure Cost ($/Unit)],MATCH(G54,STDLIGHT[Measure Name],0))),"Err")</f>
        <v/>
      </c>
      <c r="BP54" s="837"/>
      <c r="BQ54" s="838" t="str">
        <f>_xlfn.LET(
_xlpm.IPU,
IFERROR(IF(G54="","",IF(C54&lt;&gt;INDEX(STDLIGHT[Eff Category 1],MATCH(G54,STDLIGHT[Measure Name],0)),0,INDEX(STDLIGHT[Base Incentive],MATCH(G54,STDLIGHT[Measure Name],0)))),""),
IFERROR(ROUND(V54*_xlpm.IPU, 2), ""))</f>
        <v/>
      </c>
    </row>
    <row r="55" spans="2:69" ht="15.95" customHeight="1">
      <c r="B55" s="806"/>
      <c r="C55" s="728"/>
      <c r="D55" s="729"/>
      <c r="E55" s="729"/>
      <c r="F55" s="730"/>
      <c r="G55" s="744"/>
      <c r="H55" s="745"/>
      <c r="I55" s="745"/>
      <c r="J55" s="745"/>
      <c r="K55" s="745"/>
      <c r="L55" s="745"/>
      <c r="M55" s="728"/>
      <c r="N55" s="730"/>
      <c r="O55" s="728"/>
      <c r="P55" s="729"/>
      <c r="Q55" s="730"/>
      <c r="R55" s="733"/>
      <c r="S55" s="734"/>
      <c r="T55" s="782"/>
      <c r="U55" s="783"/>
      <c r="V55" s="785"/>
      <c r="W55" s="785"/>
      <c r="X55" s="764"/>
      <c r="Y55" s="764"/>
      <c r="Z55" s="716"/>
      <c r="AA55" s="717"/>
      <c r="AB55" s="718"/>
      <c r="AC55" s="716"/>
      <c r="AD55" s="717"/>
      <c r="AE55" s="717"/>
      <c r="AF55" s="718"/>
      <c r="AG55" s="805"/>
      <c r="AH55" s="728"/>
      <c r="AI55" s="765"/>
      <c r="AJ55" s="766"/>
      <c r="AK55" s="766"/>
      <c r="AL55" s="767"/>
      <c r="AM55" s="795"/>
      <c r="AN55" s="796"/>
      <c r="AO55" s="798"/>
      <c r="AP55" s="798"/>
      <c r="AQ55" s="798"/>
      <c r="AR55" s="802"/>
      <c r="AS55" s="803"/>
      <c r="AT55" s="803"/>
      <c r="AU55" s="804"/>
      <c r="AV55" s="22"/>
      <c r="AX55" s="749"/>
      <c r="AY55" s="751"/>
      <c r="AZ55" s="747"/>
      <c r="BA55" s="747"/>
      <c r="BB55" s="747"/>
      <c r="BC55" s="747"/>
      <c r="BD55" s="755"/>
      <c r="BE55" s="747"/>
      <c r="BF55" s="747"/>
      <c r="BG55" s="839"/>
      <c r="BH55" s="751"/>
      <c r="BI55" s="755"/>
      <c r="BJ55" s="751"/>
      <c r="BK55" s="829"/>
      <c r="BL55" s="831"/>
      <c r="BM55" s="836"/>
      <c r="BN55" s="832"/>
      <c r="BO55" s="735"/>
      <c r="BP55" s="837"/>
      <c r="BQ55" s="839"/>
    </row>
    <row r="56" spans="2:69" ht="15.95" customHeight="1">
      <c r="B56" s="806">
        <v>20</v>
      </c>
      <c r="C56" s="728"/>
      <c r="D56" s="729"/>
      <c r="E56" s="729"/>
      <c r="F56" s="730"/>
      <c r="G56" s="741"/>
      <c r="H56" s="742"/>
      <c r="I56" s="742"/>
      <c r="J56" s="742"/>
      <c r="K56" s="742"/>
      <c r="L56" s="742"/>
      <c r="M56" s="716"/>
      <c r="N56" s="718"/>
      <c r="O56" s="716"/>
      <c r="P56" s="717"/>
      <c r="Q56" s="718"/>
      <c r="R56" s="731" t="str">
        <f>IFERROR(IF(INDEX(STDLIGHTINEFCAT2[System Wattage],MATCH('M03-S02'!$M56&amp;"_"&amp;INDEX(STDLIGHT[Ineff Dropdown 2],MATCH('M03-S02'!$G56,STDLIGHT[Measure Name],0))&amp;"_"&amp;O56,STDLIGHTINEFCAT2[Full Name],0))="","",INDEX(STDLIGHTINEFCAT2[System Wattage],MATCH('M03-S02'!$M56&amp;"_"&amp;INDEX(STDLIGHT[Ineff Dropdown 2],MATCH('M03-S02'!$G56,STDLIGHT[Measure Name],0))&amp;"_"&amp;O56,STDLIGHTINEFCAT2[Full Name],0))),"")</f>
        <v/>
      </c>
      <c r="S56" s="732"/>
      <c r="T56" s="782" t="str">
        <f t="shared" ref="T56" si="35">IF(C56="Permanent Lamp Removal",0,"")</f>
        <v/>
      </c>
      <c r="U56" s="783"/>
      <c r="V56" s="784"/>
      <c r="W56" s="784"/>
      <c r="X56" s="763"/>
      <c r="Y56" s="763"/>
      <c r="Z56" s="719"/>
      <c r="AA56" s="720"/>
      <c r="AB56" s="721"/>
      <c r="AC56" s="713"/>
      <c r="AD56" s="714"/>
      <c r="AE56" s="714"/>
      <c r="AF56" s="715"/>
      <c r="AG56" s="813"/>
      <c r="AH56" s="716"/>
      <c r="AI56" s="786"/>
      <c r="AJ56" s="787"/>
      <c r="AK56" s="787"/>
      <c r="AL56" s="788"/>
      <c r="AM56" s="793" t="str">
        <f>IFERROR(IF(G56="","",IF(C56&lt;&gt;INDEX(STDLIGHT[Eff Category 1],MATCH(G56,STDLIGHT[Measure Name],0)),0,INDEX(IF(AND(ACTIVEBONUS = TRUE,INDEX(STDLIGHT[Bonus Incentive],MATCH(G56,STDLIGHT[Measure Name],0))&lt;&gt; ""),STDLIGHT[Bonus Incentive],STDLIGHT[Base Incentive]),MATCH(G56,STDLIGHT[Measure Name],0)))),"")</f>
        <v/>
      </c>
      <c r="AN56" s="794"/>
      <c r="AO56" s="797" t="str">
        <f>IFERROR(IF(OR(C56="",G56="",M56="",O56="",R56="",T56="",V56="",X56="",AC56="",AG56="",AI56="",AK56=""),"",IF(BN56="Deemed",AZ56,IF(BN56="Calculated",BE56,""))),"")</f>
        <v/>
      </c>
      <c r="AP56" s="797"/>
      <c r="AQ56" s="797"/>
      <c r="AR56" s="799" t="str">
        <f>IFERROR(IF(OR(C56="",G56="",M56="",O56="",R56="",T56="",V56="",X56="",AC56="",AG56="",AI56="",AK56=""),"",IF(BJ56&lt;&gt;"",BJ56,IF(BP56&gt;0,BP56,ROUND(IF(AO56&lt;=0,0,MIN(AX56,BG56)),2)))),"")</f>
        <v/>
      </c>
      <c r="AS56" s="800"/>
      <c r="AT56" s="800"/>
      <c r="AU56" s="801"/>
      <c r="AV56" s="22"/>
      <c r="AX56" s="748" t="str">
        <f>IF(OR(C56="",G56="",M56="",O56="",R56="",T56="",V56="",X56="",AC56="",AG56="",AI56="",AK56=""),"",IF(AO56=0,"",ROUND(AI56+AK56,2)))</f>
        <v/>
      </c>
      <c r="AY56" s="750" t="str">
        <f>IFERROR(IF(OR(C56="",G56="",M56="",O56="",R56="",T56="",V56="",X56="",AC56="",AG56="",AI56="",AK56=""),"",INDEX(STDLIGHT[Current Unit],MATCH(G56,STDLIGHT[Measure Name],0))),"Err")</f>
        <v/>
      </c>
      <c r="AZ56" s="746" t="str">
        <f>IF(OR(C56="",G56="",M56="",O56="",R56="",T56="",V56="",X56="",AC56="",AG56="",AI56="",AK56=""),"",IFERROR(IF(G56="","",IF(C56&lt;&gt;INDEX(STDLIGHT[Eff Category 1],MATCH(G56,STDLIGHT[Measure Name],0)),0,
IF(BB56&lt;=BC56,0,
ROUND(V56*INDEX(STDLIGHT[Electric Energy Savings (Annual kWh/unit)],MATCH('M03-S02'!G56,STDLIGHT[Measure Name],0)),4)))),""))</f>
        <v/>
      </c>
      <c r="BA56" s="746" t="str">
        <f>IF(OR(C56="",G56="",M56="",O56="",R56="",T56="",V56="",X56="",AC56="",AG56="",AI56="",AK56=""),"",IFERROR(IF(G56="","",IF(C56&lt;&gt;INDEX(STDLIGHT[Eff Category 1],MATCH(G56,STDLIGHT[Measure Name],0)),0,
IF(BB56&lt;=BC56,0,
ROUND(V56*INDEX(STDLIGHT[Coincident Peak Demand Savings (kW/unit)],MATCH('M03-S02'!G56,STDLIGHT[Measure Name],0)),4)))),""))</f>
        <v/>
      </c>
      <c r="BB56" s="746" t="str">
        <f>IF(OR(C56="",G56="",M56="",O56="",R56="",T56="",V56="",X56="",AC56="",AG56="",AI56="",AK56=""),"",
IF(OR(ISNUMBER(SEARCH("Exterior",C56)),ISNUMBER(SEARCH("Parking",C56)),M02S04F22="Unconditioned",M02S04F22="Electric Heat Only",M02S04F22="Natural Gas Heat Only"),ROUND(R56*V56*X56/1000,4),
ROUND(R56*V56*X56/1000*INDEX(BUILDINGTYPE[Waste Heat Factor (e)],MATCH(M02S04F19,BUILDINGTYPE[Building Type],0)),4)))</f>
        <v/>
      </c>
      <c r="BC56" s="746" t="str">
        <f>IF(OR(C56="",G56="",M56="",O56="",R56="",T56="",V56="",X56="",AC56="",AG56="",AI56="",AK56=""),"",
IF(OR(ISNUMBER(SEARCH("Exterior",C56)),ISNUMBER(SEARCH("Parking",C56)),M02S04F22="Unconditioned",M02S04F22="Electric Heat Only",M02S04F22="Natural Gas Heat Only"),ROUND(T56*V56*X56/1000,4),
ROUND(T56*V56*X56/1000*INDEX(BUILDINGTYPE[Waste Heat Factor (e)],MATCH(M02S04F19,BUILDINGTYPE[Building Type],0)),4)))</f>
        <v/>
      </c>
      <c r="BD56" s="754" t="str">
        <f>IFERROR(IF(OR(C56="",G56="",M56="",O56="",R56="",T56="",V56="",X56="",AC56="",AG56="",AI56="",AK56=""),"",INDEX(STDLIGHT[End Use],MATCH(G56,STDLIGHT[Measure Name],0))),"Err")</f>
        <v/>
      </c>
      <c r="BE56" s="746" t="str">
        <f>IFERROR(IF(OR(C56="",G56="",M56="",O56="",R56="",T56="",V56="",X56="",AC56="",AG56="",AI56="",AK56=""),"",
IF(BB56&lt;=BC56,0,
IF(OR(ISNUMBER(SEARCH("Exterior",C56)),ISNUMBER(SEARCH("Parking",C56)),M02S04F22="Unconditioned",M02S04F22="Electric Heat Only",M02S04F22="Natural Gas Heat Only"),ROUND((R56-T56)*V56*X56/1000,4),
ROUND((R56-T56)*V56*X56/1000*INDEX(BUILDINGTYPE[Waste Heat Factor (e)],MATCH(M02S04F19,BUILDINGTYPE[Building Type],0)),4)))),"")</f>
        <v/>
      </c>
      <c r="BF56" s="746" t="str">
        <f>IFERROR(IF(OR(C56="",G56="",M56="",O56="",R56="",T56="",V56="",X56="",AC56="",AG56="",AI56="",AK56=""),"",
IF(BB56&lt;=BC56,0,
IF(ISNUMBER(SEARCH("Exterior",C56)),0,
IF(OR(ISNUMBER(SEARCH("Parking",C56)),M02S04F22="Unconditioned",M02S04F22="Electric Heat Only",M02S04F22="Natural Gas Heat Only"),ROUND((R56-T56)*V56/1000*INDEX(BUILDINGTYPE[Lighting Coincidence Factor],MATCH(M02S04F19,BUILDINGTYPE[Building Type],0)),4),
ROUND((R56-T56)*V56/1000*INDEX(BUILDINGTYPE[Lighting Coincidence Factor],MATCH(M02S04F19,BUILDINGTYPE[Building Type],0))*INDEX(BUILDINGTYPE[WHFd],MATCH(M02S04F19,BUILDINGTYPE[Building Type],0)),4))))),"")</f>
        <v/>
      </c>
      <c r="BG56" s="838" t="str">
        <f>IFERROR(ROUND(V56*AM56, 2), "")</f>
        <v/>
      </c>
      <c r="BH56" s="750" t="str">
        <f>IFERROR(IF(OR(C56="",G56="",M56="",O56="",R56="",T56="",V56="",X56="",AC56="",AG56="",AI56="",AK56="",ISNUMBER(AR56)=FALSE,AR56=0),"",INDEX(STDLIGHT[Measure Number],MATCH(G56,STDLIGHT[Measure Name],0))),"Err")</f>
        <v/>
      </c>
      <c r="BI56" s="754" t="str">
        <f t="shared" ref="BI56" si="36">IFERROR(IF(BP56="",IF(AR56 &lt; BG56, "100% Total Cost", ""), ""), "")</f>
        <v/>
      </c>
      <c r="BJ56" s="750" t="str">
        <f>IFERROR(IF(OR(C56="",G56="",M56="",O56="",R56="",T56="",V56="",X56="",AC56="",AG56="",AI56="",AK56=""),"",
IF(BP56&gt;0,"",
IF(EXPIRATION&lt;&gt;"",PROJSTATEXP,
IF(M02S04F19="",MEASUREBLDG,
IF(BB56&lt;=BC56,MEASURESAVE,""))))),MEASURESUBMIT)</f>
        <v/>
      </c>
      <c r="BK56" s="828" t="str">
        <f>IFERROR(INDEX(STDLIGHT[Measure Life (Years)],MATCH(G56,STDLIGHT[Measure Name],0)),"")</f>
        <v/>
      </c>
      <c r="BL56" s="830" t="str">
        <f>IFERROR(IF(OR(C56="",G56="",M56="",O56="",R56="",T56="",V56="",X56="",AC56="",AG56="",AI56="",AK56=""),"",
ROUND(((1+ELOSS)*((BE56*INDEX(ELECCB[NPV AEC $/kWh],MATCH(BK56,ELECCB[Year Number],1)))+(BF56*INDEX(ELECCB[NPV ACC $/kW],MATCH(BK56,ELECCB[Year Number],1))))),2)),0)</f>
        <v/>
      </c>
      <c r="BM56" s="835"/>
      <c r="BN56" s="832" t="str">
        <f>IFERROR(IF(OR(C56="",G56="",M56="",O56="",R56="",T56="",V56="",X56="",AC56="",AG56="",AI56="",AK56=""),"",INDEX(STDLIGHT[Reporting Methodology],MATCH(G56,STDLIGHT[Measure Name],0))),"Err")</f>
        <v/>
      </c>
      <c r="BO56" s="735" t="str">
        <f>IFERROR(IF(BH56="","",INDEX(STDLIGHT[Incremental Measure Cost ($/Unit)],MATCH(G56,STDLIGHT[Measure Name],0))),"Err")</f>
        <v/>
      </c>
      <c r="BP56" s="837"/>
      <c r="BQ56" s="838" t="str">
        <f>_xlfn.LET(
_xlpm.IPU,
IFERROR(IF(G56="","",IF(C56&lt;&gt;INDEX(STDLIGHT[Eff Category 1],MATCH(G56,STDLIGHT[Measure Name],0)),0,INDEX(STDLIGHT[Base Incentive],MATCH(G56,STDLIGHT[Measure Name],0)))),""),
IFERROR(ROUND(V56*_xlpm.IPU, 2), ""))</f>
        <v/>
      </c>
    </row>
    <row r="57" spans="2:69" ht="15.95" customHeight="1">
      <c r="B57" s="806"/>
      <c r="C57" s="728"/>
      <c r="D57" s="729"/>
      <c r="E57" s="729"/>
      <c r="F57" s="730"/>
      <c r="G57" s="744"/>
      <c r="H57" s="745"/>
      <c r="I57" s="745"/>
      <c r="J57" s="745"/>
      <c r="K57" s="745"/>
      <c r="L57" s="745"/>
      <c r="M57" s="728"/>
      <c r="N57" s="730"/>
      <c r="O57" s="728"/>
      <c r="P57" s="729"/>
      <c r="Q57" s="730"/>
      <c r="R57" s="733"/>
      <c r="S57" s="734"/>
      <c r="T57" s="782"/>
      <c r="U57" s="783"/>
      <c r="V57" s="785"/>
      <c r="W57" s="785"/>
      <c r="X57" s="764"/>
      <c r="Y57" s="764"/>
      <c r="Z57" s="716"/>
      <c r="AA57" s="717"/>
      <c r="AB57" s="718"/>
      <c r="AC57" s="716"/>
      <c r="AD57" s="717"/>
      <c r="AE57" s="717"/>
      <c r="AF57" s="718"/>
      <c r="AG57" s="805"/>
      <c r="AH57" s="728"/>
      <c r="AI57" s="765"/>
      <c r="AJ57" s="766"/>
      <c r="AK57" s="766"/>
      <c r="AL57" s="767"/>
      <c r="AM57" s="795"/>
      <c r="AN57" s="796"/>
      <c r="AO57" s="798"/>
      <c r="AP57" s="798"/>
      <c r="AQ57" s="798"/>
      <c r="AR57" s="802"/>
      <c r="AS57" s="803"/>
      <c r="AT57" s="803"/>
      <c r="AU57" s="804"/>
      <c r="AV57" s="22"/>
      <c r="AX57" s="749"/>
      <c r="AY57" s="751"/>
      <c r="AZ57" s="747"/>
      <c r="BA57" s="747"/>
      <c r="BB57" s="747"/>
      <c r="BC57" s="747"/>
      <c r="BD57" s="755"/>
      <c r="BE57" s="747"/>
      <c r="BF57" s="747"/>
      <c r="BG57" s="839"/>
      <c r="BH57" s="751"/>
      <c r="BI57" s="755"/>
      <c r="BJ57" s="751"/>
      <c r="BK57" s="829"/>
      <c r="BL57" s="831"/>
      <c r="BM57" s="836"/>
      <c r="BN57" s="832"/>
      <c r="BO57" s="735"/>
      <c r="BP57" s="837"/>
      <c r="BQ57" s="839"/>
    </row>
    <row r="58" spans="2:69" ht="15.95" customHeight="1">
      <c r="B58" s="806">
        <v>21</v>
      </c>
      <c r="C58" s="728"/>
      <c r="D58" s="729"/>
      <c r="E58" s="729"/>
      <c r="F58" s="730"/>
      <c r="G58" s="741"/>
      <c r="H58" s="742"/>
      <c r="I58" s="742"/>
      <c r="J58" s="742"/>
      <c r="K58" s="742"/>
      <c r="L58" s="742"/>
      <c r="M58" s="716"/>
      <c r="N58" s="718"/>
      <c r="O58" s="716"/>
      <c r="P58" s="717"/>
      <c r="Q58" s="718"/>
      <c r="R58" s="731" t="str">
        <f>IFERROR(IF(INDEX(STDLIGHTINEFCAT2[System Wattage],MATCH('M03-S02'!$M58&amp;"_"&amp;INDEX(STDLIGHT[Ineff Dropdown 2],MATCH('M03-S02'!$G58,STDLIGHT[Measure Name],0))&amp;"_"&amp;O58,STDLIGHTINEFCAT2[Full Name],0))="","",INDEX(STDLIGHTINEFCAT2[System Wattage],MATCH('M03-S02'!$M58&amp;"_"&amp;INDEX(STDLIGHT[Ineff Dropdown 2],MATCH('M03-S02'!$G58,STDLIGHT[Measure Name],0))&amp;"_"&amp;O58,STDLIGHTINEFCAT2[Full Name],0))),"")</f>
        <v/>
      </c>
      <c r="S58" s="732"/>
      <c r="T58" s="782" t="str">
        <f t="shared" ref="T58" si="37">IF(C58="Permanent Lamp Removal",0,"")</f>
        <v/>
      </c>
      <c r="U58" s="783"/>
      <c r="V58" s="784"/>
      <c r="W58" s="784"/>
      <c r="X58" s="763"/>
      <c r="Y58" s="763"/>
      <c r="Z58" s="719"/>
      <c r="AA58" s="720"/>
      <c r="AB58" s="721"/>
      <c r="AC58" s="713"/>
      <c r="AD58" s="714"/>
      <c r="AE58" s="714"/>
      <c r="AF58" s="715"/>
      <c r="AG58" s="813"/>
      <c r="AH58" s="716"/>
      <c r="AI58" s="786"/>
      <c r="AJ58" s="787"/>
      <c r="AK58" s="787"/>
      <c r="AL58" s="788"/>
      <c r="AM58" s="793" t="str">
        <f>IFERROR(IF(G58="","",IF(C58&lt;&gt;INDEX(STDLIGHT[Eff Category 1],MATCH(G58,STDLIGHT[Measure Name],0)),0,INDEX(IF(AND(ACTIVEBONUS = TRUE,INDEX(STDLIGHT[Bonus Incentive],MATCH(G58,STDLIGHT[Measure Name],0))&lt;&gt; ""),STDLIGHT[Bonus Incentive],STDLIGHT[Base Incentive]),MATCH(G58,STDLIGHT[Measure Name],0)))),"")</f>
        <v/>
      </c>
      <c r="AN58" s="794"/>
      <c r="AO58" s="797" t="str">
        <f>IFERROR(IF(OR(C58="",G58="",M58="",O58="",R58="",T58="",V58="",X58="",AC58="",AG58="",AI58="",AK58=""),"",IF(BN58="Deemed",AZ58,IF(BN58="Calculated",BE58,""))),"")</f>
        <v/>
      </c>
      <c r="AP58" s="797"/>
      <c r="AQ58" s="797"/>
      <c r="AR58" s="799" t="str">
        <f>IFERROR(IF(OR(C58="",G58="",M58="",O58="",R58="",T58="",V58="",X58="",AC58="",AG58="",AI58="",AK58=""),"",IF(BJ58&lt;&gt;"",BJ58,IF(BP58&gt;0,BP58,ROUND(IF(AO58&lt;=0,0,MIN(AX58,BG58)),2)))),"")</f>
        <v/>
      </c>
      <c r="AS58" s="800"/>
      <c r="AT58" s="800"/>
      <c r="AU58" s="801"/>
      <c r="AV58" s="22"/>
      <c r="AX58" s="748" t="str">
        <f>IF(OR(C58="",G58="",M58="",O58="",R58="",T58="",V58="",X58="",AC58="",AG58="",AI58="",AK58=""),"",IF(AO58=0,"",ROUND(AI58+AK58,2)))</f>
        <v/>
      </c>
      <c r="AY58" s="750" t="str">
        <f>IFERROR(IF(OR(C58="",G58="",M58="",O58="",R58="",T58="",V58="",X58="",AC58="",AG58="",AI58="",AK58=""),"",INDEX(STDLIGHT[Current Unit],MATCH(G58,STDLIGHT[Measure Name],0))),"Err")</f>
        <v/>
      </c>
      <c r="AZ58" s="746" t="str">
        <f>IF(OR(C58="",G58="",M58="",O58="",R58="",T58="",V58="",X58="",AC58="",AG58="",AI58="",AK58=""),"",IFERROR(IF(G58="","",IF(C58&lt;&gt;INDEX(STDLIGHT[Eff Category 1],MATCH(G58,STDLIGHT[Measure Name],0)),0,
IF(BB58&lt;=BC58,0,
ROUND(V58*INDEX(STDLIGHT[Electric Energy Savings (Annual kWh/unit)],MATCH('M03-S02'!G58,STDLIGHT[Measure Name],0)),4)))),""))</f>
        <v/>
      </c>
      <c r="BA58" s="746" t="str">
        <f>IF(OR(C58="",G58="",M58="",O58="",R58="",T58="",V58="",X58="",AC58="",AG58="",AI58="",AK58=""),"",IFERROR(IF(G58="","",IF(C58&lt;&gt;INDEX(STDLIGHT[Eff Category 1],MATCH(G58,STDLIGHT[Measure Name],0)),0,
IF(BB58&lt;=BC58,0,
ROUND(V58*INDEX(STDLIGHT[Coincident Peak Demand Savings (kW/unit)],MATCH('M03-S02'!G58,STDLIGHT[Measure Name],0)),4)))),""))</f>
        <v/>
      </c>
      <c r="BB58" s="746" t="str">
        <f>IF(OR(C58="",G58="",M58="",O58="",R58="",T58="",V58="",X58="",AC58="",AG58="",AI58="",AK58=""),"",
IF(OR(ISNUMBER(SEARCH("Exterior",C58)),ISNUMBER(SEARCH("Parking",C58)),M02S04F22="Unconditioned",M02S04F22="Electric Heat Only",M02S04F22="Natural Gas Heat Only"),ROUND(R58*V58*X58/1000,4),
ROUND(R58*V58*X58/1000*INDEX(BUILDINGTYPE[Waste Heat Factor (e)],MATCH(M02S04F19,BUILDINGTYPE[Building Type],0)),4)))</f>
        <v/>
      </c>
      <c r="BC58" s="746" t="str">
        <f>IF(OR(C58="",G58="",M58="",O58="",R58="",T58="",V58="",X58="",AC58="",AG58="",AI58="",AK58=""),"",
IF(OR(ISNUMBER(SEARCH("Exterior",C58)),ISNUMBER(SEARCH("Parking",C58)),M02S04F22="Unconditioned",M02S04F22="Electric Heat Only",M02S04F22="Natural Gas Heat Only"),ROUND(T58*V58*X58/1000,4),
ROUND(T58*V58*X58/1000*INDEX(BUILDINGTYPE[Waste Heat Factor (e)],MATCH(M02S04F19,BUILDINGTYPE[Building Type],0)),4)))</f>
        <v/>
      </c>
      <c r="BD58" s="754" t="str">
        <f>IFERROR(IF(OR(C58="",G58="",M58="",O58="",R58="",T58="",V58="",X58="",AC58="",AG58="",AI58="",AK58=""),"",INDEX(STDLIGHT[End Use],MATCH(G58,STDLIGHT[Measure Name],0))),"Err")</f>
        <v/>
      </c>
      <c r="BE58" s="746" t="str">
        <f>IFERROR(IF(OR(C58="",G58="",M58="",O58="",R58="",T58="",V58="",X58="",AC58="",AG58="",AI58="",AK58=""),"",
IF(BB58&lt;=BC58,0,
IF(OR(ISNUMBER(SEARCH("Exterior",C58)),ISNUMBER(SEARCH("Parking",C58)),M02S04F22="Unconditioned",M02S04F22="Electric Heat Only",M02S04F22="Natural Gas Heat Only"),ROUND((R58-T58)*V58*X58/1000,4),
ROUND((R58-T58)*V58*X58/1000*INDEX(BUILDINGTYPE[Waste Heat Factor (e)],MATCH(M02S04F19,BUILDINGTYPE[Building Type],0)),4)))),"")</f>
        <v/>
      </c>
      <c r="BF58" s="746" t="str">
        <f>IFERROR(IF(OR(C58="",G58="",M58="",O58="",R58="",T58="",V58="",X58="",AC58="",AG58="",AI58="",AK58=""),"",
IF(BB58&lt;=BC58,0,
IF(ISNUMBER(SEARCH("Exterior",C58)),0,
IF(OR(ISNUMBER(SEARCH("Parking",C58)),M02S04F22="Unconditioned",M02S04F22="Electric Heat Only",M02S04F22="Natural Gas Heat Only"),ROUND((R58-T58)*V58/1000*INDEX(BUILDINGTYPE[Lighting Coincidence Factor],MATCH(M02S04F19,BUILDINGTYPE[Building Type],0)),4),
ROUND((R58-T58)*V58/1000*INDEX(BUILDINGTYPE[Lighting Coincidence Factor],MATCH(M02S04F19,BUILDINGTYPE[Building Type],0))*INDEX(BUILDINGTYPE[WHFd],MATCH(M02S04F19,BUILDINGTYPE[Building Type],0)),4))))),"")</f>
        <v/>
      </c>
      <c r="BG58" s="838" t="str">
        <f>IFERROR(ROUND(V58*AM58, 2), "")</f>
        <v/>
      </c>
      <c r="BH58" s="750" t="str">
        <f>IFERROR(IF(OR(C58="",G58="",M58="",O58="",R58="",T58="",V58="",X58="",AC58="",AG58="",AI58="",AK58="",ISNUMBER(AR58)=FALSE,AR58=0),"",INDEX(STDLIGHT[Measure Number],MATCH(G58,STDLIGHT[Measure Name],0))),"Err")</f>
        <v/>
      </c>
      <c r="BI58" s="754" t="str">
        <f t="shared" ref="BI58" si="38">IFERROR(IF(BP58="",IF(AR58 &lt; BG58, "100% Total Cost", ""), ""), "")</f>
        <v/>
      </c>
      <c r="BJ58" s="750" t="str">
        <f>IFERROR(IF(OR(C58="",G58="",M58="",O58="",R58="",T58="",V58="",X58="",AC58="",AG58="",AI58="",AK58=""),"",
IF(BP58&gt;0,"",
IF(EXPIRATION&lt;&gt;"",PROJSTATEXP,
IF(M02S04F19="",MEASUREBLDG,
IF(BB58&lt;=BC58,MEASURESAVE,""))))),MEASURESUBMIT)</f>
        <v/>
      </c>
      <c r="BK58" s="828" t="str">
        <f>IFERROR(INDEX(STDLIGHT[Measure Life (Years)],MATCH(G58,STDLIGHT[Measure Name],0)),"")</f>
        <v/>
      </c>
      <c r="BL58" s="830" t="str">
        <f>IFERROR(IF(OR(C58="",G58="",M58="",O58="",R58="",T58="",V58="",X58="",AC58="",AG58="",AI58="",AK58=""),"",
ROUND(((1+ELOSS)*((BE58*INDEX(ELECCB[NPV AEC $/kWh],MATCH(BK58,ELECCB[Year Number],1)))+(BF58*INDEX(ELECCB[NPV ACC $/kW],MATCH(BK58,ELECCB[Year Number],1))))),2)),0)</f>
        <v/>
      </c>
      <c r="BM58" s="835"/>
      <c r="BN58" s="832" t="str">
        <f>IFERROR(IF(OR(C58="",G58="",M58="",O58="",R58="",T58="",V58="",X58="",AC58="",AG58="",AI58="",AK58=""),"",INDEX(STDLIGHT[Reporting Methodology],MATCH(G58,STDLIGHT[Measure Name],0))),"Err")</f>
        <v/>
      </c>
      <c r="BO58" s="735" t="str">
        <f>IFERROR(IF(BH58="","",INDEX(STDLIGHT[Incremental Measure Cost ($/Unit)],MATCH(G58,STDLIGHT[Measure Name],0))),"Err")</f>
        <v/>
      </c>
      <c r="BP58" s="837"/>
      <c r="BQ58" s="838" t="str">
        <f>_xlfn.LET(
_xlpm.IPU,
IFERROR(IF(G58="","",IF(C58&lt;&gt;INDEX(STDLIGHT[Eff Category 1],MATCH(G58,STDLIGHT[Measure Name],0)),0,INDEX(STDLIGHT[Base Incentive],MATCH(G58,STDLIGHT[Measure Name],0)))),""),
IFERROR(ROUND(V58*_xlpm.IPU, 2), ""))</f>
        <v/>
      </c>
    </row>
    <row r="59" spans="2:69" ht="15.95" customHeight="1">
      <c r="B59" s="806"/>
      <c r="C59" s="728"/>
      <c r="D59" s="729"/>
      <c r="E59" s="729"/>
      <c r="F59" s="730"/>
      <c r="G59" s="744"/>
      <c r="H59" s="745"/>
      <c r="I59" s="745"/>
      <c r="J59" s="745"/>
      <c r="K59" s="745"/>
      <c r="L59" s="745"/>
      <c r="M59" s="728"/>
      <c r="N59" s="730"/>
      <c r="O59" s="728"/>
      <c r="P59" s="729"/>
      <c r="Q59" s="730"/>
      <c r="R59" s="733"/>
      <c r="S59" s="734"/>
      <c r="T59" s="782"/>
      <c r="U59" s="783"/>
      <c r="V59" s="785"/>
      <c r="W59" s="785"/>
      <c r="X59" s="764"/>
      <c r="Y59" s="764"/>
      <c r="Z59" s="716"/>
      <c r="AA59" s="717"/>
      <c r="AB59" s="718"/>
      <c r="AC59" s="716"/>
      <c r="AD59" s="717"/>
      <c r="AE59" s="717"/>
      <c r="AF59" s="718"/>
      <c r="AG59" s="805"/>
      <c r="AH59" s="728"/>
      <c r="AI59" s="765"/>
      <c r="AJ59" s="766"/>
      <c r="AK59" s="766"/>
      <c r="AL59" s="767"/>
      <c r="AM59" s="795"/>
      <c r="AN59" s="796"/>
      <c r="AO59" s="798"/>
      <c r="AP59" s="798"/>
      <c r="AQ59" s="798"/>
      <c r="AR59" s="802"/>
      <c r="AS59" s="803"/>
      <c r="AT59" s="803"/>
      <c r="AU59" s="804"/>
      <c r="AV59" s="22"/>
      <c r="AX59" s="749"/>
      <c r="AY59" s="751"/>
      <c r="AZ59" s="747"/>
      <c r="BA59" s="747"/>
      <c r="BB59" s="747"/>
      <c r="BC59" s="747"/>
      <c r="BD59" s="755"/>
      <c r="BE59" s="747"/>
      <c r="BF59" s="747"/>
      <c r="BG59" s="839"/>
      <c r="BH59" s="751"/>
      <c r="BI59" s="755"/>
      <c r="BJ59" s="751"/>
      <c r="BK59" s="829"/>
      <c r="BL59" s="831"/>
      <c r="BM59" s="836"/>
      <c r="BN59" s="832"/>
      <c r="BO59" s="735"/>
      <c r="BP59" s="837"/>
      <c r="BQ59" s="839"/>
    </row>
    <row r="60" spans="2:69" ht="15.95" customHeight="1">
      <c r="B60" s="806">
        <v>22</v>
      </c>
      <c r="C60" s="728"/>
      <c r="D60" s="729"/>
      <c r="E60" s="729"/>
      <c r="F60" s="730"/>
      <c r="G60" s="741"/>
      <c r="H60" s="742"/>
      <c r="I60" s="742"/>
      <c r="J60" s="742"/>
      <c r="K60" s="742"/>
      <c r="L60" s="742"/>
      <c r="M60" s="716"/>
      <c r="N60" s="718"/>
      <c r="O60" s="716"/>
      <c r="P60" s="717"/>
      <c r="Q60" s="718"/>
      <c r="R60" s="731" t="str">
        <f>IFERROR(IF(INDEX(STDLIGHTINEFCAT2[System Wattage],MATCH('M03-S02'!$M60&amp;"_"&amp;INDEX(STDLIGHT[Ineff Dropdown 2],MATCH('M03-S02'!$G60,STDLIGHT[Measure Name],0))&amp;"_"&amp;O60,STDLIGHTINEFCAT2[Full Name],0))="","",INDEX(STDLIGHTINEFCAT2[System Wattage],MATCH('M03-S02'!$M60&amp;"_"&amp;INDEX(STDLIGHT[Ineff Dropdown 2],MATCH('M03-S02'!$G60,STDLIGHT[Measure Name],0))&amp;"_"&amp;O60,STDLIGHTINEFCAT2[Full Name],0))),"")</f>
        <v/>
      </c>
      <c r="S60" s="732"/>
      <c r="T60" s="782" t="str">
        <f t="shared" ref="T60" si="39">IF(C60="Permanent Lamp Removal",0,"")</f>
        <v/>
      </c>
      <c r="U60" s="783"/>
      <c r="V60" s="784"/>
      <c r="W60" s="784"/>
      <c r="X60" s="763"/>
      <c r="Y60" s="763"/>
      <c r="Z60" s="719"/>
      <c r="AA60" s="720"/>
      <c r="AB60" s="721"/>
      <c r="AC60" s="713"/>
      <c r="AD60" s="714"/>
      <c r="AE60" s="714"/>
      <c r="AF60" s="715"/>
      <c r="AG60" s="813"/>
      <c r="AH60" s="716"/>
      <c r="AI60" s="786"/>
      <c r="AJ60" s="787"/>
      <c r="AK60" s="787"/>
      <c r="AL60" s="788"/>
      <c r="AM60" s="793" t="str">
        <f>IFERROR(IF(G60="","",IF(C60&lt;&gt;INDEX(STDLIGHT[Eff Category 1],MATCH(G60,STDLIGHT[Measure Name],0)),0,INDEX(IF(AND(ACTIVEBONUS = TRUE,INDEX(STDLIGHT[Bonus Incentive],MATCH(G60,STDLIGHT[Measure Name],0))&lt;&gt; ""),STDLIGHT[Bonus Incentive],STDLIGHT[Base Incentive]),MATCH(G60,STDLIGHT[Measure Name],0)))),"")</f>
        <v/>
      </c>
      <c r="AN60" s="794"/>
      <c r="AO60" s="797" t="str">
        <f>IFERROR(IF(OR(C60="",G60="",M60="",O60="",R60="",T60="",V60="",X60="",AC60="",AG60="",AI60="",AK60=""),"",IF(BN60="Deemed",AZ60,IF(BN60="Calculated",BE60,""))),"")</f>
        <v/>
      </c>
      <c r="AP60" s="797"/>
      <c r="AQ60" s="797"/>
      <c r="AR60" s="799" t="str">
        <f>IFERROR(IF(OR(C60="",G60="",M60="",O60="",R60="",T60="",V60="",X60="",AC60="",AG60="",AI60="",AK60=""),"",IF(BJ60&lt;&gt;"",BJ60,IF(BP60&gt;0,BP60,ROUND(IF(AO60&lt;=0,0,MIN(AX60,BG60)),2)))),"")</f>
        <v/>
      </c>
      <c r="AS60" s="800"/>
      <c r="AT60" s="800"/>
      <c r="AU60" s="801"/>
      <c r="AV60" s="22"/>
      <c r="AX60" s="748" t="str">
        <f>IF(OR(C60="",G60="",M60="",O60="",R60="",T60="",V60="",X60="",AC60="",AG60="",AI60="",AK60=""),"",IF(AO60=0,"",ROUND(AI60+AK60,2)))</f>
        <v/>
      </c>
      <c r="AY60" s="750" t="str">
        <f>IFERROR(IF(OR(C60="",G60="",M60="",O60="",R60="",T60="",V60="",X60="",AC60="",AG60="",AI60="",AK60=""),"",INDEX(STDLIGHT[Current Unit],MATCH(G60,STDLIGHT[Measure Name],0))),"Err")</f>
        <v/>
      </c>
      <c r="AZ60" s="746" t="str">
        <f>IF(OR(C60="",G60="",M60="",O60="",R60="",T60="",V60="",X60="",AC60="",AG60="",AI60="",AK60=""),"",IFERROR(IF(G60="","",IF(C60&lt;&gt;INDEX(STDLIGHT[Eff Category 1],MATCH(G60,STDLIGHT[Measure Name],0)),0,
IF(BB60&lt;=BC60,0,
ROUND(V60*INDEX(STDLIGHT[Electric Energy Savings (Annual kWh/unit)],MATCH('M03-S02'!G60,STDLIGHT[Measure Name],0)),4)))),""))</f>
        <v/>
      </c>
      <c r="BA60" s="746" t="str">
        <f>IF(OR(C60="",G60="",M60="",O60="",R60="",T60="",V60="",X60="",AC60="",AG60="",AI60="",AK60=""),"",IFERROR(IF(G60="","",IF(C60&lt;&gt;INDEX(STDLIGHT[Eff Category 1],MATCH(G60,STDLIGHT[Measure Name],0)),0,
IF(BB60&lt;=BC60,0,
ROUND(V60*INDEX(STDLIGHT[Coincident Peak Demand Savings (kW/unit)],MATCH('M03-S02'!G60,STDLIGHT[Measure Name],0)),4)))),""))</f>
        <v/>
      </c>
      <c r="BB60" s="746" t="str">
        <f>IF(OR(C60="",G60="",M60="",O60="",R60="",T60="",V60="",X60="",AC60="",AG60="",AI60="",AK60=""),"",
IF(OR(ISNUMBER(SEARCH("Exterior",C60)),ISNUMBER(SEARCH("Parking",C60)),M02S04F22="Unconditioned",M02S04F22="Electric Heat Only",M02S04F22="Natural Gas Heat Only"),ROUND(R60*V60*X60/1000,4),
ROUND(R60*V60*X60/1000*INDEX(BUILDINGTYPE[Waste Heat Factor (e)],MATCH(M02S04F19,BUILDINGTYPE[Building Type],0)),4)))</f>
        <v/>
      </c>
      <c r="BC60" s="746" t="str">
        <f>IF(OR(C60="",G60="",M60="",O60="",R60="",T60="",V60="",X60="",AC60="",AG60="",AI60="",AK60=""),"",
IF(OR(ISNUMBER(SEARCH("Exterior",C60)),ISNUMBER(SEARCH("Parking",C60)),M02S04F22="Unconditioned",M02S04F22="Electric Heat Only",M02S04F22="Natural Gas Heat Only"),ROUND(T60*V60*X60/1000,4),
ROUND(T60*V60*X60/1000*INDEX(BUILDINGTYPE[Waste Heat Factor (e)],MATCH(M02S04F19,BUILDINGTYPE[Building Type],0)),4)))</f>
        <v/>
      </c>
      <c r="BD60" s="754" t="str">
        <f>IFERROR(IF(OR(C60="",G60="",M60="",O60="",R60="",T60="",V60="",X60="",AC60="",AG60="",AI60="",AK60=""),"",INDEX(STDLIGHT[End Use],MATCH(G60,STDLIGHT[Measure Name],0))),"Err")</f>
        <v/>
      </c>
      <c r="BE60" s="746" t="str">
        <f>IFERROR(IF(OR(C60="",G60="",M60="",O60="",R60="",T60="",V60="",X60="",AC60="",AG60="",AI60="",AK60=""),"",
IF(BB60&lt;=BC60,0,
IF(OR(ISNUMBER(SEARCH("Exterior",C60)),ISNUMBER(SEARCH("Parking",C60)),M02S04F22="Unconditioned",M02S04F22="Electric Heat Only",M02S04F22="Natural Gas Heat Only"),ROUND((R60-T60)*V60*X60/1000,4),
ROUND((R60-T60)*V60*X60/1000*INDEX(BUILDINGTYPE[Waste Heat Factor (e)],MATCH(M02S04F19,BUILDINGTYPE[Building Type],0)),4)))),"")</f>
        <v/>
      </c>
      <c r="BF60" s="746" t="str">
        <f>IFERROR(IF(OR(C60="",G60="",M60="",O60="",R60="",T60="",V60="",X60="",AC60="",AG60="",AI60="",AK60=""),"",
IF(BB60&lt;=BC60,0,
IF(ISNUMBER(SEARCH("Exterior",C60)),0,
IF(OR(ISNUMBER(SEARCH("Parking",C60)),M02S04F22="Unconditioned",M02S04F22="Electric Heat Only",M02S04F22="Natural Gas Heat Only"),ROUND((R60-T60)*V60/1000*INDEX(BUILDINGTYPE[Lighting Coincidence Factor],MATCH(M02S04F19,BUILDINGTYPE[Building Type],0)),4),
ROUND((R60-T60)*V60/1000*INDEX(BUILDINGTYPE[Lighting Coincidence Factor],MATCH(M02S04F19,BUILDINGTYPE[Building Type],0))*INDEX(BUILDINGTYPE[WHFd],MATCH(M02S04F19,BUILDINGTYPE[Building Type],0)),4))))),"")</f>
        <v/>
      </c>
      <c r="BG60" s="838" t="str">
        <f>IFERROR(ROUND(V60*AM60, 2), "")</f>
        <v/>
      </c>
      <c r="BH60" s="750" t="str">
        <f>IFERROR(IF(OR(C60="",G60="",M60="",O60="",R60="",T60="",V60="",X60="",AC60="",AG60="",AI60="",AK60="",ISNUMBER(AR60)=FALSE,AR60=0),"",INDEX(STDLIGHT[Measure Number],MATCH(G60,STDLIGHT[Measure Name],0))),"Err")</f>
        <v/>
      </c>
      <c r="BI60" s="754" t="str">
        <f t="shared" ref="BI60" si="40">IFERROR(IF(BP60="",IF(AR60 &lt; BG60, "100% Total Cost", ""), ""), "")</f>
        <v/>
      </c>
      <c r="BJ60" s="750" t="str">
        <f>IFERROR(IF(OR(C60="",G60="",M60="",O60="",R60="",T60="",V60="",X60="",AC60="",AG60="",AI60="",AK60=""),"",
IF(BP60&gt;0,"",
IF(EXPIRATION&lt;&gt;"",PROJSTATEXP,
IF(M02S04F19="",MEASUREBLDG,
IF(BB60&lt;=BC60,MEASURESAVE,""))))),MEASURESUBMIT)</f>
        <v/>
      </c>
      <c r="BK60" s="828" t="str">
        <f>IFERROR(INDEX(STDLIGHT[Measure Life (Years)],MATCH(G60,STDLIGHT[Measure Name],0)),"")</f>
        <v/>
      </c>
      <c r="BL60" s="830" t="str">
        <f>IFERROR(IF(OR(C60="",G60="",M60="",O60="",R60="",T60="",V60="",X60="",AC60="",AG60="",AI60="",AK60=""),"",
ROUND(((1+ELOSS)*((BE60*INDEX(ELECCB[NPV AEC $/kWh],MATCH(BK60,ELECCB[Year Number],1)))+(BF60*INDEX(ELECCB[NPV ACC $/kW],MATCH(BK60,ELECCB[Year Number],1))))),2)),0)</f>
        <v/>
      </c>
      <c r="BM60" s="835"/>
      <c r="BN60" s="832" t="str">
        <f>IFERROR(IF(OR(C60="",G60="",M60="",O60="",R60="",T60="",V60="",X60="",AC60="",AG60="",AI60="",AK60=""),"",INDEX(STDLIGHT[Reporting Methodology],MATCH(G60,STDLIGHT[Measure Name],0))),"Err")</f>
        <v/>
      </c>
      <c r="BO60" s="735" t="str">
        <f>IFERROR(IF(BH60="","",INDEX(STDLIGHT[Incremental Measure Cost ($/Unit)],MATCH(G60,STDLIGHT[Measure Name],0))),"Err")</f>
        <v/>
      </c>
      <c r="BP60" s="837"/>
      <c r="BQ60" s="838" t="str">
        <f>_xlfn.LET(
_xlpm.IPU,
IFERROR(IF(G60="","",IF(C60&lt;&gt;INDEX(STDLIGHT[Eff Category 1],MATCH(G60,STDLIGHT[Measure Name],0)),0,INDEX(STDLIGHT[Base Incentive],MATCH(G60,STDLIGHT[Measure Name],0)))),""),
IFERROR(ROUND(V60*_xlpm.IPU, 2), ""))</f>
        <v/>
      </c>
    </row>
    <row r="61" spans="2:69" ht="15.95" customHeight="1">
      <c r="B61" s="806"/>
      <c r="C61" s="728"/>
      <c r="D61" s="729"/>
      <c r="E61" s="729"/>
      <c r="F61" s="730"/>
      <c r="G61" s="744"/>
      <c r="H61" s="745"/>
      <c r="I61" s="745"/>
      <c r="J61" s="745"/>
      <c r="K61" s="745"/>
      <c r="L61" s="745"/>
      <c r="M61" s="728"/>
      <c r="N61" s="730"/>
      <c r="O61" s="728"/>
      <c r="P61" s="729"/>
      <c r="Q61" s="730"/>
      <c r="R61" s="733"/>
      <c r="S61" s="734"/>
      <c r="T61" s="782"/>
      <c r="U61" s="783"/>
      <c r="V61" s="785"/>
      <c r="W61" s="785"/>
      <c r="X61" s="764"/>
      <c r="Y61" s="764"/>
      <c r="Z61" s="716"/>
      <c r="AA61" s="717"/>
      <c r="AB61" s="718"/>
      <c r="AC61" s="716"/>
      <c r="AD61" s="717"/>
      <c r="AE61" s="717"/>
      <c r="AF61" s="718"/>
      <c r="AG61" s="805"/>
      <c r="AH61" s="728"/>
      <c r="AI61" s="765"/>
      <c r="AJ61" s="766"/>
      <c r="AK61" s="766"/>
      <c r="AL61" s="767"/>
      <c r="AM61" s="795"/>
      <c r="AN61" s="796"/>
      <c r="AO61" s="798"/>
      <c r="AP61" s="798"/>
      <c r="AQ61" s="798"/>
      <c r="AR61" s="802"/>
      <c r="AS61" s="803"/>
      <c r="AT61" s="803"/>
      <c r="AU61" s="804"/>
      <c r="AV61" s="22"/>
      <c r="AX61" s="749"/>
      <c r="AY61" s="751"/>
      <c r="AZ61" s="747"/>
      <c r="BA61" s="747"/>
      <c r="BB61" s="747"/>
      <c r="BC61" s="747"/>
      <c r="BD61" s="755"/>
      <c r="BE61" s="747"/>
      <c r="BF61" s="747"/>
      <c r="BG61" s="839"/>
      <c r="BH61" s="751"/>
      <c r="BI61" s="755"/>
      <c r="BJ61" s="751"/>
      <c r="BK61" s="829"/>
      <c r="BL61" s="831"/>
      <c r="BM61" s="836"/>
      <c r="BN61" s="832"/>
      <c r="BO61" s="735"/>
      <c r="BP61" s="837"/>
      <c r="BQ61" s="839"/>
    </row>
    <row r="62" spans="2:69" ht="15.95" customHeight="1">
      <c r="B62" s="806">
        <v>23</v>
      </c>
      <c r="C62" s="728"/>
      <c r="D62" s="729"/>
      <c r="E62" s="729"/>
      <c r="F62" s="730"/>
      <c r="G62" s="741"/>
      <c r="H62" s="742"/>
      <c r="I62" s="742"/>
      <c r="J62" s="742"/>
      <c r="K62" s="742"/>
      <c r="L62" s="742"/>
      <c r="M62" s="716"/>
      <c r="N62" s="718"/>
      <c r="O62" s="716"/>
      <c r="P62" s="717"/>
      <c r="Q62" s="718"/>
      <c r="R62" s="731" t="str">
        <f>IFERROR(IF(INDEX(STDLIGHTINEFCAT2[System Wattage],MATCH('M03-S02'!$M62&amp;"_"&amp;INDEX(STDLIGHT[Ineff Dropdown 2],MATCH('M03-S02'!$G62,STDLIGHT[Measure Name],0))&amp;"_"&amp;O62,STDLIGHTINEFCAT2[Full Name],0))="","",INDEX(STDLIGHTINEFCAT2[System Wattage],MATCH('M03-S02'!$M62&amp;"_"&amp;INDEX(STDLIGHT[Ineff Dropdown 2],MATCH('M03-S02'!$G62,STDLIGHT[Measure Name],0))&amp;"_"&amp;O62,STDLIGHTINEFCAT2[Full Name],0))),"")</f>
        <v/>
      </c>
      <c r="S62" s="732"/>
      <c r="T62" s="782" t="str">
        <f t="shared" ref="T62" si="41">IF(C62="Permanent Lamp Removal",0,"")</f>
        <v/>
      </c>
      <c r="U62" s="783"/>
      <c r="V62" s="784"/>
      <c r="W62" s="784"/>
      <c r="X62" s="763"/>
      <c r="Y62" s="763"/>
      <c r="Z62" s="719"/>
      <c r="AA62" s="720"/>
      <c r="AB62" s="721"/>
      <c r="AC62" s="713"/>
      <c r="AD62" s="714"/>
      <c r="AE62" s="714"/>
      <c r="AF62" s="715"/>
      <c r="AG62" s="813"/>
      <c r="AH62" s="716"/>
      <c r="AI62" s="786"/>
      <c r="AJ62" s="787"/>
      <c r="AK62" s="787"/>
      <c r="AL62" s="788"/>
      <c r="AM62" s="793" t="str">
        <f>IFERROR(IF(G62="","",IF(C62&lt;&gt;INDEX(STDLIGHT[Eff Category 1],MATCH(G62,STDLIGHT[Measure Name],0)),0,INDEX(IF(AND(ACTIVEBONUS = TRUE,INDEX(STDLIGHT[Bonus Incentive],MATCH(G62,STDLIGHT[Measure Name],0))&lt;&gt; ""),STDLIGHT[Bonus Incentive],STDLIGHT[Base Incentive]),MATCH(G62,STDLIGHT[Measure Name],0)))),"")</f>
        <v/>
      </c>
      <c r="AN62" s="794"/>
      <c r="AO62" s="797" t="str">
        <f>IFERROR(IF(OR(C62="",G62="",M62="",O62="",R62="",T62="",V62="",X62="",AC62="",AG62="",AI62="",AK62=""),"",IF(BN62="Deemed",AZ62,IF(BN62="Calculated",BE62,""))),"")</f>
        <v/>
      </c>
      <c r="AP62" s="797"/>
      <c r="AQ62" s="797"/>
      <c r="AR62" s="799" t="str">
        <f>IFERROR(IF(OR(C62="",G62="",M62="",O62="",R62="",T62="",V62="",X62="",AC62="",AG62="",AI62="",AK62=""),"",IF(BJ62&lt;&gt;"",BJ62,IF(BP62&gt;0,BP62,ROUND(IF(AO62&lt;=0,0,MIN(AX62,BG62)),2)))),"")</f>
        <v/>
      </c>
      <c r="AS62" s="800"/>
      <c r="AT62" s="800"/>
      <c r="AU62" s="801"/>
      <c r="AV62" s="22"/>
      <c r="AX62" s="748" t="str">
        <f>IF(OR(C62="",G62="",M62="",O62="",R62="",T62="",V62="",X62="",AC62="",AG62="",AI62="",AK62=""),"",IF(AO62=0,"",ROUND(AI62+AK62,2)))</f>
        <v/>
      </c>
      <c r="AY62" s="750" t="str">
        <f>IFERROR(IF(OR(C62="",G62="",M62="",O62="",R62="",T62="",V62="",X62="",AC62="",AG62="",AI62="",AK62=""),"",INDEX(STDLIGHT[Current Unit],MATCH(G62,STDLIGHT[Measure Name],0))),"Err")</f>
        <v/>
      </c>
      <c r="AZ62" s="746" t="str">
        <f>IF(OR(C62="",G62="",M62="",O62="",R62="",T62="",V62="",X62="",AC62="",AG62="",AI62="",AK62=""),"",IFERROR(IF(G62="","",IF(C62&lt;&gt;INDEX(STDLIGHT[Eff Category 1],MATCH(G62,STDLIGHT[Measure Name],0)),0,
IF(BB62&lt;=BC62,0,
ROUND(V62*INDEX(STDLIGHT[Electric Energy Savings (Annual kWh/unit)],MATCH('M03-S02'!G62,STDLIGHT[Measure Name],0)),4)))),""))</f>
        <v/>
      </c>
      <c r="BA62" s="746" t="str">
        <f>IF(OR(C62="",G62="",M62="",O62="",R62="",T62="",V62="",X62="",AC62="",AG62="",AI62="",AK62=""),"",IFERROR(IF(G62="","",IF(C62&lt;&gt;INDEX(STDLIGHT[Eff Category 1],MATCH(G62,STDLIGHT[Measure Name],0)),0,
IF(BB62&lt;=BC62,0,
ROUND(V62*INDEX(STDLIGHT[Coincident Peak Demand Savings (kW/unit)],MATCH('M03-S02'!G62,STDLIGHT[Measure Name],0)),4)))),""))</f>
        <v/>
      </c>
      <c r="BB62" s="746" t="str">
        <f>IF(OR(C62="",G62="",M62="",O62="",R62="",T62="",V62="",X62="",AC62="",AG62="",AI62="",AK62=""),"",
IF(OR(ISNUMBER(SEARCH("Exterior",C62)),ISNUMBER(SEARCH("Parking",C62)),M02S04F22="Unconditioned",M02S04F22="Electric Heat Only",M02S04F22="Natural Gas Heat Only"),ROUND(R62*V62*X62/1000,4),
ROUND(R62*V62*X62/1000*INDEX(BUILDINGTYPE[Waste Heat Factor (e)],MATCH(M02S04F19,BUILDINGTYPE[Building Type],0)),4)))</f>
        <v/>
      </c>
      <c r="BC62" s="746" t="str">
        <f>IF(OR(C62="",G62="",M62="",O62="",R62="",T62="",V62="",X62="",AC62="",AG62="",AI62="",AK62=""),"",
IF(OR(ISNUMBER(SEARCH("Exterior",C62)),ISNUMBER(SEARCH("Parking",C62)),M02S04F22="Unconditioned",M02S04F22="Electric Heat Only",M02S04F22="Natural Gas Heat Only"),ROUND(T62*V62*X62/1000,4),
ROUND(T62*V62*X62/1000*INDEX(BUILDINGTYPE[Waste Heat Factor (e)],MATCH(M02S04F19,BUILDINGTYPE[Building Type],0)),4)))</f>
        <v/>
      </c>
      <c r="BD62" s="754" t="str">
        <f>IFERROR(IF(OR(C62="",G62="",M62="",O62="",R62="",T62="",V62="",X62="",AC62="",AG62="",AI62="",AK62=""),"",INDEX(STDLIGHT[End Use],MATCH(G62,STDLIGHT[Measure Name],0))),"Err")</f>
        <v/>
      </c>
      <c r="BE62" s="746" t="str">
        <f>IFERROR(IF(OR(C62="",G62="",M62="",O62="",R62="",T62="",V62="",X62="",AC62="",AG62="",AI62="",AK62=""),"",
IF(BB62&lt;=BC62,0,
IF(OR(ISNUMBER(SEARCH("Exterior",C62)),ISNUMBER(SEARCH("Parking",C62)),M02S04F22="Unconditioned",M02S04F22="Electric Heat Only",M02S04F22="Natural Gas Heat Only"),ROUND((R62-T62)*V62*X62/1000,4),
ROUND((R62-T62)*V62*X62/1000*INDEX(BUILDINGTYPE[Waste Heat Factor (e)],MATCH(M02S04F19,BUILDINGTYPE[Building Type],0)),4)))),"")</f>
        <v/>
      </c>
      <c r="BF62" s="746" t="str">
        <f>IFERROR(IF(OR(C62="",G62="",M62="",O62="",R62="",T62="",V62="",X62="",AC62="",AG62="",AI62="",AK62=""),"",
IF(BB62&lt;=BC62,0,
IF(ISNUMBER(SEARCH("Exterior",C62)),0,
IF(OR(ISNUMBER(SEARCH("Parking",C62)),M02S04F22="Unconditioned",M02S04F22="Electric Heat Only",M02S04F22="Natural Gas Heat Only"),ROUND((R62-T62)*V62/1000*INDEX(BUILDINGTYPE[Lighting Coincidence Factor],MATCH(M02S04F19,BUILDINGTYPE[Building Type],0)),4),
ROUND((R62-T62)*V62/1000*INDEX(BUILDINGTYPE[Lighting Coincidence Factor],MATCH(M02S04F19,BUILDINGTYPE[Building Type],0))*INDEX(BUILDINGTYPE[WHFd],MATCH(M02S04F19,BUILDINGTYPE[Building Type],0)),4))))),"")</f>
        <v/>
      </c>
      <c r="BG62" s="838" t="str">
        <f>IFERROR(ROUND(V62*AM62, 2), "")</f>
        <v/>
      </c>
      <c r="BH62" s="750" t="str">
        <f>IFERROR(IF(OR(C62="",G62="",M62="",O62="",R62="",T62="",V62="",X62="",AC62="",AG62="",AI62="",AK62="",ISNUMBER(AR62)=FALSE,AR62=0),"",INDEX(STDLIGHT[Measure Number],MATCH(G62,STDLIGHT[Measure Name],0))),"Err")</f>
        <v/>
      </c>
      <c r="BI62" s="754" t="str">
        <f t="shared" ref="BI62" si="42">IFERROR(IF(BP62="",IF(AR62 &lt; BG62, "100% Total Cost", ""), ""), "")</f>
        <v/>
      </c>
      <c r="BJ62" s="750" t="str">
        <f>IFERROR(IF(OR(C62="",G62="",M62="",O62="",R62="",T62="",V62="",X62="",AC62="",AG62="",AI62="",AK62=""),"",
IF(BP62&gt;0,"",
IF(EXPIRATION&lt;&gt;"",PROJSTATEXP,
IF(M02S04F19="",MEASUREBLDG,
IF(BB62&lt;=BC62,MEASURESAVE,""))))),MEASURESUBMIT)</f>
        <v/>
      </c>
      <c r="BK62" s="828" t="str">
        <f>IFERROR(INDEX(STDLIGHT[Measure Life (Years)],MATCH(G62,STDLIGHT[Measure Name],0)),"")</f>
        <v/>
      </c>
      <c r="BL62" s="830" t="str">
        <f>IFERROR(IF(OR(C62="",G62="",M62="",O62="",R62="",T62="",V62="",X62="",AC62="",AG62="",AI62="",AK62=""),"",
ROUND(((1+ELOSS)*((BE62*INDEX(ELECCB[NPV AEC $/kWh],MATCH(BK62,ELECCB[Year Number],1)))+(BF62*INDEX(ELECCB[NPV ACC $/kW],MATCH(BK62,ELECCB[Year Number],1))))),2)),0)</f>
        <v/>
      </c>
      <c r="BM62" s="835"/>
      <c r="BN62" s="832" t="str">
        <f>IFERROR(IF(OR(C62="",G62="",M62="",O62="",R62="",T62="",V62="",X62="",AC62="",AG62="",AI62="",AK62=""),"",INDEX(STDLIGHT[Reporting Methodology],MATCH(G62,STDLIGHT[Measure Name],0))),"Err")</f>
        <v/>
      </c>
      <c r="BO62" s="735" t="str">
        <f>IFERROR(IF(BH62="","",INDEX(STDLIGHT[Incremental Measure Cost ($/Unit)],MATCH(G62,STDLIGHT[Measure Name],0))),"Err")</f>
        <v/>
      </c>
      <c r="BP62" s="837"/>
      <c r="BQ62" s="838" t="str">
        <f>_xlfn.LET(
_xlpm.IPU,
IFERROR(IF(G62="","",IF(C62&lt;&gt;INDEX(STDLIGHT[Eff Category 1],MATCH(G62,STDLIGHT[Measure Name],0)),0,INDEX(STDLIGHT[Base Incentive],MATCH(G62,STDLIGHT[Measure Name],0)))),""),
IFERROR(ROUND(V62*_xlpm.IPU, 2), ""))</f>
        <v/>
      </c>
    </row>
    <row r="63" spans="2:69" ht="15.95" customHeight="1">
      <c r="B63" s="806"/>
      <c r="C63" s="728"/>
      <c r="D63" s="729"/>
      <c r="E63" s="729"/>
      <c r="F63" s="730"/>
      <c r="G63" s="744"/>
      <c r="H63" s="745"/>
      <c r="I63" s="745"/>
      <c r="J63" s="745"/>
      <c r="K63" s="745"/>
      <c r="L63" s="745"/>
      <c r="M63" s="728"/>
      <c r="N63" s="730"/>
      <c r="O63" s="728"/>
      <c r="P63" s="729"/>
      <c r="Q63" s="730"/>
      <c r="R63" s="733"/>
      <c r="S63" s="734"/>
      <c r="T63" s="782"/>
      <c r="U63" s="783"/>
      <c r="V63" s="785"/>
      <c r="W63" s="785"/>
      <c r="X63" s="764"/>
      <c r="Y63" s="764"/>
      <c r="Z63" s="716"/>
      <c r="AA63" s="717"/>
      <c r="AB63" s="718"/>
      <c r="AC63" s="716"/>
      <c r="AD63" s="717"/>
      <c r="AE63" s="717"/>
      <c r="AF63" s="718"/>
      <c r="AG63" s="805"/>
      <c r="AH63" s="728"/>
      <c r="AI63" s="765"/>
      <c r="AJ63" s="766"/>
      <c r="AK63" s="766"/>
      <c r="AL63" s="767"/>
      <c r="AM63" s="795"/>
      <c r="AN63" s="796"/>
      <c r="AO63" s="798"/>
      <c r="AP63" s="798"/>
      <c r="AQ63" s="798"/>
      <c r="AR63" s="802"/>
      <c r="AS63" s="803"/>
      <c r="AT63" s="803"/>
      <c r="AU63" s="804"/>
      <c r="AV63" s="22"/>
      <c r="AX63" s="749"/>
      <c r="AY63" s="751"/>
      <c r="AZ63" s="747"/>
      <c r="BA63" s="747"/>
      <c r="BB63" s="747"/>
      <c r="BC63" s="747"/>
      <c r="BD63" s="755"/>
      <c r="BE63" s="747"/>
      <c r="BF63" s="747"/>
      <c r="BG63" s="839"/>
      <c r="BH63" s="751"/>
      <c r="BI63" s="755"/>
      <c r="BJ63" s="751"/>
      <c r="BK63" s="829"/>
      <c r="BL63" s="831"/>
      <c r="BM63" s="836"/>
      <c r="BN63" s="832"/>
      <c r="BO63" s="735"/>
      <c r="BP63" s="837"/>
      <c r="BQ63" s="839"/>
    </row>
    <row r="64" spans="2:69" ht="15.95" customHeight="1">
      <c r="B64" s="806">
        <v>24</v>
      </c>
      <c r="C64" s="728"/>
      <c r="D64" s="729"/>
      <c r="E64" s="729"/>
      <c r="F64" s="730"/>
      <c r="G64" s="741"/>
      <c r="H64" s="742"/>
      <c r="I64" s="742"/>
      <c r="J64" s="742"/>
      <c r="K64" s="742"/>
      <c r="L64" s="742"/>
      <c r="M64" s="716"/>
      <c r="N64" s="718"/>
      <c r="O64" s="716"/>
      <c r="P64" s="717"/>
      <c r="Q64" s="718"/>
      <c r="R64" s="731" t="str">
        <f>IFERROR(IF(INDEX(STDLIGHTINEFCAT2[System Wattage],MATCH('M03-S02'!$M64&amp;"_"&amp;INDEX(STDLIGHT[Ineff Dropdown 2],MATCH('M03-S02'!$G64,STDLIGHT[Measure Name],0))&amp;"_"&amp;O64,STDLIGHTINEFCAT2[Full Name],0))="","",INDEX(STDLIGHTINEFCAT2[System Wattage],MATCH('M03-S02'!$M64&amp;"_"&amp;INDEX(STDLIGHT[Ineff Dropdown 2],MATCH('M03-S02'!$G64,STDLIGHT[Measure Name],0))&amp;"_"&amp;O64,STDLIGHTINEFCAT2[Full Name],0))),"")</f>
        <v/>
      </c>
      <c r="S64" s="732"/>
      <c r="T64" s="782" t="str">
        <f t="shared" ref="T64" si="43">IF(C64="Permanent Lamp Removal",0,"")</f>
        <v/>
      </c>
      <c r="U64" s="783"/>
      <c r="V64" s="784"/>
      <c r="W64" s="784"/>
      <c r="X64" s="763"/>
      <c r="Y64" s="763"/>
      <c r="Z64" s="719"/>
      <c r="AA64" s="720"/>
      <c r="AB64" s="721"/>
      <c r="AC64" s="713"/>
      <c r="AD64" s="714"/>
      <c r="AE64" s="714"/>
      <c r="AF64" s="715"/>
      <c r="AG64" s="813"/>
      <c r="AH64" s="716"/>
      <c r="AI64" s="786"/>
      <c r="AJ64" s="787"/>
      <c r="AK64" s="787"/>
      <c r="AL64" s="788"/>
      <c r="AM64" s="793" t="str">
        <f>IFERROR(IF(G64="","",IF(C64&lt;&gt;INDEX(STDLIGHT[Eff Category 1],MATCH(G64,STDLIGHT[Measure Name],0)),0,INDEX(IF(AND(ACTIVEBONUS = TRUE,INDEX(STDLIGHT[Bonus Incentive],MATCH(G64,STDLIGHT[Measure Name],0))&lt;&gt; ""),STDLIGHT[Bonus Incentive],STDLIGHT[Base Incentive]),MATCH(G64,STDLIGHT[Measure Name],0)))),"")</f>
        <v/>
      </c>
      <c r="AN64" s="794"/>
      <c r="AO64" s="797" t="str">
        <f>IFERROR(IF(OR(C64="",G64="",M64="",O64="",R64="",T64="",V64="",X64="",AC64="",AG64="",AI64="",AK64=""),"",IF(BN64="Deemed",AZ64,IF(BN64="Calculated",BE64,""))),"")</f>
        <v/>
      </c>
      <c r="AP64" s="797"/>
      <c r="AQ64" s="797"/>
      <c r="AR64" s="799" t="str">
        <f>IFERROR(IF(OR(C64="",G64="",M64="",O64="",R64="",T64="",V64="",X64="",AC64="",AG64="",AI64="",AK64=""),"",IF(BJ64&lt;&gt;"",BJ64,IF(BP64&gt;0,BP64,ROUND(IF(AO64&lt;=0,0,MIN(AX64,BG64)),2)))),"")</f>
        <v/>
      </c>
      <c r="AS64" s="800"/>
      <c r="AT64" s="800"/>
      <c r="AU64" s="801"/>
      <c r="AV64" s="22"/>
      <c r="AX64" s="748" t="str">
        <f>IF(OR(C64="",G64="",M64="",O64="",R64="",T64="",V64="",X64="",AC64="",AG64="",AI64="",AK64=""),"",IF(AO64=0,"",ROUND(AI64+AK64,2)))</f>
        <v/>
      </c>
      <c r="AY64" s="750" t="str">
        <f>IFERROR(IF(OR(C64="",G64="",M64="",O64="",R64="",T64="",V64="",X64="",AC64="",AG64="",AI64="",AK64=""),"",INDEX(STDLIGHT[Current Unit],MATCH(G64,STDLIGHT[Measure Name],0))),"Err")</f>
        <v/>
      </c>
      <c r="AZ64" s="746" t="str">
        <f>IF(OR(C64="",G64="",M64="",O64="",R64="",T64="",V64="",X64="",AC64="",AG64="",AI64="",AK64=""),"",IFERROR(IF(G64="","",IF(C64&lt;&gt;INDEX(STDLIGHT[Eff Category 1],MATCH(G64,STDLIGHT[Measure Name],0)),0,
IF(BB64&lt;=BC64,0,
ROUND(V64*INDEX(STDLIGHT[Electric Energy Savings (Annual kWh/unit)],MATCH('M03-S02'!G64,STDLIGHT[Measure Name],0)),4)))),""))</f>
        <v/>
      </c>
      <c r="BA64" s="746" t="str">
        <f>IF(OR(C64="",G64="",M64="",O64="",R64="",T64="",V64="",X64="",AC64="",AG64="",AI64="",AK64=""),"",IFERROR(IF(G64="","",IF(C64&lt;&gt;INDEX(STDLIGHT[Eff Category 1],MATCH(G64,STDLIGHT[Measure Name],0)),0,
IF(BB64&lt;=BC64,0,
ROUND(V64*INDEX(STDLIGHT[Coincident Peak Demand Savings (kW/unit)],MATCH('M03-S02'!G64,STDLIGHT[Measure Name],0)),4)))),""))</f>
        <v/>
      </c>
      <c r="BB64" s="746" t="str">
        <f>IF(OR(C64="",G64="",M64="",O64="",R64="",T64="",V64="",X64="",AC64="",AG64="",AI64="",AK64=""),"",
IF(OR(ISNUMBER(SEARCH("Exterior",C64)),ISNUMBER(SEARCH("Parking",C64)),M02S04F22="Unconditioned",M02S04F22="Electric Heat Only",M02S04F22="Natural Gas Heat Only"),ROUND(R64*V64*X64/1000,4),
ROUND(R64*V64*X64/1000*INDEX(BUILDINGTYPE[Waste Heat Factor (e)],MATCH(M02S04F19,BUILDINGTYPE[Building Type],0)),4)))</f>
        <v/>
      </c>
      <c r="BC64" s="746" t="str">
        <f>IF(OR(C64="",G64="",M64="",O64="",R64="",T64="",V64="",X64="",AC64="",AG64="",AI64="",AK64=""),"",
IF(OR(ISNUMBER(SEARCH("Exterior",C64)),ISNUMBER(SEARCH("Parking",C64)),M02S04F22="Unconditioned",M02S04F22="Electric Heat Only",M02S04F22="Natural Gas Heat Only"),ROUND(T64*V64*X64/1000,4),
ROUND(T64*V64*X64/1000*INDEX(BUILDINGTYPE[Waste Heat Factor (e)],MATCH(M02S04F19,BUILDINGTYPE[Building Type],0)),4)))</f>
        <v/>
      </c>
      <c r="BD64" s="754" t="str">
        <f>IFERROR(IF(OR(C64="",G64="",M64="",O64="",R64="",T64="",V64="",X64="",AC64="",AG64="",AI64="",AK64=""),"",INDEX(STDLIGHT[End Use],MATCH(G64,STDLIGHT[Measure Name],0))),"Err")</f>
        <v/>
      </c>
      <c r="BE64" s="746" t="str">
        <f>IFERROR(IF(OR(C64="",G64="",M64="",O64="",R64="",T64="",V64="",X64="",AC64="",AG64="",AI64="",AK64=""),"",
IF(BB64&lt;=BC64,0,
IF(OR(ISNUMBER(SEARCH("Exterior",C64)),ISNUMBER(SEARCH("Parking",C64)),M02S04F22="Unconditioned",M02S04F22="Electric Heat Only",M02S04F22="Natural Gas Heat Only"),ROUND((R64-T64)*V64*X64/1000,4),
ROUND((R64-T64)*V64*X64/1000*INDEX(BUILDINGTYPE[Waste Heat Factor (e)],MATCH(M02S04F19,BUILDINGTYPE[Building Type],0)),4)))),"")</f>
        <v/>
      </c>
      <c r="BF64" s="746" t="str">
        <f>IFERROR(IF(OR(C64="",G64="",M64="",O64="",R64="",T64="",V64="",X64="",AC64="",AG64="",AI64="",AK64=""),"",
IF(BB64&lt;=BC64,0,
IF(ISNUMBER(SEARCH("Exterior",C64)),0,
IF(OR(ISNUMBER(SEARCH("Parking",C64)),M02S04F22="Unconditioned",M02S04F22="Electric Heat Only",M02S04F22="Natural Gas Heat Only"),ROUND((R64-T64)*V64/1000*INDEX(BUILDINGTYPE[Lighting Coincidence Factor],MATCH(M02S04F19,BUILDINGTYPE[Building Type],0)),4),
ROUND((R64-T64)*V64/1000*INDEX(BUILDINGTYPE[Lighting Coincidence Factor],MATCH(M02S04F19,BUILDINGTYPE[Building Type],0))*INDEX(BUILDINGTYPE[WHFd],MATCH(M02S04F19,BUILDINGTYPE[Building Type],0)),4))))),"")</f>
        <v/>
      </c>
      <c r="BG64" s="838" t="str">
        <f>IFERROR(ROUND(V64*AM64, 2), "")</f>
        <v/>
      </c>
      <c r="BH64" s="750" t="str">
        <f>IFERROR(IF(OR(C64="",G64="",M64="",O64="",R64="",T64="",V64="",X64="",AC64="",AG64="",AI64="",AK64="",ISNUMBER(AR64)=FALSE,AR64=0),"",INDEX(STDLIGHT[Measure Number],MATCH(G64,STDLIGHT[Measure Name],0))),"Err")</f>
        <v/>
      </c>
      <c r="BI64" s="754" t="str">
        <f t="shared" ref="BI64" si="44">IFERROR(IF(BP64="",IF(AR64 &lt; BG64, "100% Total Cost", ""), ""), "")</f>
        <v/>
      </c>
      <c r="BJ64" s="750" t="str">
        <f>IFERROR(IF(OR(C64="",G64="",M64="",O64="",R64="",T64="",V64="",X64="",AC64="",AG64="",AI64="",AK64=""),"",
IF(BP64&gt;0,"",
IF(EXPIRATION&lt;&gt;"",PROJSTATEXP,
IF(M02S04F19="",MEASUREBLDG,
IF(BB64&lt;=BC64,MEASURESAVE,""))))),MEASURESUBMIT)</f>
        <v/>
      </c>
      <c r="BK64" s="828" t="str">
        <f>IFERROR(INDEX(STDLIGHT[Measure Life (Years)],MATCH(G64,STDLIGHT[Measure Name],0)),"")</f>
        <v/>
      </c>
      <c r="BL64" s="830" t="str">
        <f>IFERROR(IF(OR(C64="",G64="",M64="",O64="",R64="",T64="",V64="",X64="",AC64="",AG64="",AI64="",AK64=""),"",
ROUND(((1+ELOSS)*((BE64*INDEX(ELECCB[NPV AEC $/kWh],MATCH(BK64,ELECCB[Year Number],1)))+(BF64*INDEX(ELECCB[NPV ACC $/kW],MATCH(BK64,ELECCB[Year Number],1))))),2)),0)</f>
        <v/>
      </c>
      <c r="BM64" s="835"/>
      <c r="BN64" s="832" t="str">
        <f>IFERROR(IF(OR(C64="",G64="",M64="",O64="",R64="",T64="",V64="",X64="",AC64="",AG64="",AI64="",AK64=""),"",INDEX(STDLIGHT[Reporting Methodology],MATCH(G64,STDLIGHT[Measure Name],0))),"Err")</f>
        <v/>
      </c>
      <c r="BO64" s="735" t="str">
        <f>IFERROR(IF(BH64="","",INDEX(STDLIGHT[Incremental Measure Cost ($/Unit)],MATCH(G64,STDLIGHT[Measure Name],0))),"Err")</f>
        <v/>
      </c>
      <c r="BP64" s="837"/>
      <c r="BQ64" s="838" t="str">
        <f>_xlfn.LET(
_xlpm.IPU,
IFERROR(IF(G64="","",IF(C64&lt;&gt;INDEX(STDLIGHT[Eff Category 1],MATCH(G64,STDLIGHT[Measure Name],0)),0,INDEX(STDLIGHT[Base Incentive],MATCH(G64,STDLIGHT[Measure Name],0)))),""),
IFERROR(ROUND(V64*_xlpm.IPU, 2), ""))</f>
        <v/>
      </c>
    </row>
    <row r="65" spans="2:69" ht="15.95" customHeight="1">
      <c r="B65" s="806"/>
      <c r="C65" s="728"/>
      <c r="D65" s="729"/>
      <c r="E65" s="729"/>
      <c r="F65" s="730"/>
      <c r="G65" s="744"/>
      <c r="H65" s="745"/>
      <c r="I65" s="745"/>
      <c r="J65" s="745"/>
      <c r="K65" s="745"/>
      <c r="L65" s="745"/>
      <c r="M65" s="728"/>
      <c r="N65" s="730"/>
      <c r="O65" s="728"/>
      <c r="P65" s="729"/>
      <c r="Q65" s="730"/>
      <c r="R65" s="733"/>
      <c r="S65" s="734"/>
      <c r="T65" s="782"/>
      <c r="U65" s="783"/>
      <c r="V65" s="785"/>
      <c r="W65" s="785"/>
      <c r="X65" s="764"/>
      <c r="Y65" s="764"/>
      <c r="Z65" s="716"/>
      <c r="AA65" s="717"/>
      <c r="AB65" s="718"/>
      <c r="AC65" s="716"/>
      <c r="AD65" s="717"/>
      <c r="AE65" s="717"/>
      <c r="AF65" s="718"/>
      <c r="AG65" s="805"/>
      <c r="AH65" s="728"/>
      <c r="AI65" s="765"/>
      <c r="AJ65" s="766"/>
      <c r="AK65" s="766"/>
      <c r="AL65" s="767"/>
      <c r="AM65" s="795"/>
      <c r="AN65" s="796"/>
      <c r="AO65" s="798"/>
      <c r="AP65" s="798"/>
      <c r="AQ65" s="798"/>
      <c r="AR65" s="802"/>
      <c r="AS65" s="803"/>
      <c r="AT65" s="803"/>
      <c r="AU65" s="804"/>
      <c r="AV65" s="22"/>
      <c r="AX65" s="749"/>
      <c r="AY65" s="751"/>
      <c r="AZ65" s="747"/>
      <c r="BA65" s="747"/>
      <c r="BB65" s="747"/>
      <c r="BC65" s="747"/>
      <c r="BD65" s="755"/>
      <c r="BE65" s="747"/>
      <c r="BF65" s="747"/>
      <c r="BG65" s="839"/>
      <c r="BH65" s="751"/>
      <c r="BI65" s="755"/>
      <c r="BJ65" s="751"/>
      <c r="BK65" s="829"/>
      <c r="BL65" s="831"/>
      <c r="BM65" s="836"/>
      <c r="BN65" s="832"/>
      <c r="BO65" s="735"/>
      <c r="BP65" s="837"/>
      <c r="BQ65" s="839"/>
    </row>
    <row r="66" spans="2:69" ht="15.95" customHeight="1">
      <c r="B66" s="806">
        <v>25</v>
      </c>
      <c r="C66" s="728"/>
      <c r="D66" s="729"/>
      <c r="E66" s="729"/>
      <c r="F66" s="730"/>
      <c r="G66" s="741"/>
      <c r="H66" s="742"/>
      <c r="I66" s="742"/>
      <c r="J66" s="742"/>
      <c r="K66" s="742"/>
      <c r="L66" s="742"/>
      <c r="M66" s="716"/>
      <c r="N66" s="718"/>
      <c r="O66" s="716"/>
      <c r="P66" s="717"/>
      <c r="Q66" s="718"/>
      <c r="R66" s="731" t="str">
        <f>IFERROR(IF(INDEX(STDLIGHTINEFCAT2[System Wattage],MATCH('M03-S02'!$M66&amp;"_"&amp;INDEX(STDLIGHT[Ineff Dropdown 2],MATCH('M03-S02'!$G66,STDLIGHT[Measure Name],0))&amp;"_"&amp;O66,STDLIGHTINEFCAT2[Full Name],0))="","",INDEX(STDLIGHTINEFCAT2[System Wattage],MATCH('M03-S02'!$M66&amp;"_"&amp;INDEX(STDLIGHT[Ineff Dropdown 2],MATCH('M03-S02'!$G66,STDLIGHT[Measure Name],0))&amp;"_"&amp;O66,STDLIGHTINEFCAT2[Full Name],0))),"")</f>
        <v/>
      </c>
      <c r="S66" s="732"/>
      <c r="T66" s="782" t="str">
        <f t="shared" ref="T66" si="45">IF(C66="Permanent Lamp Removal",0,"")</f>
        <v/>
      </c>
      <c r="U66" s="783"/>
      <c r="V66" s="784"/>
      <c r="W66" s="784"/>
      <c r="X66" s="763"/>
      <c r="Y66" s="763"/>
      <c r="Z66" s="719"/>
      <c r="AA66" s="720"/>
      <c r="AB66" s="721"/>
      <c r="AC66" s="713"/>
      <c r="AD66" s="714"/>
      <c r="AE66" s="714"/>
      <c r="AF66" s="715"/>
      <c r="AG66" s="813"/>
      <c r="AH66" s="716"/>
      <c r="AI66" s="786"/>
      <c r="AJ66" s="787"/>
      <c r="AK66" s="787"/>
      <c r="AL66" s="788"/>
      <c r="AM66" s="793" t="str">
        <f>IFERROR(IF(G66="","",IF(C66&lt;&gt;INDEX(STDLIGHT[Eff Category 1],MATCH(G66,STDLIGHT[Measure Name],0)),0,INDEX(IF(AND(ACTIVEBONUS = TRUE,INDEX(STDLIGHT[Bonus Incentive],MATCH(G66,STDLIGHT[Measure Name],0))&lt;&gt; ""),STDLIGHT[Bonus Incentive],STDLIGHT[Base Incentive]),MATCH(G66,STDLIGHT[Measure Name],0)))),"")</f>
        <v/>
      </c>
      <c r="AN66" s="794"/>
      <c r="AO66" s="797" t="str">
        <f>IFERROR(IF(OR(C66="",G66="",M66="",O66="",R66="",T66="",V66="",X66="",AC66="",AG66="",AI66="",AK66=""),"",IF(BN66="Deemed",AZ66,IF(BN66="Calculated",BE66,""))),"")</f>
        <v/>
      </c>
      <c r="AP66" s="797"/>
      <c r="AQ66" s="797"/>
      <c r="AR66" s="799" t="str">
        <f>IFERROR(IF(OR(C66="",G66="",M66="",O66="",R66="",T66="",V66="",X66="",AC66="",AG66="",AI66="",AK66=""),"",IF(BJ66&lt;&gt;"",BJ66,IF(BP66&gt;0,BP66,ROUND(IF(AO66&lt;=0,0,MIN(AX66,BG66)),2)))),"")</f>
        <v/>
      </c>
      <c r="AS66" s="800"/>
      <c r="AT66" s="800"/>
      <c r="AU66" s="801"/>
      <c r="AV66" s="22"/>
      <c r="AX66" s="748" t="str">
        <f>IF(OR(C66="",G66="",M66="",O66="",R66="",T66="",V66="",X66="",AC66="",AG66="",AI66="",AK66=""),"",IF(AO66=0,"",ROUND(AI66+AK66,2)))</f>
        <v/>
      </c>
      <c r="AY66" s="750" t="str">
        <f>IFERROR(IF(OR(C66="",G66="",M66="",O66="",R66="",T66="",V66="",X66="",AC66="",AG66="",AI66="",AK66=""),"",INDEX(STDLIGHT[Current Unit],MATCH(G66,STDLIGHT[Measure Name],0))),"Err")</f>
        <v/>
      </c>
      <c r="AZ66" s="746" t="str">
        <f>IF(OR(C66="",G66="",M66="",O66="",R66="",T66="",V66="",X66="",AC66="",AG66="",AI66="",AK66=""),"",IFERROR(IF(G66="","",IF(C66&lt;&gt;INDEX(STDLIGHT[Eff Category 1],MATCH(G66,STDLIGHT[Measure Name],0)),0,
IF(BB66&lt;=BC66,0,
ROUND(V66*INDEX(STDLIGHT[Electric Energy Savings (Annual kWh/unit)],MATCH('M03-S02'!G66,STDLIGHT[Measure Name],0)),4)))),""))</f>
        <v/>
      </c>
      <c r="BA66" s="746" t="str">
        <f>IF(OR(C66="",G66="",M66="",O66="",R66="",T66="",V66="",X66="",AC66="",AG66="",AI66="",AK66=""),"",IFERROR(IF(G66="","",IF(C66&lt;&gt;INDEX(STDLIGHT[Eff Category 1],MATCH(G66,STDLIGHT[Measure Name],0)),0,
IF(BB66&lt;=BC66,0,
ROUND(V66*INDEX(STDLIGHT[Coincident Peak Demand Savings (kW/unit)],MATCH('M03-S02'!G66,STDLIGHT[Measure Name],0)),4)))),""))</f>
        <v/>
      </c>
      <c r="BB66" s="746" t="str">
        <f>IF(OR(C66="",G66="",M66="",O66="",R66="",T66="",V66="",X66="",AC66="",AG66="",AI66="",AK66=""),"",
IF(OR(ISNUMBER(SEARCH("Exterior",C66)),ISNUMBER(SEARCH("Parking",C66)),M02S04F22="Unconditioned",M02S04F22="Electric Heat Only",M02S04F22="Natural Gas Heat Only"),ROUND(R66*V66*X66/1000,4),
ROUND(R66*V66*X66/1000*INDEX(BUILDINGTYPE[Waste Heat Factor (e)],MATCH(M02S04F19,BUILDINGTYPE[Building Type],0)),4)))</f>
        <v/>
      </c>
      <c r="BC66" s="746" t="str">
        <f>IF(OR(C66="",G66="",M66="",O66="",R66="",T66="",V66="",X66="",AC66="",AG66="",AI66="",AK66=""),"",
IF(OR(ISNUMBER(SEARCH("Exterior",C66)),ISNUMBER(SEARCH("Parking",C66)),M02S04F22="Unconditioned",M02S04F22="Electric Heat Only",M02S04F22="Natural Gas Heat Only"),ROUND(T66*V66*X66/1000,4),
ROUND(T66*V66*X66/1000*INDEX(BUILDINGTYPE[Waste Heat Factor (e)],MATCH(M02S04F19,BUILDINGTYPE[Building Type],0)),4)))</f>
        <v/>
      </c>
      <c r="BD66" s="754" t="str">
        <f>IFERROR(IF(OR(C66="",G66="",M66="",O66="",R66="",T66="",V66="",X66="",AC66="",AG66="",AI66="",AK66=""),"",INDEX(STDLIGHT[End Use],MATCH(G66,STDLIGHT[Measure Name],0))),"Err")</f>
        <v/>
      </c>
      <c r="BE66" s="746" t="str">
        <f>IFERROR(IF(OR(C66="",G66="",M66="",O66="",R66="",T66="",V66="",X66="",AC66="",AG66="",AI66="",AK66=""),"",
IF(BB66&lt;=BC66,0,
IF(OR(ISNUMBER(SEARCH("Exterior",C66)),ISNUMBER(SEARCH("Parking",C66)),M02S04F22="Unconditioned",M02S04F22="Electric Heat Only",M02S04F22="Natural Gas Heat Only"),ROUND((R66-T66)*V66*X66/1000,4),
ROUND((R66-T66)*V66*X66/1000*INDEX(BUILDINGTYPE[Waste Heat Factor (e)],MATCH(M02S04F19,BUILDINGTYPE[Building Type],0)),4)))),"")</f>
        <v/>
      </c>
      <c r="BF66" s="746" t="str">
        <f>IFERROR(IF(OR(C66="",G66="",M66="",O66="",R66="",T66="",V66="",X66="",AC66="",AG66="",AI66="",AK66=""),"",
IF(BB66&lt;=BC66,0,
IF(ISNUMBER(SEARCH("Exterior",C66)),0,
IF(OR(ISNUMBER(SEARCH("Parking",C66)),M02S04F22="Unconditioned",M02S04F22="Electric Heat Only",M02S04F22="Natural Gas Heat Only"),ROUND((R66-T66)*V66/1000*INDEX(BUILDINGTYPE[Lighting Coincidence Factor],MATCH(M02S04F19,BUILDINGTYPE[Building Type],0)),4),
ROUND((R66-T66)*V66/1000*INDEX(BUILDINGTYPE[Lighting Coincidence Factor],MATCH(M02S04F19,BUILDINGTYPE[Building Type],0))*INDEX(BUILDINGTYPE[WHFd],MATCH(M02S04F19,BUILDINGTYPE[Building Type],0)),4))))),"")</f>
        <v/>
      </c>
      <c r="BG66" s="838" t="str">
        <f>IFERROR(ROUND(V66*AM66, 2), "")</f>
        <v/>
      </c>
      <c r="BH66" s="750" t="str">
        <f>IFERROR(IF(OR(C66="",G66="",M66="",O66="",R66="",T66="",V66="",X66="",AC66="",AG66="",AI66="",AK66="",ISNUMBER(AR66)=FALSE,AR66=0),"",INDEX(STDLIGHT[Measure Number],MATCH(G66,STDLIGHT[Measure Name],0))),"Err")</f>
        <v/>
      </c>
      <c r="BI66" s="754" t="str">
        <f t="shared" ref="BI66" si="46">IFERROR(IF(BP66="",IF(AR66 &lt; BG66, "100% Total Cost", ""), ""), "")</f>
        <v/>
      </c>
      <c r="BJ66" s="750" t="str">
        <f>IFERROR(IF(OR(C66="",G66="",M66="",O66="",R66="",T66="",V66="",X66="",AC66="",AG66="",AI66="",AK66=""),"",
IF(BP66&gt;0,"",
IF(EXPIRATION&lt;&gt;"",PROJSTATEXP,
IF(M02S04F19="",MEASUREBLDG,
IF(BB66&lt;=BC66,MEASURESAVE,""))))),MEASURESUBMIT)</f>
        <v/>
      </c>
      <c r="BK66" s="828" t="str">
        <f>IFERROR(INDEX(STDLIGHT[Measure Life (Years)],MATCH(G66,STDLIGHT[Measure Name],0)),"")</f>
        <v/>
      </c>
      <c r="BL66" s="830" t="str">
        <f>IFERROR(IF(OR(C66="",G66="",M66="",O66="",R66="",T66="",V66="",X66="",AC66="",AG66="",AI66="",AK66=""),"",
ROUND(((1+ELOSS)*((BE66*INDEX(ELECCB[NPV AEC $/kWh],MATCH(BK66,ELECCB[Year Number],1)))+(BF66*INDEX(ELECCB[NPV ACC $/kW],MATCH(BK66,ELECCB[Year Number],1))))),2)),0)</f>
        <v/>
      </c>
      <c r="BM66" s="835"/>
      <c r="BN66" s="832" t="str">
        <f>IFERROR(IF(OR(C66="",G66="",M66="",O66="",R66="",T66="",V66="",X66="",AC66="",AG66="",AI66="",AK66=""),"",INDEX(STDLIGHT[Reporting Methodology],MATCH(G66,STDLIGHT[Measure Name],0))),"Err")</f>
        <v/>
      </c>
      <c r="BO66" s="735" t="str">
        <f>IFERROR(IF(BH66="","",INDEX(STDLIGHT[Incremental Measure Cost ($/Unit)],MATCH(G66,STDLIGHT[Measure Name],0))),"Err")</f>
        <v/>
      </c>
      <c r="BP66" s="837"/>
      <c r="BQ66" s="838" t="str">
        <f>_xlfn.LET(
_xlpm.IPU,
IFERROR(IF(G66="","",IF(C66&lt;&gt;INDEX(STDLIGHT[Eff Category 1],MATCH(G66,STDLIGHT[Measure Name],0)),0,INDEX(STDLIGHT[Base Incentive],MATCH(G66,STDLIGHT[Measure Name],0)))),""),
IFERROR(ROUND(V66*_xlpm.IPU, 2), ""))</f>
        <v/>
      </c>
    </row>
    <row r="67" spans="2:69" ht="15.95" customHeight="1">
      <c r="B67" s="806"/>
      <c r="C67" s="728"/>
      <c r="D67" s="729"/>
      <c r="E67" s="729"/>
      <c r="F67" s="730"/>
      <c r="G67" s="744"/>
      <c r="H67" s="745"/>
      <c r="I67" s="745"/>
      <c r="J67" s="745"/>
      <c r="K67" s="745"/>
      <c r="L67" s="745"/>
      <c r="M67" s="728"/>
      <c r="N67" s="730"/>
      <c r="O67" s="728"/>
      <c r="P67" s="729"/>
      <c r="Q67" s="730"/>
      <c r="R67" s="733"/>
      <c r="S67" s="734"/>
      <c r="T67" s="782"/>
      <c r="U67" s="783"/>
      <c r="V67" s="785"/>
      <c r="W67" s="785"/>
      <c r="X67" s="764"/>
      <c r="Y67" s="764"/>
      <c r="Z67" s="716"/>
      <c r="AA67" s="717"/>
      <c r="AB67" s="718"/>
      <c r="AC67" s="716"/>
      <c r="AD67" s="717"/>
      <c r="AE67" s="717"/>
      <c r="AF67" s="718"/>
      <c r="AG67" s="805"/>
      <c r="AH67" s="728"/>
      <c r="AI67" s="765"/>
      <c r="AJ67" s="766"/>
      <c r="AK67" s="766"/>
      <c r="AL67" s="767"/>
      <c r="AM67" s="795"/>
      <c r="AN67" s="796"/>
      <c r="AO67" s="798"/>
      <c r="AP67" s="798"/>
      <c r="AQ67" s="798"/>
      <c r="AR67" s="802"/>
      <c r="AS67" s="803"/>
      <c r="AT67" s="803"/>
      <c r="AU67" s="804"/>
      <c r="AV67" s="22"/>
      <c r="AX67" s="749"/>
      <c r="AY67" s="751"/>
      <c r="AZ67" s="747"/>
      <c r="BA67" s="747"/>
      <c r="BB67" s="747"/>
      <c r="BC67" s="747"/>
      <c r="BD67" s="755"/>
      <c r="BE67" s="747"/>
      <c r="BF67" s="747"/>
      <c r="BG67" s="839"/>
      <c r="BH67" s="751"/>
      <c r="BI67" s="755"/>
      <c r="BJ67" s="751"/>
      <c r="BK67" s="829"/>
      <c r="BL67" s="831"/>
      <c r="BM67" s="836"/>
      <c r="BN67" s="832"/>
      <c r="BO67" s="735"/>
      <c r="BP67" s="837"/>
      <c r="BQ67" s="839"/>
    </row>
    <row r="68" spans="2:69" ht="15.95" customHeight="1">
      <c r="B68" s="806">
        <v>26</v>
      </c>
      <c r="C68" s="728"/>
      <c r="D68" s="729"/>
      <c r="E68" s="729"/>
      <c r="F68" s="730"/>
      <c r="G68" s="741"/>
      <c r="H68" s="742"/>
      <c r="I68" s="742"/>
      <c r="J68" s="742"/>
      <c r="K68" s="742"/>
      <c r="L68" s="742"/>
      <c r="M68" s="716"/>
      <c r="N68" s="718"/>
      <c r="O68" s="716"/>
      <c r="P68" s="717"/>
      <c r="Q68" s="718"/>
      <c r="R68" s="731" t="str">
        <f>IFERROR(IF(INDEX(STDLIGHTINEFCAT2[System Wattage],MATCH('M03-S02'!$M68&amp;"_"&amp;INDEX(STDLIGHT[Ineff Dropdown 2],MATCH('M03-S02'!$G68,STDLIGHT[Measure Name],0))&amp;"_"&amp;O68,STDLIGHTINEFCAT2[Full Name],0))="","",INDEX(STDLIGHTINEFCAT2[System Wattage],MATCH('M03-S02'!$M68&amp;"_"&amp;INDEX(STDLIGHT[Ineff Dropdown 2],MATCH('M03-S02'!$G68,STDLIGHT[Measure Name],0))&amp;"_"&amp;O68,STDLIGHTINEFCAT2[Full Name],0))),"")</f>
        <v/>
      </c>
      <c r="S68" s="732"/>
      <c r="T68" s="782" t="str">
        <f t="shared" ref="T68" si="47">IF(C68="Permanent Lamp Removal",0,"")</f>
        <v/>
      </c>
      <c r="U68" s="783"/>
      <c r="V68" s="784"/>
      <c r="W68" s="784"/>
      <c r="X68" s="763"/>
      <c r="Y68" s="763"/>
      <c r="Z68" s="719"/>
      <c r="AA68" s="720"/>
      <c r="AB68" s="721"/>
      <c r="AC68" s="713"/>
      <c r="AD68" s="714"/>
      <c r="AE68" s="714"/>
      <c r="AF68" s="715"/>
      <c r="AG68" s="813"/>
      <c r="AH68" s="716"/>
      <c r="AI68" s="786"/>
      <c r="AJ68" s="787"/>
      <c r="AK68" s="787"/>
      <c r="AL68" s="788"/>
      <c r="AM68" s="793" t="str">
        <f>IFERROR(IF(G68="","",IF(C68&lt;&gt;INDEX(STDLIGHT[Eff Category 1],MATCH(G68,STDLIGHT[Measure Name],0)),0,INDEX(IF(AND(ACTIVEBONUS = TRUE,INDEX(STDLIGHT[Bonus Incentive],MATCH(G68,STDLIGHT[Measure Name],0))&lt;&gt; ""),STDLIGHT[Bonus Incentive],STDLIGHT[Base Incentive]),MATCH(G68,STDLIGHT[Measure Name],0)))),"")</f>
        <v/>
      </c>
      <c r="AN68" s="794"/>
      <c r="AO68" s="797" t="str">
        <f>IFERROR(IF(OR(C68="",G68="",M68="",O68="",R68="",T68="",V68="",X68="",AC68="",AG68="",AI68="",AK68=""),"",IF(BN68="Deemed",AZ68,IF(BN68="Calculated",BE68,""))),"")</f>
        <v/>
      </c>
      <c r="AP68" s="797"/>
      <c r="AQ68" s="797"/>
      <c r="AR68" s="799" t="str">
        <f>IFERROR(IF(OR(C68="",G68="",M68="",O68="",R68="",T68="",V68="",X68="",AC68="",AG68="",AI68="",AK68=""),"",IF(BJ68&lt;&gt;"",BJ68,IF(BP68&gt;0,BP68,ROUND(IF(AO68&lt;=0,0,MIN(AX68,BG68)),2)))),"")</f>
        <v/>
      </c>
      <c r="AS68" s="800"/>
      <c r="AT68" s="800"/>
      <c r="AU68" s="801"/>
      <c r="AV68" s="22"/>
      <c r="AX68" s="748" t="str">
        <f>IF(OR(C68="",G68="",M68="",O68="",R68="",T68="",V68="",X68="",AC68="",AG68="",AI68="",AK68=""),"",IF(AO68=0,"",ROUND(AI68+AK68,2)))</f>
        <v/>
      </c>
      <c r="AY68" s="750" t="str">
        <f>IFERROR(IF(OR(C68="",G68="",M68="",O68="",R68="",T68="",V68="",X68="",AC68="",AG68="",AI68="",AK68=""),"",INDEX(STDLIGHT[Current Unit],MATCH(G68,STDLIGHT[Measure Name],0))),"Err")</f>
        <v/>
      </c>
      <c r="AZ68" s="746" t="str">
        <f>IF(OR(C68="",G68="",M68="",O68="",R68="",T68="",V68="",X68="",AC68="",AG68="",AI68="",AK68=""),"",IFERROR(IF(G68="","",IF(C68&lt;&gt;INDEX(STDLIGHT[Eff Category 1],MATCH(G68,STDLIGHT[Measure Name],0)),0,
IF(BB68&lt;=BC68,0,
ROUND(V68*INDEX(STDLIGHT[Electric Energy Savings (Annual kWh/unit)],MATCH('M03-S02'!G68,STDLIGHT[Measure Name],0)),4)))),""))</f>
        <v/>
      </c>
      <c r="BA68" s="746" t="str">
        <f>IF(OR(C68="",G68="",M68="",O68="",R68="",T68="",V68="",X68="",AC68="",AG68="",AI68="",AK68=""),"",IFERROR(IF(G68="","",IF(C68&lt;&gt;INDEX(STDLIGHT[Eff Category 1],MATCH(G68,STDLIGHT[Measure Name],0)),0,
IF(BB68&lt;=BC68,0,
ROUND(V68*INDEX(STDLIGHT[Coincident Peak Demand Savings (kW/unit)],MATCH('M03-S02'!G68,STDLIGHT[Measure Name],0)),4)))),""))</f>
        <v/>
      </c>
      <c r="BB68" s="746" t="str">
        <f>IF(OR(C68="",G68="",M68="",O68="",R68="",T68="",V68="",X68="",AC68="",AG68="",AI68="",AK68=""),"",
IF(OR(ISNUMBER(SEARCH("Exterior",C68)),ISNUMBER(SEARCH("Parking",C68)),M02S04F22="Unconditioned",M02S04F22="Electric Heat Only",M02S04F22="Natural Gas Heat Only"),ROUND(R68*V68*X68/1000,4),
ROUND(R68*V68*X68/1000*INDEX(BUILDINGTYPE[Waste Heat Factor (e)],MATCH(M02S04F19,BUILDINGTYPE[Building Type],0)),4)))</f>
        <v/>
      </c>
      <c r="BC68" s="746" t="str">
        <f>IF(OR(C68="",G68="",M68="",O68="",R68="",T68="",V68="",X68="",AC68="",AG68="",AI68="",AK68=""),"",
IF(OR(ISNUMBER(SEARCH("Exterior",C68)),ISNUMBER(SEARCH("Parking",C68)),M02S04F22="Unconditioned",M02S04F22="Electric Heat Only",M02S04F22="Natural Gas Heat Only"),ROUND(T68*V68*X68/1000,4),
ROUND(T68*V68*X68/1000*INDEX(BUILDINGTYPE[Waste Heat Factor (e)],MATCH(M02S04F19,BUILDINGTYPE[Building Type],0)),4)))</f>
        <v/>
      </c>
      <c r="BD68" s="754" t="str">
        <f>IFERROR(IF(OR(C68="",G68="",M68="",O68="",R68="",T68="",V68="",X68="",AC68="",AG68="",AI68="",AK68=""),"",INDEX(STDLIGHT[End Use],MATCH(G68,STDLIGHT[Measure Name],0))),"Err")</f>
        <v/>
      </c>
      <c r="BE68" s="746" t="str">
        <f>IFERROR(IF(OR(C68="",G68="",M68="",O68="",R68="",T68="",V68="",X68="",AC68="",AG68="",AI68="",AK68=""),"",
IF(BB68&lt;=BC68,0,
IF(OR(ISNUMBER(SEARCH("Exterior",C68)),ISNUMBER(SEARCH("Parking",C68)),M02S04F22="Unconditioned",M02S04F22="Electric Heat Only",M02S04F22="Natural Gas Heat Only"),ROUND((R68-T68)*V68*X68/1000,4),
ROUND((R68-T68)*V68*X68/1000*INDEX(BUILDINGTYPE[Waste Heat Factor (e)],MATCH(M02S04F19,BUILDINGTYPE[Building Type],0)),4)))),"")</f>
        <v/>
      </c>
      <c r="BF68" s="746" t="str">
        <f>IFERROR(IF(OR(C68="",G68="",M68="",O68="",R68="",T68="",V68="",X68="",AC68="",AG68="",AI68="",AK68=""),"",
IF(BB68&lt;=BC68,0,
IF(ISNUMBER(SEARCH("Exterior",C68)),0,
IF(OR(ISNUMBER(SEARCH("Parking",C68)),M02S04F22="Unconditioned",M02S04F22="Electric Heat Only",M02S04F22="Natural Gas Heat Only"),ROUND((R68-T68)*V68/1000*INDEX(BUILDINGTYPE[Lighting Coincidence Factor],MATCH(M02S04F19,BUILDINGTYPE[Building Type],0)),4),
ROUND((R68-T68)*V68/1000*INDEX(BUILDINGTYPE[Lighting Coincidence Factor],MATCH(M02S04F19,BUILDINGTYPE[Building Type],0))*INDEX(BUILDINGTYPE[WHFd],MATCH(M02S04F19,BUILDINGTYPE[Building Type],0)),4))))),"")</f>
        <v/>
      </c>
      <c r="BG68" s="838" t="str">
        <f>IFERROR(ROUND(V68*AM68, 2), "")</f>
        <v/>
      </c>
      <c r="BH68" s="750" t="str">
        <f>IFERROR(IF(OR(C68="",G68="",M68="",O68="",R68="",T68="",V68="",X68="",AC68="",AG68="",AI68="",AK68="",ISNUMBER(AR68)=FALSE,AR68=0),"",INDEX(STDLIGHT[Measure Number],MATCH(G68,STDLIGHT[Measure Name],0))),"Err")</f>
        <v/>
      </c>
      <c r="BI68" s="754" t="str">
        <f t="shared" ref="BI68" si="48">IFERROR(IF(BP68="",IF(AR68 &lt; BG68, "100% Total Cost", ""), ""), "")</f>
        <v/>
      </c>
      <c r="BJ68" s="750" t="str">
        <f>IFERROR(IF(OR(C68="",G68="",M68="",O68="",R68="",T68="",V68="",X68="",AC68="",AG68="",AI68="",AK68=""),"",
IF(BP68&gt;0,"",
IF(EXPIRATION&lt;&gt;"",PROJSTATEXP,
IF(M02S04F19="",MEASUREBLDG,
IF(BB68&lt;=BC68,MEASURESAVE,""))))),MEASURESUBMIT)</f>
        <v/>
      </c>
      <c r="BK68" s="828" t="str">
        <f>IFERROR(INDEX(STDLIGHT[Measure Life (Years)],MATCH(G68,STDLIGHT[Measure Name],0)),"")</f>
        <v/>
      </c>
      <c r="BL68" s="830" t="str">
        <f>IFERROR(IF(OR(C68="",G68="",M68="",O68="",R68="",T68="",V68="",X68="",AC68="",AG68="",AI68="",AK68=""),"",
ROUND(((1+ELOSS)*((BE68*INDEX(ELECCB[NPV AEC $/kWh],MATCH(BK68,ELECCB[Year Number],1)))+(BF68*INDEX(ELECCB[NPV ACC $/kW],MATCH(BK68,ELECCB[Year Number],1))))),2)),0)</f>
        <v/>
      </c>
      <c r="BM68" s="835"/>
      <c r="BN68" s="832" t="str">
        <f>IFERROR(IF(OR(C68="",G68="",M68="",O68="",R68="",T68="",V68="",X68="",AC68="",AG68="",AI68="",AK68=""),"",INDEX(STDLIGHT[Reporting Methodology],MATCH(G68,STDLIGHT[Measure Name],0))),"Err")</f>
        <v/>
      </c>
      <c r="BO68" s="735" t="str">
        <f>IFERROR(IF(BH68="","",INDEX(STDLIGHT[Incremental Measure Cost ($/Unit)],MATCH(G68,STDLIGHT[Measure Name],0))),"Err")</f>
        <v/>
      </c>
      <c r="BP68" s="837"/>
      <c r="BQ68" s="838" t="str">
        <f>_xlfn.LET(
_xlpm.IPU,
IFERROR(IF(G68="","",IF(C68&lt;&gt;INDEX(STDLIGHT[Eff Category 1],MATCH(G68,STDLIGHT[Measure Name],0)),0,INDEX(STDLIGHT[Base Incentive],MATCH(G68,STDLIGHT[Measure Name],0)))),""),
IFERROR(ROUND(V68*_xlpm.IPU, 2), ""))</f>
        <v/>
      </c>
    </row>
    <row r="69" spans="2:69" ht="15.95" customHeight="1">
      <c r="B69" s="806"/>
      <c r="C69" s="728"/>
      <c r="D69" s="729"/>
      <c r="E69" s="729"/>
      <c r="F69" s="730"/>
      <c r="G69" s="744"/>
      <c r="H69" s="745"/>
      <c r="I69" s="745"/>
      <c r="J69" s="745"/>
      <c r="K69" s="745"/>
      <c r="L69" s="745"/>
      <c r="M69" s="728"/>
      <c r="N69" s="730"/>
      <c r="O69" s="728"/>
      <c r="P69" s="729"/>
      <c r="Q69" s="730"/>
      <c r="R69" s="733"/>
      <c r="S69" s="734"/>
      <c r="T69" s="782"/>
      <c r="U69" s="783"/>
      <c r="V69" s="785"/>
      <c r="W69" s="785"/>
      <c r="X69" s="764"/>
      <c r="Y69" s="764"/>
      <c r="Z69" s="716"/>
      <c r="AA69" s="717"/>
      <c r="AB69" s="718"/>
      <c r="AC69" s="716"/>
      <c r="AD69" s="717"/>
      <c r="AE69" s="717"/>
      <c r="AF69" s="718"/>
      <c r="AG69" s="805"/>
      <c r="AH69" s="728"/>
      <c r="AI69" s="765"/>
      <c r="AJ69" s="766"/>
      <c r="AK69" s="766"/>
      <c r="AL69" s="767"/>
      <c r="AM69" s="795"/>
      <c r="AN69" s="796"/>
      <c r="AO69" s="798"/>
      <c r="AP69" s="798"/>
      <c r="AQ69" s="798"/>
      <c r="AR69" s="802"/>
      <c r="AS69" s="803"/>
      <c r="AT69" s="803"/>
      <c r="AU69" s="804"/>
      <c r="AV69" s="22"/>
      <c r="AX69" s="749"/>
      <c r="AY69" s="751"/>
      <c r="AZ69" s="747"/>
      <c r="BA69" s="747"/>
      <c r="BB69" s="747"/>
      <c r="BC69" s="747"/>
      <c r="BD69" s="755"/>
      <c r="BE69" s="747"/>
      <c r="BF69" s="747"/>
      <c r="BG69" s="839"/>
      <c r="BH69" s="751"/>
      <c r="BI69" s="755"/>
      <c r="BJ69" s="751"/>
      <c r="BK69" s="829"/>
      <c r="BL69" s="831"/>
      <c r="BM69" s="836"/>
      <c r="BN69" s="832"/>
      <c r="BO69" s="735"/>
      <c r="BP69" s="837"/>
      <c r="BQ69" s="839"/>
    </row>
    <row r="70" spans="2:69" ht="15.95" customHeight="1">
      <c r="B70" s="806">
        <v>27</v>
      </c>
      <c r="C70" s="728"/>
      <c r="D70" s="729"/>
      <c r="E70" s="729"/>
      <c r="F70" s="730"/>
      <c r="G70" s="741"/>
      <c r="H70" s="742"/>
      <c r="I70" s="742"/>
      <c r="J70" s="742"/>
      <c r="K70" s="742"/>
      <c r="L70" s="742"/>
      <c r="M70" s="716"/>
      <c r="N70" s="718"/>
      <c r="O70" s="716"/>
      <c r="P70" s="717"/>
      <c r="Q70" s="718"/>
      <c r="R70" s="731" t="str">
        <f>IFERROR(IF(INDEX(STDLIGHTINEFCAT2[System Wattage],MATCH('M03-S02'!$M70&amp;"_"&amp;INDEX(STDLIGHT[Ineff Dropdown 2],MATCH('M03-S02'!$G70,STDLIGHT[Measure Name],0))&amp;"_"&amp;O70,STDLIGHTINEFCAT2[Full Name],0))="","",INDEX(STDLIGHTINEFCAT2[System Wattage],MATCH('M03-S02'!$M70&amp;"_"&amp;INDEX(STDLIGHT[Ineff Dropdown 2],MATCH('M03-S02'!$G70,STDLIGHT[Measure Name],0))&amp;"_"&amp;O70,STDLIGHTINEFCAT2[Full Name],0))),"")</f>
        <v/>
      </c>
      <c r="S70" s="732"/>
      <c r="T70" s="782" t="str">
        <f t="shared" ref="T70" si="49">IF(C70="Permanent Lamp Removal",0,"")</f>
        <v/>
      </c>
      <c r="U70" s="783"/>
      <c r="V70" s="784"/>
      <c r="W70" s="784"/>
      <c r="X70" s="763"/>
      <c r="Y70" s="763"/>
      <c r="Z70" s="719"/>
      <c r="AA70" s="720"/>
      <c r="AB70" s="721"/>
      <c r="AC70" s="713"/>
      <c r="AD70" s="714"/>
      <c r="AE70" s="714"/>
      <c r="AF70" s="715"/>
      <c r="AG70" s="813"/>
      <c r="AH70" s="716"/>
      <c r="AI70" s="786"/>
      <c r="AJ70" s="787"/>
      <c r="AK70" s="787"/>
      <c r="AL70" s="788"/>
      <c r="AM70" s="793" t="str">
        <f>IFERROR(IF(G70="","",IF(C70&lt;&gt;INDEX(STDLIGHT[Eff Category 1],MATCH(G70,STDLIGHT[Measure Name],0)),0,INDEX(IF(AND(ACTIVEBONUS = TRUE,INDEX(STDLIGHT[Bonus Incentive],MATCH(G70,STDLIGHT[Measure Name],0))&lt;&gt; ""),STDLIGHT[Bonus Incentive],STDLIGHT[Base Incentive]),MATCH(G70,STDLIGHT[Measure Name],0)))),"")</f>
        <v/>
      </c>
      <c r="AN70" s="794"/>
      <c r="AO70" s="797" t="str">
        <f>IFERROR(IF(OR(C70="",G70="",M70="",O70="",R70="",T70="",V70="",X70="",AC70="",AG70="",AI70="",AK70=""),"",IF(BN70="Deemed",AZ70,IF(BN70="Calculated",BE70,""))),"")</f>
        <v/>
      </c>
      <c r="AP70" s="797"/>
      <c r="AQ70" s="797"/>
      <c r="AR70" s="799" t="str">
        <f>IFERROR(IF(OR(C70="",G70="",M70="",O70="",R70="",T70="",V70="",X70="",AC70="",AG70="",AI70="",AK70=""),"",IF(BJ70&lt;&gt;"",BJ70,IF(BP70&gt;0,BP70,ROUND(IF(AO70&lt;=0,0,MIN(AX70,BG70)),2)))),"")</f>
        <v/>
      </c>
      <c r="AS70" s="800"/>
      <c r="AT70" s="800"/>
      <c r="AU70" s="801"/>
      <c r="AV70" s="22"/>
      <c r="AX70" s="748" t="str">
        <f>IF(OR(C70="",G70="",M70="",O70="",R70="",T70="",V70="",X70="",AC70="",AG70="",AI70="",AK70=""),"",IF(AO70=0,"",ROUND(AI70+AK70,2)))</f>
        <v/>
      </c>
      <c r="AY70" s="750" t="str">
        <f>IFERROR(IF(OR(C70="",G70="",M70="",O70="",R70="",T70="",V70="",X70="",AC70="",AG70="",AI70="",AK70=""),"",INDEX(STDLIGHT[Current Unit],MATCH(G70,STDLIGHT[Measure Name],0))),"Err")</f>
        <v/>
      </c>
      <c r="AZ70" s="746" t="str">
        <f>IF(OR(C70="",G70="",M70="",O70="",R70="",T70="",V70="",X70="",AC70="",AG70="",AI70="",AK70=""),"",IFERROR(IF(G70="","",IF(C70&lt;&gt;INDEX(STDLIGHT[Eff Category 1],MATCH(G70,STDLIGHT[Measure Name],0)),0,
IF(BB70&lt;=BC70,0,
ROUND(V70*INDEX(STDLIGHT[Electric Energy Savings (Annual kWh/unit)],MATCH('M03-S02'!G70,STDLIGHT[Measure Name],0)),4)))),""))</f>
        <v/>
      </c>
      <c r="BA70" s="746" t="str">
        <f>IF(OR(C70="",G70="",M70="",O70="",R70="",T70="",V70="",X70="",AC70="",AG70="",AI70="",AK70=""),"",IFERROR(IF(G70="","",IF(C70&lt;&gt;INDEX(STDLIGHT[Eff Category 1],MATCH(G70,STDLIGHT[Measure Name],0)),0,
IF(BB70&lt;=BC70,0,
ROUND(V70*INDEX(STDLIGHT[Coincident Peak Demand Savings (kW/unit)],MATCH('M03-S02'!G70,STDLIGHT[Measure Name],0)),4)))),""))</f>
        <v/>
      </c>
      <c r="BB70" s="746" t="str">
        <f>IF(OR(C70="",G70="",M70="",O70="",R70="",T70="",V70="",X70="",AC70="",AG70="",AI70="",AK70=""),"",
IF(OR(ISNUMBER(SEARCH("Exterior",C70)),ISNUMBER(SEARCH("Parking",C70)),M02S04F22="Unconditioned",M02S04F22="Electric Heat Only",M02S04F22="Natural Gas Heat Only"),ROUND(R70*V70*X70/1000,4),
ROUND(R70*V70*X70/1000*INDEX(BUILDINGTYPE[Waste Heat Factor (e)],MATCH(M02S04F19,BUILDINGTYPE[Building Type],0)),4)))</f>
        <v/>
      </c>
      <c r="BC70" s="746" t="str">
        <f>IF(OR(C70="",G70="",M70="",O70="",R70="",T70="",V70="",X70="",AC70="",AG70="",AI70="",AK70=""),"",
IF(OR(ISNUMBER(SEARCH("Exterior",C70)),ISNUMBER(SEARCH("Parking",C70)),M02S04F22="Unconditioned",M02S04F22="Electric Heat Only",M02S04F22="Natural Gas Heat Only"),ROUND(T70*V70*X70/1000,4),
ROUND(T70*V70*X70/1000*INDEX(BUILDINGTYPE[Waste Heat Factor (e)],MATCH(M02S04F19,BUILDINGTYPE[Building Type],0)),4)))</f>
        <v/>
      </c>
      <c r="BD70" s="754" t="str">
        <f>IFERROR(IF(OR(C70="",G70="",M70="",O70="",R70="",T70="",V70="",X70="",AC70="",AG70="",AI70="",AK70=""),"",INDEX(STDLIGHT[End Use],MATCH(G70,STDLIGHT[Measure Name],0))),"Err")</f>
        <v/>
      </c>
      <c r="BE70" s="746" t="str">
        <f>IFERROR(IF(OR(C70="",G70="",M70="",O70="",R70="",T70="",V70="",X70="",AC70="",AG70="",AI70="",AK70=""),"",
IF(BB70&lt;=BC70,0,
IF(OR(ISNUMBER(SEARCH("Exterior",C70)),ISNUMBER(SEARCH("Parking",C70)),M02S04F22="Unconditioned",M02S04F22="Electric Heat Only",M02S04F22="Natural Gas Heat Only"),ROUND((R70-T70)*V70*X70/1000,4),
ROUND((R70-T70)*V70*X70/1000*INDEX(BUILDINGTYPE[Waste Heat Factor (e)],MATCH(M02S04F19,BUILDINGTYPE[Building Type],0)),4)))),"")</f>
        <v/>
      </c>
      <c r="BF70" s="746" t="str">
        <f>IFERROR(IF(OR(C70="",G70="",M70="",O70="",R70="",T70="",V70="",X70="",AC70="",AG70="",AI70="",AK70=""),"",
IF(BB70&lt;=BC70,0,
IF(ISNUMBER(SEARCH("Exterior",C70)),0,
IF(OR(ISNUMBER(SEARCH("Parking",C70)),M02S04F22="Unconditioned",M02S04F22="Electric Heat Only",M02S04F22="Natural Gas Heat Only"),ROUND((R70-T70)*V70/1000*INDEX(BUILDINGTYPE[Lighting Coincidence Factor],MATCH(M02S04F19,BUILDINGTYPE[Building Type],0)),4),
ROUND((R70-T70)*V70/1000*INDEX(BUILDINGTYPE[Lighting Coincidence Factor],MATCH(M02S04F19,BUILDINGTYPE[Building Type],0))*INDEX(BUILDINGTYPE[WHFd],MATCH(M02S04F19,BUILDINGTYPE[Building Type],0)),4))))),"")</f>
        <v/>
      </c>
      <c r="BG70" s="838" t="str">
        <f>IFERROR(ROUND(V70*AM70, 2), "")</f>
        <v/>
      </c>
      <c r="BH70" s="750" t="str">
        <f>IFERROR(IF(OR(C70="",G70="",M70="",O70="",R70="",T70="",V70="",X70="",AC70="",AG70="",AI70="",AK70="",ISNUMBER(AR70)=FALSE,AR70=0),"",INDEX(STDLIGHT[Measure Number],MATCH(G70,STDLIGHT[Measure Name],0))),"Err")</f>
        <v/>
      </c>
      <c r="BI70" s="754" t="str">
        <f t="shared" ref="BI70" si="50">IFERROR(IF(BP70="",IF(AR70 &lt; BG70, "100% Total Cost", ""), ""), "")</f>
        <v/>
      </c>
      <c r="BJ70" s="750" t="str">
        <f>IFERROR(IF(OR(C70="",G70="",M70="",O70="",R70="",T70="",V70="",X70="",AC70="",AG70="",AI70="",AK70=""),"",
IF(BP70&gt;0,"",
IF(EXPIRATION&lt;&gt;"",PROJSTATEXP,
IF(M02S04F19="",MEASUREBLDG,
IF(BB70&lt;=BC70,MEASURESAVE,""))))),MEASURESUBMIT)</f>
        <v/>
      </c>
      <c r="BK70" s="828" t="str">
        <f>IFERROR(INDEX(STDLIGHT[Measure Life (Years)],MATCH(G70,STDLIGHT[Measure Name],0)),"")</f>
        <v/>
      </c>
      <c r="BL70" s="830" t="str">
        <f>IFERROR(IF(OR(C70="",G70="",M70="",O70="",R70="",T70="",V70="",X70="",AC70="",AG70="",AI70="",AK70=""),"",
ROUND(((1+ELOSS)*((BE70*INDEX(ELECCB[NPV AEC $/kWh],MATCH(BK70,ELECCB[Year Number],1)))+(BF70*INDEX(ELECCB[NPV ACC $/kW],MATCH(BK70,ELECCB[Year Number],1))))),2)),0)</f>
        <v/>
      </c>
      <c r="BM70" s="835"/>
      <c r="BN70" s="832" t="str">
        <f>IFERROR(IF(OR(C70="",G70="",M70="",O70="",R70="",T70="",V70="",X70="",AC70="",AG70="",AI70="",AK70=""),"",INDEX(STDLIGHT[Reporting Methodology],MATCH(G70,STDLIGHT[Measure Name],0))),"Err")</f>
        <v/>
      </c>
      <c r="BO70" s="735" t="str">
        <f>IFERROR(IF(BH70="","",INDEX(STDLIGHT[Incremental Measure Cost ($/Unit)],MATCH(G70,STDLIGHT[Measure Name],0))),"Err")</f>
        <v/>
      </c>
      <c r="BP70" s="837"/>
      <c r="BQ70" s="838" t="str">
        <f>_xlfn.LET(
_xlpm.IPU,
IFERROR(IF(G70="","",IF(C70&lt;&gt;INDEX(STDLIGHT[Eff Category 1],MATCH(G70,STDLIGHT[Measure Name],0)),0,INDEX(STDLIGHT[Base Incentive],MATCH(G70,STDLIGHT[Measure Name],0)))),""),
IFERROR(ROUND(V70*_xlpm.IPU, 2), ""))</f>
        <v/>
      </c>
    </row>
    <row r="71" spans="2:69" ht="15.95" customHeight="1">
      <c r="B71" s="806"/>
      <c r="C71" s="728"/>
      <c r="D71" s="729"/>
      <c r="E71" s="729"/>
      <c r="F71" s="730"/>
      <c r="G71" s="744"/>
      <c r="H71" s="745"/>
      <c r="I71" s="745"/>
      <c r="J71" s="745"/>
      <c r="K71" s="745"/>
      <c r="L71" s="745"/>
      <c r="M71" s="728"/>
      <c r="N71" s="730"/>
      <c r="O71" s="728"/>
      <c r="P71" s="729"/>
      <c r="Q71" s="730"/>
      <c r="R71" s="733"/>
      <c r="S71" s="734"/>
      <c r="T71" s="782"/>
      <c r="U71" s="783"/>
      <c r="V71" s="785"/>
      <c r="W71" s="785"/>
      <c r="X71" s="764"/>
      <c r="Y71" s="764"/>
      <c r="Z71" s="716"/>
      <c r="AA71" s="717"/>
      <c r="AB71" s="718"/>
      <c r="AC71" s="716"/>
      <c r="AD71" s="717"/>
      <c r="AE71" s="717"/>
      <c r="AF71" s="718"/>
      <c r="AG71" s="805"/>
      <c r="AH71" s="728"/>
      <c r="AI71" s="765"/>
      <c r="AJ71" s="766"/>
      <c r="AK71" s="766"/>
      <c r="AL71" s="767"/>
      <c r="AM71" s="795"/>
      <c r="AN71" s="796"/>
      <c r="AO71" s="798"/>
      <c r="AP71" s="798"/>
      <c r="AQ71" s="798"/>
      <c r="AR71" s="802"/>
      <c r="AS71" s="803"/>
      <c r="AT71" s="803"/>
      <c r="AU71" s="804"/>
      <c r="AV71" s="22"/>
      <c r="AX71" s="749"/>
      <c r="AY71" s="751"/>
      <c r="AZ71" s="747"/>
      <c r="BA71" s="747"/>
      <c r="BB71" s="747"/>
      <c r="BC71" s="747"/>
      <c r="BD71" s="755"/>
      <c r="BE71" s="747"/>
      <c r="BF71" s="747"/>
      <c r="BG71" s="839"/>
      <c r="BH71" s="751"/>
      <c r="BI71" s="755"/>
      <c r="BJ71" s="751"/>
      <c r="BK71" s="829"/>
      <c r="BL71" s="831"/>
      <c r="BM71" s="836"/>
      <c r="BN71" s="832"/>
      <c r="BO71" s="735"/>
      <c r="BP71" s="837"/>
      <c r="BQ71" s="839"/>
    </row>
    <row r="72" spans="2:69" ht="15.95" customHeight="1">
      <c r="B72" s="806">
        <v>28</v>
      </c>
      <c r="C72" s="728"/>
      <c r="D72" s="729"/>
      <c r="E72" s="729"/>
      <c r="F72" s="730"/>
      <c r="G72" s="741"/>
      <c r="H72" s="742"/>
      <c r="I72" s="742"/>
      <c r="J72" s="742"/>
      <c r="K72" s="742"/>
      <c r="L72" s="742"/>
      <c r="M72" s="716"/>
      <c r="N72" s="718"/>
      <c r="O72" s="716"/>
      <c r="P72" s="717"/>
      <c r="Q72" s="718"/>
      <c r="R72" s="731" t="str">
        <f>IFERROR(IF(INDEX(STDLIGHTINEFCAT2[System Wattage],MATCH('M03-S02'!$M72&amp;"_"&amp;INDEX(STDLIGHT[Ineff Dropdown 2],MATCH('M03-S02'!$G72,STDLIGHT[Measure Name],0))&amp;"_"&amp;O72,STDLIGHTINEFCAT2[Full Name],0))="","",INDEX(STDLIGHTINEFCAT2[System Wattage],MATCH('M03-S02'!$M72&amp;"_"&amp;INDEX(STDLIGHT[Ineff Dropdown 2],MATCH('M03-S02'!$G72,STDLIGHT[Measure Name],0))&amp;"_"&amp;O72,STDLIGHTINEFCAT2[Full Name],0))),"")</f>
        <v/>
      </c>
      <c r="S72" s="732"/>
      <c r="T72" s="782" t="str">
        <f t="shared" ref="T72" si="51">IF(C72="Permanent Lamp Removal",0,"")</f>
        <v/>
      </c>
      <c r="U72" s="783"/>
      <c r="V72" s="784"/>
      <c r="W72" s="784"/>
      <c r="X72" s="763"/>
      <c r="Y72" s="763"/>
      <c r="Z72" s="719"/>
      <c r="AA72" s="720"/>
      <c r="AB72" s="721"/>
      <c r="AC72" s="713"/>
      <c r="AD72" s="714"/>
      <c r="AE72" s="714"/>
      <c r="AF72" s="715"/>
      <c r="AG72" s="813"/>
      <c r="AH72" s="716"/>
      <c r="AI72" s="786"/>
      <c r="AJ72" s="787"/>
      <c r="AK72" s="787"/>
      <c r="AL72" s="788"/>
      <c r="AM72" s="793" t="str">
        <f>IFERROR(IF(G72="","",IF(C72&lt;&gt;INDEX(STDLIGHT[Eff Category 1],MATCH(G72,STDLIGHT[Measure Name],0)),0,INDEX(IF(AND(ACTIVEBONUS = TRUE,INDEX(STDLIGHT[Bonus Incentive],MATCH(G72,STDLIGHT[Measure Name],0))&lt;&gt; ""),STDLIGHT[Bonus Incentive],STDLIGHT[Base Incentive]),MATCH(G72,STDLIGHT[Measure Name],0)))),"")</f>
        <v/>
      </c>
      <c r="AN72" s="794"/>
      <c r="AO72" s="797" t="str">
        <f>IFERROR(IF(OR(C72="",G72="",M72="",O72="",R72="",T72="",V72="",X72="",AC72="",AG72="",AI72="",AK72=""),"",IF(BN72="Deemed",AZ72,IF(BN72="Calculated",BE72,""))),"")</f>
        <v/>
      </c>
      <c r="AP72" s="797"/>
      <c r="AQ72" s="797"/>
      <c r="AR72" s="799" t="str">
        <f>IFERROR(IF(OR(C72="",G72="",M72="",O72="",R72="",T72="",V72="",X72="",AC72="",AG72="",AI72="",AK72=""),"",IF(BJ72&lt;&gt;"",BJ72,IF(BP72&gt;0,BP72,ROUND(IF(AO72&lt;=0,0,MIN(AX72,BG72)),2)))),"")</f>
        <v/>
      </c>
      <c r="AS72" s="800"/>
      <c r="AT72" s="800"/>
      <c r="AU72" s="801"/>
      <c r="AV72" s="22"/>
      <c r="AX72" s="748" t="str">
        <f>IF(OR(C72="",G72="",M72="",O72="",R72="",T72="",V72="",X72="",AC72="",AG72="",AI72="",AK72=""),"",IF(AO72=0,"",ROUND(AI72+AK72,2)))</f>
        <v/>
      </c>
      <c r="AY72" s="750" t="str">
        <f>IFERROR(IF(OR(C72="",G72="",M72="",O72="",R72="",T72="",V72="",X72="",AC72="",AG72="",AI72="",AK72=""),"",INDEX(STDLIGHT[Current Unit],MATCH(G72,STDLIGHT[Measure Name],0))),"Err")</f>
        <v/>
      </c>
      <c r="AZ72" s="746" t="str">
        <f>IF(OR(C72="",G72="",M72="",O72="",R72="",T72="",V72="",X72="",AC72="",AG72="",AI72="",AK72=""),"",IFERROR(IF(G72="","",IF(C72&lt;&gt;INDEX(STDLIGHT[Eff Category 1],MATCH(G72,STDLIGHT[Measure Name],0)),0,
IF(BB72&lt;=BC72,0,
ROUND(V72*INDEX(STDLIGHT[Electric Energy Savings (Annual kWh/unit)],MATCH('M03-S02'!G72,STDLIGHT[Measure Name],0)),4)))),""))</f>
        <v/>
      </c>
      <c r="BA72" s="746" t="str">
        <f>IF(OR(C72="",G72="",M72="",O72="",R72="",T72="",V72="",X72="",AC72="",AG72="",AI72="",AK72=""),"",IFERROR(IF(G72="","",IF(C72&lt;&gt;INDEX(STDLIGHT[Eff Category 1],MATCH(G72,STDLIGHT[Measure Name],0)),0,
IF(BB72&lt;=BC72,0,
ROUND(V72*INDEX(STDLIGHT[Coincident Peak Demand Savings (kW/unit)],MATCH('M03-S02'!G72,STDLIGHT[Measure Name],0)),4)))),""))</f>
        <v/>
      </c>
      <c r="BB72" s="746" t="str">
        <f>IF(OR(C72="",G72="",M72="",O72="",R72="",T72="",V72="",X72="",AC72="",AG72="",AI72="",AK72=""),"",
IF(OR(ISNUMBER(SEARCH("Exterior",C72)),ISNUMBER(SEARCH("Parking",C72)),M02S04F22="Unconditioned",M02S04F22="Electric Heat Only",M02S04F22="Natural Gas Heat Only"),ROUND(R72*V72*X72/1000,4),
ROUND(R72*V72*X72/1000*INDEX(BUILDINGTYPE[Waste Heat Factor (e)],MATCH(M02S04F19,BUILDINGTYPE[Building Type],0)),4)))</f>
        <v/>
      </c>
      <c r="BC72" s="746" t="str">
        <f>IF(OR(C72="",G72="",M72="",O72="",R72="",T72="",V72="",X72="",AC72="",AG72="",AI72="",AK72=""),"",
IF(OR(ISNUMBER(SEARCH("Exterior",C72)),ISNUMBER(SEARCH("Parking",C72)),M02S04F22="Unconditioned",M02S04F22="Electric Heat Only",M02S04F22="Natural Gas Heat Only"),ROUND(T72*V72*X72/1000,4),
ROUND(T72*V72*X72/1000*INDEX(BUILDINGTYPE[Waste Heat Factor (e)],MATCH(M02S04F19,BUILDINGTYPE[Building Type],0)),4)))</f>
        <v/>
      </c>
      <c r="BD72" s="754" t="str">
        <f>IFERROR(IF(OR(C72="",G72="",M72="",O72="",R72="",T72="",V72="",X72="",AC72="",AG72="",AI72="",AK72=""),"",INDEX(STDLIGHT[End Use],MATCH(G72,STDLIGHT[Measure Name],0))),"Err")</f>
        <v/>
      </c>
      <c r="BE72" s="746" t="str">
        <f>IFERROR(IF(OR(C72="",G72="",M72="",O72="",R72="",T72="",V72="",X72="",AC72="",AG72="",AI72="",AK72=""),"",
IF(BB72&lt;=BC72,0,
IF(OR(ISNUMBER(SEARCH("Exterior",C72)),ISNUMBER(SEARCH("Parking",C72)),M02S04F22="Unconditioned",M02S04F22="Electric Heat Only",M02S04F22="Natural Gas Heat Only"),ROUND((R72-T72)*V72*X72/1000,4),
ROUND((R72-T72)*V72*X72/1000*INDEX(BUILDINGTYPE[Waste Heat Factor (e)],MATCH(M02S04F19,BUILDINGTYPE[Building Type],0)),4)))),"")</f>
        <v/>
      </c>
      <c r="BF72" s="746" t="str">
        <f>IFERROR(IF(OR(C72="",G72="",M72="",O72="",R72="",T72="",V72="",X72="",AC72="",AG72="",AI72="",AK72=""),"",
IF(BB72&lt;=BC72,0,
IF(ISNUMBER(SEARCH("Exterior",C72)),0,
IF(OR(ISNUMBER(SEARCH("Parking",C72)),M02S04F22="Unconditioned",M02S04F22="Electric Heat Only",M02S04F22="Natural Gas Heat Only"),ROUND((R72-T72)*V72/1000*INDEX(BUILDINGTYPE[Lighting Coincidence Factor],MATCH(M02S04F19,BUILDINGTYPE[Building Type],0)),4),
ROUND((R72-T72)*V72/1000*INDEX(BUILDINGTYPE[Lighting Coincidence Factor],MATCH(M02S04F19,BUILDINGTYPE[Building Type],0))*INDEX(BUILDINGTYPE[WHFd],MATCH(M02S04F19,BUILDINGTYPE[Building Type],0)),4))))),"")</f>
        <v/>
      </c>
      <c r="BG72" s="838" t="str">
        <f>IFERROR(ROUND(V72*AM72, 2), "")</f>
        <v/>
      </c>
      <c r="BH72" s="750" t="str">
        <f>IFERROR(IF(OR(C72="",G72="",M72="",O72="",R72="",T72="",V72="",X72="",AC72="",AG72="",AI72="",AK72="",ISNUMBER(AR72)=FALSE,AR72=0),"",INDEX(STDLIGHT[Measure Number],MATCH(G72,STDLIGHT[Measure Name],0))),"Err")</f>
        <v/>
      </c>
      <c r="BI72" s="754" t="str">
        <f t="shared" ref="BI72" si="52">IFERROR(IF(BP72="",IF(AR72 &lt; BG72, "100% Total Cost", ""), ""), "")</f>
        <v/>
      </c>
      <c r="BJ72" s="750" t="str">
        <f>IFERROR(IF(OR(C72="",G72="",M72="",O72="",R72="",T72="",V72="",X72="",AC72="",AG72="",AI72="",AK72=""),"",
IF(BP72&gt;0,"",
IF(EXPIRATION&lt;&gt;"",PROJSTATEXP,
IF(M02S04F19="",MEASUREBLDG,
IF(BB72&lt;=BC72,MEASURESAVE,""))))),MEASURESUBMIT)</f>
        <v/>
      </c>
      <c r="BK72" s="828" t="str">
        <f>IFERROR(INDEX(STDLIGHT[Measure Life (Years)],MATCH(G72,STDLIGHT[Measure Name],0)),"")</f>
        <v/>
      </c>
      <c r="BL72" s="830" t="str">
        <f>IFERROR(IF(OR(C72="",G72="",M72="",O72="",R72="",T72="",V72="",X72="",AC72="",AG72="",AI72="",AK72=""),"",
ROUND(((1+ELOSS)*((BE72*INDEX(ELECCB[NPV AEC $/kWh],MATCH(BK72,ELECCB[Year Number],1)))+(BF72*INDEX(ELECCB[NPV ACC $/kW],MATCH(BK72,ELECCB[Year Number],1))))),2)),0)</f>
        <v/>
      </c>
      <c r="BM72" s="835"/>
      <c r="BN72" s="832" t="str">
        <f>IFERROR(IF(OR(C72="",G72="",M72="",O72="",R72="",T72="",V72="",X72="",AC72="",AG72="",AI72="",AK72=""),"",INDEX(STDLIGHT[Reporting Methodology],MATCH(G72,STDLIGHT[Measure Name],0))),"Err")</f>
        <v/>
      </c>
      <c r="BO72" s="735" t="str">
        <f>IFERROR(IF(BH72="","",INDEX(STDLIGHT[Incremental Measure Cost ($/Unit)],MATCH(G72,STDLIGHT[Measure Name],0))),"Err")</f>
        <v/>
      </c>
      <c r="BP72" s="837"/>
      <c r="BQ72" s="838" t="str">
        <f>_xlfn.LET(
_xlpm.IPU,
IFERROR(IF(G72="","",IF(C72&lt;&gt;INDEX(STDLIGHT[Eff Category 1],MATCH(G72,STDLIGHT[Measure Name],0)),0,INDEX(STDLIGHT[Base Incentive],MATCH(G72,STDLIGHT[Measure Name],0)))),""),
IFERROR(ROUND(V72*_xlpm.IPU, 2), ""))</f>
        <v/>
      </c>
    </row>
    <row r="73" spans="2:69" ht="15.95" customHeight="1">
      <c r="B73" s="806"/>
      <c r="C73" s="728"/>
      <c r="D73" s="729"/>
      <c r="E73" s="729"/>
      <c r="F73" s="730"/>
      <c r="G73" s="744"/>
      <c r="H73" s="745"/>
      <c r="I73" s="745"/>
      <c r="J73" s="745"/>
      <c r="K73" s="745"/>
      <c r="L73" s="745"/>
      <c r="M73" s="728"/>
      <c r="N73" s="730"/>
      <c r="O73" s="728"/>
      <c r="P73" s="729"/>
      <c r="Q73" s="730"/>
      <c r="R73" s="733"/>
      <c r="S73" s="734"/>
      <c r="T73" s="782"/>
      <c r="U73" s="783"/>
      <c r="V73" s="785"/>
      <c r="W73" s="785"/>
      <c r="X73" s="764"/>
      <c r="Y73" s="764"/>
      <c r="Z73" s="716"/>
      <c r="AA73" s="717"/>
      <c r="AB73" s="718"/>
      <c r="AC73" s="716"/>
      <c r="AD73" s="717"/>
      <c r="AE73" s="717"/>
      <c r="AF73" s="718"/>
      <c r="AG73" s="805"/>
      <c r="AH73" s="728"/>
      <c r="AI73" s="765"/>
      <c r="AJ73" s="766"/>
      <c r="AK73" s="766"/>
      <c r="AL73" s="767"/>
      <c r="AM73" s="795"/>
      <c r="AN73" s="796"/>
      <c r="AO73" s="798"/>
      <c r="AP73" s="798"/>
      <c r="AQ73" s="798"/>
      <c r="AR73" s="802"/>
      <c r="AS73" s="803"/>
      <c r="AT73" s="803"/>
      <c r="AU73" s="804"/>
      <c r="AV73" s="22"/>
      <c r="AX73" s="749"/>
      <c r="AY73" s="751"/>
      <c r="AZ73" s="747"/>
      <c r="BA73" s="747"/>
      <c r="BB73" s="747"/>
      <c r="BC73" s="747"/>
      <c r="BD73" s="755"/>
      <c r="BE73" s="747"/>
      <c r="BF73" s="747"/>
      <c r="BG73" s="839"/>
      <c r="BH73" s="751"/>
      <c r="BI73" s="755"/>
      <c r="BJ73" s="751"/>
      <c r="BK73" s="829"/>
      <c r="BL73" s="831"/>
      <c r="BM73" s="836"/>
      <c r="BN73" s="832"/>
      <c r="BO73" s="735"/>
      <c r="BP73" s="837"/>
      <c r="BQ73" s="839"/>
    </row>
    <row r="74" spans="2:69" ht="15.95" customHeight="1">
      <c r="B74" s="806">
        <v>29</v>
      </c>
      <c r="C74" s="728"/>
      <c r="D74" s="729"/>
      <c r="E74" s="729"/>
      <c r="F74" s="730"/>
      <c r="G74" s="741"/>
      <c r="H74" s="742"/>
      <c r="I74" s="742"/>
      <c r="J74" s="742"/>
      <c r="K74" s="742"/>
      <c r="L74" s="742"/>
      <c r="M74" s="716"/>
      <c r="N74" s="718"/>
      <c r="O74" s="716"/>
      <c r="P74" s="717"/>
      <c r="Q74" s="718"/>
      <c r="R74" s="731" t="str">
        <f>IFERROR(IF(INDEX(STDLIGHTINEFCAT2[System Wattage],MATCH('M03-S02'!$M74&amp;"_"&amp;INDEX(STDLIGHT[Ineff Dropdown 2],MATCH('M03-S02'!$G74,STDLIGHT[Measure Name],0))&amp;"_"&amp;O74,STDLIGHTINEFCAT2[Full Name],0))="","",INDEX(STDLIGHTINEFCAT2[System Wattage],MATCH('M03-S02'!$M74&amp;"_"&amp;INDEX(STDLIGHT[Ineff Dropdown 2],MATCH('M03-S02'!$G74,STDLIGHT[Measure Name],0))&amp;"_"&amp;O74,STDLIGHTINEFCAT2[Full Name],0))),"")</f>
        <v/>
      </c>
      <c r="S74" s="732"/>
      <c r="T74" s="782" t="str">
        <f t="shared" ref="T74" si="53">IF(C74="Permanent Lamp Removal",0,"")</f>
        <v/>
      </c>
      <c r="U74" s="783"/>
      <c r="V74" s="784"/>
      <c r="W74" s="784"/>
      <c r="X74" s="763"/>
      <c r="Y74" s="763"/>
      <c r="Z74" s="719"/>
      <c r="AA74" s="720"/>
      <c r="AB74" s="721"/>
      <c r="AC74" s="713"/>
      <c r="AD74" s="714"/>
      <c r="AE74" s="714"/>
      <c r="AF74" s="715"/>
      <c r="AG74" s="813"/>
      <c r="AH74" s="716"/>
      <c r="AI74" s="786"/>
      <c r="AJ74" s="787"/>
      <c r="AK74" s="787"/>
      <c r="AL74" s="788"/>
      <c r="AM74" s="793" t="str">
        <f>IFERROR(IF(G74="","",IF(C74&lt;&gt;INDEX(STDLIGHT[Eff Category 1],MATCH(G74,STDLIGHT[Measure Name],0)),0,INDEX(IF(AND(ACTIVEBONUS = TRUE,INDEX(STDLIGHT[Bonus Incentive],MATCH(G74,STDLIGHT[Measure Name],0))&lt;&gt; ""),STDLIGHT[Bonus Incentive],STDLIGHT[Base Incentive]),MATCH(G74,STDLIGHT[Measure Name],0)))),"")</f>
        <v/>
      </c>
      <c r="AN74" s="794"/>
      <c r="AO74" s="797" t="str">
        <f>IFERROR(IF(OR(C74="",G74="",M74="",O74="",R74="",T74="",V74="",X74="",AC74="",AG74="",AI74="",AK74=""),"",IF(BN74="Deemed",AZ74,IF(BN74="Calculated",BE74,""))),"")</f>
        <v/>
      </c>
      <c r="AP74" s="797"/>
      <c r="AQ74" s="797"/>
      <c r="AR74" s="799" t="str">
        <f>IFERROR(IF(OR(C74="",G74="",M74="",O74="",R74="",T74="",V74="",X74="",AC74="",AG74="",AI74="",AK74=""),"",IF(BJ74&lt;&gt;"",BJ74,IF(BP74&gt;0,BP74,ROUND(IF(AO74&lt;=0,0,MIN(AX74,BG74)),2)))),"")</f>
        <v/>
      </c>
      <c r="AS74" s="800"/>
      <c r="AT74" s="800"/>
      <c r="AU74" s="801"/>
      <c r="AV74" s="22"/>
      <c r="AX74" s="748" t="str">
        <f>IF(OR(C74="",G74="",M74="",O74="",R74="",T74="",V74="",X74="",AC74="",AG74="",AI74="",AK74=""),"",IF(AO74=0,"",ROUND(AI74+AK74,2)))</f>
        <v/>
      </c>
      <c r="AY74" s="750" t="str">
        <f>IFERROR(IF(OR(C74="",G74="",M74="",O74="",R74="",T74="",V74="",X74="",AC74="",AG74="",AI74="",AK74=""),"",INDEX(STDLIGHT[Current Unit],MATCH(G74,STDLIGHT[Measure Name],0))),"Err")</f>
        <v/>
      </c>
      <c r="AZ74" s="746" t="str">
        <f>IF(OR(C74="",G74="",M74="",O74="",R74="",T74="",V74="",X74="",AC74="",AG74="",AI74="",AK74=""),"",IFERROR(IF(G74="","",IF(C74&lt;&gt;INDEX(STDLIGHT[Eff Category 1],MATCH(G74,STDLIGHT[Measure Name],0)),0,
IF(BB74&lt;=BC74,0,
ROUND(V74*INDEX(STDLIGHT[Electric Energy Savings (Annual kWh/unit)],MATCH('M03-S02'!G74,STDLIGHT[Measure Name],0)),4)))),""))</f>
        <v/>
      </c>
      <c r="BA74" s="746" t="str">
        <f>IF(OR(C74="",G74="",M74="",O74="",R74="",T74="",V74="",X74="",AC74="",AG74="",AI74="",AK74=""),"",IFERROR(IF(G74="","",IF(C74&lt;&gt;INDEX(STDLIGHT[Eff Category 1],MATCH(G74,STDLIGHT[Measure Name],0)),0,
IF(BB74&lt;=BC74,0,
ROUND(V74*INDEX(STDLIGHT[Coincident Peak Demand Savings (kW/unit)],MATCH('M03-S02'!G74,STDLIGHT[Measure Name],0)),4)))),""))</f>
        <v/>
      </c>
      <c r="BB74" s="746" t="str">
        <f>IF(OR(C74="",G74="",M74="",O74="",R74="",T74="",V74="",X74="",AC74="",AG74="",AI74="",AK74=""),"",
IF(OR(ISNUMBER(SEARCH("Exterior",C74)),ISNUMBER(SEARCH("Parking",C74)),M02S04F22="Unconditioned",M02S04F22="Electric Heat Only",M02S04F22="Natural Gas Heat Only"),ROUND(R74*V74*X74/1000,4),
ROUND(R74*V74*X74/1000*INDEX(BUILDINGTYPE[Waste Heat Factor (e)],MATCH(M02S04F19,BUILDINGTYPE[Building Type],0)),4)))</f>
        <v/>
      </c>
      <c r="BC74" s="746" t="str">
        <f>IF(OR(C74="",G74="",M74="",O74="",R74="",T74="",V74="",X74="",AC74="",AG74="",AI74="",AK74=""),"",
IF(OR(ISNUMBER(SEARCH("Exterior",C74)),ISNUMBER(SEARCH("Parking",C74)),M02S04F22="Unconditioned",M02S04F22="Electric Heat Only",M02S04F22="Natural Gas Heat Only"),ROUND(T74*V74*X74/1000,4),
ROUND(T74*V74*X74/1000*INDEX(BUILDINGTYPE[Waste Heat Factor (e)],MATCH(M02S04F19,BUILDINGTYPE[Building Type],0)),4)))</f>
        <v/>
      </c>
      <c r="BD74" s="754" t="str">
        <f>IFERROR(IF(OR(C74="",G74="",M74="",O74="",R74="",T74="",V74="",X74="",AC74="",AG74="",AI74="",AK74=""),"",INDEX(STDLIGHT[End Use],MATCH(G74,STDLIGHT[Measure Name],0))),"Err")</f>
        <v/>
      </c>
      <c r="BE74" s="746" t="str">
        <f>IFERROR(IF(OR(C74="",G74="",M74="",O74="",R74="",T74="",V74="",X74="",AC74="",AG74="",AI74="",AK74=""),"",
IF(BB74&lt;=BC74,0,
IF(OR(ISNUMBER(SEARCH("Exterior",C74)),ISNUMBER(SEARCH("Parking",C74)),M02S04F22="Unconditioned",M02S04F22="Electric Heat Only",M02S04F22="Natural Gas Heat Only"),ROUND((R74-T74)*V74*X74/1000,4),
ROUND((R74-T74)*V74*X74/1000*INDEX(BUILDINGTYPE[Waste Heat Factor (e)],MATCH(M02S04F19,BUILDINGTYPE[Building Type],0)),4)))),"")</f>
        <v/>
      </c>
      <c r="BF74" s="746" t="str">
        <f>IFERROR(IF(OR(C74="",G74="",M74="",O74="",R74="",T74="",V74="",X74="",AC74="",AG74="",AI74="",AK74=""),"",
IF(BB74&lt;=BC74,0,
IF(ISNUMBER(SEARCH("Exterior",C74)),0,
IF(OR(ISNUMBER(SEARCH("Parking",C74)),M02S04F22="Unconditioned",M02S04F22="Electric Heat Only",M02S04F22="Natural Gas Heat Only"),ROUND((R74-T74)*V74/1000*INDEX(BUILDINGTYPE[Lighting Coincidence Factor],MATCH(M02S04F19,BUILDINGTYPE[Building Type],0)),4),
ROUND((R74-T74)*V74/1000*INDEX(BUILDINGTYPE[Lighting Coincidence Factor],MATCH(M02S04F19,BUILDINGTYPE[Building Type],0))*INDEX(BUILDINGTYPE[WHFd],MATCH(M02S04F19,BUILDINGTYPE[Building Type],0)),4))))),"")</f>
        <v/>
      </c>
      <c r="BG74" s="838" t="str">
        <f>IFERROR(ROUND(V74*AM74, 2), "")</f>
        <v/>
      </c>
      <c r="BH74" s="750" t="str">
        <f>IFERROR(IF(OR(C74="",G74="",M74="",O74="",R74="",T74="",V74="",X74="",AC74="",AG74="",AI74="",AK74="",ISNUMBER(AR74)=FALSE,AR74=0),"",INDEX(STDLIGHT[Measure Number],MATCH(G74,STDLIGHT[Measure Name],0))),"Err")</f>
        <v/>
      </c>
      <c r="BI74" s="754" t="str">
        <f t="shared" ref="BI74" si="54">IFERROR(IF(BP74="",IF(AR74 &lt; BG74, "100% Total Cost", ""), ""), "")</f>
        <v/>
      </c>
      <c r="BJ74" s="750" t="str">
        <f>IFERROR(IF(OR(C74="",G74="",M74="",O74="",R74="",T74="",V74="",X74="",AC74="",AG74="",AI74="",AK74=""),"",
IF(BP74&gt;0,"",
IF(EXPIRATION&lt;&gt;"",PROJSTATEXP,
IF(M02S04F19="",MEASUREBLDG,
IF(BB74&lt;=BC74,MEASURESAVE,""))))),MEASURESUBMIT)</f>
        <v/>
      </c>
      <c r="BK74" s="828" t="str">
        <f>IFERROR(INDEX(STDLIGHT[Measure Life (Years)],MATCH(G74,STDLIGHT[Measure Name],0)),"")</f>
        <v/>
      </c>
      <c r="BL74" s="830" t="str">
        <f>IFERROR(IF(OR(C74="",G74="",M74="",O74="",R74="",T74="",V74="",X74="",AC74="",AG74="",AI74="",AK74=""),"",
ROUND(((1+ELOSS)*((BE74*INDEX(ELECCB[NPV AEC $/kWh],MATCH(BK74,ELECCB[Year Number],1)))+(BF74*INDEX(ELECCB[NPV ACC $/kW],MATCH(BK74,ELECCB[Year Number],1))))),2)),0)</f>
        <v/>
      </c>
      <c r="BM74" s="835"/>
      <c r="BN74" s="832" t="str">
        <f>IFERROR(IF(OR(C74="",G74="",M74="",O74="",R74="",T74="",V74="",X74="",AC74="",AG74="",AI74="",AK74=""),"",INDEX(STDLIGHT[Reporting Methodology],MATCH(G74,STDLIGHT[Measure Name],0))),"Err")</f>
        <v/>
      </c>
      <c r="BO74" s="735" t="str">
        <f>IFERROR(IF(BH74="","",INDEX(STDLIGHT[Incremental Measure Cost ($/Unit)],MATCH(G74,STDLIGHT[Measure Name],0))),"Err")</f>
        <v/>
      </c>
      <c r="BP74" s="837"/>
      <c r="BQ74" s="838" t="str">
        <f>_xlfn.LET(
_xlpm.IPU,
IFERROR(IF(G74="","",IF(C74&lt;&gt;INDEX(STDLIGHT[Eff Category 1],MATCH(G74,STDLIGHT[Measure Name],0)),0,INDEX(STDLIGHT[Base Incentive],MATCH(G74,STDLIGHT[Measure Name],0)))),""),
IFERROR(ROUND(V74*_xlpm.IPU, 2), ""))</f>
        <v/>
      </c>
    </row>
    <row r="75" spans="2:69" ht="15.95" customHeight="1">
      <c r="B75" s="806"/>
      <c r="C75" s="728"/>
      <c r="D75" s="729"/>
      <c r="E75" s="729"/>
      <c r="F75" s="730"/>
      <c r="G75" s="744"/>
      <c r="H75" s="745"/>
      <c r="I75" s="745"/>
      <c r="J75" s="745"/>
      <c r="K75" s="745"/>
      <c r="L75" s="745"/>
      <c r="M75" s="728"/>
      <c r="N75" s="730"/>
      <c r="O75" s="728"/>
      <c r="P75" s="729"/>
      <c r="Q75" s="730"/>
      <c r="R75" s="733"/>
      <c r="S75" s="734"/>
      <c r="T75" s="782"/>
      <c r="U75" s="783"/>
      <c r="V75" s="785"/>
      <c r="W75" s="785"/>
      <c r="X75" s="764"/>
      <c r="Y75" s="764"/>
      <c r="Z75" s="716"/>
      <c r="AA75" s="717"/>
      <c r="AB75" s="718"/>
      <c r="AC75" s="716"/>
      <c r="AD75" s="717"/>
      <c r="AE75" s="717"/>
      <c r="AF75" s="718"/>
      <c r="AG75" s="805"/>
      <c r="AH75" s="728"/>
      <c r="AI75" s="765"/>
      <c r="AJ75" s="766"/>
      <c r="AK75" s="766"/>
      <c r="AL75" s="767"/>
      <c r="AM75" s="795"/>
      <c r="AN75" s="796"/>
      <c r="AO75" s="798"/>
      <c r="AP75" s="798"/>
      <c r="AQ75" s="798"/>
      <c r="AR75" s="802"/>
      <c r="AS75" s="803"/>
      <c r="AT75" s="803"/>
      <c r="AU75" s="804"/>
      <c r="AV75" s="22"/>
      <c r="AX75" s="749"/>
      <c r="AY75" s="751"/>
      <c r="AZ75" s="747"/>
      <c r="BA75" s="747"/>
      <c r="BB75" s="747"/>
      <c r="BC75" s="747"/>
      <c r="BD75" s="755"/>
      <c r="BE75" s="747"/>
      <c r="BF75" s="747"/>
      <c r="BG75" s="839"/>
      <c r="BH75" s="751"/>
      <c r="BI75" s="755"/>
      <c r="BJ75" s="751"/>
      <c r="BK75" s="829"/>
      <c r="BL75" s="831"/>
      <c r="BM75" s="836"/>
      <c r="BN75" s="832"/>
      <c r="BO75" s="735"/>
      <c r="BP75" s="837"/>
      <c r="BQ75" s="839"/>
    </row>
    <row r="76" spans="2:69" ht="15.95" customHeight="1">
      <c r="B76" s="806">
        <v>30</v>
      </c>
      <c r="C76" s="728"/>
      <c r="D76" s="729"/>
      <c r="E76" s="729"/>
      <c r="F76" s="730"/>
      <c r="G76" s="741"/>
      <c r="H76" s="742"/>
      <c r="I76" s="742"/>
      <c r="J76" s="742"/>
      <c r="K76" s="742"/>
      <c r="L76" s="742"/>
      <c r="M76" s="716"/>
      <c r="N76" s="718"/>
      <c r="O76" s="716"/>
      <c r="P76" s="717"/>
      <c r="Q76" s="718"/>
      <c r="R76" s="731" t="str">
        <f>IFERROR(IF(INDEX(STDLIGHTINEFCAT2[System Wattage],MATCH('M03-S02'!$M76&amp;"_"&amp;INDEX(STDLIGHT[Ineff Dropdown 2],MATCH('M03-S02'!$G76,STDLIGHT[Measure Name],0))&amp;"_"&amp;O76,STDLIGHTINEFCAT2[Full Name],0))="","",INDEX(STDLIGHTINEFCAT2[System Wattage],MATCH('M03-S02'!$M76&amp;"_"&amp;INDEX(STDLIGHT[Ineff Dropdown 2],MATCH('M03-S02'!$G76,STDLIGHT[Measure Name],0))&amp;"_"&amp;O76,STDLIGHTINEFCAT2[Full Name],0))),"")</f>
        <v/>
      </c>
      <c r="S76" s="732"/>
      <c r="T76" s="782" t="str">
        <f t="shared" ref="T76" si="55">IF(C76="Permanent Lamp Removal",0,"")</f>
        <v/>
      </c>
      <c r="U76" s="783"/>
      <c r="V76" s="784"/>
      <c r="W76" s="784"/>
      <c r="X76" s="763"/>
      <c r="Y76" s="763"/>
      <c r="Z76" s="719"/>
      <c r="AA76" s="720"/>
      <c r="AB76" s="721"/>
      <c r="AC76" s="713"/>
      <c r="AD76" s="714"/>
      <c r="AE76" s="714"/>
      <c r="AF76" s="715"/>
      <c r="AG76" s="813"/>
      <c r="AH76" s="716"/>
      <c r="AI76" s="786"/>
      <c r="AJ76" s="787"/>
      <c r="AK76" s="787"/>
      <c r="AL76" s="788"/>
      <c r="AM76" s="793" t="str">
        <f>IFERROR(IF(G76="","",IF(C76&lt;&gt;INDEX(STDLIGHT[Eff Category 1],MATCH(G76,STDLIGHT[Measure Name],0)),0,INDEX(IF(AND(ACTIVEBONUS = TRUE,INDEX(STDLIGHT[Bonus Incentive],MATCH(G76,STDLIGHT[Measure Name],0))&lt;&gt; ""),STDLIGHT[Bonus Incentive],STDLIGHT[Base Incentive]),MATCH(G76,STDLIGHT[Measure Name],0)))),"")</f>
        <v/>
      </c>
      <c r="AN76" s="794"/>
      <c r="AO76" s="797" t="str">
        <f>IFERROR(IF(OR(C76="",G76="",M76="",O76="",R76="",T76="",V76="",X76="",AC76="",AG76="",AI76="",AK76=""),"",IF(BN76="Deemed",AZ76,IF(BN76="Calculated",BE76,""))),"")</f>
        <v/>
      </c>
      <c r="AP76" s="797"/>
      <c r="AQ76" s="797"/>
      <c r="AR76" s="799" t="str">
        <f>IFERROR(IF(OR(C76="",G76="",M76="",O76="",R76="",T76="",V76="",X76="",AC76="",AG76="",AI76="",AK76=""),"",IF(BJ76&lt;&gt;"",BJ76,IF(BP76&gt;0,BP76,ROUND(IF(AO76&lt;=0,0,MIN(AX76,BG76)),2)))),"")</f>
        <v/>
      </c>
      <c r="AS76" s="800"/>
      <c r="AT76" s="800"/>
      <c r="AU76" s="801"/>
      <c r="AV76" s="22"/>
      <c r="AX76" s="748" t="str">
        <f>IF(OR(C76="",G76="",M76="",O76="",R76="",T76="",V76="",X76="",AC76="",AG76="",AI76="",AK76=""),"",IF(AO76=0,"",ROUND(AI76+AK76,2)))</f>
        <v/>
      </c>
      <c r="AY76" s="750" t="str">
        <f>IFERROR(IF(OR(C76="",G76="",M76="",O76="",R76="",T76="",V76="",X76="",AC76="",AG76="",AI76="",AK76=""),"",INDEX(STDLIGHT[Current Unit],MATCH(G76,STDLIGHT[Measure Name],0))),"Err")</f>
        <v/>
      </c>
      <c r="AZ76" s="746" t="str">
        <f>IF(OR(C76="",G76="",M76="",O76="",R76="",T76="",V76="",X76="",AC76="",AG76="",AI76="",AK76=""),"",IFERROR(IF(G76="","",IF(C76&lt;&gt;INDEX(STDLIGHT[Eff Category 1],MATCH(G76,STDLIGHT[Measure Name],0)),0,
IF(BB76&lt;=BC76,0,
ROUND(V76*INDEX(STDLIGHT[Electric Energy Savings (Annual kWh/unit)],MATCH('M03-S02'!G76,STDLIGHT[Measure Name],0)),4)))),""))</f>
        <v/>
      </c>
      <c r="BA76" s="746" t="str">
        <f>IF(OR(C76="",G76="",M76="",O76="",R76="",T76="",V76="",X76="",AC76="",AG76="",AI76="",AK76=""),"",IFERROR(IF(G76="","",IF(C76&lt;&gt;INDEX(STDLIGHT[Eff Category 1],MATCH(G76,STDLIGHT[Measure Name],0)),0,
IF(BB76&lt;=BC76,0,
ROUND(V76*INDEX(STDLIGHT[Coincident Peak Demand Savings (kW/unit)],MATCH('M03-S02'!G76,STDLIGHT[Measure Name],0)),4)))),""))</f>
        <v/>
      </c>
      <c r="BB76" s="746" t="str">
        <f>IF(OR(C76="",G76="",M76="",O76="",R76="",T76="",V76="",X76="",AC76="",AG76="",AI76="",AK76=""),"",
IF(OR(ISNUMBER(SEARCH("Exterior",C76)),ISNUMBER(SEARCH("Parking",C76)),M02S04F22="Unconditioned",M02S04F22="Electric Heat Only",M02S04F22="Natural Gas Heat Only"),ROUND(R76*V76*X76/1000,4),
ROUND(R76*V76*X76/1000*INDEX(BUILDINGTYPE[Waste Heat Factor (e)],MATCH(M02S04F19,BUILDINGTYPE[Building Type],0)),4)))</f>
        <v/>
      </c>
      <c r="BC76" s="746" t="str">
        <f>IF(OR(C76="",G76="",M76="",O76="",R76="",T76="",V76="",X76="",AC76="",AG76="",AI76="",AK76=""),"",
IF(OR(ISNUMBER(SEARCH("Exterior",C76)),ISNUMBER(SEARCH("Parking",C76)),M02S04F22="Unconditioned",M02S04F22="Electric Heat Only",M02S04F22="Natural Gas Heat Only"),ROUND(T76*V76*X76/1000,4),
ROUND(T76*V76*X76/1000*INDEX(BUILDINGTYPE[Waste Heat Factor (e)],MATCH(M02S04F19,BUILDINGTYPE[Building Type],0)),4)))</f>
        <v/>
      </c>
      <c r="BD76" s="754" t="str">
        <f>IFERROR(IF(OR(C76="",G76="",M76="",O76="",R76="",T76="",V76="",X76="",AC76="",AG76="",AI76="",AK76=""),"",INDEX(STDLIGHT[End Use],MATCH(G76,STDLIGHT[Measure Name],0))),"Err")</f>
        <v/>
      </c>
      <c r="BE76" s="746" t="str">
        <f>IFERROR(IF(OR(C76="",G76="",M76="",O76="",R76="",T76="",V76="",X76="",AC76="",AG76="",AI76="",AK76=""),"",
IF(BB76&lt;=BC76,0,
IF(OR(ISNUMBER(SEARCH("Exterior",C76)),ISNUMBER(SEARCH("Parking",C76)),M02S04F22="Unconditioned",M02S04F22="Electric Heat Only",M02S04F22="Natural Gas Heat Only"),ROUND((R76-T76)*V76*X76/1000,4),
ROUND((R76-T76)*V76*X76/1000*INDEX(BUILDINGTYPE[Waste Heat Factor (e)],MATCH(M02S04F19,BUILDINGTYPE[Building Type],0)),4)))),"")</f>
        <v/>
      </c>
      <c r="BF76" s="746" t="str">
        <f>IFERROR(IF(OR(C76="",G76="",M76="",O76="",R76="",T76="",V76="",X76="",AC76="",AG76="",AI76="",AK76=""),"",
IF(BB76&lt;=BC76,0,
IF(ISNUMBER(SEARCH("Exterior",C76)),0,
IF(OR(ISNUMBER(SEARCH("Parking",C76)),M02S04F22="Unconditioned",M02S04F22="Electric Heat Only",M02S04F22="Natural Gas Heat Only"),ROUND((R76-T76)*V76/1000*INDEX(BUILDINGTYPE[Lighting Coincidence Factor],MATCH(M02S04F19,BUILDINGTYPE[Building Type],0)),4),
ROUND((R76-T76)*V76/1000*INDEX(BUILDINGTYPE[Lighting Coincidence Factor],MATCH(M02S04F19,BUILDINGTYPE[Building Type],0))*INDEX(BUILDINGTYPE[WHFd],MATCH(M02S04F19,BUILDINGTYPE[Building Type],0)),4))))),"")</f>
        <v/>
      </c>
      <c r="BG76" s="838" t="str">
        <f>IFERROR(ROUND(V76*AM76, 2), "")</f>
        <v/>
      </c>
      <c r="BH76" s="750" t="str">
        <f>IFERROR(IF(OR(C76="",G76="",M76="",O76="",R76="",T76="",V76="",X76="",AC76="",AG76="",AI76="",AK76="",ISNUMBER(AR76)=FALSE,AR76=0),"",INDEX(STDLIGHT[Measure Number],MATCH(G76,STDLIGHT[Measure Name],0))),"Err")</f>
        <v/>
      </c>
      <c r="BI76" s="754" t="str">
        <f t="shared" ref="BI76" si="56">IFERROR(IF(BP76="",IF(AR76 &lt; BG76, "100% Total Cost", ""), ""), "")</f>
        <v/>
      </c>
      <c r="BJ76" s="750" t="str">
        <f>IFERROR(IF(OR(C76="",G76="",M76="",O76="",R76="",T76="",V76="",X76="",AC76="",AG76="",AI76="",AK76=""),"",
IF(BP76&gt;0,"",
IF(EXPIRATION&lt;&gt;"",PROJSTATEXP,
IF(M02S04F19="",MEASUREBLDG,
IF(BB76&lt;=BC76,MEASURESAVE,""))))),MEASURESUBMIT)</f>
        <v/>
      </c>
      <c r="BK76" s="828" t="str">
        <f>IFERROR(INDEX(STDLIGHT[Measure Life (Years)],MATCH(G76,STDLIGHT[Measure Name],0)),"")</f>
        <v/>
      </c>
      <c r="BL76" s="830" t="str">
        <f>IFERROR(IF(OR(C76="",G76="",M76="",O76="",R76="",T76="",V76="",X76="",AC76="",AG76="",AI76="",AK76=""),"",
ROUND(((1+ELOSS)*((BE76*INDEX(ELECCB[NPV AEC $/kWh],MATCH(BK76,ELECCB[Year Number],1)))+(BF76*INDEX(ELECCB[NPV ACC $/kW],MATCH(BK76,ELECCB[Year Number],1))))),2)),0)</f>
        <v/>
      </c>
      <c r="BM76" s="835"/>
      <c r="BN76" s="832" t="str">
        <f>IFERROR(IF(OR(C76="",G76="",M76="",O76="",R76="",T76="",V76="",X76="",AC76="",AG76="",AI76="",AK76=""),"",INDEX(STDLIGHT[Reporting Methodology],MATCH(G76,STDLIGHT[Measure Name],0))),"Err")</f>
        <v/>
      </c>
      <c r="BO76" s="735" t="str">
        <f>IFERROR(IF(BH76="","",INDEX(STDLIGHT[Incremental Measure Cost ($/Unit)],MATCH(G76,STDLIGHT[Measure Name],0))),"Err")</f>
        <v/>
      </c>
      <c r="BP76" s="837"/>
      <c r="BQ76" s="838" t="str">
        <f>_xlfn.LET(
_xlpm.IPU,
IFERROR(IF(G76="","",IF(C76&lt;&gt;INDEX(STDLIGHT[Eff Category 1],MATCH(G76,STDLIGHT[Measure Name],0)),0,INDEX(STDLIGHT[Base Incentive],MATCH(G76,STDLIGHT[Measure Name],0)))),""),
IFERROR(ROUND(V76*_xlpm.IPU, 2), ""))</f>
        <v/>
      </c>
    </row>
    <row r="77" spans="2:69" ht="15.95" customHeight="1">
      <c r="B77" s="806"/>
      <c r="C77" s="728"/>
      <c r="D77" s="729"/>
      <c r="E77" s="729"/>
      <c r="F77" s="730"/>
      <c r="G77" s="744"/>
      <c r="H77" s="745"/>
      <c r="I77" s="745"/>
      <c r="J77" s="745"/>
      <c r="K77" s="745"/>
      <c r="L77" s="745"/>
      <c r="M77" s="728"/>
      <c r="N77" s="730"/>
      <c r="O77" s="728"/>
      <c r="P77" s="729"/>
      <c r="Q77" s="730"/>
      <c r="R77" s="733"/>
      <c r="S77" s="734"/>
      <c r="T77" s="782"/>
      <c r="U77" s="783"/>
      <c r="V77" s="785"/>
      <c r="W77" s="785"/>
      <c r="X77" s="764"/>
      <c r="Y77" s="764"/>
      <c r="Z77" s="716"/>
      <c r="AA77" s="717"/>
      <c r="AB77" s="718"/>
      <c r="AC77" s="716"/>
      <c r="AD77" s="717"/>
      <c r="AE77" s="717"/>
      <c r="AF77" s="718"/>
      <c r="AG77" s="805"/>
      <c r="AH77" s="728"/>
      <c r="AI77" s="765"/>
      <c r="AJ77" s="766"/>
      <c r="AK77" s="766"/>
      <c r="AL77" s="767"/>
      <c r="AM77" s="795"/>
      <c r="AN77" s="796"/>
      <c r="AO77" s="798"/>
      <c r="AP77" s="798"/>
      <c r="AQ77" s="798"/>
      <c r="AR77" s="802"/>
      <c r="AS77" s="803"/>
      <c r="AT77" s="803"/>
      <c r="AU77" s="804"/>
      <c r="AV77" s="22"/>
      <c r="AX77" s="749"/>
      <c r="AY77" s="751"/>
      <c r="AZ77" s="747"/>
      <c r="BA77" s="747"/>
      <c r="BB77" s="747"/>
      <c r="BC77" s="747"/>
      <c r="BD77" s="755"/>
      <c r="BE77" s="747"/>
      <c r="BF77" s="747"/>
      <c r="BG77" s="839"/>
      <c r="BH77" s="751"/>
      <c r="BI77" s="755"/>
      <c r="BJ77" s="751"/>
      <c r="BK77" s="829"/>
      <c r="BL77" s="831"/>
      <c r="BM77" s="836"/>
      <c r="BN77" s="832"/>
      <c r="BO77" s="735"/>
      <c r="BP77" s="837"/>
      <c r="BQ77" s="839"/>
    </row>
    <row r="78" spans="2:69" ht="15.95" customHeight="1"/>
    <row r="79" spans="2:69" ht="15.95" hidden="1" customHeight="1"/>
    <row r="80" spans="2:69" ht="15.95" hidden="1" customHeight="1"/>
    <row r="81" spans="52:57" ht="15.95" hidden="1" customHeight="1"/>
    <row r="82" spans="52:57" ht="15.95" hidden="1" customHeight="1"/>
    <row r="83" spans="52:57" ht="15.95" hidden="1" customHeight="1"/>
    <row r="84" spans="52:57" ht="15.95" hidden="1" customHeight="1"/>
    <row r="85" spans="52:57" ht="15.95" hidden="1" customHeight="1"/>
    <row r="86" spans="52:57" ht="15.95" hidden="1" customHeight="1"/>
    <row r="87" spans="52:57" ht="15.95" hidden="1" customHeight="1"/>
    <row r="88" spans="52:57" ht="15.95" hidden="1" customHeight="1"/>
    <row r="89" spans="52:57" ht="15.95" hidden="1" customHeight="1"/>
    <row r="90" spans="52:57" ht="15.95" hidden="1" customHeight="1"/>
    <row r="91" spans="52:57" ht="15.95" hidden="1" customHeight="1"/>
    <row r="92" spans="52:57" ht="15.95" hidden="1" customHeight="1"/>
    <row r="93" spans="52:57" ht="15.95" hidden="1" customHeight="1"/>
    <row r="94" spans="52:57" ht="15.95" hidden="1" customHeight="1">
      <c r="AZ94" s="31"/>
      <c r="BA94" s="37"/>
      <c r="BB94" s="31"/>
      <c r="BC94" s="31"/>
      <c r="BD94" s="31"/>
      <c r="BE94" s="31"/>
    </row>
    <row r="95" spans="52:57" ht="15.95" hidden="1" customHeight="1">
      <c r="AZ95" s="31"/>
      <c r="BA95" s="37"/>
      <c r="BB95" s="31"/>
      <c r="BC95" s="31"/>
      <c r="BD95" s="31"/>
      <c r="BE95" s="31"/>
    </row>
    <row r="96" spans="52:57" ht="15.95" hidden="1" customHeight="1">
      <c r="AZ96" s="31"/>
      <c r="BA96" s="37"/>
      <c r="BB96" s="31"/>
      <c r="BC96" s="31"/>
      <c r="BD96" s="31"/>
      <c r="BE96" s="31"/>
    </row>
    <row r="97" spans="52:57" ht="15.95" hidden="1" customHeight="1">
      <c r="AZ97" s="31"/>
      <c r="BA97" s="37"/>
      <c r="BB97" s="31"/>
      <c r="BC97" s="31"/>
      <c r="BD97" s="31"/>
      <c r="BE97" s="31"/>
    </row>
    <row r="98" spans="52:57" ht="15.95" hidden="1" customHeight="1">
      <c r="AZ98" s="31"/>
      <c r="BA98" s="37"/>
      <c r="BB98" s="31"/>
      <c r="BC98" s="31"/>
      <c r="BD98" s="31"/>
      <c r="BE98" s="31"/>
    </row>
    <row r="99" spans="52:57" ht="15.95" hidden="1" customHeight="1">
      <c r="AZ99" s="31"/>
      <c r="BA99" s="37"/>
      <c r="BB99" s="31"/>
      <c r="BC99" s="31"/>
      <c r="BD99" s="31"/>
      <c r="BE99" s="31"/>
    </row>
    <row r="100" spans="52:57" ht="15.95" hidden="1" customHeight="1">
      <c r="AZ100" s="31"/>
      <c r="BA100" s="37"/>
      <c r="BB100" s="31"/>
      <c r="BC100" s="31"/>
      <c r="BD100" s="31"/>
      <c r="BE100" s="31"/>
    </row>
    <row r="101" spans="52:57" ht="15.95" hidden="1" customHeight="1">
      <c r="AZ101" s="31"/>
      <c r="BA101" s="37"/>
      <c r="BB101" s="31"/>
      <c r="BC101" s="31"/>
      <c r="BD101" s="31"/>
      <c r="BE101" s="31"/>
    </row>
    <row r="102" spans="52:57" ht="15.95" hidden="1" customHeight="1">
      <c r="AZ102" s="31"/>
      <c r="BA102" s="37"/>
      <c r="BB102" s="31"/>
      <c r="BC102" s="31"/>
      <c r="BD102" s="31"/>
      <c r="BE102" s="31"/>
    </row>
    <row r="103" spans="52:57" ht="15.95" hidden="1" customHeight="1">
      <c r="AZ103" s="31"/>
      <c r="BA103" s="37"/>
      <c r="BB103" s="31"/>
      <c r="BC103" s="31"/>
      <c r="BD103" s="31"/>
      <c r="BE103" s="31"/>
    </row>
    <row r="104" spans="52:57" ht="15.95" hidden="1" customHeight="1">
      <c r="AZ104" s="31"/>
      <c r="BA104" s="37"/>
      <c r="BB104" s="31"/>
      <c r="BC104" s="31"/>
      <c r="BD104" s="31"/>
      <c r="BE104" s="31"/>
    </row>
    <row r="105" spans="52:57" ht="15.95" hidden="1" customHeight="1">
      <c r="AZ105" s="31"/>
      <c r="BA105" s="37"/>
      <c r="BB105" s="31"/>
      <c r="BC105" s="31"/>
      <c r="BD105" s="31"/>
      <c r="BE105" s="31"/>
    </row>
    <row r="106" spans="52:57" ht="15.95" hidden="1" customHeight="1">
      <c r="AZ106" s="31"/>
      <c r="BA106" s="37"/>
      <c r="BB106" s="31"/>
      <c r="BC106" s="31"/>
      <c r="BD106" s="31"/>
      <c r="BE106" s="31"/>
    </row>
    <row r="107" spans="52:57" ht="15.95" hidden="1" customHeight="1">
      <c r="AZ107" s="31"/>
      <c r="BA107" s="37"/>
      <c r="BB107" s="31"/>
      <c r="BC107" s="31"/>
      <c r="BD107" s="31"/>
      <c r="BE107" s="31"/>
    </row>
    <row r="108" spans="52:57" ht="15.95" hidden="1" customHeight="1">
      <c r="AZ108" s="31"/>
      <c r="BA108" s="37"/>
      <c r="BB108" s="31"/>
      <c r="BC108" s="31"/>
      <c r="BD108" s="31"/>
      <c r="BE108" s="31"/>
    </row>
    <row r="109" spans="52:57" ht="15.95" hidden="1" customHeight="1">
      <c r="AZ109" s="31"/>
      <c r="BA109" s="37"/>
      <c r="BB109" s="31"/>
      <c r="BC109" s="31"/>
      <c r="BD109" s="31"/>
      <c r="BE109" s="31"/>
    </row>
    <row r="110" spans="52:57" ht="15.95" hidden="1" customHeight="1">
      <c r="AZ110" s="31"/>
      <c r="BA110" s="37"/>
      <c r="BB110" s="31"/>
      <c r="BC110" s="31"/>
      <c r="BD110" s="31"/>
      <c r="BE110" s="31"/>
    </row>
    <row r="111" spans="52:57" ht="15.95" hidden="1" customHeight="1">
      <c r="AZ111" s="31"/>
      <c r="BA111" s="37"/>
      <c r="BB111" s="31"/>
      <c r="BC111" s="31"/>
      <c r="BD111" s="31"/>
      <c r="BE111" s="31"/>
    </row>
    <row r="112" spans="52:57" ht="15.95" hidden="1" customHeight="1">
      <c r="AZ112" s="31"/>
      <c r="BA112" s="37"/>
      <c r="BB112" s="31"/>
      <c r="BC112" s="31"/>
      <c r="BD112" s="31"/>
      <c r="BE112" s="31"/>
    </row>
    <row r="113" spans="52:57" ht="15.95" hidden="1" customHeight="1">
      <c r="AZ113" s="31"/>
      <c r="BA113" s="37"/>
      <c r="BB113" s="31"/>
      <c r="BC113" s="31"/>
      <c r="BD113" s="31"/>
      <c r="BE113" s="31"/>
    </row>
    <row r="114" spans="52:57" ht="15.95" hidden="1" customHeight="1">
      <c r="AZ114" s="31"/>
      <c r="BA114" s="37"/>
      <c r="BB114" s="31"/>
      <c r="BC114" s="31"/>
      <c r="BD114" s="31"/>
      <c r="BE114" s="31"/>
    </row>
    <row r="115" spans="52:57" ht="15.95" hidden="1" customHeight="1">
      <c r="AZ115" s="31"/>
      <c r="BA115" s="37"/>
      <c r="BB115" s="31"/>
      <c r="BC115" s="31"/>
      <c r="BD115" s="31"/>
      <c r="BE115" s="31"/>
    </row>
    <row r="116" spans="52:57" ht="15.95" hidden="1" customHeight="1">
      <c r="AZ116" s="31"/>
      <c r="BA116" s="37"/>
      <c r="BB116" s="31"/>
      <c r="BC116" s="31"/>
      <c r="BD116" s="31"/>
      <c r="BE116" s="31"/>
    </row>
    <row r="117" spans="52:57" ht="15.95" hidden="1" customHeight="1">
      <c r="AZ117" s="31"/>
      <c r="BA117" s="37"/>
      <c r="BB117" s="31"/>
      <c r="BC117" s="31"/>
      <c r="BD117" s="31"/>
      <c r="BE117" s="31"/>
    </row>
    <row r="118" spans="52:57" ht="15.95" hidden="1" customHeight="1">
      <c r="AZ118" s="31"/>
      <c r="BA118" s="37"/>
      <c r="BB118" s="31"/>
      <c r="BC118" s="31"/>
      <c r="BD118" s="31"/>
      <c r="BE118" s="31"/>
    </row>
    <row r="119" spans="52:57" ht="15.95" hidden="1" customHeight="1">
      <c r="AZ119" s="31"/>
      <c r="BA119" s="37"/>
      <c r="BB119" s="31"/>
      <c r="BC119" s="31"/>
      <c r="BD119" s="31"/>
      <c r="BE119" s="31"/>
    </row>
    <row r="120" spans="52:57" ht="15.95" hidden="1" customHeight="1">
      <c r="AZ120" s="31"/>
      <c r="BA120" s="37"/>
      <c r="BB120" s="31"/>
      <c r="BC120" s="31"/>
      <c r="BD120" s="31"/>
      <c r="BE120" s="31"/>
    </row>
    <row r="121" spans="52:57" ht="15.95" hidden="1" customHeight="1">
      <c r="AZ121" s="31"/>
      <c r="BA121" s="37"/>
      <c r="BB121" s="31"/>
      <c r="BC121" s="31"/>
      <c r="BD121" s="31"/>
      <c r="BE121" s="31"/>
    </row>
    <row r="122" spans="52:57" ht="15.95" hidden="1" customHeight="1">
      <c r="AZ122" s="31"/>
      <c r="BA122" s="37"/>
      <c r="BB122" s="31"/>
      <c r="BC122" s="31"/>
      <c r="BD122" s="31"/>
      <c r="BE122" s="31"/>
    </row>
    <row r="123" spans="52:57" ht="15.95" hidden="1" customHeight="1">
      <c r="AZ123" s="31"/>
      <c r="BA123" s="37"/>
      <c r="BB123" s="31"/>
      <c r="BC123" s="31"/>
      <c r="BD123" s="31"/>
      <c r="BE123" s="31"/>
    </row>
    <row r="124" spans="52:57" ht="15.95" hidden="1" customHeight="1">
      <c r="AZ124" s="31"/>
      <c r="BA124" s="37"/>
      <c r="BB124" s="31"/>
      <c r="BC124" s="31"/>
      <c r="BD124" s="31"/>
      <c r="BE124" s="31"/>
    </row>
    <row r="125" spans="52:57" ht="15.95" hidden="1" customHeight="1">
      <c r="AZ125" s="31"/>
      <c r="BA125" s="37"/>
      <c r="BB125" s="31"/>
      <c r="BC125" s="31"/>
      <c r="BD125" s="31"/>
      <c r="BE125" s="31"/>
    </row>
    <row r="126" spans="52:57" ht="15.95" hidden="1" customHeight="1">
      <c r="AZ126" s="31"/>
      <c r="BA126" s="37"/>
      <c r="BB126" s="31"/>
      <c r="BC126" s="31"/>
      <c r="BD126" s="31"/>
      <c r="BE126" s="31"/>
    </row>
    <row r="127" spans="52:57" ht="15.95" hidden="1" customHeight="1">
      <c r="AZ127" s="31"/>
      <c r="BA127" s="37"/>
      <c r="BB127" s="31"/>
      <c r="BC127" s="31"/>
      <c r="BD127" s="31"/>
      <c r="BE127" s="31"/>
    </row>
    <row r="128" spans="52:57" ht="15.95" hidden="1" customHeight="1">
      <c r="AZ128" s="31"/>
      <c r="BA128" s="37"/>
      <c r="BB128" s="31"/>
      <c r="BC128" s="31"/>
      <c r="BD128" s="31"/>
      <c r="BE128" s="31"/>
    </row>
    <row r="129" spans="52:57" ht="15.95" hidden="1" customHeight="1">
      <c r="AZ129" s="31"/>
      <c r="BA129" s="37"/>
      <c r="BB129" s="31"/>
      <c r="BC129" s="31"/>
      <c r="BD129" s="31"/>
      <c r="BE129" s="31"/>
    </row>
    <row r="130" spans="52:57" ht="15.95" hidden="1" customHeight="1">
      <c r="AZ130" s="31"/>
      <c r="BA130" s="37"/>
      <c r="BB130" s="31"/>
      <c r="BC130" s="31"/>
      <c r="BD130" s="31"/>
      <c r="BE130" s="31"/>
    </row>
    <row r="131" spans="52:57" ht="15.95" hidden="1" customHeight="1">
      <c r="AZ131" s="31"/>
      <c r="BA131" s="37"/>
      <c r="BB131" s="31"/>
      <c r="BC131" s="31"/>
      <c r="BD131" s="31"/>
      <c r="BE131" s="31"/>
    </row>
    <row r="132" spans="52:57" ht="15.95" hidden="1" customHeight="1">
      <c r="AZ132" s="31"/>
      <c r="BA132" s="37"/>
      <c r="BB132" s="31"/>
      <c r="BC132" s="31"/>
      <c r="BD132" s="31"/>
      <c r="BE132" s="31"/>
    </row>
    <row r="133" spans="52:57" ht="15.95" hidden="1" customHeight="1">
      <c r="AZ133" s="31"/>
      <c r="BA133" s="37"/>
      <c r="BB133" s="31"/>
      <c r="BC133" s="31"/>
      <c r="BD133" s="31"/>
      <c r="BE133" s="31"/>
    </row>
    <row r="134" spans="52:57" ht="15.95" hidden="1" customHeight="1">
      <c r="AZ134" s="31"/>
      <c r="BA134" s="37"/>
      <c r="BB134" s="31"/>
      <c r="BC134" s="31"/>
      <c r="BD134" s="31"/>
      <c r="BE134" s="31"/>
    </row>
    <row r="135" spans="52:57" ht="15.95" hidden="1" customHeight="1">
      <c r="AZ135" s="31"/>
      <c r="BA135" s="37"/>
      <c r="BB135" s="31"/>
      <c r="BC135" s="31"/>
      <c r="BD135" s="31"/>
      <c r="BE135" s="31"/>
    </row>
    <row r="136" spans="52:57" ht="15.95" hidden="1" customHeight="1">
      <c r="AZ136" s="31"/>
      <c r="BA136" s="37"/>
      <c r="BB136" s="31"/>
      <c r="BC136" s="31"/>
      <c r="BD136" s="31"/>
      <c r="BE136" s="31"/>
    </row>
    <row r="137" spans="52:57" ht="15.95" hidden="1" customHeight="1">
      <c r="AZ137" s="31"/>
      <c r="BA137" s="37"/>
      <c r="BB137" s="31"/>
      <c r="BC137" s="31"/>
      <c r="BD137" s="31"/>
      <c r="BE137" s="31"/>
    </row>
    <row r="138" spans="52:57" ht="15.95" hidden="1" customHeight="1">
      <c r="AZ138" s="31"/>
      <c r="BA138" s="37"/>
      <c r="BB138" s="31"/>
      <c r="BC138" s="31"/>
      <c r="BD138" s="31"/>
      <c r="BE138" s="31"/>
    </row>
    <row r="139" spans="52:57" ht="15.95" hidden="1" customHeight="1">
      <c r="AZ139" s="31"/>
      <c r="BA139" s="37"/>
      <c r="BB139" s="31"/>
      <c r="BC139" s="31"/>
      <c r="BD139" s="31"/>
      <c r="BE139" s="31"/>
    </row>
    <row r="140" spans="52:57" ht="15.95" hidden="1" customHeight="1">
      <c r="AZ140" s="31"/>
      <c r="BA140" s="37"/>
      <c r="BB140" s="31"/>
      <c r="BC140" s="31"/>
      <c r="BD140" s="31"/>
      <c r="BE140" s="31"/>
    </row>
    <row r="141" spans="52:57" ht="15.95" hidden="1" customHeight="1">
      <c r="AZ141" s="31"/>
      <c r="BA141" s="37"/>
      <c r="BB141" s="31"/>
      <c r="BC141" s="31"/>
      <c r="BD141" s="31"/>
      <c r="BE141" s="31"/>
    </row>
    <row r="142" spans="52:57" ht="15.95" hidden="1" customHeight="1">
      <c r="AZ142" s="31"/>
      <c r="BA142" s="37"/>
      <c r="BB142" s="31"/>
      <c r="BC142" s="31"/>
      <c r="BD142" s="31"/>
      <c r="BE142" s="31"/>
    </row>
    <row r="143" spans="52:57" ht="15.95" hidden="1" customHeight="1">
      <c r="AZ143" s="31"/>
      <c r="BA143" s="37"/>
      <c r="BB143" s="31"/>
      <c r="BC143" s="31"/>
      <c r="BD143" s="31"/>
      <c r="BE143" s="31"/>
    </row>
    <row r="144" spans="52:57" ht="15.95" hidden="1" customHeight="1">
      <c r="AZ144" s="31"/>
      <c r="BA144" s="37"/>
      <c r="BB144" s="31"/>
      <c r="BC144" s="31"/>
      <c r="BD144" s="31"/>
      <c r="BE144" s="31"/>
    </row>
    <row r="145" spans="52:57" ht="15.95" hidden="1" customHeight="1">
      <c r="AZ145" s="31"/>
      <c r="BA145" s="37"/>
      <c r="BB145" s="31"/>
      <c r="BC145" s="31"/>
      <c r="BD145" s="31"/>
      <c r="BE145" s="31"/>
    </row>
    <row r="146" spans="52:57" ht="15.95" hidden="1" customHeight="1">
      <c r="AZ146" s="31"/>
      <c r="BA146" s="37"/>
      <c r="BB146" s="31"/>
      <c r="BC146" s="31"/>
      <c r="BD146" s="31"/>
      <c r="BE146" s="31"/>
    </row>
    <row r="147" spans="52:57" ht="15.95" hidden="1" customHeight="1">
      <c r="AZ147" s="31"/>
      <c r="BA147" s="37"/>
      <c r="BB147" s="31"/>
      <c r="BC147" s="31"/>
      <c r="BD147" s="31"/>
      <c r="BE147" s="31"/>
    </row>
    <row r="148" spans="52:57" ht="15.95" hidden="1" customHeight="1">
      <c r="AZ148" s="31"/>
      <c r="BA148" s="37"/>
      <c r="BB148" s="31"/>
      <c r="BC148" s="31"/>
      <c r="BD148" s="31"/>
      <c r="BE148" s="31"/>
    </row>
    <row r="149" spans="52:57" ht="15.95" hidden="1" customHeight="1">
      <c r="AZ149" s="31"/>
      <c r="BA149" s="37"/>
      <c r="BB149" s="31"/>
      <c r="BC149" s="31"/>
      <c r="BD149" s="31"/>
      <c r="BE149" s="31"/>
    </row>
    <row r="150" spans="52:57" ht="15.95" hidden="1" customHeight="1">
      <c r="AZ150" s="31"/>
      <c r="BA150" s="37"/>
      <c r="BB150" s="31"/>
      <c r="BC150" s="31"/>
      <c r="BD150" s="31"/>
      <c r="BE150" s="31"/>
    </row>
    <row r="151" spans="52:57" ht="15.95" hidden="1" customHeight="1">
      <c r="AZ151" s="31"/>
      <c r="BA151" s="37"/>
      <c r="BB151" s="31"/>
      <c r="BC151" s="31"/>
      <c r="BD151" s="31"/>
      <c r="BE151" s="31"/>
    </row>
    <row r="152" spans="52:57" ht="15.95" hidden="1" customHeight="1">
      <c r="AZ152" s="31"/>
      <c r="BA152" s="37"/>
      <c r="BB152" s="31"/>
      <c r="BC152" s="31"/>
      <c r="BD152" s="31"/>
      <c r="BE152" s="31"/>
    </row>
    <row r="153" spans="52:57" ht="15.95" hidden="1" customHeight="1">
      <c r="AZ153" s="31"/>
      <c r="BA153" s="37"/>
      <c r="BB153" s="31"/>
      <c r="BC153" s="31"/>
      <c r="BD153" s="31"/>
      <c r="BE153" s="31"/>
    </row>
    <row r="154" spans="52:57" ht="15.95" hidden="1" customHeight="1">
      <c r="AZ154" s="31"/>
      <c r="BA154" s="37"/>
      <c r="BB154" s="31"/>
      <c r="BC154" s="31"/>
      <c r="BD154" s="31"/>
      <c r="BE154" s="31"/>
    </row>
    <row r="155" spans="52:57" ht="15.95" hidden="1" customHeight="1">
      <c r="AZ155" s="31"/>
      <c r="BA155" s="37"/>
      <c r="BB155" s="31"/>
      <c r="BC155" s="31"/>
      <c r="BD155" s="31"/>
      <c r="BE155" s="31"/>
    </row>
    <row r="156" spans="52:57" ht="15.95" hidden="1" customHeight="1">
      <c r="AZ156" s="31"/>
      <c r="BA156" s="37"/>
      <c r="BB156" s="31"/>
      <c r="BC156" s="31"/>
      <c r="BD156" s="31"/>
      <c r="BE156" s="31"/>
    </row>
    <row r="157" spans="52:57" ht="15.95" hidden="1" customHeight="1">
      <c r="AZ157" s="31"/>
      <c r="BA157" s="37"/>
      <c r="BB157" s="31"/>
      <c r="BC157" s="31"/>
      <c r="BD157" s="31"/>
      <c r="BE157" s="31"/>
    </row>
    <row r="158" spans="52:57" ht="15.95" hidden="1" customHeight="1">
      <c r="AZ158" s="31"/>
      <c r="BA158" s="37"/>
      <c r="BB158" s="31"/>
      <c r="BC158" s="31"/>
      <c r="BD158" s="31"/>
      <c r="BE158" s="31"/>
    </row>
    <row r="159" spans="52:57" ht="15.95" hidden="1" customHeight="1">
      <c r="AZ159" s="31"/>
      <c r="BA159" s="37"/>
      <c r="BB159" s="31"/>
      <c r="BC159" s="31"/>
      <c r="BD159" s="31"/>
      <c r="BE159" s="31"/>
    </row>
    <row r="160" spans="52:57" ht="15.95" hidden="1" customHeight="1">
      <c r="AZ160" s="31"/>
      <c r="BA160" s="37"/>
      <c r="BB160" s="31"/>
      <c r="BC160" s="31"/>
      <c r="BD160" s="31"/>
      <c r="BE160" s="31"/>
    </row>
    <row r="161" spans="52:57" ht="15.95" hidden="1" customHeight="1">
      <c r="AZ161" s="31"/>
      <c r="BA161" s="37"/>
      <c r="BB161" s="31"/>
      <c r="BC161" s="31"/>
      <c r="BD161" s="31"/>
      <c r="BE161" s="31"/>
    </row>
    <row r="162" spans="52:57" ht="15.95" hidden="1" customHeight="1">
      <c r="AZ162" s="31"/>
      <c r="BA162" s="37"/>
      <c r="BB162" s="31"/>
      <c r="BC162" s="31"/>
      <c r="BD162" s="31"/>
      <c r="BE162" s="31"/>
    </row>
    <row r="163" spans="52:57" ht="15.95" hidden="1" customHeight="1">
      <c r="AZ163" s="31"/>
      <c r="BA163" s="37"/>
      <c r="BB163" s="31"/>
      <c r="BC163" s="31"/>
      <c r="BD163" s="31"/>
      <c r="BE163" s="31"/>
    </row>
    <row r="164" spans="52:57" ht="15.95" hidden="1" customHeight="1">
      <c r="AZ164" s="31"/>
      <c r="BA164" s="37"/>
      <c r="BB164" s="31"/>
      <c r="BC164" s="31"/>
      <c r="BD164" s="31"/>
      <c r="BE164" s="31"/>
    </row>
    <row r="165" spans="52:57" ht="15.95" hidden="1" customHeight="1">
      <c r="AZ165" s="31"/>
      <c r="BA165" s="37"/>
      <c r="BB165" s="31"/>
      <c r="BC165" s="31"/>
      <c r="BD165" s="31"/>
      <c r="BE165" s="31"/>
    </row>
    <row r="166" spans="52:57" ht="15.95" hidden="1" customHeight="1">
      <c r="AZ166" s="31"/>
      <c r="BA166" s="37"/>
      <c r="BB166" s="31"/>
      <c r="BC166" s="31"/>
      <c r="BD166" s="31"/>
      <c r="BE166" s="31"/>
    </row>
    <row r="167" spans="52:57" ht="15.95" hidden="1" customHeight="1">
      <c r="AZ167" s="31"/>
      <c r="BA167" s="37"/>
      <c r="BB167" s="31"/>
      <c r="BC167" s="31"/>
      <c r="BD167" s="31"/>
      <c r="BE167" s="31"/>
    </row>
    <row r="168" spans="52:57" ht="15.95" hidden="1" customHeight="1">
      <c r="AZ168" s="31"/>
      <c r="BA168" s="37"/>
      <c r="BB168" s="31"/>
      <c r="BC168" s="31"/>
      <c r="BD168" s="31"/>
      <c r="BE168" s="31"/>
    </row>
    <row r="169" spans="52:57" ht="15.95" hidden="1" customHeight="1">
      <c r="AZ169" s="31"/>
      <c r="BA169" s="37"/>
      <c r="BB169" s="31"/>
      <c r="BC169" s="31"/>
      <c r="BD169" s="31"/>
      <c r="BE169" s="31"/>
    </row>
    <row r="170" spans="52:57" ht="15.95" hidden="1" customHeight="1">
      <c r="AZ170" s="31"/>
      <c r="BA170" s="37"/>
      <c r="BB170" s="31"/>
      <c r="BC170" s="31"/>
      <c r="BD170" s="31"/>
      <c r="BE170" s="31"/>
    </row>
    <row r="171" spans="52:57" ht="15.95" hidden="1" customHeight="1">
      <c r="AZ171" s="31"/>
      <c r="BA171" s="37"/>
      <c r="BB171" s="31"/>
      <c r="BC171" s="31"/>
      <c r="BD171" s="31"/>
      <c r="BE171" s="31"/>
    </row>
    <row r="172" spans="52:57" ht="15.95" hidden="1" customHeight="1">
      <c r="AZ172" s="31"/>
      <c r="BA172" s="37"/>
      <c r="BB172" s="31"/>
      <c r="BC172" s="31"/>
      <c r="BD172" s="31"/>
      <c r="BE172" s="31"/>
    </row>
    <row r="173" spans="52:57" ht="15.95" hidden="1" customHeight="1">
      <c r="AZ173" s="31"/>
      <c r="BA173" s="37"/>
      <c r="BB173" s="31"/>
      <c r="BC173" s="31"/>
      <c r="BD173" s="31"/>
      <c r="BE173" s="31"/>
    </row>
    <row r="174" spans="52:57" ht="15.95" hidden="1" customHeight="1">
      <c r="AZ174" s="31"/>
      <c r="BA174" s="37"/>
      <c r="BB174" s="31"/>
      <c r="BC174" s="31"/>
      <c r="BD174" s="31"/>
      <c r="BE174" s="31"/>
    </row>
    <row r="175" spans="52:57" ht="15.95" hidden="1" customHeight="1">
      <c r="AZ175" s="31"/>
      <c r="BA175" s="37"/>
      <c r="BB175" s="31"/>
      <c r="BC175" s="31"/>
      <c r="BD175" s="31"/>
      <c r="BE175" s="31"/>
    </row>
    <row r="176" spans="52:57" ht="15.95" hidden="1" customHeight="1">
      <c r="AZ176" s="31"/>
      <c r="BA176" s="37"/>
      <c r="BB176" s="31"/>
      <c r="BC176" s="31"/>
      <c r="BD176" s="31"/>
      <c r="BE176" s="31"/>
    </row>
    <row r="177" spans="52:57" ht="15.95" hidden="1" customHeight="1">
      <c r="AZ177" s="31"/>
      <c r="BA177" s="37"/>
      <c r="BB177" s="31"/>
      <c r="BC177" s="31"/>
      <c r="BD177" s="31"/>
      <c r="BE177" s="31"/>
    </row>
    <row r="178" spans="52:57" ht="15.95" hidden="1" customHeight="1">
      <c r="AZ178" s="31"/>
      <c r="BA178" s="37"/>
      <c r="BB178" s="31"/>
      <c r="BC178" s="31"/>
      <c r="BD178" s="31"/>
      <c r="BE178" s="31"/>
    </row>
    <row r="179" spans="52:57" ht="15.95" hidden="1" customHeight="1">
      <c r="AZ179" s="31"/>
      <c r="BA179" s="37"/>
      <c r="BB179" s="31"/>
      <c r="BC179" s="31"/>
      <c r="BD179" s="31"/>
      <c r="BE179" s="31"/>
    </row>
    <row r="180" spans="52:57" ht="15.95" hidden="1" customHeight="1">
      <c r="AZ180" s="31"/>
      <c r="BA180" s="37"/>
      <c r="BB180" s="31"/>
      <c r="BC180" s="31"/>
      <c r="BD180" s="31"/>
      <c r="BE180" s="31"/>
    </row>
    <row r="181" spans="52:57" ht="15.95" hidden="1" customHeight="1">
      <c r="AZ181" s="31"/>
      <c r="BA181" s="37"/>
      <c r="BB181" s="31"/>
      <c r="BC181" s="31"/>
      <c r="BD181" s="31"/>
      <c r="BE181" s="31"/>
    </row>
    <row r="182" spans="52:57" ht="15.95" hidden="1" customHeight="1">
      <c r="AZ182" s="31"/>
      <c r="BA182" s="37"/>
      <c r="BB182" s="31"/>
      <c r="BC182" s="31"/>
      <c r="BD182" s="31"/>
      <c r="BE182" s="31"/>
    </row>
    <row r="183" spans="52:57" ht="15.95" hidden="1" customHeight="1">
      <c r="AZ183" s="31"/>
      <c r="BA183" s="37"/>
      <c r="BB183" s="31"/>
      <c r="BC183" s="31"/>
      <c r="BD183" s="31"/>
      <c r="BE183" s="31"/>
    </row>
    <row r="184" spans="52:57" ht="15.95" hidden="1" customHeight="1">
      <c r="AZ184" s="31"/>
      <c r="BA184" s="37"/>
      <c r="BB184" s="31"/>
      <c r="BC184" s="31"/>
      <c r="BD184" s="31"/>
      <c r="BE184" s="31"/>
    </row>
    <row r="185" spans="52:57" ht="15.95" hidden="1" customHeight="1">
      <c r="AZ185" s="31"/>
      <c r="BA185" s="37"/>
      <c r="BB185" s="31"/>
      <c r="BC185" s="31"/>
      <c r="BD185" s="31"/>
      <c r="BE185" s="31"/>
    </row>
    <row r="186" spans="52:57" ht="15.95" hidden="1" customHeight="1">
      <c r="AZ186" s="31"/>
      <c r="BA186" s="37"/>
      <c r="BB186" s="31"/>
      <c r="BC186" s="31"/>
      <c r="BD186" s="31"/>
      <c r="BE186" s="31"/>
    </row>
    <row r="187" spans="52:57" ht="15.95" hidden="1" customHeight="1">
      <c r="AZ187" s="31"/>
      <c r="BA187" s="37"/>
      <c r="BB187" s="31"/>
      <c r="BC187" s="31"/>
      <c r="BD187" s="31"/>
      <c r="BE187" s="31"/>
    </row>
    <row r="188" spans="52:57" ht="15.95" hidden="1" customHeight="1">
      <c r="AZ188" s="31"/>
      <c r="BA188" s="37"/>
      <c r="BB188" s="31"/>
      <c r="BC188" s="31"/>
      <c r="BD188" s="31"/>
      <c r="BE188" s="31"/>
    </row>
    <row r="189" spans="52:57" ht="15.95" hidden="1" customHeight="1">
      <c r="AZ189" s="31"/>
      <c r="BA189" s="37"/>
      <c r="BB189" s="31"/>
      <c r="BC189" s="31"/>
      <c r="BD189" s="31"/>
      <c r="BE189" s="31"/>
    </row>
    <row r="190" spans="52:57" ht="15.95" hidden="1" customHeight="1">
      <c r="AZ190" s="31"/>
      <c r="BA190" s="37"/>
      <c r="BB190" s="31"/>
      <c r="BC190" s="31"/>
      <c r="BD190" s="31"/>
      <c r="BE190" s="31"/>
    </row>
    <row r="191" spans="52:57" ht="15.95" hidden="1" customHeight="1">
      <c r="AZ191" s="31"/>
      <c r="BA191" s="37"/>
      <c r="BB191" s="31"/>
      <c r="BC191" s="31"/>
      <c r="BD191" s="31"/>
      <c r="BE191" s="31"/>
    </row>
    <row r="192" spans="52:57" ht="15.95" hidden="1" customHeight="1">
      <c r="AZ192" s="31"/>
      <c r="BA192" s="37"/>
      <c r="BB192" s="31"/>
      <c r="BC192" s="31"/>
      <c r="BD192" s="31"/>
      <c r="BE192" s="31"/>
    </row>
    <row r="193" spans="1:59" ht="15.95" hidden="1" customHeight="1">
      <c r="AZ193" s="31"/>
      <c r="BA193" s="37"/>
      <c r="BB193" s="31"/>
      <c r="BC193" s="31"/>
      <c r="BD193" s="31"/>
      <c r="BE193" s="31"/>
    </row>
    <row r="194" spans="1:59" ht="15.95" hidden="1" customHeight="1">
      <c r="AZ194" s="31"/>
      <c r="BA194" s="37"/>
      <c r="BB194" s="31"/>
      <c r="BC194" s="31"/>
      <c r="BD194" s="31"/>
      <c r="BE194" s="31"/>
    </row>
    <row r="195" spans="1:59" ht="15.95" hidden="1" customHeight="1">
      <c r="AZ195" s="31"/>
      <c r="BA195" s="37"/>
      <c r="BB195" s="31"/>
      <c r="BC195" s="31"/>
      <c r="BD195" s="31"/>
      <c r="BE195" s="31"/>
    </row>
    <row r="196" spans="1:59" ht="15.95" hidden="1" customHeight="1">
      <c r="AZ196" s="31"/>
      <c r="BA196" s="37"/>
      <c r="BB196" s="31"/>
      <c r="BC196" s="31"/>
      <c r="BD196" s="31"/>
      <c r="BE196" s="31"/>
    </row>
    <row r="197" spans="1:59" ht="15.95" hidden="1" customHeight="1">
      <c r="AZ197" s="31"/>
      <c r="BA197" s="37"/>
      <c r="BB197" s="31"/>
      <c r="BC197" s="31"/>
      <c r="BD197" s="31"/>
      <c r="BE197" s="31"/>
    </row>
    <row r="198" spans="1:59" ht="15.95" hidden="1" customHeight="1">
      <c r="AZ198" s="31"/>
      <c r="BA198" s="37"/>
      <c r="BB198" s="31"/>
      <c r="BC198" s="31"/>
      <c r="BD198" s="31"/>
      <c r="BE198" s="31"/>
    </row>
    <row r="199" spans="1:59" ht="15.95" hidden="1" customHeight="1">
      <c r="AZ199" s="31"/>
      <c r="BA199" s="37"/>
      <c r="BB199" s="31"/>
      <c r="BC199" s="31"/>
      <c r="BD199" s="31"/>
      <c r="BE199" s="31"/>
    </row>
    <row r="200" spans="1:59"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c r="AX200" s="760">
        <f>SUM(AX18:AX199)</f>
        <v>0</v>
      </c>
      <c r="AZ200" s="761">
        <f>SUM(AZ18:AZ199)</f>
        <v>0</v>
      </c>
      <c r="BA200" s="762">
        <f>SUM(BA18:BA199)</f>
        <v>0</v>
      </c>
      <c r="BB200" s="762">
        <f t="shared" ref="BB200:BE200" si="57">SUM(BB18:BB199)</f>
        <v>0</v>
      </c>
      <c r="BC200" s="762">
        <f t="shared" si="57"/>
        <v>0</v>
      </c>
      <c r="BE200" s="762">
        <f t="shared" si="57"/>
        <v>0</v>
      </c>
      <c r="BF200" s="762">
        <f t="shared" ref="BF200" si="58">SUM(BF18:BF199)</f>
        <v>0</v>
      </c>
      <c r="BG200" s="376"/>
    </row>
    <row r="201" spans="1:59"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c r="AX201" s="760"/>
      <c r="AZ201" s="761"/>
      <c r="BA201" s="762"/>
      <c r="BB201" s="762"/>
      <c r="BC201" s="762"/>
      <c r="BE201" s="762"/>
      <c r="BF201" s="762"/>
      <c r="BG201" s="376"/>
    </row>
    <row r="202" spans="1:5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9" ht="15.95" hidden="1" customHeight="1"/>
    <row r="204" spans="1:59" ht="15.95" hidden="1" customHeight="1"/>
  </sheetData>
  <sheetProtection algorithmName="SHA-512" hashValue="UDwiiaKLJ092feuw9rqMXAi/qekHRiEFbVa85RwRXYHiM0n8NCOJggE3FCLAOVHvsjfzwBYKdnQzag3IH3/k6A==" saltValue="bkkkA9o70KwaYBWPEGRwIQ==" spinCount="100000" sheet="1" objects="1" scenarios="1" selectLockedCells="1"/>
  <mergeCells count="1180">
    <mergeCell ref="BQ50:BQ51"/>
    <mergeCell ref="BQ52:BQ53"/>
    <mergeCell ref="BQ54:BQ55"/>
    <mergeCell ref="BQ56:BQ57"/>
    <mergeCell ref="BQ58:BQ59"/>
    <mergeCell ref="BQ60:BQ61"/>
    <mergeCell ref="BQ62:BQ63"/>
    <mergeCell ref="BQ64:BQ65"/>
    <mergeCell ref="BQ66:BQ67"/>
    <mergeCell ref="BQ68:BQ69"/>
    <mergeCell ref="BQ70:BQ71"/>
    <mergeCell ref="BQ72:BQ73"/>
    <mergeCell ref="BQ74:BQ75"/>
    <mergeCell ref="BQ76:BQ77"/>
    <mergeCell ref="BQ16:BQ17"/>
    <mergeCell ref="BQ18:BQ19"/>
    <mergeCell ref="BQ20:BQ21"/>
    <mergeCell ref="BQ22:BQ23"/>
    <mergeCell ref="BQ24:BQ25"/>
    <mergeCell ref="BQ26:BQ27"/>
    <mergeCell ref="BQ28:BQ29"/>
    <mergeCell ref="BQ30:BQ31"/>
    <mergeCell ref="BQ32:BQ33"/>
    <mergeCell ref="BQ34:BQ35"/>
    <mergeCell ref="BQ36:BQ37"/>
    <mergeCell ref="BQ38:BQ39"/>
    <mergeCell ref="BQ40:BQ41"/>
    <mergeCell ref="BQ42:BQ43"/>
    <mergeCell ref="BQ44:BQ45"/>
    <mergeCell ref="BQ46:BQ47"/>
    <mergeCell ref="BQ48:BQ49"/>
    <mergeCell ref="BI52:BI53"/>
    <mergeCell ref="BI54:BI55"/>
    <mergeCell ref="BI56:BI57"/>
    <mergeCell ref="BI58:BI59"/>
    <mergeCell ref="BI60:BI61"/>
    <mergeCell ref="BI62:BI63"/>
    <mergeCell ref="BI64:BI65"/>
    <mergeCell ref="BI66:BI67"/>
    <mergeCell ref="BI68:BI69"/>
    <mergeCell ref="BI70:BI71"/>
    <mergeCell ref="BI72:BI73"/>
    <mergeCell ref="BI74:BI75"/>
    <mergeCell ref="BI76:BI77"/>
    <mergeCell ref="BI16:BI17"/>
    <mergeCell ref="BI18:BI19"/>
    <mergeCell ref="BI20:BI21"/>
    <mergeCell ref="BI22:BI23"/>
    <mergeCell ref="BI24:BI25"/>
    <mergeCell ref="BI26:BI27"/>
    <mergeCell ref="BI28:BI29"/>
    <mergeCell ref="BI30:BI31"/>
    <mergeCell ref="BI32:BI33"/>
    <mergeCell ref="BI34:BI35"/>
    <mergeCell ref="BI36:BI37"/>
    <mergeCell ref="BI38:BI39"/>
    <mergeCell ref="BI40:BI41"/>
    <mergeCell ref="BI42:BI43"/>
    <mergeCell ref="BI44:BI45"/>
    <mergeCell ref="BI46:BI47"/>
    <mergeCell ref="BI48:BI49"/>
    <mergeCell ref="BC76:BC77"/>
    <mergeCell ref="BC74:BC75"/>
    <mergeCell ref="BD74:BD75"/>
    <mergeCell ref="BE74:BE75"/>
    <mergeCell ref="BG66:BG67"/>
    <mergeCell ref="BG68:BG69"/>
    <mergeCell ref="BG70:BG71"/>
    <mergeCell ref="BG72:BG73"/>
    <mergeCell ref="BG74:BG75"/>
    <mergeCell ref="BG76:BG77"/>
    <mergeCell ref="AM13:AU14"/>
    <mergeCell ref="BG16:BG17"/>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BG46:BG47"/>
    <mergeCell ref="BG48:BG49"/>
    <mergeCell ref="BD76:BD77"/>
    <mergeCell ref="BE76:BE77"/>
    <mergeCell ref="BF76:BF77"/>
    <mergeCell ref="BF74:BF75"/>
    <mergeCell ref="B72:B73"/>
    <mergeCell ref="C72:F73"/>
    <mergeCell ref="G72:L73"/>
    <mergeCell ref="M72:N73"/>
    <mergeCell ref="O72:Q73"/>
    <mergeCell ref="R72:S73"/>
    <mergeCell ref="T72:U73"/>
    <mergeCell ref="BH76:BH77"/>
    <mergeCell ref="BJ76:BJ77"/>
    <mergeCell ref="BK76:BK77"/>
    <mergeCell ref="BL76:BL77"/>
    <mergeCell ref="BM76:BM77"/>
    <mergeCell ref="BN76:BN77"/>
    <mergeCell ref="BN74:BN75"/>
    <mergeCell ref="BP74:BP75"/>
    <mergeCell ref="B76:B77"/>
    <mergeCell ref="C76:F77"/>
    <mergeCell ref="G76:L77"/>
    <mergeCell ref="M76:N77"/>
    <mergeCell ref="O76:Q77"/>
    <mergeCell ref="R76:S77"/>
    <mergeCell ref="T76:U77"/>
    <mergeCell ref="V76:W77"/>
    <mergeCell ref="X76:Y77"/>
    <mergeCell ref="AG76:AH77"/>
    <mergeCell ref="AI76:AJ77"/>
    <mergeCell ref="AK76:AL77"/>
    <mergeCell ref="AM76:AN77"/>
    <mergeCell ref="AO76:AQ77"/>
    <mergeCell ref="AR76:AU77"/>
    <mergeCell ref="AX76:AX77"/>
    <mergeCell ref="AY76:AY77"/>
    <mergeCell ref="B74:B75"/>
    <mergeCell ref="C74:F75"/>
    <mergeCell ref="G74:L75"/>
    <mergeCell ref="M74:N75"/>
    <mergeCell ref="O74:Q75"/>
    <mergeCell ref="R74:S75"/>
    <mergeCell ref="T74:U75"/>
    <mergeCell ref="V74:W75"/>
    <mergeCell ref="X74:Y75"/>
    <mergeCell ref="AG74:AH75"/>
    <mergeCell ref="AI74:AJ75"/>
    <mergeCell ref="AK74:AL75"/>
    <mergeCell ref="AM74:AN75"/>
    <mergeCell ref="AO74:AQ75"/>
    <mergeCell ref="AR74:AU75"/>
    <mergeCell ref="AX74:AX75"/>
    <mergeCell ref="AY74:AY75"/>
    <mergeCell ref="BP76:BP77"/>
    <mergeCell ref="AZ74:AZ75"/>
    <mergeCell ref="BA74:BA75"/>
    <mergeCell ref="BB74:BB75"/>
    <mergeCell ref="BB72:BB73"/>
    <mergeCell ref="BC72:BC73"/>
    <mergeCell ref="BD72:BD73"/>
    <mergeCell ref="BE72:BE73"/>
    <mergeCell ref="BF72:BF73"/>
    <mergeCell ref="BH72:BH73"/>
    <mergeCell ref="BJ72:BJ73"/>
    <mergeCell ref="BK72:BK73"/>
    <mergeCell ref="BL72:BL73"/>
    <mergeCell ref="BL70:BL71"/>
    <mergeCell ref="BM70:BM71"/>
    <mergeCell ref="BN70:BN71"/>
    <mergeCell ref="BP70:BP71"/>
    <mergeCell ref="BF70:BF71"/>
    <mergeCell ref="BH70:BH71"/>
    <mergeCell ref="BJ70:BJ71"/>
    <mergeCell ref="BK70:BK71"/>
    <mergeCell ref="BH74:BH75"/>
    <mergeCell ref="BJ74:BJ75"/>
    <mergeCell ref="BK74:BK75"/>
    <mergeCell ref="BL74:BL75"/>
    <mergeCell ref="BM74:BM75"/>
    <mergeCell ref="BM72:BM73"/>
    <mergeCell ref="BN72:BN73"/>
    <mergeCell ref="BP72:BP73"/>
    <mergeCell ref="AZ76:AZ77"/>
    <mergeCell ref="BA76:BA77"/>
    <mergeCell ref="BB76:BB77"/>
    <mergeCell ref="V72:W73"/>
    <mergeCell ref="X72:Y73"/>
    <mergeCell ref="AG72:AH73"/>
    <mergeCell ref="AI72:AJ73"/>
    <mergeCell ref="AK72:AL73"/>
    <mergeCell ref="AM72:AN73"/>
    <mergeCell ref="AO72:AQ73"/>
    <mergeCell ref="AR72:AU73"/>
    <mergeCell ref="AX72:AX73"/>
    <mergeCell ref="AY72:AY73"/>
    <mergeCell ref="AZ72:AZ73"/>
    <mergeCell ref="BA72:BA73"/>
    <mergeCell ref="BA70:BA71"/>
    <mergeCell ref="BB70:BB71"/>
    <mergeCell ref="BC70:BC71"/>
    <mergeCell ref="BD70:BD71"/>
    <mergeCell ref="BE70:BE71"/>
    <mergeCell ref="BK68:BK69"/>
    <mergeCell ref="BL68:BL69"/>
    <mergeCell ref="BM68:BM69"/>
    <mergeCell ref="BN68:BN69"/>
    <mergeCell ref="BP68:BP69"/>
    <mergeCell ref="B70:B71"/>
    <mergeCell ref="C70:F71"/>
    <mergeCell ref="G70:L71"/>
    <mergeCell ref="M70:N71"/>
    <mergeCell ref="O70:Q71"/>
    <mergeCell ref="R70:S71"/>
    <mergeCell ref="T70:U71"/>
    <mergeCell ref="V70:W71"/>
    <mergeCell ref="X70:Y71"/>
    <mergeCell ref="AG70:AH71"/>
    <mergeCell ref="AI70:AJ71"/>
    <mergeCell ref="AK70:AL71"/>
    <mergeCell ref="AM70:AN71"/>
    <mergeCell ref="AO70:AQ71"/>
    <mergeCell ref="AR70:AU71"/>
    <mergeCell ref="AX70:AX71"/>
    <mergeCell ref="AY70:AY71"/>
    <mergeCell ref="AZ70:AZ71"/>
    <mergeCell ref="AZ68:AZ69"/>
    <mergeCell ref="BA68:BA69"/>
    <mergeCell ref="BB68:BB69"/>
    <mergeCell ref="BC68:BC69"/>
    <mergeCell ref="BD68:BD69"/>
    <mergeCell ref="BE68:BE69"/>
    <mergeCell ref="BF68:BF69"/>
    <mergeCell ref="BH68:BH69"/>
    <mergeCell ref="BJ68:BJ69"/>
    <mergeCell ref="BD64:BD65"/>
    <mergeCell ref="BG64:BG65"/>
    <mergeCell ref="AG68:AH69"/>
    <mergeCell ref="AI68:AJ69"/>
    <mergeCell ref="AK68:AL69"/>
    <mergeCell ref="AM68:AN69"/>
    <mergeCell ref="AO68:AQ69"/>
    <mergeCell ref="AR68:AU69"/>
    <mergeCell ref="AX68:AX69"/>
    <mergeCell ref="AY68:AY69"/>
    <mergeCell ref="B68:B69"/>
    <mergeCell ref="C68:F69"/>
    <mergeCell ref="G68:L69"/>
    <mergeCell ref="M68:N69"/>
    <mergeCell ref="O68:Q69"/>
    <mergeCell ref="R68:S69"/>
    <mergeCell ref="T68:U69"/>
    <mergeCell ref="V68:W69"/>
    <mergeCell ref="X68:Y69"/>
    <mergeCell ref="BE66:BE67"/>
    <mergeCell ref="BF66:BF67"/>
    <mergeCell ref="BE64:BE65"/>
    <mergeCell ref="BF64:BF65"/>
    <mergeCell ref="BD62:BD63"/>
    <mergeCell ref="BE62:BE63"/>
    <mergeCell ref="BH66:BH67"/>
    <mergeCell ref="BJ66:BJ67"/>
    <mergeCell ref="BK66:BK67"/>
    <mergeCell ref="BL66:BL67"/>
    <mergeCell ref="BM66:BM67"/>
    <mergeCell ref="BN66:BN67"/>
    <mergeCell ref="BP66:BP67"/>
    <mergeCell ref="BP64:BP65"/>
    <mergeCell ref="B66:B67"/>
    <mergeCell ref="C66:F67"/>
    <mergeCell ref="G66:L67"/>
    <mergeCell ref="M66:N67"/>
    <mergeCell ref="O66:Q67"/>
    <mergeCell ref="R66:S67"/>
    <mergeCell ref="T66:U67"/>
    <mergeCell ref="V66:W67"/>
    <mergeCell ref="X66:Y67"/>
    <mergeCell ref="AG66:AH67"/>
    <mergeCell ref="AI66:AJ67"/>
    <mergeCell ref="AK66:AL67"/>
    <mergeCell ref="AM66:AN67"/>
    <mergeCell ref="AO66:AQ67"/>
    <mergeCell ref="AR66:AU67"/>
    <mergeCell ref="AX66:AX67"/>
    <mergeCell ref="AY66:AY67"/>
    <mergeCell ref="AZ66:AZ67"/>
    <mergeCell ref="BA66:BA67"/>
    <mergeCell ref="BB66:BB67"/>
    <mergeCell ref="BC66:BC67"/>
    <mergeCell ref="BD66:BD67"/>
    <mergeCell ref="BB60:BB61"/>
    <mergeCell ref="BC60:BC61"/>
    <mergeCell ref="BH64:BH65"/>
    <mergeCell ref="BJ64:BJ65"/>
    <mergeCell ref="BK64:BK65"/>
    <mergeCell ref="BL64:BL65"/>
    <mergeCell ref="BM64:BM65"/>
    <mergeCell ref="BN64:BN65"/>
    <mergeCell ref="BN62:BN63"/>
    <mergeCell ref="BP62:BP63"/>
    <mergeCell ref="B64:B65"/>
    <mergeCell ref="C64:F65"/>
    <mergeCell ref="G64:L65"/>
    <mergeCell ref="M64:N65"/>
    <mergeCell ref="O64:Q65"/>
    <mergeCell ref="R64:S65"/>
    <mergeCell ref="T64:U65"/>
    <mergeCell ref="V64:W65"/>
    <mergeCell ref="X64:Y65"/>
    <mergeCell ref="AG64:AH65"/>
    <mergeCell ref="AI64:AJ65"/>
    <mergeCell ref="AK64:AL65"/>
    <mergeCell ref="AM64:AN65"/>
    <mergeCell ref="AO64:AQ65"/>
    <mergeCell ref="AR64:AU65"/>
    <mergeCell ref="AX64:AX65"/>
    <mergeCell ref="AY64:AY65"/>
    <mergeCell ref="AZ64:AZ65"/>
    <mergeCell ref="BA64:BA65"/>
    <mergeCell ref="BB64:BB65"/>
    <mergeCell ref="BC64:BC65"/>
    <mergeCell ref="BG62:BG63"/>
    <mergeCell ref="B58:B59"/>
    <mergeCell ref="C58:F59"/>
    <mergeCell ref="G58:L59"/>
    <mergeCell ref="M58:N59"/>
    <mergeCell ref="BF62:BF63"/>
    <mergeCell ref="BH62:BH63"/>
    <mergeCell ref="BJ62:BJ63"/>
    <mergeCell ref="BK62:BK63"/>
    <mergeCell ref="BL62:BL63"/>
    <mergeCell ref="BM62:BM63"/>
    <mergeCell ref="BM60:BM61"/>
    <mergeCell ref="BN60:BN61"/>
    <mergeCell ref="BP60:BP61"/>
    <mergeCell ref="B62:B63"/>
    <mergeCell ref="C62:F63"/>
    <mergeCell ref="G62:L63"/>
    <mergeCell ref="M62:N63"/>
    <mergeCell ref="O62:Q63"/>
    <mergeCell ref="R62:S63"/>
    <mergeCell ref="T62:U63"/>
    <mergeCell ref="V62:W63"/>
    <mergeCell ref="X62:Y63"/>
    <mergeCell ref="AG62:AH63"/>
    <mergeCell ref="AI62:AJ63"/>
    <mergeCell ref="AK62:AL63"/>
    <mergeCell ref="AM62:AN63"/>
    <mergeCell ref="AO62:AQ63"/>
    <mergeCell ref="AR62:AU63"/>
    <mergeCell ref="AX62:AX63"/>
    <mergeCell ref="AY62:AY63"/>
    <mergeCell ref="AZ62:AZ63"/>
    <mergeCell ref="BA62:BA63"/>
    <mergeCell ref="B60:B61"/>
    <mergeCell ref="C60:F61"/>
    <mergeCell ref="G60:L61"/>
    <mergeCell ref="M60:N61"/>
    <mergeCell ref="O60:Q61"/>
    <mergeCell ref="R60:S61"/>
    <mergeCell ref="T60:U61"/>
    <mergeCell ref="V60:W61"/>
    <mergeCell ref="X60:Y61"/>
    <mergeCell ref="AG60:AH61"/>
    <mergeCell ref="AI60:AJ61"/>
    <mergeCell ref="AK60:AL61"/>
    <mergeCell ref="AM60:AN61"/>
    <mergeCell ref="AO60:AQ61"/>
    <mergeCell ref="AR60:AU61"/>
    <mergeCell ref="AX60:AX61"/>
    <mergeCell ref="AY60:AY61"/>
    <mergeCell ref="BC62:BC63"/>
    <mergeCell ref="AZ60:AZ61"/>
    <mergeCell ref="BA60:BA61"/>
    <mergeCell ref="BA58:BA59"/>
    <mergeCell ref="BB58:BB59"/>
    <mergeCell ref="BC58:BC59"/>
    <mergeCell ref="BD58:BD59"/>
    <mergeCell ref="BE58:BE59"/>
    <mergeCell ref="BF58:BF59"/>
    <mergeCell ref="BH58:BH59"/>
    <mergeCell ref="BJ58:BJ59"/>
    <mergeCell ref="BK58:BK59"/>
    <mergeCell ref="BK56:BK57"/>
    <mergeCell ref="BL56:BL57"/>
    <mergeCell ref="BM56:BM57"/>
    <mergeCell ref="BN56:BN57"/>
    <mergeCell ref="BP56:BP57"/>
    <mergeCell ref="BH56:BH57"/>
    <mergeCell ref="BJ56:BJ57"/>
    <mergeCell ref="BD60:BD61"/>
    <mergeCell ref="BE60:BE61"/>
    <mergeCell ref="BF60:BF61"/>
    <mergeCell ref="BH60:BH61"/>
    <mergeCell ref="BJ60:BJ61"/>
    <mergeCell ref="BK60:BK61"/>
    <mergeCell ref="BL60:BL61"/>
    <mergeCell ref="BL58:BL59"/>
    <mergeCell ref="BM58:BM59"/>
    <mergeCell ref="BN58:BN59"/>
    <mergeCell ref="BP58:BP59"/>
    <mergeCell ref="BG60:BG61"/>
    <mergeCell ref="BB62:BB63"/>
    <mergeCell ref="O58:Q59"/>
    <mergeCell ref="R58:S59"/>
    <mergeCell ref="T58:U59"/>
    <mergeCell ref="V58:W59"/>
    <mergeCell ref="X58:Y59"/>
    <mergeCell ref="AG58:AH59"/>
    <mergeCell ref="AI58:AJ59"/>
    <mergeCell ref="AK58:AL59"/>
    <mergeCell ref="AM58:AN59"/>
    <mergeCell ref="AO58:AQ59"/>
    <mergeCell ref="AR58:AU59"/>
    <mergeCell ref="BG56:BG57"/>
    <mergeCell ref="AZ58:AZ59"/>
    <mergeCell ref="AZ56:AZ57"/>
    <mergeCell ref="BA56:BA57"/>
    <mergeCell ref="BB56:BB57"/>
    <mergeCell ref="BC56:BC57"/>
    <mergeCell ref="BD56:BD57"/>
    <mergeCell ref="BE56:BE57"/>
    <mergeCell ref="BF56:BF57"/>
    <mergeCell ref="AG56:AH57"/>
    <mergeCell ref="AI56:AJ57"/>
    <mergeCell ref="AK56:AL57"/>
    <mergeCell ref="AM56:AN57"/>
    <mergeCell ref="AO56:AQ57"/>
    <mergeCell ref="AR56:AU57"/>
    <mergeCell ref="AX56:AX57"/>
    <mergeCell ref="AY56:AY57"/>
    <mergeCell ref="BG58:BG59"/>
    <mergeCell ref="B56:B57"/>
    <mergeCell ref="C56:F57"/>
    <mergeCell ref="G56:L57"/>
    <mergeCell ref="M56:N57"/>
    <mergeCell ref="O56:Q57"/>
    <mergeCell ref="R56:S57"/>
    <mergeCell ref="T56:U57"/>
    <mergeCell ref="V56:W57"/>
    <mergeCell ref="X56:Y57"/>
    <mergeCell ref="BE54:BE55"/>
    <mergeCell ref="BF54:BF55"/>
    <mergeCell ref="BH54:BH55"/>
    <mergeCell ref="BJ54:BJ55"/>
    <mergeCell ref="BK54:BK55"/>
    <mergeCell ref="BL54:BL55"/>
    <mergeCell ref="BM54:BM55"/>
    <mergeCell ref="BN54:BN55"/>
    <mergeCell ref="BG54:BG55"/>
    <mergeCell ref="BP54:BP55"/>
    <mergeCell ref="BP52:BP53"/>
    <mergeCell ref="B54:B55"/>
    <mergeCell ref="C54:F55"/>
    <mergeCell ref="G54:L55"/>
    <mergeCell ref="M54:N55"/>
    <mergeCell ref="O54:Q55"/>
    <mergeCell ref="R54:S55"/>
    <mergeCell ref="T54:U55"/>
    <mergeCell ref="V54:W55"/>
    <mergeCell ref="X54:Y55"/>
    <mergeCell ref="AG54:AH55"/>
    <mergeCell ref="AI54:AJ55"/>
    <mergeCell ref="AK54:AL55"/>
    <mergeCell ref="AM54:AN55"/>
    <mergeCell ref="AO54:AQ55"/>
    <mergeCell ref="AR54:AU55"/>
    <mergeCell ref="AX54:AX55"/>
    <mergeCell ref="AY54:AY55"/>
    <mergeCell ref="AZ54:AZ55"/>
    <mergeCell ref="BA54:BA55"/>
    <mergeCell ref="BB54:BB55"/>
    <mergeCell ref="BC54:BC55"/>
    <mergeCell ref="BD54:BD55"/>
    <mergeCell ref="BD52:BD53"/>
    <mergeCell ref="BE52:BE53"/>
    <mergeCell ref="BF52:BF53"/>
    <mergeCell ref="BH52:BH53"/>
    <mergeCell ref="BJ52:BJ53"/>
    <mergeCell ref="BK52:BK53"/>
    <mergeCell ref="BL52:BL53"/>
    <mergeCell ref="BG52:BG53"/>
    <mergeCell ref="BM52:BM53"/>
    <mergeCell ref="BN52:BN53"/>
    <mergeCell ref="BN50:BN51"/>
    <mergeCell ref="BP50:BP51"/>
    <mergeCell ref="B52:B53"/>
    <mergeCell ref="C52:F53"/>
    <mergeCell ref="G52:L53"/>
    <mergeCell ref="M52:N53"/>
    <mergeCell ref="O52:Q53"/>
    <mergeCell ref="R52:S53"/>
    <mergeCell ref="T52:U53"/>
    <mergeCell ref="V52:W53"/>
    <mergeCell ref="X52:Y53"/>
    <mergeCell ref="AG52:AH53"/>
    <mergeCell ref="AI52:AJ53"/>
    <mergeCell ref="AK52:AL53"/>
    <mergeCell ref="AM52:AN53"/>
    <mergeCell ref="AO52:AQ53"/>
    <mergeCell ref="AR52:AU53"/>
    <mergeCell ref="AX52:AX53"/>
    <mergeCell ref="AY52:AY53"/>
    <mergeCell ref="AZ52:AZ53"/>
    <mergeCell ref="BA52:BA53"/>
    <mergeCell ref="BB52:BB53"/>
    <mergeCell ref="BC52:BC53"/>
    <mergeCell ref="BC50:BC51"/>
    <mergeCell ref="BD50:BD51"/>
    <mergeCell ref="BE50:BE51"/>
    <mergeCell ref="BF50:BF51"/>
    <mergeCell ref="BH50:BH51"/>
    <mergeCell ref="BJ50:BJ51"/>
    <mergeCell ref="BG50:BG51"/>
    <mergeCell ref="BK50:BK51"/>
    <mergeCell ref="BL50:BL51"/>
    <mergeCell ref="BM50:BM51"/>
    <mergeCell ref="BM48:BM49"/>
    <mergeCell ref="BN48:BN49"/>
    <mergeCell ref="BP48:BP49"/>
    <mergeCell ref="B50:B51"/>
    <mergeCell ref="C50:F51"/>
    <mergeCell ref="G50:L51"/>
    <mergeCell ref="M50:N51"/>
    <mergeCell ref="O50:Q51"/>
    <mergeCell ref="R50:S51"/>
    <mergeCell ref="T50:U51"/>
    <mergeCell ref="V50:W51"/>
    <mergeCell ref="X50:Y51"/>
    <mergeCell ref="AG50:AH51"/>
    <mergeCell ref="AI50:AJ51"/>
    <mergeCell ref="AK50:AL51"/>
    <mergeCell ref="AM50:AN51"/>
    <mergeCell ref="AO50:AQ51"/>
    <mergeCell ref="AR50:AU51"/>
    <mergeCell ref="AX50:AX51"/>
    <mergeCell ref="AY50:AY51"/>
    <mergeCell ref="AZ50:AZ51"/>
    <mergeCell ref="BA50:BA51"/>
    <mergeCell ref="BB50:BB51"/>
    <mergeCell ref="BB48:BB49"/>
    <mergeCell ref="BC48:BC49"/>
    <mergeCell ref="BD48:BD49"/>
    <mergeCell ref="BE48:BE49"/>
    <mergeCell ref="BF48:BF49"/>
    <mergeCell ref="BI50:BI51"/>
    <mergeCell ref="BK48:BK49"/>
    <mergeCell ref="BL48:BL49"/>
    <mergeCell ref="AG48:AH49"/>
    <mergeCell ref="AI48:AJ49"/>
    <mergeCell ref="AK48:AL49"/>
    <mergeCell ref="AM48:AN49"/>
    <mergeCell ref="AO48:AQ49"/>
    <mergeCell ref="AR48:AU49"/>
    <mergeCell ref="AX48:AX49"/>
    <mergeCell ref="AY48:AY49"/>
    <mergeCell ref="B48:B49"/>
    <mergeCell ref="C48:F49"/>
    <mergeCell ref="G48:L49"/>
    <mergeCell ref="M48:N49"/>
    <mergeCell ref="O48:Q49"/>
    <mergeCell ref="R48:S49"/>
    <mergeCell ref="T48:U49"/>
    <mergeCell ref="V48:W49"/>
    <mergeCell ref="X48:Y49"/>
    <mergeCell ref="AC48:AF49"/>
    <mergeCell ref="BM46:BM47"/>
    <mergeCell ref="BN16:BN17"/>
    <mergeCell ref="BN18:BN19"/>
    <mergeCell ref="BN20:BN21"/>
    <mergeCell ref="BN22:BN23"/>
    <mergeCell ref="BN24:BN25"/>
    <mergeCell ref="BN26:BN27"/>
    <mergeCell ref="BN28:BN29"/>
    <mergeCell ref="BN30:BN31"/>
    <mergeCell ref="BN32:BN33"/>
    <mergeCell ref="BP34:BP35"/>
    <mergeCell ref="BP36:BP37"/>
    <mergeCell ref="BP38:BP39"/>
    <mergeCell ref="BP40:BP41"/>
    <mergeCell ref="BP42:BP43"/>
    <mergeCell ref="BP44:BP45"/>
    <mergeCell ref="BP46:BP47"/>
    <mergeCell ref="BP16:BP17"/>
    <mergeCell ref="BP18:BP19"/>
    <mergeCell ref="BP20:BP21"/>
    <mergeCell ref="BP22:BP23"/>
    <mergeCell ref="BP24:BP25"/>
    <mergeCell ref="BP26:BP27"/>
    <mergeCell ref="BP28:BP29"/>
    <mergeCell ref="BP30:BP31"/>
    <mergeCell ref="BP32:BP33"/>
    <mergeCell ref="BN46:BN47"/>
    <mergeCell ref="BN34:BN35"/>
    <mergeCell ref="BN36:BN37"/>
    <mergeCell ref="BN38:BN39"/>
    <mergeCell ref="BN40:BN41"/>
    <mergeCell ref="BN42:BN43"/>
    <mergeCell ref="BN44:BN45"/>
    <mergeCell ref="BM16:BM17"/>
    <mergeCell ref="BM18:BM19"/>
    <mergeCell ref="BM20:BM21"/>
    <mergeCell ref="BM22:BM23"/>
    <mergeCell ref="BM24:BM25"/>
    <mergeCell ref="BM26:BM27"/>
    <mergeCell ref="BM28:BM29"/>
    <mergeCell ref="BM30:BM31"/>
    <mergeCell ref="BM32:BM33"/>
    <mergeCell ref="BM34:BM35"/>
    <mergeCell ref="BM36:BM37"/>
    <mergeCell ref="BM38:BM39"/>
    <mergeCell ref="BM40:BM41"/>
    <mergeCell ref="BM42:BM43"/>
    <mergeCell ref="BM44:BM45"/>
    <mergeCell ref="BK46:BK47"/>
    <mergeCell ref="BL46:BL47"/>
    <mergeCell ref="BK34:BK35"/>
    <mergeCell ref="BL34:BL35"/>
    <mergeCell ref="BK36:BK37"/>
    <mergeCell ref="BL36:BL37"/>
    <mergeCell ref="BK38:BK39"/>
    <mergeCell ref="BL38:BL39"/>
    <mergeCell ref="BK40:BK41"/>
    <mergeCell ref="BL40:BL41"/>
    <mergeCell ref="BK42:BK43"/>
    <mergeCell ref="BL42:BL43"/>
    <mergeCell ref="BL16:BL17"/>
    <mergeCell ref="BL18:BL19"/>
    <mergeCell ref="BK16:BK17"/>
    <mergeCell ref="BK18:BK19"/>
    <mergeCell ref="AC46:AF47"/>
    <mergeCell ref="BK20:BK21"/>
    <mergeCell ref="BL20:BL21"/>
    <mergeCell ref="BK22:BK23"/>
    <mergeCell ref="BL22:BL23"/>
    <mergeCell ref="BK44:BK45"/>
    <mergeCell ref="BL44:BL45"/>
    <mergeCell ref="BK24:BK25"/>
    <mergeCell ref="BL24:BL25"/>
    <mergeCell ref="BK26:BK27"/>
    <mergeCell ref="BL26:BL27"/>
    <mergeCell ref="BK28:BK29"/>
    <mergeCell ref="BL28:BL29"/>
    <mergeCell ref="BK30:BK31"/>
    <mergeCell ref="BL30:BL31"/>
    <mergeCell ref="BK32:BK33"/>
    <mergeCell ref="BL32:BL33"/>
    <mergeCell ref="AM24:AN25"/>
    <mergeCell ref="AO24:AQ25"/>
    <mergeCell ref="AR24:AU25"/>
    <mergeCell ref="AG20:AH21"/>
    <mergeCell ref="AM20:AN21"/>
    <mergeCell ref="AO20:AQ21"/>
    <mergeCell ref="AR20:AU21"/>
    <mergeCell ref="BE20:BE21"/>
    <mergeCell ref="BA22:BA23"/>
    <mergeCell ref="BB22:BB23"/>
    <mergeCell ref="BC22:BC23"/>
    <mergeCell ref="BE22:BE23"/>
    <mergeCell ref="AX38:AX39"/>
    <mergeCell ref="AY42:AY43"/>
    <mergeCell ref="BH40:BH41"/>
    <mergeCell ref="AM18:AN19"/>
    <mergeCell ref="AO18:AQ19"/>
    <mergeCell ref="AR18:AU19"/>
    <mergeCell ref="AI18:AJ19"/>
    <mergeCell ref="AK18:AL19"/>
    <mergeCell ref="AI20:AJ21"/>
    <mergeCell ref="AK20:AL21"/>
    <mergeCell ref="AO30:AQ31"/>
    <mergeCell ref="AM44:AN45"/>
    <mergeCell ref="AO44:AQ45"/>
    <mergeCell ref="AR44:AU45"/>
    <mergeCell ref="AO42:AQ43"/>
    <mergeCell ref="AR42:AU43"/>
    <mergeCell ref="AG46:AH47"/>
    <mergeCell ref="AI26:AJ27"/>
    <mergeCell ref="AG24:AH25"/>
    <mergeCell ref="AM32:AN33"/>
    <mergeCell ref="AO32:AQ33"/>
    <mergeCell ref="AR32:AU33"/>
    <mergeCell ref="AG30:AH31"/>
    <mergeCell ref="AM30:AN31"/>
    <mergeCell ref="V22:W23"/>
    <mergeCell ref="X22:Y23"/>
    <mergeCell ref="R30:S31"/>
    <mergeCell ref="T30:U31"/>
    <mergeCell ref="V30:W31"/>
    <mergeCell ref="X30:Y31"/>
    <mergeCell ref="R28:S29"/>
    <mergeCell ref="T28:U29"/>
    <mergeCell ref="R20:S21"/>
    <mergeCell ref="T26:U27"/>
    <mergeCell ref="V26:W27"/>
    <mergeCell ref="X26:Y27"/>
    <mergeCell ref="R24:S25"/>
    <mergeCell ref="T24:U25"/>
    <mergeCell ref="V24:W25"/>
    <mergeCell ref="O20:Q21"/>
    <mergeCell ref="O22:Q23"/>
    <mergeCell ref="O24:Q25"/>
    <mergeCell ref="O26:Q27"/>
    <mergeCell ref="AT1:AW3"/>
    <mergeCell ref="Z9:AC11"/>
    <mergeCell ref="AO16:AQ17"/>
    <mergeCell ref="AL9:AO11"/>
    <mergeCell ref="AB12:AE13"/>
    <mergeCell ref="X12:AA13"/>
    <mergeCell ref="AB14:AE14"/>
    <mergeCell ref="X16:Y17"/>
    <mergeCell ref="AG16:AH17"/>
    <mergeCell ref="AS5:AW6"/>
    <mergeCell ref="AS7:AW7"/>
    <mergeCell ref="AS8:AW8"/>
    <mergeCell ref="O16:Q17"/>
    <mergeCell ref="O200:AI201"/>
    <mergeCell ref="X14:AA14"/>
    <mergeCell ref="T12:W13"/>
    <mergeCell ref="T14:W14"/>
    <mergeCell ref="R16:S17"/>
    <mergeCell ref="T16:U17"/>
    <mergeCell ref="V16:W17"/>
    <mergeCell ref="R9:U11"/>
    <mergeCell ref="AO40:AQ41"/>
    <mergeCell ref="AR40:AU41"/>
    <mergeCell ref="AO38:AQ39"/>
    <mergeCell ref="AR38:AU39"/>
    <mergeCell ref="AO36:AQ37"/>
    <mergeCell ref="AR36:AU37"/>
    <mergeCell ref="AM46:AN47"/>
    <mergeCell ref="AO46:AQ47"/>
    <mergeCell ref="AR46:AU47"/>
    <mergeCell ref="AG44:AH45"/>
    <mergeCell ref="O18:Q19"/>
    <mergeCell ref="B38:B39"/>
    <mergeCell ref="V9:Y11"/>
    <mergeCell ref="AD9:AG11"/>
    <mergeCell ref="B40:B41"/>
    <mergeCell ref="B42:B43"/>
    <mergeCell ref="J9:M11"/>
    <mergeCell ref="N9:Q11"/>
    <mergeCell ref="B18:B19"/>
    <mergeCell ref="B20:B21"/>
    <mergeCell ref="B22:B23"/>
    <mergeCell ref="B30:B31"/>
    <mergeCell ref="AH9:AK11"/>
    <mergeCell ref="AM16:AN17"/>
    <mergeCell ref="B24:B25"/>
    <mergeCell ref="B26:B27"/>
    <mergeCell ref="AG38:AH39"/>
    <mergeCell ref="AM38:AN39"/>
    <mergeCell ref="AG36:AH37"/>
    <mergeCell ref="AM36:AN37"/>
    <mergeCell ref="AI38:AJ39"/>
    <mergeCell ref="AK38:AL39"/>
    <mergeCell ref="AG42:AH43"/>
    <mergeCell ref="AM42:AN43"/>
    <mergeCell ref="T20:U21"/>
    <mergeCell ref="V20:W21"/>
    <mergeCell ref="AG22:AH23"/>
    <mergeCell ref="X24:Y25"/>
    <mergeCell ref="AI24:AJ25"/>
    <mergeCell ref="R26:S27"/>
    <mergeCell ref="X20:Y21"/>
    <mergeCell ref="R22:S23"/>
    <mergeCell ref="T22:U23"/>
    <mergeCell ref="B44:B45"/>
    <mergeCell ref="B46:B47"/>
    <mergeCell ref="B28:B29"/>
    <mergeCell ref="J1:M3"/>
    <mergeCell ref="AL1:AO3"/>
    <mergeCell ref="R18:S19"/>
    <mergeCell ref="T18:U19"/>
    <mergeCell ref="V18:W19"/>
    <mergeCell ref="X18:Y19"/>
    <mergeCell ref="AG18:AH19"/>
    <mergeCell ref="AI17:AJ17"/>
    <mergeCell ref="AK17:AL17"/>
    <mergeCell ref="AI16:AL16"/>
    <mergeCell ref="AM22:AN23"/>
    <mergeCell ref="AO22:AQ23"/>
    <mergeCell ref="AM28:AN29"/>
    <mergeCell ref="AP1:AS3"/>
    <mergeCell ref="AR16:AU17"/>
    <mergeCell ref="AR22:AU23"/>
    <mergeCell ref="AR30:AU31"/>
    <mergeCell ref="AI30:AJ31"/>
    <mergeCell ref="AK30:AL31"/>
    <mergeCell ref="AO28:AQ29"/>
    <mergeCell ref="AR28:AU29"/>
    <mergeCell ref="AG26:AH27"/>
    <mergeCell ref="AM26:AN27"/>
    <mergeCell ref="AO26:AQ27"/>
    <mergeCell ref="AR26:AU27"/>
    <mergeCell ref="AM40:AN41"/>
    <mergeCell ref="B32:B33"/>
    <mergeCell ref="B34:B35"/>
    <mergeCell ref="B36:B37"/>
    <mergeCell ref="T34:U35"/>
    <mergeCell ref="V34:W35"/>
    <mergeCell ref="X34:Y35"/>
    <mergeCell ref="AI34:AJ35"/>
    <mergeCell ref="AK34:AL35"/>
    <mergeCell ref="R32:S33"/>
    <mergeCell ref="T32:U33"/>
    <mergeCell ref="V32:W33"/>
    <mergeCell ref="AG34:AH35"/>
    <mergeCell ref="AG32:AH33"/>
    <mergeCell ref="R36:S37"/>
    <mergeCell ref="T36:U37"/>
    <mergeCell ref="R42:S43"/>
    <mergeCell ref="T42:U43"/>
    <mergeCell ref="V42:W43"/>
    <mergeCell ref="X42:Y43"/>
    <mergeCell ref="AI42:AJ43"/>
    <mergeCell ref="R40:S41"/>
    <mergeCell ref="T40:U41"/>
    <mergeCell ref="V40:W41"/>
    <mergeCell ref="AG40:AH41"/>
    <mergeCell ref="Z38:AB39"/>
    <mergeCell ref="Z40:AB41"/>
    <mergeCell ref="Z42:AB43"/>
    <mergeCell ref="AC38:AF39"/>
    <mergeCell ref="AC40:AF41"/>
    <mergeCell ref="AC42:AF43"/>
    <mergeCell ref="R46:S47"/>
    <mergeCell ref="T46:U47"/>
    <mergeCell ref="V46:W47"/>
    <mergeCell ref="X46:Y47"/>
    <mergeCell ref="AI46:AJ47"/>
    <mergeCell ref="AK46:AL47"/>
    <mergeCell ref="BA20:BA21"/>
    <mergeCell ref="BA24:BA25"/>
    <mergeCell ref="BA28:BA29"/>
    <mergeCell ref="BA32:BA33"/>
    <mergeCell ref="BA36:BA37"/>
    <mergeCell ref="BA40:BA41"/>
    <mergeCell ref="BA44:BA45"/>
    <mergeCell ref="AZ30:AZ31"/>
    <mergeCell ref="AZ36:AZ37"/>
    <mergeCell ref="AZ38:AZ39"/>
    <mergeCell ref="AZ20:AZ21"/>
    <mergeCell ref="AZ22:AZ23"/>
    <mergeCell ref="AZ24:AZ25"/>
    <mergeCell ref="R44:S45"/>
    <mergeCell ref="T44:U45"/>
    <mergeCell ref="V44:W45"/>
    <mergeCell ref="R38:S39"/>
    <mergeCell ref="BA30:BA31"/>
    <mergeCell ref="V36:W37"/>
    <mergeCell ref="T38:U39"/>
    <mergeCell ref="V38:W39"/>
    <mergeCell ref="V28:W29"/>
    <mergeCell ref="AK22:AL23"/>
    <mergeCell ref="AM34:AN35"/>
    <mergeCell ref="AO34:AQ35"/>
    <mergeCell ref="AR34:AU35"/>
    <mergeCell ref="BD16:BD17"/>
    <mergeCell ref="BD18:BD19"/>
    <mergeCell ref="BD20:BD21"/>
    <mergeCell ref="BD22:BD23"/>
    <mergeCell ref="BD24:BD25"/>
    <mergeCell ref="X44:Y45"/>
    <mergeCell ref="AI44:AJ45"/>
    <mergeCell ref="AK44:AL45"/>
    <mergeCell ref="AK40:AL41"/>
    <mergeCell ref="AK42:AL43"/>
    <mergeCell ref="X36:Y37"/>
    <mergeCell ref="AI36:AJ37"/>
    <mergeCell ref="AK36:AL37"/>
    <mergeCell ref="X40:Y41"/>
    <mergeCell ref="AI40:AJ41"/>
    <mergeCell ref="X28:Y29"/>
    <mergeCell ref="AI28:AJ29"/>
    <mergeCell ref="AK28:AL29"/>
    <mergeCell ref="AK24:AL25"/>
    <mergeCell ref="AZ18:AZ19"/>
    <mergeCell ref="BB18:BB19"/>
    <mergeCell ref="BC18:BC19"/>
    <mergeCell ref="AZ16:BA16"/>
    <mergeCell ref="AG28:AH29"/>
    <mergeCell ref="BB30:BB31"/>
    <mergeCell ref="BC30:BC31"/>
    <mergeCell ref="AK26:AL27"/>
    <mergeCell ref="X38:Y39"/>
    <mergeCell ref="X32:Y33"/>
    <mergeCell ref="AI32:AJ33"/>
    <mergeCell ref="AK32:AL33"/>
    <mergeCell ref="AI22:AJ23"/>
    <mergeCell ref="AZ26:AZ27"/>
    <mergeCell ref="AZ28:AZ29"/>
    <mergeCell ref="BB20:BB21"/>
    <mergeCell ref="BC20:BC21"/>
    <mergeCell ref="BA26:BA27"/>
    <mergeCell ref="BB26:BB27"/>
    <mergeCell ref="BC26:BC27"/>
    <mergeCell ref="BB28:BB29"/>
    <mergeCell ref="BC28:BC29"/>
    <mergeCell ref="BB24:BB25"/>
    <mergeCell ref="BC24:BC25"/>
    <mergeCell ref="BE24:BE25"/>
    <mergeCell ref="BB40:BB41"/>
    <mergeCell ref="BC40:BC41"/>
    <mergeCell ref="BE40:BE41"/>
    <mergeCell ref="BA42:BA43"/>
    <mergeCell ref="BB42:BB43"/>
    <mergeCell ref="BC42:BC43"/>
    <mergeCell ref="BE42:BE43"/>
    <mergeCell ref="BC38:BC39"/>
    <mergeCell ref="BE38:BE39"/>
    <mergeCell ref="BA38:BA39"/>
    <mergeCell ref="BB38:BB39"/>
    <mergeCell ref="BD38:BD39"/>
    <mergeCell ref="BD40:BD41"/>
    <mergeCell ref="BD42:BD43"/>
    <mergeCell ref="AZ42:AZ43"/>
    <mergeCell ref="BJ46:BJ47"/>
    <mergeCell ref="AX200:AX201"/>
    <mergeCell ref="AZ200:AZ201"/>
    <mergeCell ref="BA200:BA201"/>
    <mergeCell ref="BB200:BB201"/>
    <mergeCell ref="BC200:BC201"/>
    <mergeCell ref="BE200:BE201"/>
    <mergeCell ref="BF44:BF45"/>
    <mergeCell ref="BF46:BF47"/>
    <mergeCell ref="AX44:AX45"/>
    <mergeCell ref="AX46:AX47"/>
    <mergeCell ref="AZ46:AZ47"/>
    <mergeCell ref="BA46:BA47"/>
    <mergeCell ref="BB46:BB47"/>
    <mergeCell ref="BC46:BC47"/>
    <mergeCell ref="BE46:BE47"/>
    <mergeCell ref="BH46:BH47"/>
    <mergeCell ref="BD46:BD47"/>
    <mergeCell ref="BJ44:BJ45"/>
    <mergeCell ref="AY44:AY45"/>
    <mergeCell ref="AY46:AY47"/>
    <mergeCell ref="BF200:BF201"/>
    <mergeCell ref="AZ48:AZ49"/>
    <mergeCell ref="BA48:BA49"/>
    <mergeCell ref="AZ44:AZ45"/>
    <mergeCell ref="BB44:BB45"/>
    <mergeCell ref="BC44:BC45"/>
    <mergeCell ref="BE44:BE45"/>
    <mergeCell ref="BH48:BH49"/>
    <mergeCell ref="BJ48:BJ49"/>
    <mergeCell ref="AX58:AX59"/>
    <mergeCell ref="AY58:AY59"/>
    <mergeCell ref="BH42:BH43"/>
    <mergeCell ref="BH44:BH45"/>
    <mergeCell ref="BD44:BD45"/>
    <mergeCell ref="E13:R13"/>
    <mergeCell ref="BJ38:BJ39"/>
    <mergeCell ref="BJ40:BJ41"/>
    <mergeCell ref="BJ42:BJ43"/>
    <mergeCell ref="BJ24:BJ25"/>
    <mergeCell ref="BJ26:BJ27"/>
    <mergeCell ref="BJ28:BJ29"/>
    <mergeCell ref="BJ30:BJ31"/>
    <mergeCell ref="BJ32:BJ33"/>
    <mergeCell ref="BJ22:BJ23"/>
    <mergeCell ref="AX16:AX17"/>
    <mergeCell ref="BJ16:BJ17"/>
    <mergeCell ref="BJ18:BJ19"/>
    <mergeCell ref="BJ20:BJ21"/>
    <mergeCell ref="BF18:BF19"/>
    <mergeCell ref="BF20:BF21"/>
    <mergeCell ref="BE16:BF16"/>
    <mergeCell ref="BJ34:BJ35"/>
    <mergeCell ref="BJ36:BJ37"/>
    <mergeCell ref="AX28:AX29"/>
    <mergeCell ref="BF22:BF23"/>
    <mergeCell ref="BF24:BF25"/>
    <mergeCell ref="BF26:BF27"/>
    <mergeCell ref="BF28:BF29"/>
    <mergeCell ref="BH32:BH33"/>
    <mergeCell ref="BF38:BF39"/>
    <mergeCell ref="BF30:BF31"/>
    <mergeCell ref="BF32:BF33"/>
    <mergeCell ref="BH34:BH35"/>
    <mergeCell ref="BH36:BH37"/>
    <mergeCell ref="BH38:BH39"/>
    <mergeCell ref="BH16:BH17"/>
    <mergeCell ref="AY16:AY17"/>
    <mergeCell ref="AY18:AY19"/>
    <mergeCell ref="AY20:AY21"/>
    <mergeCell ref="AY22:AY23"/>
    <mergeCell ref="AY24:AY25"/>
    <mergeCell ref="AY26:AY27"/>
    <mergeCell ref="AY28:AY29"/>
    <mergeCell ref="AY30:AY31"/>
    <mergeCell ref="BD26:BD27"/>
    <mergeCell ref="BD28:BD29"/>
    <mergeCell ref="BD30:BD31"/>
    <mergeCell ref="BH18:BH19"/>
    <mergeCell ref="BH20:BH21"/>
    <mergeCell ref="BH22:BH23"/>
    <mergeCell ref="BH24:BH25"/>
    <mergeCell ref="BH26:BH27"/>
    <mergeCell ref="BH28:BH29"/>
    <mergeCell ref="BH30:BH31"/>
    <mergeCell ref="BE26:BE27"/>
    <mergeCell ref="BE28:BE29"/>
    <mergeCell ref="BB16:BB17"/>
    <mergeCell ref="BC16:BC17"/>
    <mergeCell ref="BE18:BE19"/>
    <mergeCell ref="BD32:BD33"/>
    <mergeCell ref="BD34:BD35"/>
    <mergeCell ref="BD36:BD37"/>
    <mergeCell ref="BE30:BE31"/>
    <mergeCell ref="AZ34:AZ35"/>
    <mergeCell ref="BA18:BA19"/>
    <mergeCell ref="BF40:BF41"/>
    <mergeCell ref="BF42:BF43"/>
    <mergeCell ref="BB32:BB33"/>
    <mergeCell ref="BC32:BC33"/>
    <mergeCell ref="BE32:BE33"/>
    <mergeCell ref="BA34:BA35"/>
    <mergeCell ref="BB34:BB35"/>
    <mergeCell ref="BC34:BC35"/>
    <mergeCell ref="BE34:BE35"/>
    <mergeCell ref="BB36:BB37"/>
    <mergeCell ref="BC36:BC37"/>
    <mergeCell ref="BE36:BE37"/>
    <mergeCell ref="AX18:AX19"/>
    <mergeCell ref="AX20:AX21"/>
    <mergeCell ref="AX22:AX23"/>
    <mergeCell ref="AX24:AX25"/>
    <mergeCell ref="AX26:AX27"/>
    <mergeCell ref="AY32:AY33"/>
    <mergeCell ref="AY34:AY35"/>
    <mergeCell ref="AY36:AY37"/>
    <mergeCell ref="AY38:AY39"/>
    <mergeCell ref="AY40:AY41"/>
    <mergeCell ref="AX30:AX31"/>
    <mergeCell ref="AX32:AX33"/>
    <mergeCell ref="AX34:AX35"/>
    <mergeCell ref="AX36:AX37"/>
    <mergeCell ref="BF34:BF35"/>
    <mergeCell ref="BF36:BF37"/>
    <mergeCell ref="AZ32:AZ33"/>
    <mergeCell ref="AX40:AX41"/>
    <mergeCell ref="AX42:AX43"/>
    <mergeCell ref="AZ40:AZ41"/>
    <mergeCell ref="M40:N41"/>
    <mergeCell ref="M42:N43"/>
    <mergeCell ref="M44:N45"/>
    <mergeCell ref="C18:F19"/>
    <mergeCell ref="C28:F29"/>
    <mergeCell ref="G20:L21"/>
    <mergeCell ref="G22:L23"/>
    <mergeCell ref="G24:L25"/>
    <mergeCell ref="G26:L27"/>
    <mergeCell ref="G28:L29"/>
    <mergeCell ref="G30:L31"/>
    <mergeCell ref="G32:L33"/>
    <mergeCell ref="G34:L35"/>
    <mergeCell ref="M22:N23"/>
    <mergeCell ref="M24:N25"/>
    <mergeCell ref="M26:N27"/>
    <mergeCell ref="M28:N29"/>
    <mergeCell ref="M30:N31"/>
    <mergeCell ref="M32:N33"/>
    <mergeCell ref="M34:N35"/>
    <mergeCell ref="G18:L19"/>
    <mergeCell ref="O38:Q39"/>
    <mergeCell ref="O40:Q41"/>
    <mergeCell ref="O42:Q43"/>
    <mergeCell ref="O44:Q45"/>
    <mergeCell ref="O46:Q47"/>
    <mergeCell ref="C20:F21"/>
    <mergeCell ref="C22:F23"/>
    <mergeCell ref="C24:F25"/>
    <mergeCell ref="C26:F27"/>
    <mergeCell ref="M46:N47"/>
    <mergeCell ref="G16:L17"/>
    <mergeCell ref="M16:N17"/>
    <mergeCell ref="G36:L37"/>
    <mergeCell ref="G38:L39"/>
    <mergeCell ref="G40:L41"/>
    <mergeCell ref="G42:L43"/>
    <mergeCell ref="G44:L45"/>
    <mergeCell ref="G46:L47"/>
    <mergeCell ref="M36:N37"/>
    <mergeCell ref="M38:N39"/>
    <mergeCell ref="M18:N19"/>
    <mergeCell ref="M20:N21"/>
    <mergeCell ref="C16:F17"/>
    <mergeCell ref="C38:F39"/>
    <mergeCell ref="C40:F41"/>
    <mergeCell ref="C42:F43"/>
    <mergeCell ref="C44:F45"/>
    <mergeCell ref="C46:F47"/>
    <mergeCell ref="C30:F31"/>
    <mergeCell ref="C32:F33"/>
    <mergeCell ref="C34:F35"/>
    <mergeCell ref="C36:F37"/>
    <mergeCell ref="BO50:BO51"/>
    <mergeCell ref="BO52:BO53"/>
    <mergeCell ref="BO54:BO55"/>
    <mergeCell ref="BO56:BO57"/>
    <mergeCell ref="BO58:BO59"/>
    <mergeCell ref="BO60:BO61"/>
    <mergeCell ref="BO62:BO63"/>
    <mergeCell ref="BO64:BO65"/>
    <mergeCell ref="BO66:BO67"/>
    <mergeCell ref="BO68:BO69"/>
    <mergeCell ref="BO70:BO71"/>
    <mergeCell ref="BO72:BO73"/>
    <mergeCell ref="BO74:BO75"/>
    <mergeCell ref="BO76:BO77"/>
    <mergeCell ref="BO16:BO17"/>
    <mergeCell ref="BO18:BO19"/>
    <mergeCell ref="BO20:BO21"/>
    <mergeCell ref="BO22:BO23"/>
    <mergeCell ref="BO24:BO25"/>
    <mergeCell ref="BO26:BO27"/>
    <mergeCell ref="BO28:BO29"/>
    <mergeCell ref="BO30:BO31"/>
    <mergeCell ref="BO32:BO33"/>
    <mergeCell ref="BO34:BO35"/>
    <mergeCell ref="BO36:BO37"/>
    <mergeCell ref="BO38:BO39"/>
    <mergeCell ref="BO40:BO41"/>
    <mergeCell ref="BO42:BO43"/>
    <mergeCell ref="BO44:BO45"/>
    <mergeCell ref="BO46:BO47"/>
    <mergeCell ref="BO48:BO49"/>
    <mergeCell ref="F1:I3"/>
    <mergeCell ref="Q1:AG3"/>
    <mergeCell ref="A4:E6"/>
    <mergeCell ref="A7:E8"/>
    <mergeCell ref="Z16:AB17"/>
    <mergeCell ref="AC16:AF17"/>
    <mergeCell ref="Z18:AB19"/>
    <mergeCell ref="Z20:AB21"/>
    <mergeCell ref="Z22:AB23"/>
    <mergeCell ref="Z24:AB25"/>
    <mergeCell ref="Z26:AB27"/>
    <mergeCell ref="Z28:AB29"/>
    <mergeCell ref="Z30:AB31"/>
    <mergeCell ref="Z32:AB33"/>
    <mergeCell ref="Z34:AB35"/>
    <mergeCell ref="Z36:AB37"/>
    <mergeCell ref="AC18:AF19"/>
    <mergeCell ref="AC20:AF21"/>
    <mergeCell ref="AC22:AF23"/>
    <mergeCell ref="AC24:AF25"/>
    <mergeCell ref="AC26:AF27"/>
    <mergeCell ref="AC28:AF29"/>
    <mergeCell ref="AC30:AF31"/>
    <mergeCell ref="AC32:AF33"/>
    <mergeCell ref="AC34:AF35"/>
    <mergeCell ref="AC36:AF37"/>
    <mergeCell ref="O28:Q29"/>
    <mergeCell ref="O30:Q31"/>
    <mergeCell ref="O32:Q33"/>
    <mergeCell ref="O34:Q35"/>
    <mergeCell ref="O36:Q37"/>
    <mergeCell ref="R34:S35"/>
    <mergeCell ref="AC50:AF51"/>
    <mergeCell ref="AC52:AF53"/>
    <mergeCell ref="AC54:AF55"/>
    <mergeCell ref="AC56:AF57"/>
    <mergeCell ref="AC58:AF59"/>
    <mergeCell ref="AC60:AF61"/>
    <mergeCell ref="AC62:AF63"/>
    <mergeCell ref="AC64:AF65"/>
    <mergeCell ref="AC66:AF67"/>
    <mergeCell ref="AC68:AF69"/>
    <mergeCell ref="AC70:AF71"/>
    <mergeCell ref="AC72:AF73"/>
    <mergeCell ref="AC74:AF75"/>
    <mergeCell ref="AC76:AF77"/>
    <mergeCell ref="Z44:AB45"/>
    <mergeCell ref="Z46:AB47"/>
    <mergeCell ref="Z48:AB49"/>
    <mergeCell ref="Z50:AB51"/>
    <mergeCell ref="Z52:AB53"/>
    <mergeCell ref="Z54:AB55"/>
    <mergeCell ref="Z56:AB57"/>
    <mergeCell ref="Z58:AB59"/>
    <mergeCell ref="Z60:AB61"/>
    <mergeCell ref="Z62:AB63"/>
    <mergeCell ref="Z64:AB65"/>
    <mergeCell ref="Z66:AB67"/>
    <mergeCell ref="Z68:AB69"/>
    <mergeCell ref="Z70:AB71"/>
    <mergeCell ref="Z72:AB73"/>
    <mergeCell ref="Z74:AB75"/>
    <mergeCell ref="Z76:AB77"/>
    <mergeCell ref="AC44:AF45"/>
  </mergeCells>
  <phoneticPr fontId="149" type="noConversion"/>
  <conditionalFormatting sqref="G18:Y77 AC18:AL77">
    <cfRule type="expression" dxfId="146" priority="12">
      <formula>AND(ISBLANK($C18)=FALSE,OR(ISBLANK(G18)=TRUE,G18=""))</formula>
    </cfRule>
  </conditionalFormatting>
  <conditionalFormatting sqref="R18:S77">
    <cfRule type="expression" dxfId="145" priority="9">
      <formula>IF($R18="",FALSE,IF($R18&lt;&gt;INDEX(STDLIGHTINEFCAT2W,MATCH($M18&amp;"_"&amp;INDEX(STDLIGHTINEFCAT2DROP,MATCH($G18,STDLIGHTMEASURES,0))&amp;"_"&amp;O18,STDLIGHTINEFCAT2NAME,0)),TRUE,FALSE))</formula>
    </cfRule>
  </conditionalFormatting>
  <conditionalFormatting sqref="AM18:AN77">
    <cfRule type="expression" dxfId="144" priority="1">
      <formula>AM18 &lt;&gt; INDEX(STDLIGHTINC,MATCH(G18,STDLIGHTLIST,0))</formula>
    </cfRule>
  </conditionalFormatting>
  <conditionalFormatting sqref="AR18:AU77">
    <cfRule type="expression" dxfId="143" priority="2" stopIfTrue="1">
      <formula>ISNUMBER($AR18)=FALSE</formula>
    </cfRule>
    <cfRule type="expression" dxfId="142" priority="13">
      <formula>$AR18 &lt;&gt; $BG18</formula>
    </cfRule>
  </conditionalFormatting>
  <conditionalFormatting sqref="AS8:AW8">
    <cfRule type="expression" dxfId="141" priority="14">
      <formula>IF($AS$8=PROJSTATMEASURE,FALSE,TRUE)</formula>
    </cfRule>
  </conditionalFormatting>
  <dataValidations xWindow="1230" yWindow="588" count="12">
    <dataValidation type="whole" operator="greaterThan" allowBlank="1" showInputMessage="1" showErrorMessage="1" errorTitle="Invalid Entry" error="Value must be a whole number greater than zero." prompt="Enter the total number of lamps/fixtures." sqref="V18:W77" xr:uid="{1FF475AA-15BA-42EB-8D70-7EDC9A91ED82}">
      <formula1>0</formula1>
    </dataValidation>
    <dataValidation type="decimal" allowBlank="1" showInputMessage="1" showErrorMessage="1" prompt="This is the TOTAL Material Cost of the measure, NOT a per unit basis." sqref="AI18:AJ77" xr:uid="{721441BB-9CEA-4FE4-AC4F-8502F8B0AFA5}">
      <formula1>0</formula1>
      <formula2>999999</formula2>
    </dataValidation>
    <dataValidation type="whole" allowBlank="1" showInputMessage="1" showErrorMessage="1" prompt="Enter efficient lamp/fixture wattage." sqref="T18:U77" xr:uid="{78724D64-C301-4641-B71C-AF6F5531C709}">
      <formula1>INDEX(STDLIGHTEFFMIN,MATCH($G18,STDLIGHTMEASURES,0))</formula1>
      <formula2>INDEX(STDLIGHTEFFMAX,MATCH($G18,STDLIGHTMEASURES,0))</formula2>
    </dataValidation>
    <dataValidation type="decimal" allowBlank="1" showInputMessage="1" showErrorMessage="1" prompt="This is the TOTAL Labor Cost of the measure, NOT a per unit basis." sqref="AK18:AL77" xr:uid="{AE49EF8D-BBA8-4FEF-886C-A54ED9C72107}">
      <formula1>0</formula1>
      <formula2>999999</formula2>
    </dataValidation>
    <dataValidation type="whole" showInputMessage="1" showErrorMessage="1" error="Please enter a numerical value within the designated range" prompt="Enter inefficient lamp/fixture wattage." sqref="R18:S77" xr:uid="{79625C82-5791-4AC0-B8E0-2182EF6D2477}">
      <formula1>INDEX(STDLIGHTBASEMIN,MATCH($G18,STDLIGHTMEASURES,0))</formula1>
      <formula2>INDEX(STDLIGHTBASEMAX,MATCH($G18,STDLIGHTMEASURES,0))</formula2>
    </dataValidation>
    <dataValidation type="list" allowBlank="1" showInputMessage="1" showErrorMessage="1" prompt="Select Inefficient Details." sqref="O18:Q77" xr:uid="{5B6CC55D-2CE7-4230-BFB3-8EFD1AFE1CC3}">
      <formula1>STDLIGHTINEFCAT2_LIST</formula1>
    </dataValidation>
    <dataValidation type="list" allowBlank="1" showInputMessage="1" showErrorMessage="1" prompt="Select Inefficient Type._x000a__x000a_If you want to change the &quot;Ineff. Type&quot; you must first delete the &quot;Ineff. Details&quot; selection. Then it will allow you to select a new &quot;Ineff. Type&quot;." sqref="M18:N77" xr:uid="{26FB9924-D78D-4F9B-8235-065C50EBF28C}">
      <formula1>IF(ISBLANK($O18),STDLIGHTINEFCAT1_LIST,"")</formula1>
    </dataValidation>
    <dataValidation allowBlank="1" showInputMessage="1" showErrorMessage="1" prompt="Install Location should describe the area where the equipment installed. (e.g. Room 201, Garage, Mechanical Room)" sqref="AG18:AH77" xr:uid="{F9997554-3747-4B3A-B2DD-9ED333F81F7E}"/>
    <dataValidation type="list" allowBlank="1" showInputMessage="1" showErrorMessage="1" prompt="Select Efficient Measure._x000a__x000a_If you want to change the &quot;Efficient Measure&quot; you must first delete the &quot;Ineff. Type&quot; selection. Then it will allow you to select a new &quot;Efficient Measure&quot;." sqref="G18:L77" xr:uid="{6CCFECFC-C1F9-4B87-A512-B64DB3976B2E}">
      <formula1>IF(ISBLANK($M18),STDLIGHTMEASURELIST,"")</formula1>
    </dataValidation>
    <dataValidation type="list" allowBlank="1" showInputMessage="1" showErrorMessage="1" prompt="Select Efficient Category._x000a__x000a_If you want to change the &quot;Efficient Category&quot; you must first delete the &quot;Efficient Measure&quot; selection. Then it will allow you to select a new &quot;Efficient Category&quot;." sqref="C18:F77" xr:uid="{EBA91430-EE59-4AB0-BA35-B3DFBB8359CF}">
      <formula1>IF(ISBLANK(G18),STDLIGHTCATLIST,"")</formula1>
    </dataValidation>
    <dataValidation allowBlank="1" showInputMessage="1" showErrorMessage="1" prompt="Enter the Brand and Model # as it appears in technical documents and invoices." sqref="AC20 Z18:AB77 AC18 AC22 AC24 AC26 AC28 AC30 AC32 AC34 AC36 AC38 AC40 AC42 AC44 AC46 AC48 AC50 AC52 AC54 AC56 AC58 AC60 AC62 AC64 AC66 AC68 AC70 AC72 AC74 AC76" xr:uid="{BE2BCAEB-088A-4A48-B9CC-12CD67D76131}"/>
    <dataValidation type="whole" showInputMessage="1" showErrorMessage="1" error="There is a maximum of 8760 hours per year. For exterior dusk-to-dawn lighting the maximum allowed operating hours is 4380." prompt="Enter annual operating hours for lamp/fixture._x000a_(Ex: 8 hours/day * 5 days/week * 52 weeks/year = 2080 hours/year)" sqref="X18:Y77" xr:uid="{60260897-BBEF-4830-B12B-525623A8D992}">
      <formula1>0</formula1>
      <formula2>IF(ISNUMBER(SEARCH("Exterior",C18)),4380,8760)</formula2>
    </dataValidation>
  </dataValidations>
  <hyperlinks>
    <hyperlink ref="J9:M11" location="'M03-S02'!C18" tooltip="Lighting" display="'M03-S02'!C18" xr:uid="{EF6106D1-C18E-46B3-A538-6F50FD67A92E}"/>
    <hyperlink ref="N9:Q11" location="'M03-S03'!C18" tooltip="Lighting Controls" display="'M03-S03'!C18" xr:uid="{98251C9B-9A13-40F2-AD97-95EFD39F5BA9}"/>
    <hyperlink ref="R9:U11" location="'M03-S04'!C18" tooltip="Refrigeration" display="'M03-S04'!C18" xr:uid="{50D0564D-B050-4E71-AE12-DD513CA66A42}"/>
    <hyperlink ref="V9:Y11" location="'M03-S05'!C18" tooltip="HVAC" display="'M03-S05'!C18" xr:uid="{D0137F4B-37CE-4AC1-A3B9-A0C3A3466E41}"/>
    <hyperlink ref="AD9:AG11" location="'M03-S06'!C18" tooltip="Compressed Air / Process" display="'M03-S06'!C18" xr:uid="{99AE900B-90B9-4A50-9612-7B32D80719D7}"/>
    <hyperlink ref="AH9:AK11" location="'M03-S07'!C18" tooltip="Water Heating / Cooking" display="'M03-S07'!C18" xr:uid="{3D8006D6-47E6-4377-84FA-2620634F6D88}"/>
    <hyperlink ref="Z9:AC11" location="'M03-S08'!C18" tooltip="Motors and Drives" display="'M03-S08'!C18" xr:uid="{571FF2A6-C246-4F70-96E3-A875E186D535}"/>
    <hyperlink ref="AL9:AO11" location="'M04-S09'!C18" tooltip="Miscellaneous" display="'M04-S09'!C18" xr:uid="{A7A995D4-B449-46FA-9C59-BEF5BFB2597F}"/>
    <hyperlink ref="B202" r:id="rId1" xr:uid="{41520282-35DF-425E-81BE-0D92F183C780}"/>
    <hyperlink ref="J1:M3" location="'M01-S02'!J1" tooltip="Instructions" display="'M01-S02'!J1" xr:uid="{F2746633-2021-4398-BC24-584114106293}"/>
    <hyperlink ref="AP1:AS3" location="'M05-S05'!AL1" tooltip=" " display="'M05-S05'!AL1" xr:uid="{C564780D-5F17-4FC1-B7EB-FC0FC93B6387}"/>
    <hyperlink ref="AL1:AO3" location="'M05-S04'!AH1" tooltip=" " display="'M05-S04'!AH1" xr:uid="{E26A714E-E449-4023-8A2A-2556C8600BD2}"/>
    <hyperlink ref="AT1:AW3" location="'M01-S03'!AP1" tooltip="Contact" display="'M01-S03'!AP1" xr:uid="{546BCFC8-213E-4027-969B-4ACDB77B3AD6}"/>
  </hyperlinks>
  <printOptions horizontalCentered="1"/>
  <pageMargins left="0" right="0" top="0" bottom="0" header="0" footer="0"/>
  <pageSetup scale="4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C96A-5183-4D56-A4C2-74AD558CD36E}">
  <sheetPr codeName="Sheet20">
    <tabColor theme="8" tint="0.59999389629810485"/>
    <pageSetUpPr fitToPage="1"/>
  </sheetPr>
  <dimension ref="A1:BQ204"/>
  <sheetViews>
    <sheetView showGridLines="0" showRowColHeaders="0" zoomScale="85" zoomScaleNormal="85" workbookViewId="0">
      <selection activeCell="C18" sqref="C18:L19"/>
    </sheetView>
  </sheetViews>
  <sheetFormatPr defaultColWidth="0" defaultRowHeight="15" zeroHeight="1"/>
  <cols>
    <col min="1" max="49" width="4.7109375" customWidth="1"/>
    <col min="50" max="50" width="9.5703125" hidden="1"/>
    <col min="51" max="51" width="15.7109375" hidden="1"/>
    <col min="52" max="58" width="9.5703125" hidden="1"/>
    <col min="59" max="61" width="12.7109375" hidden="1"/>
    <col min="62" max="64" width="9.5703125" hidden="1"/>
    <col min="65" max="65" width="10.7109375" hidden="1"/>
    <col min="66" max="67" width="13.7109375" hidden="1"/>
    <col min="68" max="68" width="9.5703125" hidden="1"/>
    <col min="69" max="69" width="14.7109375" hidden="1"/>
    <col min="70" max="16384" width="4.7109375" hidden="1"/>
  </cols>
  <sheetData>
    <row r="1" spans="1:6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9"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69" ht="15.95" customHeight="1">
      <c r="A4" s="666">
        <f>INCENTOTAL</f>
        <v>0</v>
      </c>
      <c r="B4" s="666"/>
      <c r="C4" s="666"/>
      <c r="D4" s="666"/>
      <c r="E4" s="666"/>
      <c r="F4" s="203"/>
      <c r="G4" s="203"/>
      <c r="H4" s="203"/>
      <c r="I4" s="203"/>
    </row>
    <row r="5" spans="1:69" ht="15.95" customHeight="1">
      <c r="A5" s="667"/>
      <c r="B5" s="667"/>
      <c r="C5" s="667"/>
      <c r="D5" s="667"/>
      <c r="E5" s="667"/>
      <c r="F5" s="428"/>
      <c r="G5" s="428"/>
      <c r="H5" s="428"/>
      <c r="I5" s="428"/>
      <c r="AS5" s="630">
        <f ca="1">PROGRESSSTATUS</f>
        <v>0</v>
      </c>
      <c r="AT5" s="630"/>
      <c r="AU5" s="630"/>
      <c r="AV5" s="630"/>
      <c r="AW5" s="630"/>
      <c r="AY5" s="22"/>
      <c r="AZ5" s="119" t="s">
        <v>1315</v>
      </c>
      <c r="BA5" s="119" t="s">
        <v>325</v>
      </c>
    </row>
    <row r="6" spans="1:69" ht="15.95" customHeight="1">
      <c r="A6" s="667"/>
      <c r="B6" s="667"/>
      <c r="C6" s="667"/>
      <c r="D6" s="667"/>
      <c r="E6" s="667"/>
      <c r="F6" s="428"/>
      <c r="G6" s="428"/>
      <c r="H6" s="428"/>
      <c r="I6" s="428"/>
      <c r="AS6" s="630"/>
      <c r="AT6" s="630"/>
      <c r="AU6" s="630"/>
      <c r="AV6" s="630"/>
      <c r="AW6" s="630"/>
      <c r="AY6" s="118" t="s">
        <v>1320</v>
      </c>
      <c r="AZ6" s="117" t="str">
        <f>CBPRESE</f>
        <v>NA</v>
      </c>
      <c r="BA6" s="117" t="str">
        <f>PAYPRESE</f>
        <v>NA</v>
      </c>
    </row>
    <row r="7" spans="1:69" ht="15.95" customHeight="1">
      <c r="A7" s="629" t="s">
        <v>83</v>
      </c>
      <c r="B7" s="629"/>
      <c r="C7" s="629"/>
      <c r="D7" s="629"/>
      <c r="E7" s="629"/>
      <c r="F7" s="85"/>
      <c r="G7" s="85"/>
      <c r="H7" s="85"/>
      <c r="I7" s="85"/>
      <c r="AS7" s="629" t="s">
        <v>299</v>
      </c>
      <c r="AT7" s="629"/>
      <c r="AU7" s="629"/>
      <c r="AV7" s="629"/>
      <c r="AW7" s="629"/>
      <c r="AY7" s="118" t="s">
        <v>135</v>
      </c>
      <c r="AZ7" s="117" t="str">
        <f>CBCUSE</f>
        <v>NA</v>
      </c>
      <c r="BA7" s="117" t="str">
        <f>PAYCUSE</f>
        <v>NA</v>
      </c>
    </row>
    <row r="8" spans="1:69" ht="15.95" customHeight="1" thickBot="1">
      <c r="A8" s="632"/>
      <c r="B8" s="632"/>
      <c r="C8" s="632"/>
      <c r="D8" s="632"/>
      <c r="E8" s="632"/>
      <c r="F8" s="429"/>
      <c r="G8" s="429"/>
      <c r="H8" s="429"/>
      <c r="I8" s="85"/>
      <c r="AS8" s="628" t="str">
        <f ca="1">PROJSTATUS</f>
        <v>Enter Measures</v>
      </c>
      <c r="AT8" s="628"/>
      <c r="AU8" s="628"/>
      <c r="AV8" s="628"/>
      <c r="AW8" s="628"/>
      <c r="AY8" s="118" t="s">
        <v>596</v>
      </c>
      <c r="AZ8" s="117" t="str">
        <f>CBALL</f>
        <v>NA</v>
      </c>
      <c r="BA8" s="117" t="str">
        <f>PAYALL</f>
        <v>NA</v>
      </c>
    </row>
    <row r="9" spans="1:69" s="88" customFormat="1" ht="15.95" customHeight="1">
      <c r="B9" s="89"/>
      <c r="C9" s="89"/>
      <c r="D9" s="89"/>
      <c r="E9" s="89"/>
      <c r="F9" s="89"/>
      <c r="G9" s="89"/>
      <c r="H9" s="111"/>
      <c r="I9" s="111"/>
      <c r="J9" s="862"/>
      <c r="K9" s="862"/>
      <c r="L9" s="862"/>
      <c r="M9" s="862"/>
      <c r="N9" s="818" t="str">
        <f>M3S3</f>
        <v>Lighting Controls</v>
      </c>
      <c r="O9" s="818"/>
      <c r="P9" s="818"/>
      <c r="Q9" s="818"/>
      <c r="R9" s="815" t="str">
        <f>M3S4</f>
        <v>Refrigeration</v>
      </c>
      <c r="S9" s="816"/>
      <c r="T9" s="816"/>
      <c r="U9" s="816"/>
      <c r="V9" s="815" t="str">
        <f>M3S5</f>
        <v>HVAC</v>
      </c>
      <c r="W9" s="816"/>
      <c r="X9" s="816"/>
      <c r="Y9" s="816"/>
      <c r="Z9" s="815" t="str">
        <f>M4S8</f>
        <v>Motors and Drives</v>
      </c>
      <c r="AA9" s="816"/>
      <c r="AB9" s="816"/>
      <c r="AC9" s="816"/>
      <c r="AD9" s="815" t="str">
        <f>M3S6</f>
        <v>Compressed Air / Process</v>
      </c>
      <c r="AE9" s="816"/>
      <c r="AF9" s="816"/>
      <c r="AG9" s="816"/>
      <c r="AH9" s="815" t="str">
        <f>M3S7</f>
        <v>Water Heating / Food Services</v>
      </c>
      <c r="AI9" s="816"/>
      <c r="AJ9" s="816"/>
      <c r="AK9" s="816"/>
      <c r="AL9" s="815" t="str">
        <f>M4S9</f>
        <v>Miscellaneous</v>
      </c>
      <c r="AM9" s="816"/>
      <c r="AN9" s="816"/>
      <c r="AO9" s="816"/>
      <c r="AP9" s="110"/>
      <c r="AQ9" s="110"/>
      <c r="AR9" s="110"/>
      <c r="AS9" s="110"/>
      <c r="AT9"/>
      <c r="AU9" s="110"/>
      <c r="AV9" s="110"/>
      <c r="BC9"/>
      <c r="BD9"/>
    </row>
    <row r="10" spans="1:69" s="88" customFormat="1" ht="15.95" customHeight="1">
      <c r="B10" s="89"/>
      <c r="C10" s="89"/>
      <c r="D10" s="89"/>
      <c r="E10" s="89"/>
      <c r="F10" s="89"/>
      <c r="G10" s="89"/>
      <c r="J10" s="863"/>
      <c r="K10" s="863"/>
      <c r="L10" s="863"/>
      <c r="M10" s="863"/>
      <c r="N10" s="819"/>
      <c r="O10" s="819"/>
      <c r="P10" s="819"/>
      <c r="Q10" s="819"/>
      <c r="R10" s="817"/>
      <c r="S10" s="817"/>
      <c r="T10" s="817"/>
      <c r="U10" s="817"/>
      <c r="V10" s="817"/>
      <c r="W10" s="817"/>
      <c r="X10" s="817"/>
      <c r="Y10" s="817"/>
      <c r="Z10" s="817"/>
      <c r="AA10" s="817"/>
      <c r="AB10" s="817"/>
      <c r="AC10" s="817"/>
      <c r="AD10" s="817"/>
      <c r="AE10" s="817"/>
      <c r="AF10" s="817"/>
      <c r="AG10" s="817"/>
      <c r="AH10" s="817"/>
      <c r="AI10" s="817"/>
      <c r="AJ10" s="817"/>
      <c r="AK10" s="817"/>
      <c r="AL10" s="817"/>
      <c r="AM10" s="817"/>
      <c r="AN10" s="817"/>
      <c r="AO10" s="817"/>
      <c r="AP10" s="89"/>
      <c r="AQ10" s="89"/>
      <c r="AR10" s="89"/>
      <c r="AS10" s="89"/>
      <c r="AT10"/>
      <c r="AU10" s="89"/>
      <c r="AV10" s="89"/>
      <c r="BC10"/>
      <c r="BD10"/>
    </row>
    <row r="11" spans="1:69" ht="15.95" customHeight="1">
      <c r="B11" s="106"/>
      <c r="C11" s="106"/>
      <c r="D11" s="106"/>
      <c r="E11" s="106"/>
      <c r="F11" s="106"/>
      <c r="G11" s="106"/>
      <c r="J11" s="863"/>
      <c r="K11" s="863"/>
      <c r="L11" s="863"/>
      <c r="M11" s="863"/>
      <c r="N11" s="819"/>
      <c r="O11" s="819"/>
      <c r="P11" s="819"/>
      <c r="Q11" s="819"/>
      <c r="R11" s="817"/>
      <c r="S11" s="817"/>
      <c r="T11" s="817"/>
      <c r="U11" s="817"/>
      <c r="V11" s="817"/>
      <c r="W11" s="817"/>
      <c r="X11" s="817"/>
      <c r="Y11" s="817"/>
      <c r="Z11" s="817"/>
      <c r="AA11" s="817"/>
      <c r="AB11" s="817"/>
      <c r="AC11" s="817"/>
      <c r="AD11" s="817"/>
      <c r="AE11" s="817"/>
      <c r="AF11" s="817"/>
      <c r="AG11" s="817"/>
      <c r="AH11" s="817"/>
      <c r="AI11" s="817"/>
      <c r="AJ11" s="817"/>
      <c r="AK11" s="817"/>
      <c r="AL11" s="817"/>
      <c r="AM11" s="817"/>
      <c r="AN11" s="817"/>
      <c r="AO11" s="817"/>
      <c r="AP11" s="106"/>
      <c r="AQ11" s="106"/>
      <c r="AR11" s="106"/>
      <c r="AS11" s="106"/>
      <c r="AU11" s="106"/>
      <c r="AV11" s="106"/>
    </row>
    <row r="12" spans="1:69" ht="15.95" customHeight="1">
      <c r="A12" s="86"/>
      <c r="B12" s="86"/>
      <c r="C12" s="86"/>
      <c r="D12" s="86"/>
      <c r="E12" s="86"/>
      <c r="F12" s="86"/>
      <c r="G12" s="86"/>
      <c r="T12" s="821">
        <f>SUM(AR18:AU199)</f>
        <v>0</v>
      </c>
      <c r="U12" s="821"/>
      <c r="V12" s="821"/>
      <c r="W12" s="821"/>
      <c r="X12" s="821">
        <f>SUM(AX18:AX199)</f>
        <v>0</v>
      </c>
      <c r="Y12" s="821"/>
      <c r="Z12" s="821"/>
      <c r="AA12" s="821"/>
      <c r="AB12" s="820">
        <f ca="1">SUMIF(AR18:AU199,"&gt;0",AO18:AQ199)</f>
        <v>0</v>
      </c>
      <c r="AC12" s="820"/>
      <c r="AD12" s="820"/>
      <c r="AE12" s="820"/>
      <c r="BC12" s="88"/>
      <c r="BD12" s="88"/>
    </row>
    <row r="13" spans="1:69" ht="15.95" customHeight="1">
      <c r="A13" s="86"/>
      <c r="B13" s="86"/>
      <c r="C13" s="86"/>
      <c r="D13" s="86"/>
      <c r="E13" s="758" t="s">
        <v>1844</v>
      </c>
      <c r="F13" s="758"/>
      <c r="G13" s="758"/>
      <c r="H13" s="758"/>
      <c r="I13" s="758"/>
      <c r="J13" s="758"/>
      <c r="K13" s="758"/>
      <c r="L13" s="758"/>
      <c r="M13" s="758"/>
      <c r="N13" s="758"/>
      <c r="O13" s="758"/>
      <c r="P13" s="758"/>
      <c r="Q13" s="758"/>
      <c r="R13" s="758"/>
      <c r="T13" s="821"/>
      <c r="U13" s="821"/>
      <c r="V13" s="821"/>
      <c r="W13" s="821"/>
      <c r="X13" s="821"/>
      <c r="Y13" s="821"/>
      <c r="Z13" s="821"/>
      <c r="AA13" s="821"/>
      <c r="AB13" s="820"/>
      <c r="AC13" s="820"/>
      <c r="AD13" s="820"/>
      <c r="AE13" s="820"/>
      <c r="AM13" s="840" t="str">
        <f>IF(IFERROR(MATCH("100% Total Cost", BI:BI, 0), FALSE), "The incentive for one or more measures is capped due to measure cost.", "")</f>
        <v/>
      </c>
      <c r="AN13" s="840"/>
      <c r="AO13" s="840"/>
      <c r="AP13" s="840"/>
      <c r="AQ13" s="840"/>
      <c r="AR13" s="840"/>
      <c r="AS13" s="840"/>
      <c r="AT13" s="840"/>
      <c r="AU13" s="840"/>
    </row>
    <row r="14" spans="1:69" ht="15.95" customHeight="1">
      <c r="T14" s="758" t="s">
        <v>1717</v>
      </c>
      <c r="U14" s="758"/>
      <c r="V14" s="758"/>
      <c r="W14" s="758"/>
      <c r="X14" s="758" t="s">
        <v>67</v>
      </c>
      <c r="Y14" s="758"/>
      <c r="Z14" s="758"/>
      <c r="AA14" s="758"/>
      <c r="AB14" s="758" t="s">
        <v>1161</v>
      </c>
      <c r="AC14" s="758"/>
      <c r="AD14" s="758"/>
      <c r="AE14" s="758"/>
      <c r="AM14" s="840"/>
      <c r="AN14" s="840"/>
      <c r="AO14" s="840"/>
      <c r="AP14" s="840"/>
      <c r="AQ14" s="840"/>
      <c r="AR14" s="840"/>
      <c r="AS14" s="840"/>
      <c r="AT14" s="840"/>
      <c r="AU14" s="840"/>
    </row>
    <row r="15" spans="1:69" ht="15.95" customHeight="1"/>
    <row r="16" spans="1:69" ht="15.95" customHeight="1">
      <c r="C16" s="723" t="s">
        <v>1250</v>
      </c>
      <c r="D16" s="723"/>
      <c r="E16" s="723"/>
      <c r="F16" s="723"/>
      <c r="G16" s="723"/>
      <c r="H16" s="723"/>
      <c r="I16" s="723"/>
      <c r="J16" s="723"/>
      <c r="K16" s="723"/>
      <c r="L16" s="723"/>
      <c r="M16" s="723" t="s">
        <v>3100</v>
      </c>
      <c r="N16" s="723"/>
      <c r="O16" s="723"/>
      <c r="P16" s="723"/>
      <c r="Q16" s="723" t="s">
        <v>1670</v>
      </c>
      <c r="R16" s="723"/>
      <c r="S16" s="723"/>
      <c r="T16" s="723" t="s">
        <v>1259</v>
      </c>
      <c r="U16" s="723"/>
      <c r="V16" s="723"/>
      <c r="W16" s="723"/>
      <c r="X16" s="723" t="s">
        <v>2912</v>
      </c>
      <c r="Y16" s="723"/>
      <c r="Z16" s="723"/>
      <c r="AA16" s="723"/>
      <c r="AB16" s="723" t="s">
        <v>2913</v>
      </c>
      <c r="AC16" s="723"/>
      <c r="AD16" s="723"/>
      <c r="AE16" s="723"/>
      <c r="AF16" s="723" t="s">
        <v>1249</v>
      </c>
      <c r="AG16" s="723"/>
      <c r="AH16" s="723"/>
      <c r="AI16" s="814" t="s">
        <v>1243</v>
      </c>
      <c r="AJ16" s="814"/>
      <c r="AK16" s="814"/>
      <c r="AL16" s="814"/>
      <c r="AM16" s="723" t="s">
        <v>1718</v>
      </c>
      <c r="AN16" s="723"/>
      <c r="AO16" s="723" t="s">
        <v>1108</v>
      </c>
      <c r="AP16" s="723"/>
      <c r="AQ16" s="723"/>
      <c r="AR16" s="723" t="s">
        <v>83</v>
      </c>
      <c r="AS16" s="723"/>
      <c r="AT16" s="723"/>
      <c r="AU16" s="723"/>
      <c r="AX16" s="752" t="s">
        <v>1257</v>
      </c>
      <c r="AY16" s="752" t="s">
        <v>1116</v>
      </c>
      <c r="AZ16" s="759" t="s">
        <v>1253</v>
      </c>
      <c r="BA16" s="759"/>
      <c r="BB16" s="752" t="s">
        <v>1255</v>
      </c>
      <c r="BC16" s="752" t="s">
        <v>1256</v>
      </c>
      <c r="BD16" s="752" t="s">
        <v>1305</v>
      </c>
      <c r="BE16" s="759" t="s">
        <v>1254</v>
      </c>
      <c r="BF16" s="759"/>
      <c r="BG16" s="752" t="s">
        <v>2774</v>
      </c>
      <c r="BH16" s="752" t="s">
        <v>85</v>
      </c>
      <c r="BI16" s="752" t="s">
        <v>1306</v>
      </c>
      <c r="BJ16" s="752" t="s">
        <v>309</v>
      </c>
      <c r="BK16" s="736" t="s">
        <v>88</v>
      </c>
      <c r="BL16" s="736" t="s">
        <v>2130</v>
      </c>
      <c r="BM16" s="833" t="s">
        <v>1906</v>
      </c>
      <c r="BN16" s="736" t="s">
        <v>2270</v>
      </c>
      <c r="BO16" s="736" t="s">
        <v>1303</v>
      </c>
      <c r="BP16" s="736" t="s">
        <v>2401</v>
      </c>
      <c r="BQ16" s="752" t="s">
        <v>2917</v>
      </c>
    </row>
    <row r="17" spans="1:69" ht="15.95" customHeight="1" thickBot="1">
      <c r="C17" s="724"/>
      <c r="D17" s="724"/>
      <c r="E17" s="724"/>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t="s">
        <v>1241</v>
      </c>
      <c r="AJ17" s="724"/>
      <c r="AK17" s="724" t="s">
        <v>1242</v>
      </c>
      <c r="AL17" s="724"/>
      <c r="AM17" s="724"/>
      <c r="AN17" s="724"/>
      <c r="AO17" s="724"/>
      <c r="AP17" s="724"/>
      <c r="AQ17" s="724"/>
      <c r="AR17" s="724"/>
      <c r="AS17" s="724"/>
      <c r="AT17" s="724"/>
      <c r="AU17" s="724"/>
      <c r="AX17" s="753"/>
      <c r="AY17" s="753"/>
      <c r="AZ17" s="107" t="s">
        <v>1251</v>
      </c>
      <c r="BA17" s="107" t="s">
        <v>1252</v>
      </c>
      <c r="BB17" s="753"/>
      <c r="BC17" s="753" t="s">
        <v>1256</v>
      </c>
      <c r="BD17" s="753"/>
      <c r="BE17" s="107" t="s">
        <v>1251</v>
      </c>
      <c r="BF17" s="107" t="s">
        <v>1465</v>
      </c>
      <c r="BG17" s="753"/>
      <c r="BH17" s="753"/>
      <c r="BI17" s="753"/>
      <c r="BJ17" s="753"/>
      <c r="BK17" s="737"/>
      <c r="BL17" s="737"/>
      <c r="BM17" s="834"/>
      <c r="BN17" s="737"/>
      <c r="BO17" s="737"/>
      <c r="BP17" s="737"/>
      <c r="BQ17" s="753"/>
    </row>
    <row r="18" spans="1:69" ht="15.95" customHeight="1">
      <c r="B18" s="806">
        <v>1</v>
      </c>
      <c r="C18" s="719"/>
      <c r="D18" s="720"/>
      <c r="E18" s="720"/>
      <c r="F18" s="720"/>
      <c r="G18" s="720"/>
      <c r="H18" s="720"/>
      <c r="I18" s="720"/>
      <c r="J18" s="720"/>
      <c r="K18" s="720"/>
      <c r="L18" s="721"/>
      <c r="M18" s="864" t="str">
        <f>IFERROR(IF(C18="","",INDEX(STDLIGHTCONT[Current Unit],MATCH(C18,STDLIGHTCONT[Measure Name],0))),0)</f>
        <v/>
      </c>
      <c r="N18" s="865"/>
      <c r="O18" s="865"/>
      <c r="P18" s="866"/>
      <c r="Q18" s="857"/>
      <c r="R18" s="857"/>
      <c r="S18" s="857"/>
      <c r="T18" s="813"/>
      <c r="U18" s="813"/>
      <c r="V18" s="813"/>
      <c r="W18" s="813"/>
      <c r="X18" s="813"/>
      <c r="Y18" s="813"/>
      <c r="Z18" s="813"/>
      <c r="AA18" s="813"/>
      <c r="AB18" s="813"/>
      <c r="AC18" s="813"/>
      <c r="AD18" s="813"/>
      <c r="AE18" s="813"/>
      <c r="AF18" s="813"/>
      <c r="AG18" s="813"/>
      <c r="AH18" s="716"/>
      <c r="AI18" s="786"/>
      <c r="AJ18" s="787"/>
      <c r="AK18" s="787"/>
      <c r="AL18" s="788"/>
      <c r="AM18" s="822" t="str">
        <f>IFERROR(IF(C18="","",INDEX(IF(AND(ACTIVEBONUS = TRUE,INDEX(STDLIGHTCONT[Bonus Incentive],MATCH(C18,STDLIGHTCONT[Measure Name],0))&lt;&gt; ""),STDLIGHTCONT[Bonus Incentive],STDLIGHTCONT[Base Incentive]),MATCH(C18,STDLIGHTCONT[Measure Name],0))),"")</f>
        <v/>
      </c>
      <c r="AN18" s="823"/>
      <c r="AO18" s="797" t="str">
        <f>IFERROR(IF(OR(C18="",T18="",Q18="",AB18="",AF18="",AI18="",AK18="",X18=""),"",IF(BN18="Deemed",AZ18,IF(BN18="Calculated",BE18,""))),"")</f>
        <v/>
      </c>
      <c r="AP18" s="797"/>
      <c r="AQ18" s="797"/>
      <c r="AR18" s="826" t="str">
        <f>IFERROR(IF(OR(C18="",T18="",Q18="",AB18="",AF18="",AI18="",AK18="",X18=""),"",IF(BJ18&lt;&gt;"",BJ18,IF(BP18&gt;0,BP18,ROUND(IF(AO18&lt;=0,0,MIN(AX18,BG18)),2)))),"")</f>
        <v/>
      </c>
      <c r="AS18" s="826"/>
      <c r="AT18" s="826"/>
      <c r="AU18" s="826"/>
      <c r="AX18" s="855" t="str">
        <f>IF(OR(C18="",T18="",Q18="",AB18="",AF18="",AI18="",AK18="",X18=""),"",IF(AO18=0,"",ROUND(AI18+AK18,2)))</f>
        <v/>
      </c>
      <c r="AY18" s="843" t="str">
        <f>IFERROR(IF(OR(C18="",T18="",Q18="",AB18="",AF18="",AI18="",AK18="",X18=""),"",INDEX(STDLIGHTCONT[Current Unit],MATCH(C18,STDLIGHTCONT[Measure Name],0))),"Err")</f>
        <v/>
      </c>
      <c r="AZ18" s="847" t="str" cm="1">
        <f t="array" ref="AZ18">IF(OR(C18="",T18="",Q18="",AB18="",AF18="",AI18="",AK18="",X18=""),"",ROUND(INDEX(Q18*STDLIGHTCONT[Electric Energy Savings (Annual kWh/unit)],MATCH(C18,STDLIGHTCONT[Measure Name],0)),4))</f>
        <v/>
      </c>
      <c r="BA18" s="847" t="str">
        <f>IF(OR(C18="",T18="",Q18="",AB18="",AF18="",AI18="",AK18="",X18=""),"",ROUND(Q18*INDEX(STDLIGHTCONT[Coincident Peak Demand Savings (kW/unit)],MATCH(C18,STDLIGHTCONT[Measure Name],0)),4))</f>
        <v/>
      </c>
      <c r="BB18" s="841"/>
      <c r="BC18" s="841"/>
      <c r="BD18" s="845" t="str">
        <f>IFERROR(IF(OR(C18="",T18="",Q18="",AB18="",AF18="",AI18="",AK18="",X18=""),"",INDEX(STDLIGHTCONT[End Use],MATCH(C18,STDLIGHTCONT[Measure Name],0))),"Err")</f>
        <v/>
      </c>
      <c r="BE18" s="849" t="str">
        <f>IFERROR(IF(OR(M02S04F22="Unconditioned",M02S04F22="Electric Heat Only",M02S04F22="Natural Gas Heat Only"),ROUND((Q18/1000)*T18*INDEX(STDLIGHTCONT[ESF],MATCH(C18,STDLIGHTCONT[Measure Name],0)),4),
ROUND((Q18/1000)*T18*INDEX(STDLIGHTCONT[ESF],MATCH(C18,STDLIGHTCONT[Measure Name],0))*INDEX(BUILDINGTYPE[Waste Heat Factor (e)],MATCH(M02S04F19,BUILDINGTYPE[Building Type],0)),4)),"")</f>
        <v/>
      </c>
      <c r="BF18" s="853" t="str">
        <f>IFERROR(IF(OR(C18="",T18="",Q18="",AB18="",AF18="",AI18="",AK18="",X18=""),"",
IF(OR(M02S04F22="Unconditioned",M02S04F22="Electric Heat Only",M02S04F22="Natural Gas Heat Only"),ROUND(Q18/1000*(INDEX(BUILDINGTYPE[Lighting Coincidence Factor],MATCH(M02S04F19,BUILDINGTYPE[Building Type],0))-0.15),4),
ROUND(Q18/1000*(INDEX(BUILDINGTYPE[Lighting Coincidence Factor],MATCH(M02S04F19,BUILDINGTYPE[Building Type],0))-0.15)*INDEX(BUILDINGTYPE[WHFd],MATCH(M02S04F19,BUILDINGTYPE[Building Type],0)),4))),"")</f>
        <v/>
      </c>
      <c r="BG18" s="838" t="str">
        <f>IFERROR(ROUND(Q18*AM18, 2), "")</f>
        <v/>
      </c>
      <c r="BH18" s="843" t="str">
        <f>IFERROR(IF(OR(C18="",T18="",Q18="",AB18="",AF18="",AI18="",AK18="",X18="",ISNUMBER(AR18)=FALSE,AR18=0),"",INDEX(STDLIGHTCONT[Measure Number],MATCH(C18,STDLIGHTCONT[Measure Name],0))),"Err")</f>
        <v/>
      </c>
      <c r="BI18" s="754" t="str">
        <f>IFERROR(IF(BP18="",IF(AR18 &lt; BG18, "100% Total Cost", ""), ""), "")</f>
        <v/>
      </c>
      <c r="BJ18" s="851" t="str">
        <f>IFERROR(IF(OR(C18="",T18="",Q18="",AB18="",AF18="",AI18="",AK18="",X18=""),"",
IF(BP18&gt;0,"",
IF(EXPIRATION&lt;&gt;"",PROJSTATEXP,
IF(M02S04F19="",MEASUREBLDG,"")))),"")</f>
        <v/>
      </c>
      <c r="BK18" s="828" t="str">
        <f>IFERROR(INDEX(STDLIGHTCONT[Measure Life (Years)],MATCH(C18,STDLIGHTCONT[Measure Name],0)),"")</f>
        <v/>
      </c>
      <c r="BL18" s="830" t="str">
        <f>IFERROR(IF(OR(C18="",T18="",Q18="",AB18="",AF18="",AI18="",AK18="",X18=""),"",
ROUND(((1+ELOSS)*((BE18*INDEX(ELECCB[NPV AEC $/kWh],MATCH(BK18,ELECCB[Year Number],1)))+(BF18*INDEX(ELECCB[NPV ACC $/kW],MATCH(BK18,ELECCB[Year Number],1))))),2)),0)</f>
        <v/>
      </c>
      <c r="BM18" s="835" t="str">
        <f>IFERROR(INDEX(STDLIGHTCONT[Min Watts Controlled],MATCH(C18,STDLIGHTCONT[Measure Name],0)),"")</f>
        <v/>
      </c>
      <c r="BN18" s="832" t="str">
        <f>IFERROR(IF(OR(C18="",T18="",Q18="",AB18="",AF18="",AI18="",AK18="",X18=""),"",INDEX(STDLIGHTCONT[Reporting Methodology],MATCH(C18,STDLIGHTCONT[Measure Name],0))),"Err")</f>
        <v/>
      </c>
      <c r="BO18" s="867" t="str">
        <f>IFERROR(IF(BH18="","",INDEX(STDLIGHTCONT[Incremental Measure Cost ($/Unit)],MATCH(C18,STDLIGHTCONT[Measure Name],0))),"Err")</f>
        <v/>
      </c>
      <c r="BP18" s="837"/>
      <c r="BQ18" s="838" t="str">
        <f>_xlfn.LET(
_xlpm.IPU,
IFERROR(IF(C18="","",INDEX(STDLIGHTCONT[Base Incentive],MATCH(C18,STDLIGHTCONT[Measure Name],0))),""),
IFERROR(ROUND(_xlpm.IPU, 2), ""))</f>
        <v/>
      </c>
    </row>
    <row r="19" spans="1:69" ht="15.95" customHeight="1">
      <c r="B19" s="806"/>
      <c r="C19" s="716"/>
      <c r="D19" s="717"/>
      <c r="E19" s="717"/>
      <c r="F19" s="717"/>
      <c r="G19" s="717"/>
      <c r="H19" s="717"/>
      <c r="I19" s="717"/>
      <c r="J19" s="717"/>
      <c r="K19" s="717"/>
      <c r="L19" s="718"/>
      <c r="M19" s="859"/>
      <c r="N19" s="860"/>
      <c r="O19" s="860"/>
      <c r="P19" s="861"/>
      <c r="Q19" s="858"/>
      <c r="R19" s="858"/>
      <c r="S19" s="858"/>
      <c r="T19" s="805"/>
      <c r="U19" s="805"/>
      <c r="V19" s="805"/>
      <c r="W19" s="805"/>
      <c r="X19" s="805"/>
      <c r="Y19" s="805"/>
      <c r="Z19" s="805"/>
      <c r="AA19" s="805"/>
      <c r="AB19" s="805"/>
      <c r="AC19" s="805"/>
      <c r="AD19" s="805"/>
      <c r="AE19" s="805"/>
      <c r="AF19" s="805"/>
      <c r="AG19" s="805"/>
      <c r="AH19" s="728"/>
      <c r="AI19" s="765"/>
      <c r="AJ19" s="766"/>
      <c r="AK19" s="766"/>
      <c r="AL19" s="767"/>
      <c r="AM19" s="824"/>
      <c r="AN19" s="825"/>
      <c r="AO19" s="798"/>
      <c r="AP19" s="798"/>
      <c r="AQ19" s="798"/>
      <c r="AR19" s="827"/>
      <c r="AS19" s="827"/>
      <c r="AT19" s="827"/>
      <c r="AU19" s="827"/>
      <c r="AX19" s="856"/>
      <c r="AY19" s="844"/>
      <c r="AZ19" s="848"/>
      <c r="BA19" s="848"/>
      <c r="BB19" s="842"/>
      <c r="BC19" s="842"/>
      <c r="BD19" s="846"/>
      <c r="BE19" s="850"/>
      <c r="BF19" s="854"/>
      <c r="BG19" s="839"/>
      <c r="BH19" s="844"/>
      <c r="BI19" s="755"/>
      <c r="BJ19" s="852"/>
      <c r="BK19" s="829"/>
      <c r="BL19" s="831"/>
      <c r="BM19" s="836"/>
      <c r="BN19" s="832"/>
      <c r="BO19" s="867"/>
      <c r="BP19" s="837"/>
      <c r="BQ19" s="839"/>
    </row>
    <row r="20" spans="1:69" ht="15.95" customHeight="1">
      <c r="A20" s="85"/>
      <c r="B20" s="806">
        <v>2</v>
      </c>
      <c r="C20" s="719"/>
      <c r="D20" s="720"/>
      <c r="E20" s="720"/>
      <c r="F20" s="720"/>
      <c r="G20" s="720"/>
      <c r="H20" s="720"/>
      <c r="I20" s="720"/>
      <c r="J20" s="720"/>
      <c r="K20" s="720"/>
      <c r="L20" s="721"/>
      <c r="M20" s="859" t="str">
        <f>IFERROR(IF(C20="","",INDEX(STDLIGHTCONT[Current Unit],MATCH(C20,STDLIGHTCONT[Measure Name],0))),0)</f>
        <v/>
      </c>
      <c r="N20" s="860"/>
      <c r="O20" s="860"/>
      <c r="P20" s="861"/>
      <c r="Q20" s="857"/>
      <c r="R20" s="857"/>
      <c r="S20" s="857"/>
      <c r="T20" s="813"/>
      <c r="U20" s="813"/>
      <c r="V20" s="813"/>
      <c r="W20" s="813"/>
      <c r="X20" s="813"/>
      <c r="Y20" s="813"/>
      <c r="Z20" s="813"/>
      <c r="AA20" s="813"/>
      <c r="AB20" s="813"/>
      <c r="AC20" s="813"/>
      <c r="AD20" s="813"/>
      <c r="AE20" s="813"/>
      <c r="AF20" s="813"/>
      <c r="AG20" s="813"/>
      <c r="AH20" s="716"/>
      <c r="AI20" s="786"/>
      <c r="AJ20" s="787"/>
      <c r="AK20" s="787"/>
      <c r="AL20" s="788"/>
      <c r="AM20" s="822" t="str">
        <f>IFERROR(IF(C20="","",INDEX(IF(AND(ACTIVEBONUS = TRUE,INDEX(STDLIGHTCONT[Bonus Incentive],MATCH(C20,STDLIGHTCONT[Measure Name],0))&lt;&gt; ""),STDLIGHTCONT[Bonus Incentive],STDLIGHTCONT[Base Incentive]),MATCH(C20,STDLIGHTCONT[Measure Name],0))),"")</f>
        <v/>
      </c>
      <c r="AN20" s="823"/>
      <c r="AO20" s="797" t="str">
        <f t="shared" ref="AO20" si="0">IFERROR(IF(OR(C20="",T20="",Q20="",AB20="",AF20="",AI20="",AK20=""),"",IF(BN20="Deemed",AZ20,IF(BN20="Calculated",BE20,""))),"")</f>
        <v/>
      </c>
      <c r="AP20" s="797"/>
      <c r="AQ20" s="797"/>
      <c r="AR20" s="826" t="str">
        <f t="shared" ref="AR20" si="1">IFERROR(IF(OR(C20="",T20="",Q20="",AB20="",AF20="",AI20="",AK20=""),"",IF(BJ20&lt;&gt;"",BJ20,IF(BP20&gt;0,BP20,ROUND(IF(AO20&lt;=0,0,MIN(AX20,BG20)),2)))),"")</f>
        <v/>
      </c>
      <c r="AS20" s="826"/>
      <c r="AT20" s="826"/>
      <c r="AU20" s="826"/>
      <c r="AX20" s="855" t="str">
        <f t="shared" ref="AX20" si="2">IF(OR(C20="",T20="",Q20="",AB20="",AF20="",AI20="",AK20=""),"",IF(AO20=0,"",ROUND(AI20+AK20,2)))</f>
        <v/>
      </c>
      <c r="AY20" s="843" t="str">
        <f>IFERROR(IF(OR(C20="",T20="",Q20="",AB20="",AF20="",AI20="",AK20=""),"",INDEX(STDLIGHTCONT[Current Unit],MATCH(C20,STDLIGHTCONT[Measure Name],0))),"Err")</f>
        <v/>
      </c>
      <c r="AZ20" s="847" t="str" cm="1">
        <f t="array" ref="AZ20">IF(OR(C20="",T20="",Q20="",AB20="",AF20="",AI20="",AK20=""),"",ROUND(INDEX(Q20*STDLIGHTCONT[Electric Energy Savings (Annual kWh/unit)],MATCH(C20,STDLIGHTCONT[Measure Name],0)),4))</f>
        <v/>
      </c>
      <c r="BA20" s="847" t="str">
        <f>IF(OR(C20="",T20="",Q20="",AB20="",AF20="",AI20="",AK20=""),"",ROUND(Q20*INDEX(STDLIGHTCONT[Coincident Peak Demand Savings (kW/unit)],MATCH(C20,STDLIGHTCONT[Measure Name],0)),4))</f>
        <v/>
      </c>
      <c r="BB20" s="841"/>
      <c r="BC20" s="841"/>
      <c r="BD20" s="845" t="str">
        <f>IFERROR(IF(OR(C20="",T20="",Q20="",AB20="",AF20="",AI20="",AK20=""),"",INDEX(STDLIGHTCONT[End Use],MATCH(C20,STDLIGHTCONT[Measure Name],0))),"Err")</f>
        <v/>
      </c>
      <c r="BE20" s="849" t="str">
        <f>IFERROR(IF(OR(M02S04F22="Unconditioned",M02S04F22="Electric Heat Only",M02S04F22="Natural Gas Heat Only"),ROUND((Q20/1000)*T20*INDEX(STDLIGHTCONT[ESF],MATCH(C20,STDLIGHTCONT[Measure Name],0)),4),
ROUND((Q20/1000)*T20*INDEX(STDLIGHTCONT[ESF],MATCH(C20,STDLIGHTCONT[Measure Name],0))*INDEX(BUILDINGTYPE[Waste Heat Factor (e)],MATCH(M02S04F19,BUILDINGTYPE[Building Type],0)),4)),"")</f>
        <v/>
      </c>
      <c r="BF20" s="853" t="str">
        <f>IFERROR(IF(OR(C20="",Q20="",T20="",AB20="",AF20="",AI20="",AK20=""),"",
IF(OR(M02S04F22="Unconditioned",M02S04F22="Electric Heat Only",M02S04F22="Natural Gas Heat Only"),ROUND(Q20/1000*(INDEX(BUILDINGTYPE[Lighting Coincidence Factor],MATCH(M02S04F19,BUILDINGTYPE[Building Type],0))-0.15),4),
ROUND(Q20/1000*(INDEX(BUILDINGTYPE[Lighting Coincidence Factor],MATCH(M02S04F19,BUILDINGTYPE[Building Type],0))-0.15)*INDEX(BUILDINGTYPE[WHFd],MATCH(M02S04F19,BUILDINGTYPE[Building Type],0)),4))),"")</f>
        <v/>
      </c>
      <c r="BG20" s="838" t="str">
        <f>IFERROR(ROUND(O20*AM20, 2), "")</f>
        <v/>
      </c>
      <c r="BH20" s="843" t="str">
        <f>IFERROR(IF(OR(C20="",T20="",Q20="",AB20="",AF20="",AI20="",AK20="",ISNUMBER(AR20)=FALSE,AR20=0),"",INDEX(STDLIGHTCONT[Measure Number],MATCH(C20,STDLIGHTCONT[Measure Name],0))),"Err")</f>
        <v/>
      </c>
      <c r="BI20" s="754" t="str">
        <f t="shared" ref="BI20" si="3">IFERROR(IF(BP20="",IF(AR20 &lt; BG20, "100% Total Cost", ""), ""), "")</f>
        <v/>
      </c>
      <c r="BJ20" s="851" t="str">
        <f>IFERROR(IF(OR(C20="",Q20="",T20="",AB20="",AF20="",AI20="",AK20=""),"",
IF(BP20&gt;0,"",
IF(EXPIRATION&lt;&gt;"",PROJSTATEXP,
IF(M02S04F19="",MEASUREBLDG,"")))),"")</f>
        <v/>
      </c>
      <c r="BK20" s="828" t="str">
        <f>IFERROR(INDEX(STDLIGHTCONT[Measure Life (Years)],MATCH(C20,STDLIGHTCONT[Measure Name],0)),"")</f>
        <v/>
      </c>
      <c r="BL20" s="830" t="str">
        <f>IFERROR(IF(OR(C20="",T20="",Q20="",AB20="",AF20="",AI20="",AK20=""),"",
ROUND(((1+ELOSS)*((BE20*INDEX(ELECCB[NPV AEC $/kWh],MATCH(BK20,ELECCB[Year Number],1)))+(BF20*INDEX(ELECCB[NPV ACC $/kW],MATCH(BK20,ELECCB[Year Number],1))))),2)),0)</f>
        <v/>
      </c>
      <c r="BM20" s="835" t="str">
        <f>IFERROR(INDEX(STDLIGHTCONT[Min Watts Controlled],MATCH(C20,STDLIGHTCONT[Measure Name],0)),"")</f>
        <v/>
      </c>
      <c r="BN20" s="832" t="str">
        <f>IFERROR(IF(OR(C20="",O20="",T20="",Q20="",AB20="",AF20="",AI20="",AK20=""),"",INDEX(STDLIGHTCONT[Reporting Methodology],MATCH(C20,STDLIGHTCONT[Measure Name],0))),"Err")</f>
        <v/>
      </c>
      <c r="BO20" s="867" t="str">
        <f>IFERROR(IF(BH20="","",INDEX(STDLIGHTCONT[Incremental Measure Cost ($/Unit)],MATCH(C20,STDLIGHTCONT[Measure Name],0))),"Err")</f>
        <v/>
      </c>
      <c r="BP20" s="837"/>
      <c r="BQ20" s="838" t="str">
        <f>_xlfn.LET(
_xlpm.IPU,
IFERROR(IF(C20="","",INDEX(STDLIGHTCONT[Base Incentive],MATCH(C20,STDLIGHTCONT[Measure Name],0))),""),
IFERROR(ROUND(_xlpm.IPU, 2), ""))</f>
        <v/>
      </c>
    </row>
    <row r="21" spans="1:69" ht="15.95" customHeight="1">
      <c r="B21" s="806"/>
      <c r="C21" s="716"/>
      <c r="D21" s="717"/>
      <c r="E21" s="717"/>
      <c r="F21" s="717"/>
      <c r="G21" s="717"/>
      <c r="H21" s="717"/>
      <c r="I21" s="717"/>
      <c r="J21" s="717"/>
      <c r="K21" s="717"/>
      <c r="L21" s="718"/>
      <c r="M21" s="859"/>
      <c r="N21" s="860"/>
      <c r="O21" s="860"/>
      <c r="P21" s="861"/>
      <c r="Q21" s="858"/>
      <c r="R21" s="858"/>
      <c r="S21" s="858"/>
      <c r="T21" s="805"/>
      <c r="U21" s="805"/>
      <c r="V21" s="805"/>
      <c r="W21" s="805"/>
      <c r="X21" s="805"/>
      <c r="Y21" s="805"/>
      <c r="Z21" s="805"/>
      <c r="AA21" s="805"/>
      <c r="AB21" s="805"/>
      <c r="AC21" s="805"/>
      <c r="AD21" s="805"/>
      <c r="AE21" s="805"/>
      <c r="AF21" s="805"/>
      <c r="AG21" s="805"/>
      <c r="AH21" s="728"/>
      <c r="AI21" s="765"/>
      <c r="AJ21" s="766"/>
      <c r="AK21" s="766"/>
      <c r="AL21" s="767"/>
      <c r="AM21" s="824"/>
      <c r="AN21" s="825"/>
      <c r="AO21" s="798"/>
      <c r="AP21" s="798"/>
      <c r="AQ21" s="798"/>
      <c r="AR21" s="827"/>
      <c r="AS21" s="827"/>
      <c r="AT21" s="827"/>
      <c r="AU21" s="827"/>
      <c r="AV21" s="22"/>
      <c r="AX21" s="856"/>
      <c r="AY21" s="844"/>
      <c r="AZ21" s="848"/>
      <c r="BA21" s="848"/>
      <c r="BB21" s="842"/>
      <c r="BC21" s="842"/>
      <c r="BD21" s="846"/>
      <c r="BE21" s="850"/>
      <c r="BF21" s="854"/>
      <c r="BG21" s="839"/>
      <c r="BH21" s="844"/>
      <c r="BI21" s="755"/>
      <c r="BJ21" s="852"/>
      <c r="BK21" s="829"/>
      <c r="BL21" s="831"/>
      <c r="BM21" s="836"/>
      <c r="BN21" s="832"/>
      <c r="BO21" s="867"/>
      <c r="BP21" s="837"/>
      <c r="BQ21" s="839"/>
    </row>
    <row r="22" spans="1:69" ht="15.95" customHeight="1">
      <c r="A22" s="85"/>
      <c r="B22" s="806">
        <v>3</v>
      </c>
      <c r="C22" s="719"/>
      <c r="D22" s="720"/>
      <c r="E22" s="720"/>
      <c r="F22" s="720"/>
      <c r="G22" s="720"/>
      <c r="H22" s="720"/>
      <c r="I22" s="720"/>
      <c r="J22" s="720"/>
      <c r="K22" s="720"/>
      <c r="L22" s="721"/>
      <c r="M22" s="859" t="str">
        <f>IFERROR(IF(C22="","",INDEX(STDLIGHTCONT[Current Unit],MATCH(C22,STDLIGHTCONT[Measure Name],0))),0)</f>
        <v/>
      </c>
      <c r="N22" s="860"/>
      <c r="O22" s="860"/>
      <c r="P22" s="861"/>
      <c r="Q22" s="857"/>
      <c r="R22" s="857"/>
      <c r="S22" s="857"/>
      <c r="T22" s="813"/>
      <c r="U22" s="813"/>
      <c r="V22" s="813"/>
      <c r="W22" s="813"/>
      <c r="X22" s="813"/>
      <c r="Y22" s="813"/>
      <c r="Z22" s="813"/>
      <c r="AA22" s="813"/>
      <c r="AB22" s="813"/>
      <c r="AC22" s="813"/>
      <c r="AD22" s="813"/>
      <c r="AE22" s="813"/>
      <c r="AF22" s="813"/>
      <c r="AG22" s="813"/>
      <c r="AH22" s="716"/>
      <c r="AI22" s="786"/>
      <c r="AJ22" s="787"/>
      <c r="AK22" s="787"/>
      <c r="AL22" s="788"/>
      <c r="AM22" s="822" t="str">
        <f>IFERROR(IF(C22="","",INDEX(IF(AND(ACTIVEBONUS = TRUE,INDEX(STDLIGHTCONT[Bonus Incentive],MATCH(C22,STDLIGHTCONT[Measure Name],0))&lt;&gt; ""),STDLIGHTCONT[Bonus Incentive],STDLIGHTCONT[Base Incentive]),MATCH(C22,STDLIGHTCONT[Measure Name],0))),"")</f>
        <v/>
      </c>
      <c r="AN22" s="823"/>
      <c r="AO22" s="797" t="str">
        <f t="shared" ref="AO22" si="4">IFERROR(IF(OR(C22="",T22="",Q22="",AB22="",AF22="",AI22="",AK22=""),"",IF(BN22="Deemed",AZ22,IF(BN22="Calculated",BE22,""))),"")</f>
        <v/>
      </c>
      <c r="AP22" s="797"/>
      <c r="AQ22" s="797"/>
      <c r="AR22" s="826" t="str">
        <f t="shared" ref="AR22" si="5">IFERROR(IF(OR(C22="",T22="",Q22="",AB22="",AF22="",AI22="",AK22=""),"",IF(BJ22&lt;&gt;"",BJ22,IF(BP22&gt;0,BP22,ROUND(IF(AO22&lt;=0,0,MIN(AX22,BG22)),2)))),"")</f>
        <v/>
      </c>
      <c r="AS22" s="826"/>
      <c r="AT22" s="826"/>
      <c r="AU22" s="826"/>
      <c r="AV22" s="22"/>
      <c r="AX22" s="855" t="str">
        <f t="shared" ref="AX22" si="6">IF(OR(C22="",T22="",Q22="",AB22="",AF22="",AI22="",AK22=""),"",IF(AO22=0,"",ROUND(AI22+AK22,2)))</f>
        <v/>
      </c>
      <c r="AY22" s="843" t="str">
        <f>IFERROR(IF(OR(C22="",T22="",Q22="",AB22="",AF22="",AI22="",AK22=""),"",INDEX(STDLIGHTCONT[Current Unit],MATCH(C22,STDLIGHTCONT[Measure Name],0))),"Err")</f>
        <v/>
      </c>
      <c r="AZ22" s="847" t="str" cm="1">
        <f t="array" ref="AZ22">IF(OR(C22="",T22="",Q22="",AB22="",AF22="",AI22="",AK22=""),"",ROUND(INDEX(Q22*STDLIGHTCONT[Electric Energy Savings (Annual kWh/unit)],MATCH(C22,STDLIGHTCONT[Measure Name],0)),4))</f>
        <v/>
      </c>
      <c r="BA22" s="847" t="str">
        <f>IF(OR(C22="",T22="",Q22="",AB22="",AF22="",AI22="",AK22=""),"",ROUND(Q22*INDEX(STDLIGHTCONT[Coincident Peak Demand Savings (kW/unit)],MATCH(C22,STDLIGHTCONT[Measure Name],0)),4))</f>
        <v/>
      </c>
      <c r="BB22" s="841"/>
      <c r="BC22" s="841"/>
      <c r="BD22" s="845" t="str">
        <f>IFERROR(IF(OR(C22="",T22="",Q22="",AB22="",AF22="",AI22="",AK22=""),"",INDEX(STDLIGHTCONT[End Use],MATCH(C22,STDLIGHTCONT[Measure Name],0))),"Err")</f>
        <v/>
      </c>
      <c r="BE22" s="849" t="str">
        <f>IFERROR(IF(OR(M02S04F22="Unconditioned",M02S04F22="Electric Heat Only",M02S04F22="Natural Gas Heat Only"),ROUND((Q22/1000)*T22*INDEX(STDLIGHTCONT[ESF],MATCH(C22,STDLIGHTCONT[Measure Name],0)),4),
ROUND((Q22/1000)*T22*INDEX(STDLIGHTCONT[ESF],MATCH(C22,STDLIGHTCONT[Measure Name],0))*INDEX(BUILDINGTYPE[Waste Heat Factor (e)],MATCH(M02S04F19,BUILDINGTYPE[Building Type],0)),4)),"")</f>
        <v/>
      </c>
      <c r="BF22" s="853" t="str">
        <f>IFERROR(IF(OR(C22="",Q22="",T22="",AB22="",AF22="",AI22="",AK22=""),"",
IF(OR(M02S04F22="Unconditioned",M02S04F22="Electric Heat Only",M02S04F22="Natural Gas Heat Only"),ROUND(Q22/1000*(INDEX(BUILDINGTYPE[Lighting Coincidence Factor],MATCH(M02S04F19,BUILDINGTYPE[Building Type],0))-0.15),4),
ROUND(Q22/1000*(INDEX(BUILDINGTYPE[Lighting Coincidence Factor],MATCH(M02S04F19,BUILDINGTYPE[Building Type],0))-0.15)*INDEX(BUILDINGTYPE[WHFd],MATCH(M02S04F19,BUILDINGTYPE[Building Type],0)),4))),"")</f>
        <v/>
      </c>
      <c r="BG22" s="838" t="str">
        <f t="shared" ref="BG22" si="7">IFERROR(ROUND(O22*AM22, 2), "")</f>
        <v/>
      </c>
      <c r="BH22" s="843" t="str">
        <f>IFERROR(IF(OR(C22="",T22="",Q22="",AB22="",AF22="",AI22="",AK22="",ISNUMBER(AR22)=FALSE,AR22=0),"",INDEX(STDLIGHTCONT[Measure Number],MATCH(C22,STDLIGHTCONT[Measure Name],0))),"Err")</f>
        <v/>
      </c>
      <c r="BI22" s="754" t="str">
        <f t="shared" ref="BI22" si="8">IFERROR(IF(BP22="",IF(AR22 &lt; BG22, "100% Total Cost", ""), ""), "")</f>
        <v/>
      </c>
      <c r="BJ22" s="851" t="str">
        <f>IFERROR(IF(OR(C22="",Q22="",T22="",AB22="",AF22="",AI22="",AK22=""),"",
IF(BP22&gt;0,"",
IF(EXPIRATION&lt;&gt;"",PROJSTATEXP,
IF(M02S04F19="",MEASUREBLDG,"")))),"")</f>
        <v/>
      </c>
      <c r="BK22" s="828" t="str">
        <f>IFERROR(INDEX(STDLIGHTCONT[Measure Life (Years)],MATCH(C22,STDLIGHTCONT[Measure Name],0)),"")</f>
        <v/>
      </c>
      <c r="BL22" s="830" t="str">
        <f>IFERROR(IF(OR(C22="",T22="",Q22="",AB22="",AF22="",AI22="",AK22=""),"",
ROUND(((1+ELOSS)*((BE22*INDEX(ELECCB[NPV AEC $/kWh],MATCH(BK22,ELECCB[Year Number],1)))+(BF22*INDEX(ELECCB[NPV ACC $/kW],MATCH(BK22,ELECCB[Year Number],1))))),2)),0)</f>
        <v/>
      </c>
      <c r="BM22" s="835" t="str">
        <f>IFERROR(INDEX(STDLIGHTCONT[Min Watts Controlled],MATCH(C22,STDLIGHTCONT[Measure Name],0)),"")</f>
        <v/>
      </c>
      <c r="BN22" s="832" t="str">
        <f>IFERROR(IF(OR(C22="",O22="",T22="",Q22="",AB22="",AF22="",AI22="",AK22=""),"",INDEX(STDLIGHTCONT[Reporting Methodology],MATCH(C22,STDLIGHTCONT[Measure Name],0))),"Err")</f>
        <v/>
      </c>
      <c r="BO22" s="867" t="str">
        <f>IFERROR(IF(BH22="","",INDEX(STDLIGHTCONT[Incremental Measure Cost ($/Unit)],MATCH(C22,STDLIGHTCONT[Measure Name],0))),"Err")</f>
        <v/>
      </c>
      <c r="BP22" s="837"/>
      <c r="BQ22" s="838" t="str">
        <f>_xlfn.LET(
_xlpm.IPU,
IFERROR(IF(C22="","",INDEX(STDLIGHTCONT[Base Incentive],MATCH(C22,STDLIGHTCONT[Measure Name],0))),""),
IFERROR(ROUND(_xlpm.IPU, 2), ""))</f>
        <v/>
      </c>
    </row>
    <row r="23" spans="1:69" ht="15.95" customHeight="1">
      <c r="B23" s="806"/>
      <c r="C23" s="716"/>
      <c r="D23" s="717"/>
      <c r="E23" s="717"/>
      <c r="F23" s="717"/>
      <c r="G23" s="717"/>
      <c r="H23" s="717"/>
      <c r="I23" s="717"/>
      <c r="J23" s="717"/>
      <c r="K23" s="717"/>
      <c r="L23" s="718"/>
      <c r="M23" s="859"/>
      <c r="N23" s="860"/>
      <c r="O23" s="860"/>
      <c r="P23" s="861"/>
      <c r="Q23" s="858"/>
      <c r="R23" s="858"/>
      <c r="S23" s="858"/>
      <c r="T23" s="805"/>
      <c r="U23" s="805"/>
      <c r="V23" s="805"/>
      <c r="W23" s="805"/>
      <c r="X23" s="805"/>
      <c r="Y23" s="805"/>
      <c r="Z23" s="805"/>
      <c r="AA23" s="805"/>
      <c r="AB23" s="805"/>
      <c r="AC23" s="805"/>
      <c r="AD23" s="805"/>
      <c r="AE23" s="805"/>
      <c r="AF23" s="805"/>
      <c r="AG23" s="805"/>
      <c r="AH23" s="728"/>
      <c r="AI23" s="765"/>
      <c r="AJ23" s="766"/>
      <c r="AK23" s="766"/>
      <c r="AL23" s="767"/>
      <c r="AM23" s="824"/>
      <c r="AN23" s="825"/>
      <c r="AO23" s="798"/>
      <c r="AP23" s="798"/>
      <c r="AQ23" s="798"/>
      <c r="AR23" s="827"/>
      <c r="AS23" s="827"/>
      <c r="AT23" s="827"/>
      <c r="AU23" s="827"/>
      <c r="AV23" s="22"/>
      <c r="AX23" s="856"/>
      <c r="AY23" s="844"/>
      <c r="AZ23" s="848"/>
      <c r="BA23" s="848"/>
      <c r="BB23" s="842"/>
      <c r="BC23" s="842"/>
      <c r="BD23" s="846"/>
      <c r="BE23" s="850"/>
      <c r="BF23" s="854"/>
      <c r="BG23" s="839"/>
      <c r="BH23" s="844"/>
      <c r="BI23" s="755"/>
      <c r="BJ23" s="852"/>
      <c r="BK23" s="829"/>
      <c r="BL23" s="831"/>
      <c r="BM23" s="836"/>
      <c r="BN23" s="832"/>
      <c r="BO23" s="867"/>
      <c r="BP23" s="837"/>
      <c r="BQ23" s="839"/>
    </row>
    <row r="24" spans="1:69" ht="15.95" customHeight="1">
      <c r="B24" s="806">
        <v>4</v>
      </c>
      <c r="C24" s="719"/>
      <c r="D24" s="720"/>
      <c r="E24" s="720"/>
      <c r="F24" s="720"/>
      <c r="G24" s="720"/>
      <c r="H24" s="720"/>
      <c r="I24" s="720"/>
      <c r="J24" s="720"/>
      <c r="K24" s="720"/>
      <c r="L24" s="721"/>
      <c r="M24" s="859" t="str">
        <f>IFERROR(IF(C24="","",INDEX(STDLIGHTCONT[Current Unit],MATCH(C24,STDLIGHTCONT[Measure Name],0))),0)</f>
        <v/>
      </c>
      <c r="N24" s="860"/>
      <c r="O24" s="860"/>
      <c r="P24" s="861"/>
      <c r="Q24" s="857"/>
      <c r="R24" s="857"/>
      <c r="S24" s="857"/>
      <c r="T24" s="813"/>
      <c r="U24" s="813"/>
      <c r="V24" s="813"/>
      <c r="W24" s="813"/>
      <c r="X24" s="813"/>
      <c r="Y24" s="813"/>
      <c r="Z24" s="813"/>
      <c r="AA24" s="813"/>
      <c r="AB24" s="813"/>
      <c r="AC24" s="813"/>
      <c r="AD24" s="813"/>
      <c r="AE24" s="813"/>
      <c r="AF24" s="813"/>
      <c r="AG24" s="813"/>
      <c r="AH24" s="716"/>
      <c r="AI24" s="786"/>
      <c r="AJ24" s="787"/>
      <c r="AK24" s="787"/>
      <c r="AL24" s="788"/>
      <c r="AM24" s="822" t="str">
        <f>IFERROR(IF(C24="","",INDEX(IF(AND(ACTIVEBONUS = TRUE,INDEX(STDLIGHTCONT[Bonus Incentive],MATCH(C24,STDLIGHTCONT[Measure Name],0))&lt;&gt; ""),STDLIGHTCONT[Bonus Incentive],STDLIGHTCONT[Base Incentive]),MATCH(C24,STDLIGHTCONT[Measure Name],0))),"")</f>
        <v/>
      </c>
      <c r="AN24" s="823"/>
      <c r="AO24" s="797" t="str">
        <f t="shared" ref="AO24" si="9">IFERROR(IF(OR(C24="",T24="",Q24="",AB24="",AF24="",AI24="",AK24=""),"",IF(BN24="Deemed",AZ24,IF(BN24="Calculated",BE24,""))),"")</f>
        <v/>
      </c>
      <c r="AP24" s="797"/>
      <c r="AQ24" s="797"/>
      <c r="AR24" s="826" t="str">
        <f t="shared" ref="AR24" si="10">IFERROR(IF(OR(C24="",T24="",Q24="",AB24="",AF24="",AI24="",AK24=""),"",IF(BJ24&lt;&gt;"",BJ24,IF(BP24&gt;0,BP24,ROUND(IF(AO24&lt;=0,0,MIN(AX24,BG24)),2)))),"")</f>
        <v/>
      </c>
      <c r="AS24" s="826"/>
      <c r="AT24" s="826"/>
      <c r="AU24" s="826"/>
      <c r="AV24" s="22"/>
      <c r="AX24" s="855" t="str">
        <f t="shared" ref="AX24" si="11">IF(OR(C24="",T24="",Q24="",AB24="",AF24="",AI24="",AK24=""),"",IF(AO24=0,"",ROUND(AI24+AK24,2)))</f>
        <v/>
      </c>
      <c r="AY24" s="843" t="str">
        <f>IFERROR(IF(OR(C24="",T24="",Q24="",AB24="",AF24="",AI24="",AK24=""),"",INDEX(STDLIGHTCONT[Current Unit],MATCH(C24,STDLIGHTCONT[Measure Name],0))),"Err")</f>
        <v/>
      </c>
      <c r="AZ24" s="847" t="str" cm="1">
        <f t="array" ref="AZ24">IF(OR(C24="",T24="",Q24="",AB24="",AF24="",AI24="",AK24=""),"",ROUND(INDEX(Q24*STDLIGHTCONT[Electric Energy Savings (Annual kWh/unit)],MATCH(C24,STDLIGHTCONT[Measure Name],0)),4))</f>
        <v/>
      </c>
      <c r="BA24" s="847" t="str">
        <f>IF(OR(C24="",T24="",Q24="",AB24="",AF24="",AI24="",AK24=""),"",ROUND(Q24*INDEX(STDLIGHTCONT[Coincident Peak Demand Savings (kW/unit)],MATCH(C24,STDLIGHTCONT[Measure Name],0)),4))</f>
        <v/>
      </c>
      <c r="BB24" s="841"/>
      <c r="BC24" s="841"/>
      <c r="BD24" s="845" t="str">
        <f>IFERROR(IF(OR(C24="",T24="",Q24="",AB24="",AF24="",AI24="",AK24=""),"",INDEX(STDLIGHTCONT[End Use],MATCH(C24,STDLIGHTCONT[Measure Name],0))),"Err")</f>
        <v/>
      </c>
      <c r="BE24" s="849" t="str">
        <f>IFERROR(IF(OR(M02S04F22="Unconditioned",M02S04F22="Electric Heat Only",M02S04F22="Natural Gas Heat Only"),ROUND((Q24/1000)*T24*INDEX(STDLIGHTCONT[ESF],MATCH(C24,STDLIGHTCONT[Measure Name],0)),4),
ROUND((Q24/1000)*T24*INDEX(STDLIGHTCONT[ESF],MATCH(C24,STDLIGHTCONT[Measure Name],0))*INDEX(BUILDINGTYPE[Waste Heat Factor (e)],MATCH(M02S04F19,BUILDINGTYPE[Building Type],0)),4)),"")</f>
        <v/>
      </c>
      <c r="BF24" s="853" t="str">
        <f>IFERROR(IF(OR(C24="",Q24="",T24="",AB24="",AF24="",AI24="",AK24=""),"",
IF(OR(M02S04F22="Unconditioned",M02S04F22="Electric Heat Only",M02S04F22="Natural Gas Heat Only"),ROUND(Q24/1000*(INDEX(BUILDINGTYPE[Lighting Coincidence Factor],MATCH(M02S04F19,BUILDINGTYPE[Building Type],0))-0.15),4),
ROUND(Q24/1000*(INDEX(BUILDINGTYPE[Lighting Coincidence Factor],MATCH(M02S04F19,BUILDINGTYPE[Building Type],0))-0.15)*INDEX(BUILDINGTYPE[WHFd],MATCH(M02S04F19,BUILDINGTYPE[Building Type],0)),4))),"")</f>
        <v/>
      </c>
      <c r="BG24" s="838" t="str">
        <f t="shared" ref="BG24" si="12">IFERROR(ROUND(O24*AM24, 2), "")</f>
        <v/>
      </c>
      <c r="BH24" s="843" t="str">
        <f>IFERROR(IF(OR(C24="",T24="",Q24="",AB24="",AF24="",AI24="",AK24="",ISNUMBER(AR24)=FALSE,AR24=0),"",INDEX(STDLIGHTCONT[Measure Number],MATCH(C24,STDLIGHTCONT[Measure Name],0))),"Err")</f>
        <v/>
      </c>
      <c r="BI24" s="754" t="str">
        <f t="shared" ref="BI24" si="13">IFERROR(IF(BP24="",IF(AR24 &lt; BG24, "100% Total Cost", ""), ""), "")</f>
        <v/>
      </c>
      <c r="BJ24" s="851" t="str">
        <f>IFERROR(IF(OR(C24="",Q24="",T24="",AB24="",AF24="",AI24="",AK24=""),"",
IF(BP24&gt;0,"",
IF(EXPIRATION&lt;&gt;"",PROJSTATEXP,
IF(M02S04F19="",MEASUREBLDG,"")))),"")</f>
        <v/>
      </c>
      <c r="BK24" s="828" t="str">
        <f>IFERROR(INDEX(STDLIGHTCONT[Measure Life (Years)],MATCH(C24,STDLIGHTCONT[Measure Name],0)),"")</f>
        <v/>
      </c>
      <c r="BL24" s="830" t="str">
        <f>IFERROR(IF(OR(C24="",T24="",Q24="",AB24="",AF24="",AI24="",AK24=""),"",
ROUND(((1+ELOSS)*((BE24*INDEX(ELECCB[NPV AEC $/kWh],MATCH(BK24,ELECCB[Year Number],1)))+(BF24*INDEX(ELECCB[NPV ACC $/kW],MATCH(BK24,ELECCB[Year Number],1))))),2)),0)</f>
        <v/>
      </c>
      <c r="BM24" s="835" t="str">
        <f>IFERROR(INDEX(STDLIGHTCONT[Min Watts Controlled],MATCH(C24,STDLIGHTCONT[Measure Name],0)),"")</f>
        <v/>
      </c>
      <c r="BN24" s="832" t="str">
        <f>IFERROR(IF(OR(C24="",O24="",T24="",Q24="",AB24="",AF24="",AI24="",AK24=""),"",INDEX(STDLIGHTCONT[Reporting Methodology],MATCH(C24,STDLIGHTCONT[Measure Name],0))),"Err")</f>
        <v/>
      </c>
      <c r="BO24" s="867" t="str">
        <f>IFERROR(IF(BH24="","",INDEX(STDLIGHTCONT[Incremental Measure Cost ($/Unit)],MATCH(C24,STDLIGHTCONT[Measure Name],0))),"Err")</f>
        <v/>
      </c>
      <c r="BP24" s="837"/>
      <c r="BQ24" s="838" t="str">
        <f>_xlfn.LET(
_xlpm.IPU,
IFERROR(IF(C24="","",INDEX(STDLIGHTCONT[Base Incentive],MATCH(C24,STDLIGHTCONT[Measure Name],0))),""),
IFERROR(ROUND(_xlpm.IPU, 2), ""))</f>
        <v/>
      </c>
    </row>
    <row r="25" spans="1:69" ht="15.95" customHeight="1">
      <c r="A25" s="85"/>
      <c r="B25" s="806"/>
      <c r="C25" s="716"/>
      <c r="D25" s="717"/>
      <c r="E25" s="717"/>
      <c r="F25" s="717"/>
      <c r="G25" s="717"/>
      <c r="H25" s="717"/>
      <c r="I25" s="717"/>
      <c r="J25" s="717"/>
      <c r="K25" s="717"/>
      <c r="L25" s="718"/>
      <c r="M25" s="859"/>
      <c r="N25" s="860"/>
      <c r="O25" s="860"/>
      <c r="P25" s="861"/>
      <c r="Q25" s="858"/>
      <c r="R25" s="858"/>
      <c r="S25" s="858"/>
      <c r="T25" s="805"/>
      <c r="U25" s="805"/>
      <c r="V25" s="805"/>
      <c r="W25" s="805"/>
      <c r="X25" s="805"/>
      <c r="Y25" s="805"/>
      <c r="Z25" s="805"/>
      <c r="AA25" s="805"/>
      <c r="AB25" s="805"/>
      <c r="AC25" s="805"/>
      <c r="AD25" s="805"/>
      <c r="AE25" s="805"/>
      <c r="AF25" s="805"/>
      <c r="AG25" s="805"/>
      <c r="AH25" s="728"/>
      <c r="AI25" s="765"/>
      <c r="AJ25" s="766"/>
      <c r="AK25" s="766"/>
      <c r="AL25" s="767"/>
      <c r="AM25" s="824"/>
      <c r="AN25" s="825"/>
      <c r="AO25" s="798"/>
      <c r="AP25" s="798"/>
      <c r="AQ25" s="798"/>
      <c r="AR25" s="827"/>
      <c r="AS25" s="827"/>
      <c r="AT25" s="827"/>
      <c r="AU25" s="827"/>
      <c r="AV25" s="22"/>
      <c r="AX25" s="856"/>
      <c r="AY25" s="844"/>
      <c r="AZ25" s="848"/>
      <c r="BA25" s="848"/>
      <c r="BB25" s="842"/>
      <c r="BC25" s="842"/>
      <c r="BD25" s="846"/>
      <c r="BE25" s="850"/>
      <c r="BF25" s="854"/>
      <c r="BG25" s="839"/>
      <c r="BH25" s="844"/>
      <c r="BI25" s="755"/>
      <c r="BJ25" s="852"/>
      <c r="BK25" s="829"/>
      <c r="BL25" s="831"/>
      <c r="BM25" s="836"/>
      <c r="BN25" s="832"/>
      <c r="BO25" s="867"/>
      <c r="BP25" s="837"/>
      <c r="BQ25" s="839"/>
    </row>
    <row r="26" spans="1:69" ht="15.95" customHeight="1">
      <c r="B26" s="806">
        <v>5</v>
      </c>
      <c r="C26" s="719"/>
      <c r="D26" s="720"/>
      <c r="E26" s="720"/>
      <c r="F26" s="720"/>
      <c r="G26" s="720"/>
      <c r="H26" s="720"/>
      <c r="I26" s="720"/>
      <c r="J26" s="720"/>
      <c r="K26" s="720"/>
      <c r="L26" s="721"/>
      <c r="M26" s="859" t="str">
        <f>IFERROR(IF(C26="","",INDEX(STDLIGHTCONT[Current Unit],MATCH(C26,STDLIGHTCONT[Measure Name],0))),0)</f>
        <v/>
      </c>
      <c r="N26" s="860"/>
      <c r="O26" s="860"/>
      <c r="P26" s="861"/>
      <c r="Q26" s="857"/>
      <c r="R26" s="857"/>
      <c r="S26" s="857"/>
      <c r="T26" s="813"/>
      <c r="U26" s="813"/>
      <c r="V26" s="813"/>
      <c r="W26" s="813"/>
      <c r="X26" s="813"/>
      <c r="Y26" s="813"/>
      <c r="Z26" s="813"/>
      <c r="AA26" s="813"/>
      <c r="AB26" s="813"/>
      <c r="AC26" s="813"/>
      <c r="AD26" s="813"/>
      <c r="AE26" s="813"/>
      <c r="AF26" s="813"/>
      <c r="AG26" s="813"/>
      <c r="AH26" s="716"/>
      <c r="AI26" s="786"/>
      <c r="AJ26" s="787"/>
      <c r="AK26" s="787"/>
      <c r="AL26" s="788"/>
      <c r="AM26" s="822" t="str">
        <f>IFERROR(IF(C26="","",INDEX(IF(AND(ACTIVEBONUS = TRUE,INDEX(STDLIGHTCONT[Bonus Incentive],MATCH(C26,STDLIGHTCONT[Measure Name],0))&lt;&gt; ""),STDLIGHTCONT[Bonus Incentive],STDLIGHTCONT[Base Incentive]),MATCH(C26,STDLIGHTCONT[Measure Name],0))),"")</f>
        <v/>
      </c>
      <c r="AN26" s="823"/>
      <c r="AO26" s="797" t="str">
        <f t="shared" ref="AO26" si="14">IFERROR(IF(OR(C26="",T26="",Q26="",AB26="",AF26="",AI26="",AK26=""),"",IF(BN26="Deemed",AZ26,IF(BN26="Calculated",BE26,""))),"")</f>
        <v/>
      </c>
      <c r="AP26" s="797"/>
      <c r="AQ26" s="797"/>
      <c r="AR26" s="826" t="str">
        <f t="shared" ref="AR26" si="15">IFERROR(IF(OR(C26="",T26="",Q26="",AB26="",AF26="",AI26="",AK26=""),"",IF(BJ26&lt;&gt;"",BJ26,IF(BP26&gt;0,BP26,ROUND(IF(AO26&lt;=0,0,MIN(AX26,BG26)),2)))),"")</f>
        <v/>
      </c>
      <c r="AS26" s="826"/>
      <c r="AT26" s="826"/>
      <c r="AU26" s="826"/>
      <c r="AV26" s="22"/>
      <c r="AX26" s="855" t="str">
        <f t="shared" ref="AX26" si="16">IF(OR(C26="",T26="",Q26="",AB26="",AF26="",AI26="",AK26=""),"",IF(AO26=0,"",ROUND(AI26+AK26,2)))</f>
        <v/>
      </c>
      <c r="AY26" s="843" t="str">
        <f>IFERROR(IF(OR(C26="",T26="",Q26="",AB26="",AF26="",AI26="",AK26=""),"",INDEX(STDLIGHTCONT[Current Unit],MATCH(C26,STDLIGHTCONT[Measure Name],0))),"Err")</f>
        <v/>
      </c>
      <c r="AZ26" s="847" t="str" cm="1">
        <f t="array" ref="AZ26">IF(OR(C26="",T26="",Q26="",AB26="",AF26="",AI26="",AK26=""),"",ROUND(INDEX(Q26*STDLIGHTCONT[Electric Energy Savings (Annual kWh/unit)],MATCH(C26,STDLIGHTCONT[Measure Name],0)),4))</f>
        <v/>
      </c>
      <c r="BA26" s="847" t="str">
        <f>IF(OR(C26="",T26="",Q26="",AB26="",AF26="",AI26="",AK26=""),"",ROUND(Q26*INDEX(STDLIGHTCONT[Coincident Peak Demand Savings (kW/unit)],MATCH(C26,STDLIGHTCONT[Measure Name],0)),4))</f>
        <v/>
      </c>
      <c r="BB26" s="841"/>
      <c r="BC26" s="841"/>
      <c r="BD26" s="845" t="str">
        <f>IFERROR(IF(OR(C26="",T26="",Q26="",AB26="",AF26="",AI26="",AK26=""),"",INDEX(STDLIGHTCONT[End Use],MATCH(C26,STDLIGHTCONT[Measure Name],0))),"Err")</f>
        <v/>
      </c>
      <c r="BE26" s="849" t="str">
        <f>IFERROR(IF(OR(M02S04F22="Unconditioned",M02S04F22="Electric Heat Only",M02S04F22="Natural Gas Heat Only"),ROUND((Q26/1000)*T26*INDEX(STDLIGHTCONT[ESF],MATCH(C26,STDLIGHTCONT[Measure Name],0)),4),
ROUND((Q26/1000)*T26*INDEX(STDLIGHTCONT[ESF],MATCH(C26,STDLIGHTCONT[Measure Name],0))*INDEX(BUILDINGTYPE[Waste Heat Factor (e)],MATCH(M02S04F19,BUILDINGTYPE[Building Type],0)),4)),"")</f>
        <v/>
      </c>
      <c r="BF26" s="853" t="str">
        <f>IFERROR(IF(OR(C26="",Q26="",T26="",AB26="",AF26="",AI26="",AK26=""),"",
IF(OR(M02S04F22="Unconditioned",M02S04F22="Electric Heat Only",M02S04F22="Natural Gas Heat Only"),ROUND(Q26/1000*(INDEX(BUILDINGTYPE[Lighting Coincidence Factor],MATCH(M02S04F19,BUILDINGTYPE[Building Type],0))-0.15),4),
ROUND(Q26/1000*(INDEX(BUILDINGTYPE[Lighting Coincidence Factor],MATCH(M02S04F19,BUILDINGTYPE[Building Type],0))-0.15)*INDEX(BUILDINGTYPE[WHFd],MATCH(M02S04F19,BUILDINGTYPE[Building Type],0)),4))),"")</f>
        <v/>
      </c>
      <c r="BG26" s="838" t="str">
        <f t="shared" ref="BG26" si="17">IFERROR(ROUND(O26*AM26, 2), "")</f>
        <v/>
      </c>
      <c r="BH26" s="843" t="str">
        <f>IFERROR(IF(OR(C26="",T26="",Q26="",AB26="",AF26="",AI26="",AK26="",ISNUMBER(AR26)=FALSE,AR26=0),"",INDEX(STDLIGHTCONT[Measure Number],MATCH(C26,STDLIGHTCONT[Measure Name],0))),"Err")</f>
        <v/>
      </c>
      <c r="BI26" s="754" t="str">
        <f t="shared" ref="BI26" si="18">IFERROR(IF(BP26="",IF(AR26 &lt; BG26, "100% Total Cost", ""), ""), "")</f>
        <v/>
      </c>
      <c r="BJ26" s="851" t="str">
        <f>IFERROR(IF(OR(C26="",Q26="",T26="",AB26="",AF26="",AI26="",AK26=""),"",
IF(BP26&gt;0,"",
IF(EXPIRATION&lt;&gt;"",PROJSTATEXP,
IF(M02S04F19="",MEASUREBLDG,"")))),"")</f>
        <v/>
      </c>
      <c r="BK26" s="828" t="str">
        <f>IFERROR(INDEX(STDLIGHTCONT[Measure Life (Years)],MATCH(C26,STDLIGHTCONT[Measure Name],0)),"")</f>
        <v/>
      </c>
      <c r="BL26" s="830" t="str">
        <f>IFERROR(IF(OR(C26="",T26="",Q26="",AB26="",AF26="",AI26="",AK26=""),"",
ROUND(((1+ELOSS)*((BE26*INDEX(ELECCB[NPV AEC $/kWh],MATCH(BK26,ELECCB[Year Number],1)))+(BF26*INDEX(ELECCB[NPV ACC $/kW],MATCH(BK26,ELECCB[Year Number],1))))),2)),0)</f>
        <v/>
      </c>
      <c r="BM26" s="835" t="str">
        <f>IFERROR(INDEX(STDLIGHTCONT[Min Watts Controlled],MATCH(C26,STDLIGHTCONT[Measure Name],0)),"")</f>
        <v/>
      </c>
      <c r="BN26" s="832" t="str">
        <f>IFERROR(IF(OR(C26="",O26="",T26="",Q26="",AB26="",AF26="",AI26="",AK26=""),"",INDEX(STDLIGHTCONT[Reporting Methodology],MATCH(C26,STDLIGHTCONT[Measure Name],0))),"Err")</f>
        <v/>
      </c>
      <c r="BO26" s="867" t="str">
        <f>IFERROR(IF(BH26="","",INDEX(STDLIGHTCONT[Incremental Measure Cost ($/Unit)],MATCH(C26,STDLIGHTCONT[Measure Name],0))),"Err")</f>
        <v/>
      </c>
      <c r="BP26" s="837"/>
      <c r="BQ26" s="838" t="str">
        <f>_xlfn.LET(
_xlpm.IPU,
IFERROR(IF(C26="","",INDEX(STDLIGHTCONT[Base Incentive],MATCH(C26,STDLIGHTCONT[Measure Name],0))),""),
IFERROR(ROUND(_xlpm.IPU, 2), ""))</f>
        <v/>
      </c>
    </row>
    <row r="27" spans="1:69" ht="15.95" customHeight="1">
      <c r="B27" s="806"/>
      <c r="C27" s="716"/>
      <c r="D27" s="717"/>
      <c r="E27" s="717"/>
      <c r="F27" s="717"/>
      <c r="G27" s="717"/>
      <c r="H27" s="717"/>
      <c r="I27" s="717"/>
      <c r="J27" s="717"/>
      <c r="K27" s="717"/>
      <c r="L27" s="718"/>
      <c r="M27" s="859"/>
      <c r="N27" s="860"/>
      <c r="O27" s="860"/>
      <c r="P27" s="861"/>
      <c r="Q27" s="858"/>
      <c r="R27" s="858"/>
      <c r="S27" s="858"/>
      <c r="T27" s="805"/>
      <c r="U27" s="805"/>
      <c r="V27" s="805"/>
      <c r="W27" s="805"/>
      <c r="X27" s="805"/>
      <c r="Y27" s="805"/>
      <c r="Z27" s="805"/>
      <c r="AA27" s="805"/>
      <c r="AB27" s="805"/>
      <c r="AC27" s="805"/>
      <c r="AD27" s="805"/>
      <c r="AE27" s="805"/>
      <c r="AF27" s="805"/>
      <c r="AG27" s="805"/>
      <c r="AH27" s="728"/>
      <c r="AI27" s="765"/>
      <c r="AJ27" s="766"/>
      <c r="AK27" s="766"/>
      <c r="AL27" s="767"/>
      <c r="AM27" s="824"/>
      <c r="AN27" s="825"/>
      <c r="AO27" s="798"/>
      <c r="AP27" s="798"/>
      <c r="AQ27" s="798"/>
      <c r="AR27" s="827"/>
      <c r="AS27" s="827"/>
      <c r="AT27" s="827"/>
      <c r="AU27" s="827"/>
      <c r="AV27" s="22"/>
      <c r="AX27" s="856"/>
      <c r="AY27" s="844"/>
      <c r="AZ27" s="848"/>
      <c r="BA27" s="848"/>
      <c r="BB27" s="842"/>
      <c r="BC27" s="842"/>
      <c r="BD27" s="846"/>
      <c r="BE27" s="850"/>
      <c r="BF27" s="854"/>
      <c r="BG27" s="839"/>
      <c r="BH27" s="844"/>
      <c r="BI27" s="755"/>
      <c r="BJ27" s="852"/>
      <c r="BK27" s="829"/>
      <c r="BL27" s="831"/>
      <c r="BM27" s="836"/>
      <c r="BN27" s="832"/>
      <c r="BO27" s="867"/>
      <c r="BP27" s="837"/>
      <c r="BQ27" s="839"/>
    </row>
    <row r="28" spans="1:69" ht="15.95" customHeight="1">
      <c r="B28" s="806">
        <v>6</v>
      </c>
      <c r="C28" s="719"/>
      <c r="D28" s="720"/>
      <c r="E28" s="720"/>
      <c r="F28" s="720"/>
      <c r="G28" s="720"/>
      <c r="H28" s="720"/>
      <c r="I28" s="720"/>
      <c r="J28" s="720"/>
      <c r="K28" s="720"/>
      <c r="L28" s="721"/>
      <c r="M28" s="859" t="str">
        <f>IFERROR(IF(C28="","",INDEX(STDLIGHTCONT[Current Unit],MATCH(C28,STDLIGHTCONT[Measure Name],0))),0)</f>
        <v/>
      </c>
      <c r="N28" s="860"/>
      <c r="O28" s="860"/>
      <c r="P28" s="861"/>
      <c r="Q28" s="857"/>
      <c r="R28" s="857"/>
      <c r="S28" s="857"/>
      <c r="T28" s="813"/>
      <c r="U28" s="813"/>
      <c r="V28" s="813"/>
      <c r="W28" s="813"/>
      <c r="X28" s="813"/>
      <c r="Y28" s="813"/>
      <c r="Z28" s="813"/>
      <c r="AA28" s="813"/>
      <c r="AB28" s="813"/>
      <c r="AC28" s="813"/>
      <c r="AD28" s="813"/>
      <c r="AE28" s="813"/>
      <c r="AF28" s="813"/>
      <c r="AG28" s="813"/>
      <c r="AH28" s="716"/>
      <c r="AI28" s="786"/>
      <c r="AJ28" s="787"/>
      <c r="AK28" s="787"/>
      <c r="AL28" s="788"/>
      <c r="AM28" s="822" t="str">
        <f>IFERROR(IF(C28="","",INDEX(IF(AND(ACTIVEBONUS = TRUE,INDEX(STDLIGHTCONT[Bonus Incentive],MATCH(C28,STDLIGHTCONT[Measure Name],0))&lt;&gt; ""),STDLIGHTCONT[Bonus Incentive],STDLIGHTCONT[Base Incentive]),MATCH(C28,STDLIGHTCONT[Measure Name],0))),"")</f>
        <v/>
      </c>
      <c r="AN28" s="823"/>
      <c r="AO28" s="797" t="str">
        <f t="shared" ref="AO28" si="19">IFERROR(IF(OR(C28="",T28="",Q28="",AB28="",AF28="",AI28="",AK28=""),"",IF(BN28="Deemed",AZ28,IF(BN28="Calculated",BE28,""))),"")</f>
        <v/>
      </c>
      <c r="AP28" s="797"/>
      <c r="AQ28" s="797"/>
      <c r="AR28" s="826" t="str">
        <f t="shared" ref="AR28" si="20">IFERROR(IF(OR(C28="",T28="",Q28="",AB28="",AF28="",AI28="",AK28=""),"",IF(BJ28&lt;&gt;"",BJ28,IF(BP28&gt;0,BP28,ROUND(IF(AO28&lt;=0,0,MIN(AX28,BG28)),2)))),"")</f>
        <v/>
      </c>
      <c r="AS28" s="826"/>
      <c r="AT28" s="826"/>
      <c r="AU28" s="826"/>
      <c r="AV28" s="22"/>
      <c r="AX28" s="855" t="str">
        <f t="shared" ref="AX28" si="21">IF(OR(C28="",T28="",Q28="",AB28="",AF28="",AI28="",AK28=""),"",IF(AO28=0,"",ROUND(AI28+AK28,2)))</f>
        <v/>
      </c>
      <c r="AY28" s="843" t="str">
        <f>IFERROR(IF(OR(C28="",T28="",Q28="",AB28="",AF28="",AI28="",AK28=""),"",INDEX(STDLIGHTCONT[Current Unit],MATCH(C28,STDLIGHTCONT[Measure Name],0))),"Err")</f>
        <v/>
      </c>
      <c r="AZ28" s="847" t="str" cm="1">
        <f t="array" ref="AZ28">IF(OR(C28="",T28="",Q28="",AB28="",AF28="",AI28="",AK28=""),"",ROUND(INDEX(Q28*STDLIGHTCONT[Electric Energy Savings (Annual kWh/unit)],MATCH(C28,STDLIGHTCONT[Measure Name],0)),4))</f>
        <v/>
      </c>
      <c r="BA28" s="847" t="str">
        <f>IF(OR(C28="",T28="",Q28="",AB28="",AF28="",AI28="",AK28=""),"",ROUND(Q28*INDEX(STDLIGHTCONT[Coincident Peak Demand Savings (kW/unit)],MATCH(C28,STDLIGHTCONT[Measure Name],0)),4))</f>
        <v/>
      </c>
      <c r="BB28" s="841"/>
      <c r="BC28" s="841"/>
      <c r="BD28" s="845" t="str">
        <f>IFERROR(IF(OR(C28="",T28="",Q28="",AB28="",AF28="",AI28="",AK28=""),"",INDEX(STDLIGHTCONT[End Use],MATCH(C28,STDLIGHTCONT[Measure Name],0))),"Err")</f>
        <v/>
      </c>
      <c r="BE28" s="849" t="str">
        <f>IFERROR(IF(OR(M02S04F22="Unconditioned",M02S04F22="Electric Heat Only",M02S04F22="Natural Gas Heat Only"),ROUND((Q28/1000)*T28*INDEX(STDLIGHTCONT[ESF],MATCH(C28,STDLIGHTCONT[Measure Name],0)),4),
ROUND((Q28/1000)*T28*INDEX(STDLIGHTCONT[ESF],MATCH(C28,STDLIGHTCONT[Measure Name],0))*INDEX(BUILDINGTYPE[Waste Heat Factor (e)],MATCH(M02S04F19,BUILDINGTYPE[Building Type],0)),4)),"")</f>
        <v/>
      </c>
      <c r="BF28" s="853" t="str">
        <f>IFERROR(IF(OR(C28="",Q28="",T28="",AB28="",AF28="",AI28="",AK28=""),"",
IF(OR(M02S04F22="Unconditioned",M02S04F22="Electric Heat Only",M02S04F22="Natural Gas Heat Only"),ROUND(Q28/1000*(INDEX(BUILDINGTYPE[Lighting Coincidence Factor],MATCH(M02S04F19,BUILDINGTYPE[Building Type],0))-0.15),4),
ROUND(Q28/1000*(INDEX(BUILDINGTYPE[Lighting Coincidence Factor],MATCH(M02S04F19,BUILDINGTYPE[Building Type],0))-0.15)*INDEX(BUILDINGTYPE[WHFd],MATCH(M02S04F19,BUILDINGTYPE[Building Type],0)),4))),"")</f>
        <v/>
      </c>
      <c r="BG28" s="838" t="str">
        <f t="shared" ref="BG28" si="22">IFERROR(ROUND(O28*AM28, 2), "")</f>
        <v/>
      </c>
      <c r="BH28" s="843" t="str">
        <f>IFERROR(IF(OR(C28="",T28="",Q28="",AB28="",AF28="",AI28="",AK28="",ISNUMBER(AR28)=FALSE,AR28=0),"",INDEX(STDLIGHTCONT[Measure Number],MATCH(C28,STDLIGHTCONT[Measure Name],0))),"Err")</f>
        <v/>
      </c>
      <c r="BI28" s="754" t="str">
        <f t="shared" ref="BI28" si="23">IFERROR(IF(BP28="",IF(AR28 &lt; BG28, "100% Total Cost", ""), ""), "")</f>
        <v/>
      </c>
      <c r="BJ28" s="851" t="str">
        <f>IFERROR(IF(OR(C28="",Q28="",T28="",AB28="",AF28="",AI28="",AK28=""),"",
IF(BP28&gt;0,"",
IF(EXPIRATION&lt;&gt;"",PROJSTATEXP,
IF(M02S04F19="",MEASUREBLDG,"")))),"")</f>
        <v/>
      </c>
      <c r="BK28" s="828" t="str">
        <f>IFERROR(INDEX(STDLIGHTCONT[Measure Life (Years)],MATCH(C28,STDLIGHTCONT[Measure Name],0)),"")</f>
        <v/>
      </c>
      <c r="BL28" s="830" t="str">
        <f>IFERROR(IF(OR(C28="",T28="",Q28="",AB28="",AF28="",AI28="",AK28=""),"",
ROUND(((1+ELOSS)*((BE28*INDEX(ELECCB[NPV AEC $/kWh],MATCH(BK28,ELECCB[Year Number],1)))+(BF28*INDEX(ELECCB[NPV ACC $/kW],MATCH(BK28,ELECCB[Year Number],1))))),2)),0)</f>
        <v/>
      </c>
      <c r="BM28" s="835" t="str">
        <f>IFERROR(INDEX(STDLIGHTCONT[Min Watts Controlled],MATCH(C28,STDLIGHTCONT[Measure Name],0)),"")</f>
        <v/>
      </c>
      <c r="BN28" s="832" t="str">
        <f>IFERROR(IF(OR(C28="",O28="",T28="",Q28="",AB28="",AF28="",AI28="",AK28=""),"",INDEX(STDLIGHTCONT[Reporting Methodology],MATCH(C28,STDLIGHTCONT[Measure Name],0))),"Err")</f>
        <v/>
      </c>
      <c r="BO28" s="867" t="str">
        <f>IFERROR(IF(BH28="","",INDEX(STDLIGHTCONT[Incremental Measure Cost ($/Unit)],MATCH(C28,STDLIGHTCONT[Measure Name],0))),"Err")</f>
        <v/>
      </c>
      <c r="BP28" s="837"/>
      <c r="BQ28" s="838" t="str">
        <f>_xlfn.LET(
_xlpm.IPU,
IFERROR(IF(C28="","",INDEX(STDLIGHTCONT[Base Incentive],MATCH(C28,STDLIGHTCONT[Measure Name],0))),""),
IFERROR(ROUND(_xlpm.IPU, 2), ""))</f>
        <v/>
      </c>
    </row>
    <row r="29" spans="1:69" ht="15.95" customHeight="1">
      <c r="B29" s="806"/>
      <c r="C29" s="716"/>
      <c r="D29" s="717"/>
      <c r="E29" s="717"/>
      <c r="F29" s="717"/>
      <c r="G29" s="717"/>
      <c r="H29" s="717"/>
      <c r="I29" s="717"/>
      <c r="J29" s="717"/>
      <c r="K29" s="717"/>
      <c r="L29" s="718"/>
      <c r="M29" s="859"/>
      <c r="N29" s="860"/>
      <c r="O29" s="860"/>
      <c r="P29" s="861"/>
      <c r="Q29" s="858"/>
      <c r="R29" s="858"/>
      <c r="S29" s="858"/>
      <c r="T29" s="805"/>
      <c r="U29" s="805"/>
      <c r="V29" s="805"/>
      <c r="W29" s="805"/>
      <c r="X29" s="805"/>
      <c r="Y29" s="805"/>
      <c r="Z29" s="805"/>
      <c r="AA29" s="805"/>
      <c r="AB29" s="805"/>
      <c r="AC29" s="805"/>
      <c r="AD29" s="805"/>
      <c r="AE29" s="805"/>
      <c r="AF29" s="805"/>
      <c r="AG29" s="805"/>
      <c r="AH29" s="728"/>
      <c r="AI29" s="765"/>
      <c r="AJ29" s="766"/>
      <c r="AK29" s="766"/>
      <c r="AL29" s="767"/>
      <c r="AM29" s="824"/>
      <c r="AN29" s="825"/>
      <c r="AO29" s="798"/>
      <c r="AP29" s="798"/>
      <c r="AQ29" s="798"/>
      <c r="AR29" s="827"/>
      <c r="AS29" s="827"/>
      <c r="AT29" s="827"/>
      <c r="AU29" s="827"/>
      <c r="AV29" s="22"/>
      <c r="AX29" s="856"/>
      <c r="AY29" s="844"/>
      <c r="AZ29" s="848"/>
      <c r="BA29" s="848"/>
      <c r="BB29" s="842"/>
      <c r="BC29" s="842"/>
      <c r="BD29" s="846"/>
      <c r="BE29" s="850"/>
      <c r="BF29" s="854"/>
      <c r="BG29" s="839"/>
      <c r="BH29" s="844"/>
      <c r="BI29" s="755"/>
      <c r="BJ29" s="852"/>
      <c r="BK29" s="829"/>
      <c r="BL29" s="831"/>
      <c r="BM29" s="836"/>
      <c r="BN29" s="832"/>
      <c r="BO29" s="867"/>
      <c r="BP29" s="837"/>
      <c r="BQ29" s="839"/>
    </row>
    <row r="30" spans="1:69" ht="15.95" customHeight="1">
      <c r="B30" s="806">
        <v>7</v>
      </c>
      <c r="C30" s="719"/>
      <c r="D30" s="720"/>
      <c r="E30" s="720"/>
      <c r="F30" s="720"/>
      <c r="G30" s="720"/>
      <c r="H30" s="720"/>
      <c r="I30" s="720"/>
      <c r="J30" s="720"/>
      <c r="K30" s="720"/>
      <c r="L30" s="721"/>
      <c r="M30" s="859" t="str">
        <f>IFERROR(IF(C30="","",INDEX(STDLIGHTCONT[Current Unit],MATCH(C30,STDLIGHTCONT[Measure Name],0))),0)</f>
        <v/>
      </c>
      <c r="N30" s="860"/>
      <c r="O30" s="860"/>
      <c r="P30" s="861"/>
      <c r="Q30" s="857"/>
      <c r="R30" s="857"/>
      <c r="S30" s="857"/>
      <c r="T30" s="813"/>
      <c r="U30" s="813"/>
      <c r="V30" s="813"/>
      <c r="W30" s="813"/>
      <c r="X30" s="813"/>
      <c r="Y30" s="813"/>
      <c r="Z30" s="813"/>
      <c r="AA30" s="813"/>
      <c r="AB30" s="813"/>
      <c r="AC30" s="813"/>
      <c r="AD30" s="813"/>
      <c r="AE30" s="813"/>
      <c r="AF30" s="813"/>
      <c r="AG30" s="813"/>
      <c r="AH30" s="716"/>
      <c r="AI30" s="786"/>
      <c r="AJ30" s="787"/>
      <c r="AK30" s="787"/>
      <c r="AL30" s="788"/>
      <c r="AM30" s="822" t="str">
        <f>IFERROR(IF(C30="","",INDEX(IF(AND(ACTIVEBONUS = TRUE,INDEX(STDLIGHTCONT[Bonus Incentive],MATCH(C30,STDLIGHTCONT[Measure Name],0))&lt;&gt; ""),STDLIGHTCONT[Bonus Incentive],STDLIGHTCONT[Base Incentive]),MATCH(C30,STDLIGHTCONT[Measure Name],0))),"")</f>
        <v/>
      </c>
      <c r="AN30" s="823"/>
      <c r="AO30" s="797" t="str">
        <f t="shared" ref="AO30" si="24">IFERROR(IF(OR(C30="",T30="",Q30="",AB30="",AF30="",AI30="",AK30=""),"",IF(BN30="Deemed",AZ30,IF(BN30="Calculated",BE30,""))),"")</f>
        <v/>
      </c>
      <c r="AP30" s="797"/>
      <c r="AQ30" s="797"/>
      <c r="AR30" s="826" t="str">
        <f t="shared" ref="AR30" si="25">IFERROR(IF(OR(C30="",T30="",Q30="",AB30="",AF30="",AI30="",AK30=""),"",IF(BJ30&lt;&gt;"",BJ30,IF(BP30&gt;0,BP30,ROUND(IF(AO30&lt;=0,0,MIN(AX30,BG30)),2)))),"")</f>
        <v/>
      </c>
      <c r="AS30" s="826"/>
      <c r="AT30" s="826"/>
      <c r="AU30" s="826"/>
      <c r="AV30" s="22"/>
      <c r="AX30" s="855" t="str">
        <f t="shared" ref="AX30" si="26">IF(OR(C30="",T30="",Q30="",AB30="",AF30="",AI30="",AK30=""),"",IF(AO30=0,"",ROUND(AI30+AK30,2)))</f>
        <v/>
      </c>
      <c r="AY30" s="843" t="str">
        <f>IFERROR(IF(OR(C30="",T30="",Q30="",AB30="",AF30="",AI30="",AK30=""),"",INDEX(STDLIGHTCONT[Current Unit],MATCH(C30,STDLIGHTCONT[Measure Name],0))),"Err")</f>
        <v/>
      </c>
      <c r="AZ30" s="847" t="str" cm="1">
        <f t="array" ref="AZ30">IF(OR(C30="",T30="",Q30="",AB30="",AF30="",AI30="",AK30=""),"",ROUND(INDEX(Q30*STDLIGHTCONT[Electric Energy Savings (Annual kWh/unit)],MATCH(C30,STDLIGHTCONT[Measure Name],0)),4))</f>
        <v/>
      </c>
      <c r="BA30" s="847" t="str">
        <f>IF(OR(C30="",T30="",Q30="",AB30="",AF30="",AI30="",AK30=""),"",ROUND(Q30*INDEX(STDLIGHTCONT[Coincident Peak Demand Savings (kW/unit)],MATCH(C30,STDLIGHTCONT[Measure Name],0)),4))</f>
        <v/>
      </c>
      <c r="BB30" s="841"/>
      <c r="BC30" s="841"/>
      <c r="BD30" s="845" t="str">
        <f>IFERROR(IF(OR(C30="",T30="",Q30="",AB30="",AF30="",AI30="",AK30=""),"",INDEX(STDLIGHTCONT[End Use],MATCH(C30,STDLIGHTCONT[Measure Name],0))),"Err")</f>
        <v/>
      </c>
      <c r="BE30" s="849" t="str">
        <f>IFERROR(IF(OR(M02S04F22="Unconditioned",M02S04F22="Electric Heat Only",M02S04F22="Natural Gas Heat Only"),ROUND((Q30/1000)*T30*INDEX(STDLIGHTCONT[ESF],MATCH(C30,STDLIGHTCONT[Measure Name],0)),4),
ROUND((Q30/1000)*T30*INDEX(STDLIGHTCONT[ESF],MATCH(C30,STDLIGHTCONT[Measure Name],0))*INDEX(BUILDINGTYPE[Waste Heat Factor (e)],MATCH(M02S04F19,BUILDINGTYPE[Building Type],0)),4)),"")</f>
        <v/>
      </c>
      <c r="BF30" s="853" t="str">
        <f>IFERROR(IF(OR(C30="",Q30="",T30="",AB30="",AF30="",AI30="",AK30=""),"",
IF(OR(M02S04F22="Unconditioned",M02S04F22="Electric Heat Only",M02S04F22="Natural Gas Heat Only"),ROUND(Q30/1000*(INDEX(BUILDINGTYPE[Lighting Coincidence Factor],MATCH(M02S04F19,BUILDINGTYPE[Building Type],0))-0.15),4),
ROUND(Q30/1000*(INDEX(BUILDINGTYPE[Lighting Coincidence Factor],MATCH(M02S04F19,BUILDINGTYPE[Building Type],0))-0.15)*INDEX(BUILDINGTYPE[WHFd],MATCH(M02S04F19,BUILDINGTYPE[Building Type],0)),4))),"")</f>
        <v/>
      </c>
      <c r="BG30" s="838" t="str">
        <f t="shared" ref="BG30" si="27">IFERROR(ROUND(O30*AM30, 2), "")</f>
        <v/>
      </c>
      <c r="BH30" s="843" t="str">
        <f>IFERROR(IF(OR(C30="",T30="",Q30="",AB30="",AF30="",AI30="",AK30="",ISNUMBER(AR30)=FALSE,AR30=0),"",INDEX(STDLIGHTCONT[Measure Number],MATCH(C30,STDLIGHTCONT[Measure Name],0))),"Err")</f>
        <v/>
      </c>
      <c r="BI30" s="754" t="str">
        <f t="shared" ref="BI30" si="28">IFERROR(IF(BP30="",IF(AR30 &lt; BG30, "100% Total Cost", ""), ""), "")</f>
        <v/>
      </c>
      <c r="BJ30" s="851" t="str">
        <f>IFERROR(IF(OR(C30="",Q30="",T30="",AB30="",AF30="",AI30="",AK30=""),"",
IF(BP30&gt;0,"",
IF(EXPIRATION&lt;&gt;"",PROJSTATEXP,
IF(M02S04F19="",MEASUREBLDG,"")))),"")</f>
        <v/>
      </c>
      <c r="BK30" s="828" t="str">
        <f>IFERROR(INDEX(STDLIGHTCONT[Measure Life (Years)],MATCH(C30,STDLIGHTCONT[Measure Name],0)),"")</f>
        <v/>
      </c>
      <c r="BL30" s="830" t="str">
        <f>IFERROR(IF(OR(C30="",T30="",Q30="",AB30="",AF30="",AI30="",AK30=""),"",
ROUND(((1+ELOSS)*((BE30*INDEX(ELECCB[NPV AEC $/kWh],MATCH(BK30,ELECCB[Year Number],1)))+(BF30*INDEX(ELECCB[NPV ACC $/kW],MATCH(BK30,ELECCB[Year Number],1))))),2)),0)</f>
        <v/>
      </c>
      <c r="BM30" s="835" t="str">
        <f>IFERROR(INDEX(STDLIGHTCONT[Min Watts Controlled],MATCH(C30,STDLIGHTCONT[Measure Name],0)),"")</f>
        <v/>
      </c>
      <c r="BN30" s="832" t="str">
        <f>IFERROR(IF(OR(C30="",O30="",T30="",Q30="",AB30="",AF30="",AI30="",AK30=""),"",INDEX(STDLIGHTCONT[Reporting Methodology],MATCH(C30,STDLIGHTCONT[Measure Name],0))),"Err")</f>
        <v/>
      </c>
      <c r="BO30" s="867" t="str">
        <f>IFERROR(IF(BH30="","",INDEX(STDLIGHTCONT[Incremental Measure Cost ($/Unit)],MATCH(C30,STDLIGHTCONT[Measure Name],0))),"Err")</f>
        <v/>
      </c>
      <c r="BP30" s="837"/>
      <c r="BQ30" s="838" t="str">
        <f>_xlfn.LET(
_xlpm.IPU,
IFERROR(IF(C30="","",INDEX(STDLIGHTCONT[Base Incentive],MATCH(C30,STDLIGHTCONT[Measure Name],0))),""),
IFERROR(ROUND(_xlpm.IPU, 2), ""))</f>
        <v/>
      </c>
    </row>
    <row r="31" spans="1:69" ht="15.95" customHeight="1">
      <c r="B31" s="806"/>
      <c r="C31" s="716"/>
      <c r="D31" s="717"/>
      <c r="E31" s="717"/>
      <c r="F31" s="717"/>
      <c r="G31" s="717"/>
      <c r="H31" s="717"/>
      <c r="I31" s="717"/>
      <c r="J31" s="717"/>
      <c r="K31" s="717"/>
      <c r="L31" s="718"/>
      <c r="M31" s="859"/>
      <c r="N31" s="860"/>
      <c r="O31" s="860"/>
      <c r="P31" s="861"/>
      <c r="Q31" s="858"/>
      <c r="R31" s="858"/>
      <c r="S31" s="858"/>
      <c r="T31" s="805"/>
      <c r="U31" s="805"/>
      <c r="V31" s="805"/>
      <c r="W31" s="805"/>
      <c r="X31" s="805"/>
      <c r="Y31" s="805"/>
      <c r="Z31" s="805"/>
      <c r="AA31" s="805"/>
      <c r="AB31" s="805"/>
      <c r="AC31" s="805"/>
      <c r="AD31" s="805"/>
      <c r="AE31" s="805"/>
      <c r="AF31" s="805"/>
      <c r="AG31" s="805"/>
      <c r="AH31" s="728"/>
      <c r="AI31" s="765"/>
      <c r="AJ31" s="766"/>
      <c r="AK31" s="766"/>
      <c r="AL31" s="767"/>
      <c r="AM31" s="824"/>
      <c r="AN31" s="825"/>
      <c r="AO31" s="798"/>
      <c r="AP31" s="798"/>
      <c r="AQ31" s="798"/>
      <c r="AR31" s="827"/>
      <c r="AS31" s="827"/>
      <c r="AT31" s="827"/>
      <c r="AU31" s="827"/>
      <c r="AV31" s="22"/>
      <c r="AX31" s="856"/>
      <c r="AY31" s="844"/>
      <c r="AZ31" s="848"/>
      <c r="BA31" s="848"/>
      <c r="BB31" s="842"/>
      <c r="BC31" s="842"/>
      <c r="BD31" s="846"/>
      <c r="BE31" s="850"/>
      <c r="BF31" s="854"/>
      <c r="BG31" s="839"/>
      <c r="BH31" s="844"/>
      <c r="BI31" s="755"/>
      <c r="BJ31" s="852"/>
      <c r="BK31" s="829"/>
      <c r="BL31" s="831"/>
      <c r="BM31" s="836"/>
      <c r="BN31" s="832"/>
      <c r="BO31" s="867"/>
      <c r="BP31" s="837"/>
      <c r="BQ31" s="839"/>
    </row>
    <row r="32" spans="1:69" ht="15.95" customHeight="1">
      <c r="B32" s="806">
        <v>8</v>
      </c>
      <c r="C32" s="719"/>
      <c r="D32" s="720"/>
      <c r="E32" s="720"/>
      <c r="F32" s="720"/>
      <c r="G32" s="720"/>
      <c r="H32" s="720"/>
      <c r="I32" s="720"/>
      <c r="J32" s="720"/>
      <c r="K32" s="720"/>
      <c r="L32" s="721"/>
      <c r="M32" s="859" t="str">
        <f>IFERROR(IF(C32="","",INDEX(STDLIGHTCONT[Current Unit],MATCH(C32,STDLIGHTCONT[Measure Name],0))),0)</f>
        <v/>
      </c>
      <c r="N32" s="860"/>
      <c r="O32" s="860"/>
      <c r="P32" s="861"/>
      <c r="Q32" s="857"/>
      <c r="R32" s="857"/>
      <c r="S32" s="857"/>
      <c r="T32" s="813"/>
      <c r="U32" s="813"/>
      <c r="V32" s="813"/>
      <c r="W32" s="813"/>
      <c r="X32" s="813"/>
      <c r="Y32" s="813"/>
      <c r="Z32" s="813"/>
      <c r="AA32" s="813"/>
      <c r="AB32" s="813"/>
      <c r="AC32" s="813"/>
      <c r="AD32" s="813"/>
      <c r="AE32" s="813"/>
      <c r="AF32" s="813"/>
      <c r="AG32" s="813"/>
      <c r="AH32" s="716"/>
      <c r="AI32" s="786"/>
      <c r="AJ32" s="787"/>
      <c r="AK32" s="787"/>
      <c r="AL32" s="788"/>
      <c r="AM32" s="822" t="str">
        <f>IFERROR(IF(C32="","",INDEX(IF(AND(ACTIVEBONUS = TRUE,INDEX(STDLIGHTCONT[Bonus Incentive],MATCH(C32,STDLIGHTCONT[Measure Name],0))&lt;&gt; ""),STDLIGHTCONT[Bonus Incentive],STDLIGHTCONT[Base Incentive]),MATCH(C32,STDLIGHTCONT[Measure Name],0))),"")</f>
        <v/>
      </c>
      <c r="AN32" s="823"/>
      <c r="AO32" s="797" t="str">
        <f t="shared" ref="AO32" si="29">IFERROR(IF(OR(C32="",T32="",Q32="",AB32="",AF32="",AI32="",AK32=""),"",IF(BN32="Deemed",AZ32,IF(BN32="Calculated",BE32,""))),"")</f>
        <v/>
      </c>
      <c r="AP32" s="797"/>
      <c r="AQ32" s="797"/>
      <c r="AR32" s="826" t="str">
        <f t="shared" ref="AR32" si="30">IFERROR(IF(OR(C32="",T32="",Q32="",AB32="",AF32="",AI32="",AK32=""),"",IF(BJ32&lt;&gt;"",BJ32,IF(BP32&gt;0,BP32,ROUND(IF(AO32&lt;=0,0,MIN(AX32,BG32)),2)))),"")</f>
        <v/>
      </c>
      <c r="AS32" s="826"/>
      <c r="AT32" s="826"/>
      <c r="AU32" s="826"/>
      <c r="AV32" s="22"/>
      <c r="AX32" s="855" t="str">
        <f t="shared" ref="AX32" si="31">IF(OR(C32="",T32="",Q32="",AB32="",AF32="",AI32="",AK32=""),"",IF(AO32=0,"",ROUND(AI32+AK32,2)))</f>
        <v/>
      </c>
      <c r="AY32" s="843" t="str">
        <f>IFERROR(IF(OR(C32="",T32="",Q32="",AB32="",AF32="",AI32="",AK32=""),"",INDEX(STDLIGHTCONT[Current Unit],MATCH(C32,STDLIGHTCONT[Measure Name],0))),"Err")</f>
        <v/>
      </c>
      <c r="AZ32" s="847" t="str" cm="1">
        <f t="array" ref="AZ32">IF(OR(C32="",T32="",Q32="",AB32="",AF32="",AI32="",AK32=""),"",ROUND(INDEX(Q32*STDLIGHTCONT[Electric Energy Savings (Annual kWh/unit)],MATCH(C32,STDLIGHTCONT[Measure Name],0)),4))</f>
        <v/>
      </c>
      <c r="BA32" s="847" t="str">
        <f>IF(OR(C32="",T32="",Q32="",AB32="",AF32="",AI32="",AK32=""),"",ROUND(Q32*INDEX(STDLIGHTCONT[Coincident Peak Demand Savings (kW/unit)],MATCH(C32,STDLIGHTCONT[Measure Name],0)),4))</f>
        <v/>
      </c>
      <c r="BB32" s="841"/>
      <c r="BC32" s="841"/>
      <c r="BD32" s="845" t="str">
        <f>IFERROR(IF(OR(C32="",T32="",Q32="",AB32="",AF32="",AI32="",AK32=""),"",INDEX(STDLIGHTCONT[End Use],MATCH(C32,STDLIGHTCONT[Measure Name],0))),"Err")</f>
        <v/>
      </c>
      <c r="BE32" s="849" t="str">
        <f>IFERROR(IF(OR(M02S04F22="Unconditioned",M02S04F22="Electric Heat Only",M02S04F22="Natural Gas Heat Only"),ROUND((Q32/1000)*T32*INDEX(STDLIGHTCONT[ESF],MATCH(C32,STDLIGHTCONT[Measure Name],0)),4),
ROUND((Q32/1000)*T32*INDEX(STDLIGHTCONT[ESF],MATCH(C32,STDLIGHTCONT[Measure Name],0))*INDEX(BUILDINGTYPE[Waste Heat Factor (e)],MATCH(M02S04F19,BUILDINGTYPE[Building Type],0)),4)),"")</f>
        <v/>
      </c>
      <c r="BF32" s="853" t="str">
        <f>IFERROR(IF(OR(C32="",Q32="",T32="",AB32="",AF32="",AI32="",AK32=""),"",
IF(OR(M02S04F22="Unconditioned",M02S04F22="Electric Heat Only",M02S04F22="Natural Gas Heat Only"),ROUND(Q32/1000*(INDEX(BUILDINGTYPE[Lighting Coincidence Factor],MATCH(M02S04F19,BUILDINGTYPE[Building Type],0))-0.15),4),
ROUND(Q32/1000*(INDEX(BUILDINGTYPE[Lighting Coincidence Factor],MATCH(M02S04F19,BUILDINGTYPE[Building Type],0))-0.15)*INDEX(BUILDINGTYPE[WHFd],MATCH(M02S04F19,BUILDINGTYPE[Building Type],0)),4))),"")</f>
        <v/>
      </c>
      <c r="BG32" s="838" t="str">
        <f t="shared" ref="BG32" si="32">IFERROR(ROUND(O32*AM32, 2), "")</f>
        <v/>
      </c>
      <c r="BH32" s="843" t="str">
        <f>IFERROR(IF(OR(C32="",T32="",Q32="",AB32="",AF32="",AI32="",AK32="",ISNUMBER(AR32)=FALSE,AR32=0),"",INDEX(STDLIGHTCONT[Measure Number],MATCH(C32,STDLIGHTCONT[Measure Name],0))),"Err")</f>
        <v/>
      </c>
      <c r="BI32" s="754" t="str">
        <f t="shared" ref="BI32" si="33">IFERROR(IF(BP32="",IF(AR32 &lt; BG32, "100% Total Cost", ""), ""), "")</f>
        <v/>
      </c>
      <c r="BJ32" s="851" t="str">
        <f>IFERROR(IF(OR(C32="",Q32="",T32="",AB32="",AF32="",AI32="",AK32=""),"",
IF(BP32&gt;0,"",
IF(EXPIRATION&lt;&gt;"",PROJSTATEXP,
IF(M02S04F19="",MEASUREBLDG,"")))),"")</f>
        <v/>
      </c>
      <c r="BK32" s="828" t="str">
        <f>IFERROR(INDEX(STDLIGHTCONT[Measure Life (Years)],MATCH(C32,STDLIGHTCONT[Measure Name],0)),"")</f>
        <v/>
      </c>
      <c r="BL32" s="830" t="str">
        <f>IFERROR(IF(OR(C32="",T32="",Q32="",AB32="",AF32="",AI32="",AK32=""),"",
ROUND(((1+ELOSS)*((BE32*INDEX(ELECCB[NPV AEC $/kWh],MATCH(BK32,ELECCB[Year Number],1)))+(BF32*INDEX(ELECCB[NPV ACC $/kW],MATCH(BK32,ELECCB[Year Number],1))))),2)),0)</f>
        <v/>
      </c>
      <c r="BM32" s="835" t="str">
        <f>IFERROR(INDEX(STDLIGHTCONT[Min Watts Controlled],MATCH(C32,STDLIGHTCONT[Measure Name],0)),"")</f>
        <v/>
      </c>
      <c r="BN32" s="832" t="str">
        <f>IFERROR(IF(OR(C32="",O32="",T32="",Q32="",AB32="",AF32="",AI32="",AK32=""),"",INDEX(STDLIGHTCONT[Reporting Methodology],MATCH(C32,STDLIGHTCONT[Measure Name],0))),"Err")</f>
        <v/>
      </c>
      <c r="BO32" s="867" t="str">
        <f>IFERROR(IF(BH32="","",INDEX(STDLIGHTCONT[Incremental Measure Cost ($/Unit)],MATCH(C32,STDLIGHTCONT[Measure Name],0))),"Err")</f>
        <v/>
      </c>
      <c r="BP32" s="837"/>
      <c r="BQ32" s="838" t="str">
        <f>_xlfn.LET(
_xlpm.IPU,
IFERROR(IF(C32="","",INDEX(STDLIGHTCONT[Base Incentive],MATCH(C32,STDLIGHTCONT[Measure Name],0))),""),
IFERROR(ROUND(_xlpm.IPU, 2), ""))</f>
        <v/>
      </c>
    </row>
    <row r="33" spans="2:69" ht="15.95" customHeight="1">
      <c r="B33" s="806"/>
      <c r="C33" s="716"/>
      <c r="D33" s="717"/>
      <c r="E33" s="717"/>
      <c r="F33" s="717"/>
      <c r="G33" s="717"/>
      <c r="H33" s="717"/>
      <c r="I33" s="717"/>
      <c r="J33" s="717"/>
      <c r="K33" s="717"/>
      <c r="L33" s="718"/>
      <c r="M33" s="859"/>
      <c r="N33" s="860"/>
      <c r="O33" s="860"/>
      <c r="P33" s="861"/>
      <c r="Q33" s="858"/>
      <c r="R33" s="858"/>
      <c r="S33" s="858"/>
      <c r="T33" s="805"/>
      <c r="U33" s="805"/>
      <c r="V33" s="805"/>
      <c r="W33" s="805"/>
      <c r="X33" s="805"/>
      <c r="Y33" s="805"/>
      <c r="Z33" s="805"/>
      <c r="AA33" s="805"/>
      <c r="AB33" s="805"/>
      <c r="AC33" s="805"/>
      <c r="AD33" s="805"/>
      <c r="AE33" s="805"/>
      <c r="AF33" s="805"/>
      <c r="AG33" s="805"/>
      <c r="AH33" s="728"/>
      <c r="AI33" s="765"/>
      <c r="AJ33" s="766"/>
      <c r="AK33" s="766"/>
      <c r="AL33" s="767"/>
      <c r="AM33" s="824"/>
      <c r="AN33" s="825"/>
      <c r="AO33" s="798"/>
      <c r="AP33" s="798"/>
      <c r="AQ33" s="798"/>
      <c r="AR33" s="827"/>
      <c r="AS33" s="827"/>
      <c r="AT33" s="827"/>
      <c r="AU33" s="827"/>
      <c r="AV33" s="22"/>
      <c r="AX33" s="856"/>
      <c r="AY33" s="844"/>
      <c r="AZ33" s="848"/>
      <c r="BA33" s="848"/>
      <c r="BB33" s="842"/>
      <c r="BC33" s="842"/>
      <c r="BD33" s="846"/>
      <c r="BE33" s="850"/>
      <c r="BF33" s="854"/>
      <c r="BG33" s="839"/>
      <c r="BH33" s="844"/>
      <c r="BI33" s="755"/>
      <c r="BJ33" s="852"/>
      <c r="BK33" s="829"/>
      <c r="BL33" s="831"/>
      <c r="BM33" s="836"/>
      <c r="BN33" s="832"/>
      <c r="BO33" s="867"/>
      <c r="BP33" s="837"/>
      <c r="BQ33" s="839"/>
    </row>
    <row r="34" spans="2:69" ht="15.95" customHeight="1">
      <c r="B34" s="806">
        <v>9</v>
      </c>
      <c r="C34" s="719"/>
      <c r="D34" s="720"/>
      <c r="E34" s="720"/>
      <c r="F34" s="720"/>
      <c r="G34" s="720"/>
      <c r="H34" s="720"/>
      <c r="I34" s="720"/>
      <c r="J34" s="720"/>
      <c r="K34" s="720"/>
      <c r="L34" s="721"/>
      <c r="M34" s="859" t="str">
        <f>IFERROR(IF(C34="","",INDEX(STDLIGHTCONT[Current Unit],MATCH(C34,STDLIGHTCONT[Measure Name],0))),0)</f>
        <v/>
      </c>
      <c r="N34" s="860"/>
      <c r="O34" s="860"/>
      <c r="P34" s="861"/>
      <c r="Q34" s="857"/>
      <c r="R34" s="857"/>
      <c r="S34" s="857"/>
      <c r="T34" s="813"/>
      <c r="U34" s="813"/>
      <c r="V34" s="813"/>
      <c r="W34" s="813"/>
      <c r="X34" s="813"/>
      <c r="Y34" s="813"/>
      <c r="Z34" s="813"/>
      <c r="AA34" s="813"/>
      <c r="AB34" s="813"/>
      <c r="AC34" s="813"/>
      <c r="AD34" s="813"/>
      <c r="AE34" s="813"/>
      <c r="AF34" s="813"/>
      <c r="AG34" s="813"/>
      <c r="AH34" s="716"/>
      <c r="AI34" s="786"/>
      <c r="AJ34" s="787"/>
      <c r="AK34" s="787"/>
      <c r="AL34" s="788"/>
      <c r="AM34" s="822" t="str">
        <f>IFERROR(IF(C34="","",INDEX(IF(AND(ACTIVEBONUS = TRUE,INDEX(STDLIGHTCONT[Bonus Incentive],MATCH(C34,STDLIGHTCONT[Measure Name],0))&lt;&gt; ""),STDLIGHTCONT[Bonus Incentive],STDLIGHTCONT[Base Incentive]),MATCH(C34,STDLIGHTCONT[Measure Name],0))),"")</f>
        <v/>
      </c>
      <c r="AN34" s="823"/>
      <c r="AO34" s="797" t="str">
        <f t="shared" ref="AO34" si="34">IFERROR(IF(OR(C34="",T34="",Q34="",AB34="",AF34="",AI34="",AK34=""),"",IF(BN34="Deemed",AZ34,IF(BN34="Calculated",BE34,""))),"")</f>
        <v/>
      </c>
      <c r="AP34" s="797"/>
      <c r="AQ34" s="797"/>
      <c r="AR34" s="826" t="str">
        <f t="shared" ref="AR34" si="35">IFERROR(IF(OR(C34="",T34="",Q34="",AB34="",AF34="",AI34="",AK34=""),"",IF(BJ34&lt;&gt;"",BJ34,IF(BP34&gt;0,BP34,ROUND(IF(AO34&lt;=0,0,MIN(AX34,BG34)),2)))),"")</f>
        <v/>
      </c>
      <c r="AS34" s="826"/>
      <c r="AT34" s="826"/>
      <c r="AU34" s="826"/>
      <c r="AV34" s="22"/>
      <c r="AX34" s="855" t="str">
        <f t="shared" ref="AX34" si="36">IF(OR(C34="",T34="",Q34="",AB34="",AF34="",AI34="",AK34=""),"",IF(AO34=0,"",ROUND(AI34+AK34,2)))</f>
        <v/>
      </c>
      <c r="AY34" s="843" t="str">
        <f>IFERROR(IF(OR(C34="",T34="",Q34="",AB34="",AF34="",AI34="",AK34=""),"",INDEX(STDLIGHTCONT[Current Unit],MATCH(C34,STDLIGHTCONT[Measure Name],0))),"Err")</f>
        <v/>
      </c>
      <c r="AZ34" s="847" t="str" cm="1">
        <f t="array" ref="AZ34">IF(OR(C34="",T34="",Q34="",AB34="",AF34="",AI34="",AK34=""),"",ROUND(INDEX(Q34*STDLIGHTCONT[Electric Energy Savings (Annual kWh/unit)],MATCH(C34,STDLIGHTCONT[Measure Name],0)),4))</f>
        <v/>
      </c>
      <c r="BA34" s="847" t="str">
        <f>IF(OR(C34="",T34="",Q34="",AB34="",AF34="",AI34="",AK34=""),"",ROUND(Q34*INDEX(STDLIGHTCONT[Coincident Peak Demand Savings (kW/unit)],MATCH(C34,STDLIGHTCONT[Measure Name],0)),4))</f>
        <v/>
      </c>
      <c r="BB34" s="841"/>
      <c r="BC34" s="841"/>
      <c r="BD34" s="845" t="str">
        <f>IFERROR(IF(OR(C34="",T34="",Q34="",AB34="",AF34="",AI34="",AK34=""),"",INDEX(STDLIGHTCONT[End Use],MATCH(C34,STDLIGHTCONT[Measure Name],0))),"Err")</f>
        <v/>
      </c>
      <c r="BE34" s="849" t="str">
        <f>IFERROR(IF(OR(M02S04F22="Unconditioned",M02S04F22="Electric Heat Only",M02S04F22="Natural Gas Heat Only"),ROUND((Q34/1000)*T34*INDEX(STDLIGHTCONT[ESF],MATCH(C34,STDLIGHTCONT[Measure Name],0)),4),
ROUND((Q34/1000)*T34*INDEX(STDLIGHTCONT[ESF],MATCH(C34,STDLIGHTCONT[Measure Name],0))*INDEX(BUILDINGTYPE[Waste Heat Factor (e)],MATCH(M02S04F19,BUILDINGTYPE[Building Type],0)),4)),"")</f>
        <v/>
      </c>
      <c r="BF34" s="853" t="str">
        <f>IFERROR(IF(OR(C34="",Q34="",T34="",AB34="",AF34="",AI34="",AK34=""),"",
IF(OR(M02S04F22="Unconditioned",M02S04F22="Electric Heat Only",M02S04F22="Natural Gas Heat Only"),ROUND(Q34/1000*(INDEX(BUILDINGTYPE[Lighting Coincidence Factor],MATCH(M02S04F19,BUILDINGTYPE[Building Type],0))-0.15),4),
ROUND(Q34/1000*(INDEX(BUILDINGTYPE[Lighting Coincidence Factor],MATCH(M02S04F19,BUILDINGTYPE[Building Type],0))-0.15)*INDEX(BUILDINGTYPE[WHFd],MATCH(M02S04F19,BUILDINGTYPE[Building Type],0)),4))),"")</f>
        <v/>
      </c>
      <c r="BG34" s="838" t="str">
        <f t="shared" ref="BG34" si="37">IFERROR(ROUND(O34*AM34, 2), "")</f>
        <v/>
      </c>
      <c r="BH34" s="843" t="str">
        <f>IFERROR(IF(OR(C34="",T34="",Q34="",AB34="",AF34="",AI34="",AK34="",ISNUMBER(AR34)=FALSE,AR34=0),"",INDEX(STDLIGHTCONT[Measure Number],MATCH(C34,STDLIGHTCONT[Measure Name],0))),"Err")</f>
        <v/>
      </c>
      <c r="BI34" s="754" t="str">
        <f t="shared" ref="BI34" si="38">IFERROR(IF(BP34="",IF(AR34 &lt; BG34, "100% Total Cost", ""), ""), "")</f>
        <v/>
      </c>
      <c r="BJ34" s="851" t="str">
        <f>IFERROR(IF(OR(C34="",Q34="",T34="",AB34="",AF34="",AI34="",AK34=""),"",
IF(BP34&gt;0,"",
IF(EXPIRATION&lt;&gt;"",PROJSTATEXP,
IF(M02S04F19="",MEASUREBLDG,"")))),"")</f>
        <v/>
      </c>
      <c r="BK34" s="828" t="str">
        <f>IFERROR(INDEX(STDLIGHTCONT[Measure Life (Years)],MATCH(C34,STDLIGHTCONT[Measure Name],0)),"")</f>
        <v/>
      </c>
      <c r="BL34" s="830" t="str">
        <f>IFERROR(IF(OR(C34="",T34="",Q34="",AB34="",AF34="",AI34="",AK34=""),"",
ROUND(((1+ELOSS)*((BE34*INDEX(ELECCB[NPV AEC $/kWh],MATCH(BK34,ELECCB[Year Number],1)))+(BF34*INDEX(ELECCB[NPV ACC $/kW],MATCH(BK34,ELECCB[Year Number],1))))),2)),0)</f>
        <v/>
      </c>
      <c r="BM34" s="835" t="str">
        <f>IFERROR(INDEX(STDLIGHTCONT[Min Watts Controlled],MATCH(C34,STDLIGHTCONT[Measure Name],0)),"")</f>
        <v/>
      </c>
      <c r="BN34" s="832" t="str">
        <f>IFERROR(IF(OR(C34="",O34="",T34="",Q34="",AB34="",AF34="",AI34="",AK34=""),"",INDEX(STDLIGHTCONT[Reporting Methodology],MATCH(C34,STDLIGHTCONT[Measure Name],0))),"Err")</f>
        <v/>
      </c>
      <c r="BO34" s="867" t="str">
        <f>IFERROR(IF(BH34="","",INDEX(STDLIGHTCONT[Incremental Measure Cost ($/Unit)],MATCH(C34,STDLIGHTCONT[Measure Name],0))),"Err")</f>
        <v/>
      </c>
      <c r="BP34" s="837"/>
      <c r="BQ34" s="838" t="str">
        <f>_xlfn.LET(
_xlpm.IPU,
IFERROR(IF(C34="","",INDEX(STDLIGHTCONT[Base Incentive],MATCH(C34,STDLIGHTCONT[Measure Name],0))),""),
IFERROR(ROUND(_xlpm.IPU, 2), ""))</f>
        <v/>
      </c>
    </row>
    <row r="35" spans="2:69" ht="15.95" customHeight="1">
      <c r="B35" s="806"/>
      <c r="C35" s="716"/>
      <c r="D35" s="717"/>
      <c r="E35" s="717"/>
      <c r="F35" s="717"/>
      <c r="G35" s="717"/>
      <c r="H35" s="717"/>
      <c r="I35" s="717"/>
      <c r="J35" s="717"/>
      <c r="K35" s="717"/>
      <c r="L35" s="718"/>
      <c r="M35" s="859"/>
      <c r="N35" s="860"/>
      <c r="O35" s="860"/>
      <c r="P35" s="861"/>
      <c r="Q35" s="858"/>
      <c r="R35" s="858"/>
      <c r="S35" s="858"/>
      <c r="T35" s="805"/>
      <c r="U35" s="805"/>
      <c r="V35" s="805"/>
      <c r="W35" s="805"/>
      <c r="X35" s="805"/>
      <c r="Y35" s="805"/>
      <c r="Z35" s="805"/>
      <c r="AA35" s="805"/>
      <c r="AB35" s="805"/>
      <c r="AC35" s="805"/>
      <c r="AD35" s="805"/>
      <c r="AE35" s="805"/>
      <c r="AF35" s="805"/>
      <c r="AG35" s="805"/>
      <c r="AH35" s="728"/>
      <c r="AI35" s="765"/>
      <c r="AJ35" s="766"/>
      <c r="AK35" s="766"/>
      <c r="AL35" s="767"/>
      <c r="AM35" s="824"/>
      <c r="AN35" s="825"/>
      <c r="AO35" s="798"/>
      <c r="AP35" s="798"/>
      <c r="AQ35" s="798"/>
      <c r="AR35" s="827"/>
      <c r="AS35" s="827"/>
      <c r="AT35" s="827"/>
      <c r="AU35" s="827"/>
      <c r="AV35" s="22"/>
      <c r="AX35" s="856"/>
      <c r="AY35" s="844"/>
      <c r="AZ35" s="848"/>
      <c r="BA35" s="848"/>
      <c r="BB35" s="842"/>
      <c r="BC35" s="842"/>
      <c r="BD35" s="846"/>
      <c r="BE35" s="850"/>
      <c r="BF35" s="854"/>
      <c r="BG35" s="839"/>
      <c r="BH35" s="844"/>
      <c r="BI35" s="755"/>
      <c r="BJ35" s="852"/>
      <c r="BK35" s="829"/>
      <c r="BL35" s="831"/>
      <c r="BM35" s="836"/>
      <c r="BN35" s="832"/>
      <c r="BO35" s="867"/>
      <c r="BP35" s="837"/>
      <c r="BQ35" s="839"/>
    </row>
    <row r="36" spans="2:69" ht="15.95" customHeight="1">
      <c r="B36" s="806">
        <v>10</v>
      </c>
      <c r="C36" s="719"/>
      <c r="D36" s="720"/>
      <c r="E36" s="720"/>
      <c r="F36" s="720"/>
      <c r="G36" s="720"/>
      <c r="H36" s="720"/>
      <c r="I36" s="720"/>
      <c r="J36" s="720"/>
      <c r="K36" s="720"/>
      <c r="L36" s="721"/>
      <c r="M36" s="859" t="str">
        <f>IFERROR(IF(C36="","",INDEX(STDLIGHTCONT[Current Unit],MATCH(C36,STDLIGHTCONT[Measure Name],0))),0)</f>
        <v/>
      </c>
      <c r="N36" s="860"/>
      <c r="O36" s="860"/>
      <c r="P36" s="861"/>
      <c r="Q36" s="857"/>
      <c r="R36" s="857"/>
      <c r="S36" s="857"/>
      <c r="T36" s="813"/>
      <c r="U36" s="813"/>
      <c r="V36" s="813"/>
      <c r="W36" s="813"/>
      <c r="X36" s="813"/>
      <c r="Y36" s="813"/>
      <c r="Z36" s="813"/>
      <c r="AA36" s="813"/>
      <c r="AB36" s="813"/>
      <c r="AC36" s="813"/>
      <c r="AD36" s="813"/>
      <c r="AE36" s="813"/>
      <c r="AF36" s="813"/>
      <c r="AG36" s="813"/>
      <c r="AH36" s="716"/>
      <c r="AI36" s="786"/>
      <c r="AJ36" s="787"/>
      <c r="AK36" s="787"/>
      <c r="AL36" s="788"/>
      <c r="AM36" s="822" t="str">
        <f>IFERROR(IF(C36="","",INDEX(IF(AND(ACTIVEBONUS = TRUE,INDEX(STDLIGHTCONT[Bonus Incentive],MATCH(C36,STDLIGHTCONT[Measure Name],0))&lt;&gt; ""),STDLIGHTCONT[Bonus Incentive],STDLIGHTCONT[Base Incentive]),MATCH(C36,STDLIGHTCONT[Measure Name],0))),"")</f>
        <v/>
      </c>
      <c r="AN36" s="823"/>
      <c r="AO36" s="797" t="str">
        <f t="shared" ref="AO36" si="39">IFERROR(IF(OR(C36="",T36="",Q36="",AB36="",AF36="",AI36="",AK36=""),"",IF(BN36="Deemed",AZ36,IF(BN36="Calculated",BE36,""))),"")</f>
        <v/>
      </c>
      <c r="AP36" s="797"/>
      <c r="AQ36" s="797"/>
      <c r="AR36" s="826" t="str">
        <f t="shared" ref="AR36" si="40">IFERROR(IF(OR(C36="",T36="",Q36="",AB36="",AF36="",AI36="",AK36=""),"",IF(BJ36&lt;&gt;"",BJ36,IF(BP36&gt;0,BP36,ROUND(IF(AO36&lt;=0,0,MIN(AX36,BG36)),2)))),"")</f>
        <v/>
      </c>
      <c r="AS36" s="826"/>
      <c r="AT36" s="826"/>
      <c r="AU36" s="826"/>
      <c r="AV36" s="22"/>
      <c r="AX36" s="855" t="str">
        <f t="shared" ref="AX36" si="41">IF(OR(C36="",T36="",Q36="",AB36="",AF36="",AI36="",AK36=""),"",IF(AO36=0,"",ROUND(AI36+AK36,2)))</f>
        <v/>
      </c>
      <c r="AY36" s="843" t="str">
        <f>IFERROR(IF(OR(C36="",T36="",Q36="",AB36="",AF36="",AI36="",AK36=""),"",INDEX(STDLIGHTCONT[Current Unit],MATCH(C36,STDLIGHTCONT[Measure Name],0))),"Err")</f>
        <v/>
      </c>
      <c r="AZ36" s="847" t="str" cm="1">
        <f t="array" ref="AZ36">IF(OR(C36="",T36="",Q36="",AB36="",AF36="",AI36="",AK36=""),"",ROUND(INDEX(Q36*STDLIGHTCONT[Electric Energy Savings (Annual kWh/unit)],MATCH(C36,STDLIGHTCONT[Measure Name],0)),4))</f>
        <v/>
      </c>
      <c r="BA36" s="847" t="str">
        <f>IF(OR(C36="",T36="",Q36="",AB36="",AF36="",AI36="",AK36=""),"",ROUND(Q36*INDEX(STDLIGHTCONT[Coincident Peak Demand Savings (kW/unit)],MATCH(C36,STDLIGHTCONT[Measure Name],0)),4))</f>
        <v/>
      </c>
      <c r="BB36" s="841"/>
      <c r="BC36" s="841"/>
      <c r="BD36" s="845" t="str">
        <f>IFERROR(IF(OR(C36="",T36="",Q36="",AB36="",AF36="",AI36="",AK36=""),"",INDEX(STDLIGHTCONT[End Use],MATCH(C36,STDLIGHTCONT[Measure Name],0))),"Err")</f>
        <v/>
      </c>
      <c r="BE36" s="849" t="str">
        <f>IFERROR(IF(OR(M02S04F22="Unconditioned",M02S04F22="Electric Heat Only",M02S04F22="Natural Gas Heat Only"),ROUND((Q36/1000)*T36*INDEX(STDLIGHTCONT[ESF],MATCH(C36,STDLIGHTCONT[Measure Name],0)),4),
ROUND((Q36/1000)*T36*INDEX(STDLIGHTCONT[ESF],MATCH(C36,STDLIGHTCONT[Measure Name],0))*INDEX(BUILDINGTYPE[Waste Heat Factor (e)],MATCH(M02S04F19,BUILDINGTYPE[Building Type],0)),4)),"")</f>
        <v/>
      </c>
      <c r="BF36" s="853" t="str">
        <f>IFERROR(IF(OR(C36="",Q36="",T36="",AB36="",AF36="",AI36="",AK36=""),"",
IF(OR(M02S04F22="Unconditioned",M02S04F22="Electric Heat Only",M02S04F22="Natural Gas Heat Only"),ROUND(Q36/1000*(INDEX(BUILDINGTYPE[Lighting Coincidence Factor],MATCH(M02S04F19,BUILDINGTYPE[Building Type],0))-0.15),4),
ROUND(Q36/1000*(INDEX(BUILDINGTYPE[Lighting Coincidence Factor],MATCH(M02S04F19,BUILDINGTYPE[Building Type],0))-0.15)*INDEX(BUILDINGTYPE[WHFd],MATCH(M02S04F19,BUILDINGTYPE[Building Type],0)),4))),"")</f>
        <v/>
      </c>
      <c r="BG36" s="838" t="str">
        <f t="shared" ref="BG36" si="42">IFERROR(ROUND(O36*AM36, 2), "")</f>
        <v/>
      </c>
      <c r="BH36" s="843" t="str">
        <f>IFERROR(IF(OR(C36="",T36="",Q36="",AB36="",AF36="",AI36="",AK36="",ISNUMBER(AR36)=FALSE,AR36=0),"",INDEX(STDLIGHTCONT[Measure Number],MATCH(C36,STDLIGHTCONT[Measure Name],0))),"Err")</f>
        <v/>
      </c>
      <c r="BI36" s="754" t="str">
        <f t="shared" ref="BI36" si="43">IFERROR(IF(BP36="",IF(AR36 &lt; BG36, "100% Total Cost", ""), ""), "")</f>
        <v/>
      </c>
      <c r="BJ36" s="851" t="str">
        <f>IFERROR(IF(OR(C36="",Q36="",T36="",AB36="",AF36="",AI36="",AK36=""),"",
IF(BP36&gt;0,"",
IF(EXPIRATION&lt;&gt;"",PROJSTATEXP,
IF(M02S04F19="",MEASUREBLDG,"")))),"")</f>
        <v/>
      </c>
      <c r="BK36" s="828" t="str">
        <f>IFERROR(INDEX(STDLIGHTCONT[Measure Life (Years)],MATCH(C36,STDLIGHTCONT[Measure Name],0)),"")</f>
        <v/>
      </c>
      <c r="BL36" s="830" t="str">
        <f>IFERROR(IF(OR(C36="",T36="",Q36="",AB36="",AF36="",AI36="",AK36=""),"",
ROUND(((1+ELOSS)*((BE36*INDEX(ELECCB[NPV AEC $/kWh],MATCH(BK36,ELECCB[Year Number],1)))+(BF36*INDEX(ELECCB[NPV ACC $/kW],MATCH(BK36,ELECCB[Year Number],1))))),2)),0)</f>
        <v/>
      </c>
      <c r="BM36" s="835" t="str">
        <f>IFERROR(INDEX(STDLIGHTCONT[Min Watts Controlled],MATCH(C36,STDLIGHTCONT[Measure Name],0)),"")</f>
        <v/>
      </c>
      <c r="BN36" s="832" t="str">
        <f>IFERROR(IF(OR(C36="",O36="",T36="",Q36="",AB36="",AF36="",AI36="",AK36=""),"",INDEX(STDLIGHTCONT[Reporting Methodology],MATCH(C36,STDLIGHTCONT[Measure Name],0))),"Err")</f>
        <v/>
      </c>
      <c r="BO36" s="867" t="str">
        <f>IFERROR(IF(BH36="","",INDEX(STDLIGHTCONT[Incremental Measure Cost ($/Unit)],MATCH(C36,STDLIGHTCONT[Measure Name],0))),"Err")</f>
        <v/>
      </c>
      <c r="BP36" s="837"/>
      <c r="BQ36" s="838" t="str">
        <f>_xlfn.LET(
_xlpm.IPU,
IFERROR(IF(C36="","",INDEX(STDLIGHTCONT[Base Incentive],MATCH(C36,STDLIGHTCONT[Measure Name],0))),""),
IFERROR(ROUND(_xlpm.IPU, 2), ""))</f>
        <v/>
      </c>
    </row>
    <row r="37" spans="2:69" ht="15.95" customHeight="1">
      <c r="B37" s="806"/>
      <c r="C37" s="716"/>
      <c r="D37" s="717"/>
      <c r="E37" s="717"/>
      <c r="F37" s="717"/>
      <c r="G37" s="717"/>
      <c r="H37" s="717"/>
      <c r="I37" s="717"/>
      <c r="J37" s="717"/>
      <c r="K37" s="717"/>
      <c r="L37" s="718"/>
      <c r="M37" s="859"/>
      <c r="N37" s="860"/>
      <c r="O37" s="860"/>
      <c r="P37" s="861"/>
      <c r="Q37" s="858"/>
      <c r="R37" s="858"/>
      <c r="S37" s="858"/>
      <c r="T37" s="805"/>
      <c r="U37" s="805"/>
      <c r="V37" s="805"/>
      <c r="W37" s="805"/>
      <c r="X37" s="805"/>
      <c r="Y37" s="805"/>
      <c r="Z37" s="805"/>
      <c r="AA37" s="805"/>
      <c r="AB37" s="805"/>
      <c r="AC37" s="805"/>
      <c r="AD37" s="805"/>
      <c r="AE37" s="805"/>
      <c r="AF37" s="805"/>
      <c r="AG37" s="805"/>
      <c r="AH37" s="728"/>
      <c r="AI37" s="765"/>
      <c r="AJ37" s="766"/>
      <c r="AK37" s="766"/>
      <c r="AL37" s="767"/>
      <c r="AM37" s="824"/>
      <c r="AN37" s="825"/>
      <c r="AO37" s="798"/>
      <c r="AP37" s="798"/>
      <c r="AQ37" s="798"/>
      <c r="AR37" s="827"/>
      <c r="AS37" s="827"/>
      <c r="AT37" s="827"/>
      <c r="AU37" s="827"/>
      <c r="AV37" s="22"/>
      <c r="AX37" s="856"/>
      <c r="AY37" s="844"/>
      <c r="AZ37" s="848"/>
      <c r="BA37" s="848"/>
      <c r="BB37" s="842"/>
      <c r="BC37" s="842"/>
      <c r="BD37" s="846"/>
      <c r="BE37" s="850"/>
      <c r="BF37" s="854"/>
      <c r="BG37" s="839"/>
      <c r="BH37" s="844"/>
      <c r="BI37" s="755"/>
      <c r="BJ37" s="852"/>
      <c r="BK37" s="829"/>
      <c r="BL37" s="831"/>
      <c r="BM37" s="836"/>
      <c r="BN37" s="832"/>
      <c r="BO37" s="867"/>
      <c r="BP37" s="837"/>
      <c r="BQ37" s="839"/>
    </row>
    <row r="38" spans="2:69" ht="15.95" customHeight="1">
      <c r="AX38" s="222"/>
    </row>
    <row r="39" spans="2:69" ht="15.95" hidden="1" customHeight="1">
      <c r="AX39" s="222"/>
    </row>
    <row r="40" spans="2:69" ht="15.95" hidden="1" customHeight="1">
      <c r="AX40" s="222"/>
    </row>
    <row r="41" spans="2:69" ht="15.95" hidden="1" customHeight="1">
      <c r="AX41" s="222"/>
    </row>
    <row r="42" spans="2:69" ht="15.95" hidden="1" customHeight="1">
      <c r="AX42" s="222"/>
    </row>
    <row r="43" spans="2:69" ht="15.95" hidden="1" customHeight="1">
      <c r="AX43" s="222"/>
    </row>
    <row r="44" spans="2:69" ht="15.95" hidden="1" customHeight="1">
      <c r="AX44" s="222"/>
    </row>
    <row r="45" spans="2:69" ht="15.95" hidden="1" customHeight="1">
      <c r="AX45" s="222"/>
    </row>
    <row r="46" spans="2:69" ht="15.95" hidden="1" customHeight="1">
      <c r="AX46" s="222"/>
    </row>
    <row r="47" spans="2:69" ht="15.95" hidden="1" customHeight="1">
      <c r="AX47" s="222"/>
    </row>
    <row r="48" spans="2:69" ht="15.95" hidden="1" customHeight="1">
      <c r="AZ48" s="31"/>
      <c r="BA48" s="37"/>
      <c r="BE48" s="31"/>
    </row>
    <row r="49" spans="52:57" ht="15.95" hidden="1" customHeight="1">
      <c r="AZ49" s="31"/>
      <c r="BA49" s="37"/>
      <c r="BE49" s="31"/>
    </row>
    <row r="50" spans="52:57" ht="15.95" hidden="1" customHeight="1">
      <c r="AZ50" s="31"/>
      <c r="BA50" s="37"/>
      <c r="BE50" s="31"/>
    </row>
    <row r="51" spans="52:57" ht="15.95" hidden="1" customHeight="1">
      <c r="AZ51" s="31"/>
      <c r="BA51" s="37"/>
      <c r="BE51" s="31"/>
    </row>
    <row r="52" spans="52:57" ht="15.95" hidden="1" customHeight="1">
      <c r="AZ52" s="31"/>
      <c r="BA52" s="37"/>
      <c r="BE52" s="31"/>
    </row>
    <row r="53" spans="52:57" ht="15.95" hidden="1" customHeight="1">
      <c r="AZ53" s="31"/>
      <c r="BA53" s="37"/>
      <c r="BE53" s="31"/>
    </row>
    <row r="54" spans="52:57" ht="15.95" hidden="1" customHeight="1">
      <c r="AZ54" s="31"/>
      <c r="BA54" s="37"/>
      <c r="BE54" s="31"/>
    </row>
    <row r="55" spans="52:57" ht="15.95" hidden="1" customHeight="1">
      <c r="AZ55" s="31"/>
      <c r="BA55" s="37"/>
      <c r="BE55" s="31"/>
    </row>
    <row r="56" spans="52:57" ht="15.95" hidden="1" customHeight="1">
      <c r="AZ56" s="31"/>
      <c r="BA56" s="37"/>
      <c r="BE56" s="31"/>
    </row>
    <row r="57" spans="52:57" ht="15.95" hidden="1" customHeight="1">
      <c r="AZ57" s="31"/>
      <c r="BA57" s="37"/>
      <c r="BE57" s="31"/>
    </row>
    <row r="58" spans="52:57" ht="15.95" hidden="1" customHeight="1">
      <c r="AZ58" s="31"/>
      <c r="BA58" s="37"/>
      <c r="BE58" s="31"/>
    </row>
    <row r="59" spans="52:57" ht="15.95" hidden="1" customHeight="1">
      <c r="AZ59" s="31"/>
      <c r="BA59" s="37"/>
      <c r="BE59" s="31"/>
    </row>
    <row r="60" spans="52:57" ht="15.95" hidden="1" customHeight="1">
      <c r="AZ60" s="31"/>
      <c r="BA60" s="37"/>
      <c r="BE60" s="31"/>
    </row>
    <row r="61" spans="52:57" ht="15.95" hidden="1" customHeight="1">
      <c r="AZ61" s="31"/>
      <c r="BA61" s="37"/>
      <c r="BE61" s="31"/>
    </row>
    <row r="62" spans="52:57" ht="15.95" hidden="1" customHeight="1">
      <c r="AZ62" s="31"/>
      <c r="BA62" s="37"/>
      <c r="BE62" s="31"/>
    </row>
    <row r="63" spans="52:57" ht="15.95" hidden="1" customHeight="1">
      <c r="AZ63" s="31"/>
      <c r="BA63" s="37"/>
      <c r="BE63" s="31"/>
    </row>
    <row r="64" spans="52:57" ht="15.95" hidden="1" customHeight="1">
      <c r="AZ64" s="31"/>
      <c r="BA64" s="37"/>
      <c r="BE64" s="31"/>
    </row>
    <row r="65" spans="52:57" ht="15.95" hidden="1" customHeight="1">
      <c r="AZ65" s="31"/>
      <c r="BA65" s="37"/>
      <c r="BE65" s="31"/>
    </row>
    <row r="66" spans="52:57" ht="15.95" hidden="1" customHeight="1">
      <c r="AZ66" s="31"/>
      <c r="BA66" s="37"/>
      <c r="BE66" s="31"/>
    </row>
    <row r="67" spans="52:57" ht="15.95" hidden="1" customHeight="1">
      <c r="AZ67" s="31"/>
      <c r="BA67" s="37"/>
      <c r="BE67" s="31"/>
    </row>
    <row r="68" spans="52:57" ht="15.95" hidden="1" customHeight="1">
      <c r="AZ68" s="31"/>
      <c r="BA68" s="37"/>
      <c r="BE68" s="31"/>
    </row>
    <row r="69" spans="52:57" ht="15.95" hidden="1" customHeight="1">
      <c r="AZ69" s="31"/>
      <c r="BA69" s="37"/>
      <c r="BE69" s="31"/>
    </row>
    <row r="70" spans="52:57" ht="15.95" hidden="1" customHeight="1">
      <c r="AZ70" s="31"/>
      <c r="BA70" s="37"/>
      <c r="BE70" s="31"/>
    </row>
    <row r="71" spans="52:57" ht="15.95" hidden="1" customHeight="1">
      <c r="AZ71" s="31"/>
      <c r="BA71" s="37"/>
      <c r="BE71" s="31"/>
    </row>
    <row r="72" spans="52:57" ht="15.95" hidden="1" customHeight="1">
      <c r="AZ72" s="31"/>
      <c r="BA72" s="37"/>
      <c r="BE72" s="31"/>
    </row>
    <row r="73" spans="52:57" ht="15.95" hidden="1" customHeight="1">
      <c r="AZ73" s="31"/>
      <c r="BA73" s="37"/>
      <c r="BE73" s="31"/>
    </row>
    <row r="74" spans="52:57" ht="15.95" hidden="1" customHeight="1">
      <c r="AZ74" s="31"/>
      <c r="BA74" s="37"/>
      <c r="BE74" s="31"/>
    </row>
    <row r="75" spans="52:57" ht="15.95" hidden="1" customHeight="1">
      <c r="AZ75" s="31"/>
      <c r="BA75" s="37"/>
      <c r="BE75" s="31"/>
    </row>
    <row r="76" spans="52:57" ht="15.95" hidden="1" customHeight="1">
      <c r="AZ76" s="31"/>
      <c r="BA76" s="37"/>
      <c r="BE76" s="31"/>
    </row>
    <row r="77" spans="52:57" ht="15.95" hidden="1" customHeight="1">
      <c r="AZ77" s="31"/>
      <c r="BA77" s="37"/>
      <c r="BE77" s="31"/>
    </row>
    <row r="78" spans="52:57" ht="15.95" hidden="1" customHeight="1">
      <c r="AZ78" s="31"/>
      <c r="BA78" s="37"/>
      <c r="BE78" s="31"/>
    </row>
    <row r="79" spans="52:57" ht="15.95" hidden="1" customHeight="1">
      <c r="AZ79" s="31"/>
      <c r="BA79" s="37"/>
      <c r="BE79" s="31"/>
    </row>
    <row r="80" spans="52:57" ht="15.95" hidden="1" customHeight="1">
      <c r="AZ80" s="31"/>
      <c r="BA80" s="37"/>
      <c r="BE80" s="31"/>
    </row>
    <row r="81" spans="52:57" ht="15.95" hidden="1" customHeight="1">
      <c r="AZ81" s="31"/>
      <c r="BA81" s="37"/>
      <c r="BE81" s="31"/>
    </row>
    <row r="82" spans="52:57" ht="15.95" hidden="1" customHeight="1">
      <c r="AZ82" s="31"/>
      <c r="BA82" s="37"/>
      <c r="BE82" s="31"/>
    </row>
    <row r="83" spans="52:57" ht="15.95" hidden="1" customHeight="1">
      <c r="AZ83" s="31"/>
      <c r="BA83" s="37"/>
      <c r="BE83" s="31"/>
    </row>
    <row r="84" spans="52:57" ht="15.95" hidden="1" customHeight="1">
      <c r="AZ84" s="31"/>
      <c r="BA84" s="37"/>
      <c r="BE84" s="31"/>
    </row>
    <row r="85" spans="52:57" ht="15.95" hidden="1" customHeight="1">
      <c r="AZ85" s="31"/>
      <c r="BA85" s="37"/>
      <c r="BE85" s="31"/>
    </row>
    <row r="86" spans="52:57" ht="15.95" hidden="1" customHeight="1">
      <c r="AZ86" s="31"/>
      <c r="BA86" s="37"/>
      <c r="BE86" s="31"/>
    </row>
    <row r="87" spans="52:57" ht="15.95" hidden="1" customHeight="1">
      <c r="AZ87" s="31"/>
      <c r="BA87" s="37"/>
      <c r="BE87" s="31"/>
    </row>
    <row r="88" spans="52:57" ht="15.95" hidden="1" customHeight="1">
      <c r="AZ88" s="31"/>
      <c r="BA88" s="37"/>
      <c r="BE88" s="31"/>
    </row>
    <row r="89" spans="52:57" ht="15.95" hidden="1" customHeight="1">
      <c r="AZ89" s="31"/>
      <c r="BA89" s="37"/>
      <c r="BE89" s="31"/>
    </row>
    <row r="90" spans="52:57" ht="15.95" hidden="1" customHeight="1">
      <c r="AZ90" s="31"/>
      <c r="BA90" s="37"/>
      <c r="BE90" s="31"/>
    </row>
    <row r="91" spans="52:57" ht="15.95" hidden="1" customHeight="1">
      <c r="AZ91" s="31"/>
      <c r="BA91" s="37"/>
      <c r="BE91" s="31"/>
    </row>
    <row r="92" spans="52:57" ht="15.95" hidden="1" customHeight="1">
      <c r="AZ92" s="31"/>
      <c r="BA92" s="37"/>
      <c r="BE92" s="31"/>
    </row>
    <row r="93" spans="52:57" ht="15.95" hidden="1" customHeight="1">
      <c r="AZ93" s="31"/>
      <c r="BA93" s="37"/>
      <c r="BE93" s="31"/>
    </row>
    <row r="94" spans="52:57" ht="15.95" hidden="1" customHeight="1">
      <c r="AZ94" s="31"/>
      <c r="BA94" s="37"/>
      <c r="BE94" s="31"/>
    </row>
    <row r="95" spans="52:57" ht="15.95" hidden="1" customHeight="1">
      <c r="AZ95" s="31"/>
      <c r="BA95" s="37"/>
      <c r="BE95" s="31"/>
    </row>
    <row r="96" spans="52:57" ht="15.95" hidden="1" customHeight="1">
      <c r="AZ96" s="31"/>
      <c r="BA96" s="37"/>
      <c r="BE96" s="31"/>
    </row>
    <row r="97" spans="52:57" ht="15.95" hidden="1" customHeight="1">
      <c r="AZ97" s="31"/>
      <c r="BA97" s="37"/>
      <c r="BE97" s="31"/>
    </row>
    <row r="98" spans="52:57" ht="15.95" hidden="1" customHeight="1">
      <c r="AZ98" s="31"/>
      <c r="BA98" s="37"/>
      <c r="BE98" s="31"/>
    </row>
    <row r="99" spans="52:57" ht="15.95" hidden="1" customHeight="1">
      <c r="AZ99" s="31"/>
      <c r="BA99" s="37"/>
      <c r="BE99" s="31"/>
    </row>
    <row r="100" spans="52:57" ht="15.95" hidden="1" customHeight="1">
      <c r="AZ100" s="31"/>
      <c r="BA100" s="37"/>
      <c r="BE100" s="31"/>
    </row>
    <row r="101" spans="52:57" ht="15.95" hidden="1" customHeight="1">
      <c r="AZ101" s="31"/>
      <c r="BA101" s="37"/>
      <c r="BE101" s="31"/>
    </row>
    <row r="102" spans="52:57" ht="15.95" hidden="1" customHeight="1">
      <c r="AZ102" s="31"/>
      <c r="BA102" s="37"/>
      <c r="BE102" s="31"/>
    </row>
    <row r="103" spans="52:57" ht="15.95" hidden="1" customHeight="1">
      <c r="AZ103" s="31"/>
      <c r="BA103" s="37"/>
      <c r="BE103" s="31"/>
    </row>
    <row r="104" spans="52:57" ht="15.95" hidden="1" customHeight="1">
      <c r="AZ104" s="31"/>
      <c r="BA104" s="37"/>
      <c r="BE104" s="31"/>
    </row>
    <row r="105" spans="52:57" ht="15.95" hidden="1" customHeight="1">
      <c r="AZ105" s="31"/>
      <c r="BA105" s="37"/>
      <c r="BE105" s="31"/>
    </row>
    <row r="106" spans="52:57" ht="15.95" hidden="1" customHeight="1">
      <c r="AZ106" s="31"/>
      <c r="BA106" s="37"/>
      <c r="BE106" s="31"/>
    </row>
    <row r="107" spans="52:57" ht="15.95" hidden="1" customHeight="1">
      <c r="AZ107" s="31"/>
      <c r="BA107" s="37"/>
      <c r="BE107" s="31"/>
    </row>
    <row r="108" spans="52:57" ht="15.95" hidden="1" customHeight="1">
      <c r="AZ108" s="31"/>
      <c r="BA108" s="37"/>
      <c r="BE108" s="31"/>
    </row>
    <row r="109" spans="52:57" ht="15.95" hidden="1" customHeight="1">
      <c r="AZ109" s="31"/>
      <c r="BA109" s="37"/>
      <c r="BE109" s="31"/>
    </row>
    <row r="110" spans="52:57" ht="15.95" hidden="1" customHeight="1">
      <c r="AZ110" s="31"/>
      <c r="BA110" s="37"/>
      <c r="BE110" s="31"/>
    </row>
    <row r="111" spans="52:57" ht="15.95" hidden="1" customHeight="1">
      <c r="AZ111" s="31"/>
      <c r="BA111" s="37"/>
      <c r="BE111" s="31"/>
    </row>
    <row r="112" spans="52:57" ht="15.95" hidden="1" customHeight="1">
      <c r="AZ112" s="31"/>
      <c r="BA112" s="37"/>
      <c r="BE112" s="31"/>
    </row>
    <row r="113" spans="52:57" ht="15.95" hidden="1" customHeight="1">
      <c r="AZ113" s="31"/>
      <c r="BA113" s="37"/>
      <c r="BE113" s="31"/>
    </row>
    <row r="114" spans="52:57" ht="15.95" hidden="1" customHeight="1">
      <c r="AZ114" s="31"/>
      <c r="BA114" s="37"/>
      <c r="BE114" s="31"/>
    </row>
    <row r="115" spans="52:57" ht="15.95" hidden="1" customHeight="1">
      <c r="AZ115" s="31"/>
      <c r="BA115" s="37"/>
      <c r="BE115" s="31"/>
    </row>
    <row r="116" spans="52:57" ht="15.95" hidden="1" customHeight="1">
      <c r="AZ116" s="31"/>
      <c r="BA116" s="37"/>
      <c r="BE116" s="31"/>
    </row>
    <row r="117" spans="52:57" ht="15.95" hidden="1" customHeight="1">
      <c r="AZ117" s="31"/>
      <c r="BA117" s="37"/>
      <c r="BE117" s="31"/>
    </row>
    <row r="118" spans="52:57" ht="15.95" hidden="1" customHeight="1">
      <c r="AZ118" s="31"/>
      <c r="BA118" s="37"/>
      <c r="BE118" s="31"/>
    </row>
    <row r="119" spans="52:57" ht="15.95" hidden="1" customHeight="1">
      <c r="AZ119" s="31"/>
      <c r="BA119" s="37"/>
      <c r="BE119" s="31"/>
    </row>
    <row r="120" spans="52:57" ht="15.95" hidden="1" customHeight="1">
      <c r="AZ120" s="31"/>
      <c r="BA120" s="37"/>
      <c r="BE120" s="31"/>
    </row>
    <row r="121" spans="52:57" ht="15.95" hidden="1" customHeight="1">
      <c r="AZ121" s="31"/>
      <c r="BA121" s="37"/>
      <c r="BE121" s="31"/>
    </row>
    <row r="122" spans="52:57" ht="15.95" hidden="1" customHeight="1">
      <c r="AZ122" s="31"/>
      <c r="BA122" s="37"/>
      <c r="BE122" s="31"/>
    </row>
    <row r="123" spans="52:57" ht="15.95" hidden="1" customHeight="1">
      <c r="AZ123" s="31"/>
      <c r="BA123" s="37"/>
      <c r="BE123" s="31"/>
    </row>
    <row r="124" spans="52:57" ht="15.95" hidden="1" customHeight="1">
      <c r="AZ124" s="31"/>
      <c r="BA124" s="37"/>
      <c r="BE124" s="31"/>
    </row>
    <row r="125" spans="52:57" ht="15.95" hidden="1" customHeight="1">
      <c r="AZ125" s="31"/>
      <c r="BA125" s="37"/>
      <c r="BE125" s="31"/>
    </row>
    <row r="126" spans="52:57" ht="15.95" hidden="1" customHeight="1">
      <c r="AZ126" s="31"/>
      <c r="BA126" s="37"/>
      <c r="BE126" s="31"/>
    </row>
    <row r="127" spans="52:57" ht="15.95" hidden="1" customHeight="1">
      <c r="AZ127" s="31"/>
      <c r="BA127" s="37"/>
      <c r="BE127" s="31"/>
    </row>
    <row r="128" spans="52:57" ht="15.95" hidden="1" customHeight="1">
      <c r="AZ128" s="31"/>
      <c r="BA128" s="37"/>
      <c r="BE128" s="31"/>
    </row>
    <row r="129" spans="52:57" ht="15.95" hidden="1" customHeight="1">
      <c r="AZ129" s="31"/>
      <c r="BA129" s="37"/>
      <c r="BE129" s="31"/>
    </row>
    <row r="130" spans="52:57" ht="15.95" hidden="1" customHeight="1">
      <c r="AZ130" s="31"/>
      <c r="BA130" s="37"/>
      <c r="BE130" s="31"/>
    </row>
    <row r="131" spans="52:57" ht="15.95" hidden="1" customHeight="1">
      <c r="AZ131" s="31"/>
      <c r="BA131" s="37"/>
      <c r="BE131" s="31"/>
    </row>
    <row r="132" spans="52:57" ht="15.95" hidden="1" customHeight="1">
      <c r="AZ132" s="31"/>
      <c r="BA132" s="37"/>
      <c r="BE132" s="31"/>
    </row>
    <row r="133" spans="52:57" ht="15.95" hidden="1" customHeight="1">
      <c r="AZ133" s="31"/>
      <c r="BA133" s="37"/>
      <c r="BE133" s="31"/>
    </row>
    <row r="134" spans="52:57" ht="15.95" hidden="1" customHeight="1">
      <c r="AZ134" s="31"/>
      <c r="BA134" s="37"/>
      <c r="BE134" s="31"/>
    </row>
    <row r="135" spans="52:57" ht="15.95" hidden="1" customHeight="1">
      <c r="AZ135" s="31"/>
      <c r="BA135" s="37"/>
      <c r="BE135" s="31"/>
    </row>
    <row r="136" spans="52:57" ht="15.95" hidden="1" customHeight="1">
      <c r="AZ136" s="31"/>
      <c r="BA136" s="37"/>
      <c r="BE136" s="31"/>
    </row>
    <row r="137" spans="52:57" ht="15.95" hidden="1" customHeight="1">
      <c r="AZ137" s="31"/>
      <c r="BA137" s="37"/>
      <c r="BE137" s="31"/>
    </row>
    <row r="138" spans="52:57" ht="15.95" hidden="1" customHeight="1">
      <c r="AZ138" s="31"/>
      <c r="BA138" s="37"/>
      <c r="BE138" s="31"/>
    </row>
    <row r="139" spans="52:57" ht="15.95" hidden="1" customHeight="1">
      <c r="AZ139" s="31"/>
      <c r="BA139" s="37"/>
      <c r="BE139" s="31"/>
    </row>
    <row r="140" spans="52:57" ht="15.95" hidden="1" customHeight="1">
      <c r="AZ140" s="31"/>
      <c r="BA140" s="37"/>
      <c r="BE140" s="31"/>
    </row>
    <row r="141" spans="52:57" ht="15.95" hidden="1" customHeight="1">
      <c r="AZ141" s="31"/>
      <c r="BA141" s="37"/>
      <c r="BE141" s="31"/>
    </row>
    <row r="142" spans="52:57" ht="15.95" hidden="1" customHeight="1">
      <c r="AZ142" s="31"/>
      <c r="BA142" s="37"/>
      <c r="BE142" s="31"/>
    </row>
    <row r="143" spans="52:57" ht="15.95" hidden="1" customHeight="1">
      <c r="AZ143" s="31"/>
      <c r="BA143" s="37"/>
      <c r="BE143" s="31"/>
    </row>
    <row r="144" spans="52:57" ht="15.95" hidden="1" customHeight="1">
      <c r="AZ144" s="31"/>
      <c r="BA144" s="37"/>
      <c r="BE144" s="31"/>
    </row>
    <row r="145" spans="52:57" ht="15.95" hidden="1" customHeight="1">
      <c r="AZ145" s="31"/>
      <c r="BA145" s="37"/>
      <c r="BE145" s="31"/>
    </row>
    <row r="146" spans="52:57" ht="15.95" hidden="1" customHeight="1">
      <c r="AZ146" s="31"/>
      <c r="BA146" s="37"/>
      <c r="BE146" s="31"/>
    </row>
    <row r="147" spans="52:57" ht="15.95" hidden="1" customHeight="1">
      <c r="AZ147" s="31"/>
      <c r="BA147" s="37"/>
      <c r="BE147" s="31"/>
    </row>
    <row r="148" spans="52:57" ht="15.95" hidden="1" customHeight="1">
      <c r="AZ148" s="31"/>
      <c r="BA148" s="37"/>
      <c r="BE148" s="31"/>
    </row>
    <row r="149" spans="52:57" ht="15.95" hidden="1" customHeight="1">
      <c r="AZ149" s="31"/>
      <c r="BA149" s="37"/>
      <c r="BE149" s="31"/>
    </row>
    <row r="150" spans="52:57" ht="15.95" hidden="1" customHeight="1">
      <c r="AZ150" s="31"/>
      <c r="BA150" s="37"/>
      <c r="BE150" s="31"/>
    </row>
    <row r="151" spans="52:57" ht="15.95" hidden="1" customHeight="1">
      <c r="AZ151" s="31"/>
      <c r="BA151" s="37"/>
      <c r="BE151" s="31"/>
    </row>
    <row r="152" spans="52:57" ht="15.95" hidden="1" customHeight="1">
      <c r="AZ152" s="31"/>
      <c r="BA152" s="37"/>
      <c r="BE152" s="31"/>
    </row>
    <row r="153" spans="52:57" ht="15.95" hidden="1" customHeight="1">
      <c r="AZ153" s="31"/>
      <c r="BA153" s="37"/>
      <c r="BE153" s="31"/>
    </row>
    <row r="154" spans="52:57" ht="15.95" hidden="1" customHeight="1">
      <c r="AZ154" s="31"/>
      <c r="BA154" s="37"/>
      <c r="BE154" s="31"/>
    </row>
    <row r="155" spans="52:57" ht="15.95" hidden="1" customHeight="1">
      <c r="AZ155" s="31"/>
      <c r="BA155" s="37"/>
      <c r="BE155" s="31"/>
    </row>
    <row r="156" spans="52:57" ht="15.95" hidden="1" customHeight="1">
      <c r="AZ156" s="31"/>
      <c r="BA156" s="37"/>
      <c r="BE156" s="31"/>
    </row>
    <row r="157" spans="52:57" ht="15.95" hidden="1" customHeight="1">
      <c r="AZ157" s="31"/>
      <c r="BA157" s="37"/>
      <c r="BE157" s="31"/>
    </row>
    <row r="158" spans="52:57" ht="15.95" hidden="1" customHeight="1">
      <c r="AZ158" s="31"/>
      <c r="BA158" s="37"/>
      <c r="BE158" s="31"/>
    </row>
    <row r="159" spans="52:57" ht="15.95" hidden="1" customHeight="1">
      <c r="AZ159" s="31"/>
      <c r="BA159" s="37"/>
      <c r="BE159" s="31"/>
    </row>
    <row r="160" spans="52:57" ht="15.95" hidden="1" customHeight="1">
      <c r="AZ160" s="31"/>
      <c r="BA160" s="37"/>
      <c r="BE160" s="31"/>
    </row>
    <row r="161" spans="52:57" ht="15.95" hidden="1" customHeight="1">
      <c r="AZ161" s="31"/>
      <c r="BA161" s="37"/>
      <c r="BE161" s="31"/>
    </row>
    <row r="162" spans="52:57" ht="15.95" hidden="1" customHeight="1">
      <c r="AZ162" s="31"/>
      <c r="BA162" s="37"/>
      <c r="BE162" s="31"/>
    </row>
    <row r="163" spans="52:57" ht="15.95" hidden="1" customHeight="1">
      <c r="AZ163" s="31"/>
      <c r="BA163" s="37"/>
      <c r="BE163" s="31"/>
    </row>
    <row r="164" spans="52:57" ht="15.95" hidden="1" customHeight="1">
      <c r="AZ164" s="31"/>
      <c r="BA164" s="37"/>
      <c r="BE164" s="31"/>
    </row>
    <row r="165" spans="52:57" ht="15.95" hidden="1" customHeight="1">
      <c r="AZ165" s="31"/>
      <c r="BA165" s="37"/>
      <c r="BE165" s="31"/>
    </row>
    <row r="166" spans="52:57" ht="15.95" hidden="1" customHeight="1">
      <c r="AZ166" s="31"/>
      <c r="BA166" s="37"/>
      <c r="BE166" s="31"/>
    </row>
    <row r="167" spans="52:57" ht="15.95" hidden="1" customHeight="1">
      <c r="AZ167" s="31"/>
      <c r="BA167" s="37"/>
      <c r="BE167" s="31"/>
    </row>
    <row r="168" spans="52:57" ht="15.95" hidden="1" customHeight="1">
      <c r="AZ168" s="31"/>
      <c r="BA168" s="37"/>
      <c r="BE168" s="31"/>
    </row>
    <row r="169" spans="52:57" ht="15.95" hidden="1" customHeight="1">
      <c r="AZ169" s="31"/>
      <c r="BA169" s="37"/>
      <c r="BE169" s="31"/>
    </row>
    <row r="170" spans="52:57" ht="15.95" hidden="1" customHeight="1">
      <c r="AZ170" s="31"/>
      <c r="BA170" s="37"/>
      <c r="BE170" s="31"/>
    </row>
    <row r="171" spans="52:57" ht="15.95" hidden="1" customHeight="1">
      <c r="AZ171" s="31"/>
      <c r="BA171" s="37"/>
      <c r="BE171" s="31"/>
    </row>
    <row r="172" spans="52:57" ht="15.95" hidden="1" customHeight="1">
      <c r="AZ172" s="31"/>
      <c r="BA172" s="37"/>
      <c r="BE172" s="31"/>
    </row>
    <row r="173" spans="52:57" ht="15.95" hidden="1" customHeight="1">
      <c r="AZ173" s="31"/>
      <c r="BA173" s="37"/>
      <c r="BE173" s="31"/>
    </row>
    <row r="174" spans="52:57" ht="15.95" hidden="1" customHeight="1">
      <c r="AZ174" s="31"/>
      <c r="BA174" s="37"/>
      <c r="BE174" s="31"/>
    </row>
    <row r="175" spans="52:57" ht="15.95" hidden="1" customHeight="1">
      <c r="AZ175" s="31"/>
      <c r="BA175" s="37"/>
      <c r="BE175" s="31"/>
    </row>
    <row r="176" spans="52:57" ht="15.95" hidden="1" customHeight="1">
      <c r="AZ176" s="31"/>
      <c r="BA176" s="37"/>
      <c r="BE176" s="31"/>
    </row>
    <row r="177" spans="52:57" ht="15.95" hidden="1" customHeight="1">
      <c r="AZ177" s="31"/>
      <c r="BA177" s="37"/>
      <c r="BE177" s="31"/>
    </row>
    <row r="178" spans="52:57" ht="15.95" hidden="1" customHeight="1">
      <c r="AZ178" s="31"/>
      <c r="BA178" s="37"/>
      <c r="BE178" s="31"/>
    </row>
    <row r="179" spans="52:57" ht="15.95" hidden="1" customHeight="1">
      <c r="AZ179" s="31"/>
      <c r="BA179" s="37"/>
      <c r="BE179" s="31"/>
    </row>
    <row r="180" spans="52:57" ht="15.95" hidden="1" customHeight="1">
      <c r="AZ180" s="31"/>
      <c r="BA180" s="37"/>
      <c r="BE180" s="31"/>
    </row>
    <row r="181" spans="52:57" ht="15.95" hidden="1" customHeight="1">
      <c r="AZ181" s="31"/>
      <c r="BA181" s="37"/>
      <c r="BE181" s="31"/>
    </row>
    <row r="182" spans="52:57" ht="15.95" hidden="1" customHeight="1">
      <c r="AZ182" s="31"/>
      <c r="BA182" s="37"/>
      <c r="BE182" s="31"/>
    </row>
    <row r="183" spans="52:57" ht="15.95" hidden="1" customHeight="1">
      <c r="AZ183" s="31"/>
      <c r="BA183" s="37"/>
      <c r="BE183" s="31"/>
    </row>
    <row r="184" spans="52:57" ht="15.95" hidden="1" customHeight="1">
      <c r="AZ184" s="31"/>
      <c r="BA184" s="37"/>
      <c r="BE184" s="31"/>
    </row>
    <row r="185" spans="52:57" ht="15.95" hidden="1" customHeight="1">
      <c r="AZ185" s="31"/>
      <c r="BA185" s="37"/>
      <c r="BE185" s="31"/>
    </row>
    <row r="186" spans="52:57" ht="15.95" hidden="1" customHeight="1">
      <c r="AZ186" s="31"/>
      <c r="BA186" s="37"/>
      <c r="BE186" s="31"/>
    </row>
    <row r="187" spans="52:57" ht="15.95" hidden="1" customHeight="1">
      <c r="AZ187" s="31"/>
      <c r="BA187" s="37"/>
      <c r="BE187" s="31"/>
    </row>
    <row r="188" spans="52:57" ht="15.95" hidden="1" customHeight="1">
      <c r="AZ188" s="31"/>
      <c r="BA188" s="37"/>
      <c r="BE188" s="31"/>
    </row>
    <row r="189" spans="52:57" ht="15.95" hidden="1" customHeight="1">
      <c r="AZ189" s="31"/>
      <c r="BA189" s="37"/>
      <c r="BE189" s="31"/>
    </row>
    <row r="190" spans="52:57" ht="15.95" hidden="1" customHeight="1">
      <c r="AZ190" s="31"/>
      <c r="BA190" s="37"/>
      <c r="BE190" s="31"/>
    </row>
    <row r="191" spans="52:57" ht="15.95" hidden="1" customHeight="1">
      <c r="AZ191" s="31"/>
      <c r="BA191" s="37"/>
      <c r="BE191" s="31"/>
    </row>
    <row r="192" spans="52:57" ht="15.95" hidden="1" customHeight="1">
      <c r="AZ192" s="31"/>
      <c r="BA192" s="37"/>
      <c r="BE192" s="31"/>
    </row>
    <row r="193" spans="1:59" ht="15.95" hidden="1" customHeight="1">
      <c r="AZ193" s="31"/>
      <c r="BA193" s="37"/>
      <c r="BE193" s="31"/>
    </row>
    <row r="194" spans="1:59" ht="15.95" hidden="1" customHeight="1">
      <c r="AZ194" s="31"/>
      <c r="BA194" s="37"/>
      <c r="BE194" s="31"/>
    </row>
    <row r="195" spans="1:59" ht="15.95" hidden="1" customHeight="1">
      <c r="AZ195" s="31"/>
      <c r="BA195" s="37"/>
      <c r="BE195" s="31"/>
    </row>
    <row r="196" spans="1:59" ht="15.95" hidden="1" customHeight="1">
      <c r="AZ196" s="31"/>
      <c r="BA196" s="37"/>
      <c r="BE196" s="31"/>
    </row>
    <row r="197" spans="1:59" ht="15.95" hidden="1" customHeight="1">
      <c r="AZ197" s="31"/>
      <c r="BA197" s="37"/>
      <c r="BE197" s="31"/>
    </row>
    <row r="198" spans="1:59" ht="15.95" hidden="1" customHeight="1">
      <c r="AZ198" s="31"/>
      <c r="BA198" s="37"/>
      <c r="BE198" s="31"/>
    </row>
    <row r="199" spans="1:59" ht="15.95" hidden="1" customHeight="1">
      <c r="AZ199" s="31"/>
      <c r="BA199" s="37"/>
      <c r="BE199" s="31"/>
    </row>
    <row r="200" spans="1:59"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c r="AX200" s="760">
        <f>SUM(AX18:AX199)</f>
        <v>0</v>
      </c>
      <c r="AZ200" s="761">
        <f>SUM(AZ18:AZ199)</f>
        <v>0</v>
      </c>
      <c r="BA200" s="762">
        <f>SUM(BA18:BA199)</f>
        <v>0</v>
      </c>
      <c r="BE200" s="762">
        <f>SUM(BE18:BE199)</f>
        <v>0</v>
      </c>
      <c r="BF200" s="762">
        <f>SUM(BF18:BF199)</f>
        <v>0</v>
      </c>
      <c r="BG200" s="376"/>
    </row>
    <row r="201" spans="1:59"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c r="AX201" s="760"/>
      <c r="AZ201" s="761"/>
      <c r="BA201" s="762"/>
      <c r="BE201" s="762"/>
      <c r="BF201" s="762"/>
      <c r="BG201" s="376"/>
    </row>
    <row r="202" spans="1:5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9" ht="15.95" hidden="1" customHeight="1"/>
    <row r="204" spans="1:59" ht="15.95" hidden="1" customHeight="1"/>
  </sheetData>
  <sheetProtection algorithmName="SHA-512" hashValue="WK5ZUhc0fUtoX0+udsDQkhQFSWZ6BIwyoCEJ8QkgYXQagQIlNMgatxpeeDv+R51uZFwq8jE69VpBEvhDxE1ESA==" saltValue="H2dNDnhENUcq84CUfRAIMw==" spinCount="100000" sheet="1" objects="1" scenarios="1" selectLockedCells="1"/>
  <mergeCells count="394">
    <mergeCell ref="M16:P17"/>
    <mergeCell ref="BQ34:BQ35"/>
    <mergeCell ref="BQ36:BQ37"/>
    <mergeCell ref="BQ16:BQ17"/>
    <mergeCell ref="BQ18:BQ19"/>
    <mergeCell ref="BQ20:BQ21"/>
    <mergeCell ref="BQ22:BQ23"/>
    <mergeCell ref="BQ24:BQ25"/>
    <mergeCell ref="BQ26:BQ27"/>
    <mergeCell ref="BQ28:BQ29"/>
    <mergeCell ref="BQ30:BQ31"/>
    <mergeCell ref="BQ32:BQ33"/>
    <mergeCell ref="BD20:BD21"/>
    <mergeCell ref="BD22:BD23"/>
    <mergeCell ref="BD24:BD25"/>
    <mergeCell ref="BD26:BD27"/>
    <mergeCell ref="BE18:BE19"/>
    <mergeCell ref="BF20:BF21"/>
    <mergeCell ref="BM36:BM37"/>
    <mergeCell ref="BK24:BK25"/>
    <mergeCell ref="BM22:BM23"/>
    <mergeCell ref="BH18:BH19"/>
    <mergeCell ref="BH20:BH21"/>
    <mergeCell ref="BI18:BI19"/>
    <mergeCell ref="BI20:BI21"/>
    <mergeCell ref="M30:P31"/>
    <mergeCell ref="M32:P33"/>
    <mergeCell ref="BG18:BG19"/>
    <mergeCell ref="BG20:BG21"/>
    <mergeCell ref="BG22:BG23"/>
    <mergeCell ref="BG24:BG25"/>
    <mergeCell ref="BG26:BG27"/>
    <mergeCell ref="BG28:BG29"/>
    <mergeCell ref="BG30:BG31"/>
    <mergeCell ref="BG32:BG33"/>
    <mergeCell ref="AY18:AY19"/>
    <mergeCell ref="AY20:AY21"/>
    <mergeCell ref="AY22:AY23"/>
    <mergeCell ref="AO20:AQ21"/>
    <mergeCell ref="AR20:AU21"/>
    <mergeCell ref="AX20:AX21"/>
    <mergeCell ref="AB20:AE21"/>
    <mergeCell ref="AI20:AJ21"/>
    <mergeCell ref="T20:W21"/>
    <mergeCell ref="AY24:AY25"/>
    <mergeCell ref="AY26:AY27"/>
    <mergeCell ref="AY28:AY29"/>
    <mergeCell ref="AY30:AY31"/>
    <mergeCell ref="BN18:BN19"/>
    <mergeCell ref="BN20:BN21"/>
    <mergeCell ref="BN22:BN23"/>
    <mergeCell ref="BN24:BN25"/>
    <mergeCell ref="BN26:BN27"/>
    <mergeCell ref="BN28:BN29"/>
    <mergeCell ref="BN30:BN31"/>
    <mergeCell ref="BN32:BN33"/>
    <mergeCell ref="BL20:BL21"/>
    <mergeCell ref="BL22:BL23"/>
    <mergeCell ref="BL24:BL25"/>
    <mergeCell ref="BL26:BL27"/>
    <mergeCell ref="BL28:BL29"/>
    <mergeCell ref="BL30:BL31"/>
    <mergeCell ref="BL32:BL33"/>
    <mergeCell ref="BO36:BO37"/>
    <mergeCell ref="BO16:BO17"/>
    <mergeCell ref="BO18:BO19"/>
    <mergeCell ref="BO20:BO21"/>
    <mergeCell ref="BO22:BO23"/>
    <mergeCell ref="BO24:BO25"/>
    <mergeCell ref="BO26:BO27"/>
    <mergeCell ref="BO28:BO29"/>
    <mergeCell ref="BO30:BO31"/>
    <mergeCell ref="BO32:BO33"/>
    <mergeCell ref="BP36:BP37"/>
    <mergeCell ref="BP16:BP17"/>
    <mergeCell ref="BP18:BP19"/>
    <mergeCell ref="BP20:BP21"/>
    <mergeCell ref="BP22:BP23"/>
    <mergeCell ref="BP24:BP25"/>
    <mergeCell ref="BP26:BP27"/>
    <mergeCell ref="BP28:BP29"/>
    <mergeCell ref="BP30:BP31"/>
    <mergeCell ref="BP32:BP33"/>
    <mergeCell ref="BP34:BP35"/>
    <mergeCell ref="BO34:BO35"/>
    <mergeCell ref="BG34:BG35"/>
    <mergeCell ref="BK26:BK27"/>
    <mergeCell ref="BH24:BH25"/>
    <mergeCell ref="BH26:BH27"/>
    <mergeCell ref="BK30:BK31"/>
    <mergeCell ref="BK32:BK33"/>
    <mergeCell ref="BK34:BK35"/>
    <mergeCell ref="AO28:AQ29"/>
    <mergeCell ref="AR28:AU29"/>
    <mergeCell ref="BJ30:BJ31"/>
    <mergeCell ref="BE32:BE33"/>
    <mergeCell ref="BJ32:BJ33"/>
    <mergeCell ref="BK28:BK29"/>
    <mergeCell ref="BI32:BI33"/>
    <mergeCell ref="BI34:BI35"/>
    <mergeCell ref="BI28:BI29"/>
    <mergeCell ref="BI30:BI31"/>
    <mergeCell ref="AY32:AY33"/>
    <mergeCell ref="AZ32:AZ33"/>
    <mergeCell ref="BA32:BA33"/>
    <mergeCell ref="BJ34:BJ35"/>
    <mergeCell ref="C26:L27"/>
    <mergeCell ref="C28:L29"/>
    <mergeCell ref="C32:L33"/>
    <mergeCell ref="AF32:AH33"/>
    <mergeCell ref="AX28:AX29"/>
    <mergeCell ref="AZ28:AZ29"/>
    <mergeCell ref="C20:L21"/>
    <mergeCell ref="C22:L23"/>
    <mergeCell ref="M18:P19"/>
    <mergeCell ref="M20:P21"/>
    <mergeCell ref="M22:P23"/>
    <mergeCell ref="AR24:AU25"/>
    <mergeCell ref="AX24:AX25"/>
    <mergeCell ref="X32:AA33"/>
    <mergeCell ref="C30:L31"/>
    <mergeCell ref="Q32:S33"/>
    <mergeCell ref="AO32:AQ33"/>
    <mergeCell ref="AR32:AU33"/>
    <mergeCell ref="AX32:AX33"/>
    <mergeCell ref="T30:W31"/>
    <mergeCell ref="AZ24:AZ25"/>
    <mergeCell ref="AK20:AL21"/>
    <mergeCell ref="AM20:AN21"/>
    <mergeCell ref="AF20:AH21"/>
    <mergeCell ref="F1:I3"/>
    <mergeCell ref="J1:M3"/>
    <mergeCell ref="J9:M11"/>
    <mergeCell ref="N9:Q11"/>
    <mergeCell ref="Q18:S19"/>
    <mergeCell ref="Q20:S21"/>
    <mergeCell ref="AL1:AO3"/>
    <mergeCell ref="AP1:AS3"/>
    <mergeCell ref="AF16:AH17"/>
    <mergeCell ref="T14:W14"/>
    <mergeCell ref="X14:AA14"/>
    <mergeCell ref="AB14:AE14"/>
    <mergeCell ref="AB16:AE17"/>
    <mergeCell ref="T12:W13"/>
    <mergeCell ref="X12:AA13"/>
    <mergeCell ref="AB12:AE13"/>
    <mergeCell ref="T16:W17"/>
    <mergeCell ref="R9:U11"/>
    <mergeCell ref="V9:Y11"/>
    <mergeCell ref="Z9:AC11"/>
    <mergeCell ref="Q16:S17"/>
    <mergeCell ref="E13:R13"/>
    <mergeCell ref="AL9:AO11"/>
    <mergeCell ref="AM13:AU14"/>
    <mergeCell ref="Q1:AG3"/>
    <mergeCell ref="AT1:AW3"/>
    <mergeCell ref="A4:E6"/>
    <mergeCell ref="A7:E8"/>
    <mergeCell ref="C16:L17"/>
    <mergeCell ref="AD9:AG11"/>
    <mergeCell ref="AS5:AW6"/>
    <mergeCell ref="AH9:AK11"/>
    <mergeCell ref="BJ16:BJ17"/>
    <mergeCell ref="AI17:AJ17"/>
    <mergeCell ref="AK17:AL17"/>
    <mergeCell ref="AI16:AL16"/>
    <mergeCell ref="AM16:AN17"/>
    <mergeCell ref="AO16:AQ17"/>
    <mergeCell ref="AR16:AU17"/>
    <mergeCell ref="AX16:AX17"/>
    <mergeCell ref="BB16:BB17"/>
    <mergeCell ref="BC16:BC17"/>
    <mergeCell ref="BE16:BF16"/>
    <mergeCell ref="AY16:AY17"/>
    <mergeCell ref="BH16:BH17"/>
    <mergeCell ref="BG16:BG17"/>
    <mergeCell ref="AZ16:BA16"/>
    <mergeCell ref="BI16:BI17"/>
    <mergeCell ref="AS7:AW7"/>
    <mergeCell ref="AS8:AW8"/>
    <mergeCell ref="BM16:BM17"/>
    <mergeCell ref="BD16:BD17"/>
    <mergeCell ref="BJ18:BJ19"/>
    <mergeCell ref="B20:B21"/>
    <mergeCell ref="AO18:AQ19"/>
    <mergeCell ref="AR18:AU19"/>
    <mergeCell ref="AX18:AX19"/>
    <mergeCell ref="AZ18:AZ19"/>
    <mergeCell ref="BA18:BA19"/>
    <mergeCell ref="AB18:AE19"/>
    <mergeCell ref="AI18:AJ19"/>
    <mergeCell ref="AK18:AL19"/>
    <mergeCell ref="AM18:AN19"/>
    <mergeCell ref="AF18:AH19"/>
    <mergeCell ref="B18:B19"/>
    <mergeCell ref="BE20:BE21"/>
    <mergeCell ref="BJ20:BJ21"/>
    <mergeCell ref="T18:W19"/>
    <mergeCell ref="BB18:BB19"/>
    <mergeCell ref="BM20:BM21"/>
    <mergeCell ref="BC18:BC19"/>
    <mergeCell ref="BD18:BD19"/>
    <mergeCell ref="BF18:BF19"/>
    <mergeCell ref="C18:L19"/>
    <mergeCell ref="B24:B25"/>
    <mergeCell ref="AO22:AQ23"/>
    <mergeCell ref="AR22:AU23"/>
    <mergeCell ref="AX22:AX23"/>
    <mergeCell ref="AZ22:AZ23"/>
    <mergeCell ref="BA22:BA23"/>
    <mergeCell ref="AB22:AE23"/>
    <mergeCell ref="AI22:AJ23"/>
    <mergeCell ref="AK22:AL23"/>
    <mergeCell ref="AM22:AN23"/>
    <mergeCell ref="AF22:AH23"/>
    <mergeCell ref="AK24:AL25"/>
    <mergeCell ref="AM24:AN25"/>
    <mergeCell ref="AF24:AH25"/>
    <mergeCell ref="Q24:S25"/>
    <mergeCell ref="T24:W25"/>
    <mergeCell ref="Q22:S23"/>
    <mergeCell ref="C24:L25"/>
    <mergeCell ref="B22:B23"/>
    <mergeCell ref="T22:W23"/>
    <mergeCell ref="M24:P25"/>
    <mergeCell ref="AO24:AQ25"/>
    <mergeCell ref="B26:B27"/>
    <mergeCell ref="BA28:BA29"/>
    <mergeCell ref="AM28:AN29"/>
    <mergeCell ref="Q28:S29"/>
    <mergeCell ref="AF28:AH29"/>
    <mergeCell ref="AB28:AE29"/>
    <mergeCell ref="AI28:AJ29"/>
    <mergeCell ref="T28:W29"/>
    <mergeCell ref="B28:B29"/>
    <mergeCell ref="AO26:AQ27"/>
    <mergeCell ref="AR26:AU27"/>
    <mergeCell ref="AX26:AX27"/>
    <mergeCell ref="AZ26:AZ27"/>
    <mergeCell ref="BA26:BA27"/>
    <mergeCell ref="M26:P27"/>
    <mergeCell ref="M28:P29"/>
    <mergeCell ref="AB26:AE27"/>
    <mergeCell ref="AI26:AJ27"/>
    <mergeCell ref="AK26:AL27"/>
    <mergeCell ref="AM26:AN27"/>
    <mergeCell ref="AF26:AH27"/>
    <mergeCell ref="Q26:S27"/>
    <mergeCell ref="T26:W27"/>
    <mergeCell ref="AK28:AL29"/>
    <mergeCell ref="B30:B31"/>
    <mergeCell ref="BH30:BH31"/>
    <mergeCell ref="BH32:BH33"/>
    <mergeCell ref="BD30:BD31"/>
    <mergeCell ref="BD32:BD33"/>
    <mergeCell ref="T32:W33"/>
    <mergeCell ref="BC30:BC31"/>
    <mergeCell ref="B32:B33"/>
    <mergeCell ref="AO30:AQ31"/>
    <mergeCell ref="AR30:AU31"/>
    <mergeCell ref="AX30:AX31"/>
    <mergeCell ref="AZ30:AZ31"/>
    <mergeCell ref="BA30:BA31"/>
    <mergeCell ref="AB30:AE31"/>
    <mergeCell ref="AI30:AJ31"/>
    <mergeCell ref="AK30:AL31"/>
    <mergeCell ref="AM30:AN31"/>
    <mergeCell ref="Q30:S31"/>
    <mergeCell ref="AF30:AH31"/>
    <mergeCell ref="BE30:BE31"/>
    <mergeCell ref="BJ36:BJ37"/>
    <mergeCell ref="BE36:BE37"/>
    <mergeCell ref="B34:B35"/>
    <mergeCell ref="C34:L35"/>
    <mergeCell ref="C36:L37"/>
    <mergeCell ref="BC34:BC35"/>
    <mergeCell ref="BC36:BC37"/>
    <mergeCell ref="BB36:BB37"/>
    <mergeCell ref="AY34:AY35"/>
    <mergeCell ref="BI36:BI37"/>
    <mergeCell ref="B36:B37"/>
    <mergeCell ref="AO34:AQ35"/>
    <mergeCell ref="AR34:AU35"/>
    <mergeCell ref="AX34:AX35"/>
    <mergeCell ref="AZ34:AZ35"/>
    <mergeCell ref="BA34:BA35"/>
    <mergeCell ref="AB34:AE35"/>
    <mergeCell ref="AI34:AJ35"/>
    <mergeCell ref="AK34:AL35"/>
    <mergeCell ref="AM34:AN35"/>
    <mergeCell ref="T34:W35"/>
    <mergeCell ref="Q34:S35"/>
    <mergeCell ref="AF34:AH35"/>
    <mergeCell ref="M34:P35"/>
    <mergeCell ref="O200:AI201"/>
    <mergeCell ref="AX200:AX201"/>
    <mergeCell ref="AZ200:AZ201"/>
    <mergeCell ref="BA200:BA201"/>
    <mergeCell ref="AO36:AQ37"/>
    <mergeCell ref="AR36:AU37"/>
    <mergeCell ref="AX36:AX37"/>
    <mergeCell ref="AZ36:AZ37"/>
    <mergeCell ref="BA36:BA37"/>
    <mergeCell ref="AB36:AE37"/>
    <mergeCell ref="AI36:AJ37"/>
    <mergeCell ref="AK36:AL37"/>
    <mergeCell ref="AM36:AN37"/>
    <mergeCell ref="T36:W37"/>
    <mergeCell ref="Q36:S37"/>
    <mergeCell ref="AF36:AH37"/>
    <mergeCell ref="AY36:AY37"/>
    <mergeCell ref="M36:P37"/>
    <mergeCell ref="BE200:BE201"/>
    <mergeCell ref="BF200:BF201"/>
    <mergeCell ref="BM18:BM19"/>
    <mergeCell ref="BC32:BC33"/>
    <mergeCell ref="BM26:BM27"/>
    <mergeCell ref="BF30:BF31"/>
    <mergeCell ref="BF32:BF33"/>
    <mergeCell ref="BF36:BF37"/>
    <mergeCell ref="BH34:BH35"/>
    <mergeCell ref="BF34:BF35"/>
    <mergeCell ref="BM24:BM25"/>
    <mergeCell ref="BJ26:BJ27"/>
    <mergeCell ref="BE28:BE29"/>
    <mergeCell ref="BJ28:BJ29"/>
    <mergeCell ref="BH28:BH29"/>
    <mergeCell ref="BD28:BD29"/>
    <mergeCell ref="BM28:BM29"/>
    <mergeCell ref="BM30:BM31"/>
    <mergeCell ref="BM32:BM33"/>
    <mergeCell ref="BM34:BM35"/>
    <mergeCell ref="BK18:BK19"/>
    <mergeCell ref="BL18:BL19"/>
    <mergeCell ref="BK20:BK21"/>
    <mergeCell ref="BK22:BK23"/>
    <mergeCell ref="BJ22:BJ23"/>
    <mergeCell ref="BE24:BE25"/>
    <mergeCell ref="BJ24:BJ25"/>
    <mergeCell ref="BF28:BF29"/>
    <mergeCell ref="BE22:BE23"/>
    <mergeCell ref="BE26:BE27"/>
    <mergeCell ref="BI22:BI23"/>
    <mergeCell ref="BI24:BI25"/>
    <mergeCell ref="BI26:BI27"/>
    <mergeCell ref="BF22:BF23"/>
    <mergeCell ref="BF24:BF25"/>
    <mergeCell ref="BF26:BF27"/>
    <mergeCell ref="BH22:BH23"/>
    <mergeCell ref="BB20:BB21"/>
    <mergeCell ref="BB34:BB35"/>
    <mergeCell ref="BH36:BH37"/>
    <mergeCell ref="BD36:BD37"/>
    <mergeCell ref="BA20:BA21"/>
    <mergeCell ref="AZ20:AZ21"/>
    <mergeCell ref="BD34:BD35"/>
    <mergeCell ref="BE34:BE35"/>
    <mergeCell ref="BC20:BC21"/>
    <mergeCell ref="BC24:BC25"/>
    <mergeCell ref="BB22:BB23"/>
    <mergeCell ref="BB24:BB25"/>
    <mergeCell ref="BB26:BB27"/>
    <mergeCell ref="BB28:BB29"/>
    <mergeCell ref="BB30:BB31"/>
    <mergeCell ref="BB32:BB33"/>
    <mergeCell ref="BG36:BG37"/>
    <mergeCell ref="BC28:BC29"/>
    <mergeCell ref="BC26:BC27"/>
    <mergeCell ref="BC22:BC23"/>
    <mergeCell ref="BA24:BA25"/>
    <mergeCell ref="BK16:BK17"/>
    <mergeCell ref="BL16:BL17"/>
    <mergeCell ref="BK36:BK37"/>
    <mergeCell ref="BL34:BL35"/>
    <mergeCell ref="BL36:BL37"/>
    <mergeCell ref="BN34:BN35"/>
    <mergeCell ref="BN36:BN37"/>
    <mergeCell ref="BN16:BN17"/>
    <mergeCell ref="X34:AA35"/>
    <mergeCell ref="X36:AA37"/>
    <mergeCell ref="X16:AA17"/>
    <mergeCell ref="X18:AA19"/>
    <mergeCell ref="X20:AA21"/>
    <mergeCell ref="X22:AA23"/>
    <mergeCell ref="X24:AA25"/>
    <mergeCell ref="X26:AA27"/>
    <mergeCell ref="X28:AA29"/>
    <mergeCell ref="X30:AA31"/>
    <mergeCell ref="AB24:AE25"/>
    <mergeCell ref="AI24:AJ25"/>
    <mergeCell ref="AB32:AE33"/>
    <mergeCell ref="AI32:AJ33"/>
    <mergeCell ref="AK32:AL33"/>
    <mergeCell ref="AM32:AN33"/>
  </mergeCells>
  <conditionalFormatting sqref="Q18:W37 AB18:AL37">
    <cfRule type="expression" dxfId="140" priority="8">
      <formula>AND(ISBLANK($C18)=FALSE,OR(ISBLANK(Q18)=TRUE,Q18=""))</formula>
    </cfRule>
  </conditionalFormatting>
  <conditionalFormatting sqref="AM18:AN37">
    <cfRule type="expression" dxfId="139" priority="1">
      <formula>AM18 &lt;&gt; INDEX(STDLIGHTCONTINC, MATCH(C18, STDLIGHTCONTLIST,0))</formula>
    </cfRule>
  </conditionalFormatting>
  <conditionalFormatting sqref="AR18:AU37">
    <cfRule type="expression" dxfId="138" priority="2" stopIfTrue="1">
      <formula>ISNUMBER($AR18)=FALSE</formula>
    </cfRule>
    <cfRule type="expression" dxfId="137" priority="6">
      <formula xml:space="preserve"> $AR18 &lt;&gt; $BG18</formula>
    </cfRule>
  </conditionalFormatting>
  <conditionalFormatting sqref="AS8:AW8">
    <cfRule type="expression" dxfId="136" priority="9">
      <formula>IF($AS$8=PROJSTATMEASURE,FALSE,TRUE)</formula>
    </cfRule>
  </conditionalFormatting>
  <dataValidations xWindow="983" yWindow="697" count="7">
    <dataValidation type="decimal" allowBlank="1" showInputMessage="1" showErrorMessage="1" prompt="This is the TOTAL Labor Cost of the measure, NOT a per unit basis." sqref="AK18:AL37" xr:uid="{78906508-8AE9-4F72-9BEC-B93E2A1EA76A}">
      <formula1>0</formula1>
      <formula2>999999</formula2>
    </dataValidation>
    <dataValidation type="list" allowBlank="1" showInputMessage="1" showErrorMessage="1" prompt="Select Efficient Measure. If you do not see your equipment listed, it may qualify as a Custom Measure." sqref="C34 C18 C20 C22 C24 C26 C28 C30 C32 C36" xr:uid="{0D9CADE7-2E1D-4AA4-B2A0-117A9FDC37D8}">
      <formula1>STDLIGHTCONTLIST</formula1>
    </dataValidation>
    <dataValidation type="decimal" allowBlank="1" showInputMessage="1" showErrorMessage="1" prompt="This is the TOTAL Material Cost of the measure, NOT a per unit basis." sqref="AI18:AJ37" xr:uid="{DB7F9774-D76E-4B2F-9EC9-558D0D41D822}">
      <formula1>0</formula1>
      <formula2>999999</formula2>
    </dataValidation>
    <dataValidation allowBlank="1" showInputMessage="1" showErrorMessage="1" prompt="Install Location should describe the area where the equipment installed. (e.g. Room 201, Garage, Mechanical Room)" sqref="AF18:AH37" xr:uid="{E3F0EE41-FD23-4E1D-BBC4-ACC46BCC45D8}"/>
    <dataValidation allowBlank="1" showInputMessage="1" showErrorMessage="1" prompt="Enter the Brand and Model # as it appears in technical documents and invoices." sqref="X18:AE37" xr:uid="{03B541F8-7F20-40CA-8DA7-65E4BE5141C5}"/>
    <dataValidation allowBlank="1" showInputMessage="1" showErrorMessage="1" prompt="Please enter the COMBINED total wattage controlled by the network lighting fixtures._x000a__x000a_Please submit a lighting design or fixture schedule for verification of controlled wattage" sqref="Q18:S37" xr:uid="{3B01EE55-E863-48A6-BA79-192569AE3687}"/>
    <dataValidation type="whole" allowBlank="1" showInputMessage="1" showErrorMessage="1" error="Enter valid operating hours. " prompt="Enter the average annual operating hours of the lighting before the controls were installed. " sqref="T18:W37" xr:uid="{6E996383-F69F-4E59-93B0-4E6FB54584AD}">
      <formula1>0</formula1>
      <formula2>8760</formula2>
    </dataValidation>
  </dataValidations>
  <hyperlinks>
    <hyperlink ref="N9:Q11" location="'M03-S03'!C18" tooltip="Lighting Controls" display="'M03-S03'!C18" xr:uid="{EC096BE8-96AF-4B60-BD98-D9B542DABADE}"/>
    <hyperlink ref="R9:U11" location="'M03-S04'!C18" tooltip="Refrigeration" display="'M03-S04'!C18" xr:uid="{7EE5843E-0562-41C8-9EB2-39A33F973782}"/>
    <hyperlink ref="V9:Y11" location="'M03-S05'!C18" tooltip="HVAC" display="'M03-S05'!C18" xr:uid="{11CA1493-7689-442E-AB09-30A16BFF0D6A}"/>
    <hyperlink ref="AD9:AG11" location="'M03-S06'!C18" tooltip="Compressed Air / Process" display="'M03-S06'!C18" xr:uid="{7EB5260D-1A07-42DA-A78C-F5B6918F0FD5}"/>
    <hyperlink ref="AH9:AK11" location="'M03-S07'!C18" tooltip="Water Heating / Cooking" display="'M03-S07'!C18" xr:uid="{A1D65689-6A72-48F0-A4C6-DF40610940BD}"/>
    <hyperlink ref="Z9:AC11" location="'M03-S08'!C18" tooltip="Motors and Drives" display="'M03-S08'!C18" xr:uid="{060F38E7-49A9-4565-B9E1-019FD76FC85F}"/>
    <hyperlink ref="AL9:AO11" location="'M04-S09'!C18" tooltip="Miscellaneous" display="'M04-S09'!C18" xr:uid="{E2AB6E63-177E-413F-8FED-CF02E9E648DB}"/>
    <hyperlink ref="B202" r:id="rId1" xr:uid="{548A7AE0-7093-4FE2-A690-6D6CB8661683}"/>
    <hyperlink ref="J1:M3" location="'M01-S02'!J1" tooltip="Instructions" display="'M01-S02'!J1" xr:uid="{C245BACF-8984-4AB0-9A6C-47E29784D469}"/>
    <hyperlink ref="AP1:AS3" location="'M05-S05'!AL1" tooltip=" " display="'M05-S05'!AL1" xr:uid="{6BCC1879-6895-4A70-B61B-0B02095F86C6}"/>
    <hyperlink ref="AL1:AO3" location="'M05-S04'!AH1" tooltip=" " display="'M05-S04'!AH1" xr:uid="{AF3515AD-07CE-4055-8118-146C26C80A6A}"/>
    <hyperlink ref="AT1:AW3" location="'M01-S03'!AP1" tooltip="Contact" display="'M01-S03'!AP1" xr:uid="{BA20E1C5-790A-4E07-B17C-EAE67B47BC0D}"/>
  </hyperlinks>
  <printOptions horizontalCentered="1"/>
  <pageMargins left="0" right="0" top="0" bottom="0" header="0" footer="0"/>
  <pageSetup scale="4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13E8-F6AF-4F14-B9D8-D33343F54E38}">
  <sheetPr codeName="Sheet96">
    <tabColor rgb="FFFFFF00"/>
  </sheetPr>
  <dimension ref="A1:AS6"/>
  <sheetViews>
    <sheetView zoomScale="85" zoomScaleNormal="85" workbookViewId="0">
      <selection activeCell="B6" sqref="B6"/>
    </sheetView>
  </sheetViews>
  <sheetFormatPr defaultColWidth="0" defaultRowHeight="14.45" customHeight="1" zeroHeight="1"/>
  <cols>
    <col min="1" max="1" width="23.85546875" bestFit="1" customWidth="1"/>
    <col min="2" max="2" width="63.42578125" bestFit="1" customWidth="1"/>
    <col min="3" max="3" width="10.28515625" hidden="1" customWidth="1"/>
    <col min="4" max="45" width="0" hidden="1" customWidth="1"/>
    <col min="46" max="16384" width="4.7109375" hidden="1"/>
  </cols>
  <sheetData>
    <row r="1" spans="1:2" ht="15">
      <c r="A1" s="389" t="s">
        <v>66</v>
      </c>
      <c r="B1" s="12" t="s">
        <v>3064</v>
      </c>
    </row>
    <row r="2" spans="1:2" ht="15.75" customHeight="1">
      <c r="A2" s="389" t="s">
        <v>0</v>
      </c>
      <c r="B2" s="12" t="s">
        <v>2904</v>
      </c>
    </row>
    <row r="3" spans="1:2" ht="15" customHeight="1">
      <c r="A3" s="389" t="s">
        <v>2361</v>
      </c>
      <c r="B3" s="392" t="str" cm="1">
        <f t="array" aca="1" ref="B3" ca="1">_xlfn.LET(
_xlpm.Main,
IF(ISNUMBER(_xlfn.SHEET("TEMPLATE")), 1, 0),
_xlpm.NC,
IF(ISNUMBER(_xlfn.SHEET("TEMPLATE_N")), 2, 0),
_xlpm.RCx,
IF(ISNUMBER(_xlfn.SHEET("TEMPLATE_X")), 3, 0),
_xlfn.SWITCH(_xlpm.Main+_xlpm.NC+_xlpm.RCx, 6, "Master App", 1, "General App", 2, "New Con App", 3, "RCx App", "")
)</f>
        <v>General App</v>
      </c>
    </row>
    <row r="4" spans="1:2" ht="15.75" customHeight="1">
      <c r="A4" s="389" t="s">
        <v>1471</v>
      </c>
      <c r="B4" s="12" t="s">
        <v>2904</v>
      </c>
    </row>
    <row r="5" spans="1:2" ht="15">
      <c r="A5" s="389" t="s">
        <v>2362</v>
      </c>
      <c r="B5" s="394">
        <v>45930</v>
      </c>
    </row>
    <row r="6" spans="1:2" ht="15">
      <c r="A6" s="389" t="s">
        <v>2363</v>
      </c>
      <c r="B6" s="394" t="str">
        <f ca="1">IF(AND(EXPIRATION_DATE&lt;TODAY(), NOT(OR(IFERROR(OR(ACTIVEOFFER="Yes", ACTIVECOMPL="Yes"), FALSE),IFERROR(OR(ACTIVEOFFER_N="Yes",ACTIVECOMPL_N="Yes"), FALSE), IFERROR(OR(ACTIVEOFFER_X="Yes", ACTIVECOMPL_X="Yes"), FALSE),))),PROJSTATEXP,"")</f>
        <v/>
      </c>
    </row>
  </sheetData>
  <sheetProtection algorithmName="SHA-512" hashValue="n3QqMHa5+8+afEXc0mZq1x73+PWrUBzNHp8IEnT1WB3oN8SWlj3t7LkhCcbjlqd/inup7AQVmoXYVgZS4pUZnA==" saltValue="44tbSq7FBp8F/Qc8Dyr1AA==" spinCount="100000" sheet="1" objects="1" scenarios="1"/>
  <dataValidations count="1">
    <dataValidation type="list" allowBlank="1" showInputMessage="1" showErrorMessage="1" sqref="B3" xr:uid="{63B44002-0529-485F-B583-55A3DA34EF9D}">
      <formula1>"Master App, General App, New Con App, RCx App"</formula1>
    </dataValidation>
  </dataValidations>
  <pageMargins left="0" right="0" top="0" bottom="0" header="0" footer="0"/>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C9C5D-A8D7-47B1-8D54-03BCA92AD20D}">
  <sheetPr codeName="Sheet21">
    <tabColor theme="8" tint="0.59999389629810485"/>
    <pageSetUpPr fitToPage="1"/>
  </sheetPr>
  <dimension ref="A1:BQ204"/>
  <sheetViews>
    <sheetView showGridLines="0" showRowColHeaders="0" zoomScale="85" zoomScaleNormal="85" workbookViewId="0">
      <selection activeCell="C18" sqref="C18:Q19"/>
    </sheetView>
  </sheetViews>
  <sheetFormatPr defaultColWidth="0" defaultRowHeight="15" zeroHeight="1"/>
  <cols>
    <col min="1" max="49" width="4.7109375" customWidth="1"/>
    <col min="50" max="50" width="9.5703125" hidden="1"/>
    <col min="51" max="51" width="15.7109375" hidden="1"/>
    <col min="52" max="58" width="9.5703125" hidden="1"/>
    <col min="59" max="60" width="12.7109375" hidden="1"/>
    <col min="61" max="61" width="8.5703125" hidden="1"/>
    <col min="62" max="64" width="9.5703125" hidden="1"/>
    <col min="65" max="65" width="10.7109375" hidden="1"/>
    <col min="66" max="67" width="13.7109375" hidden="1"/>
    <col min="68" max="68" width="9.5703125" hidden="1"/>
    <col min="69" max="69" width="14.7109375" hidden="1"/>
    <col min="70" max="16384" width="4.7109375" hidden="1"/>
  </cols>
  <sheetData>
    <row r="1" spans="1:6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9"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69" ht="15.95" customHeight="1">
      <c r="A4" s="666">
        <f>INCENTOTAL</f>
        <v>0</v>
      </c>
      <c r="B4" s="666"/>
      <c r="C4" s="666"/>
      <c r="D4" s="666"/>
      <c r="E4" s="666"/>
      <c r="F4" s="203"/>
      <c r="G4" s="203"/>
      <c r="H4" s="203"/>
      <c r="I4" s="203"/>
    </row>
    <row r="5" spans="1:69" ht="15.95" customHeight="1">
      <c r="A5" s="667"/>
      <c r="B5" s="667"/>
      <c r="C5" s="667"/>
      <c r="D5" s="667"/>
      <c r="E5" s="667"/>
      <c r="F5" s="428"/>
      <c r="G5" s="428"/>
      <c r="H5" s="428"/>
      <c r="I5" s="428"/>
      <c r="AS5" s="630">
        <f ca="1">PROGRESSSTATUS</f>
        <v>0</v>
      </c>
      <c r="AT5" s="630"/>
      <c r="AU5" s="630"/>
      <c r="AV5" s="630"/>
      <c r="AW5" s="630"/>
      <c r="AY5" s="22"/>
      <c r="AZ5" s="119" t="s">
        <v>1315</v>
      </c>
      <c r="BA5" s="119" t="s">
        <v>325</v>
      </c>
    </row>
    <row r="6" spans="1:69" ht="15.95" customHeight="1">
      <c r="A6" s="667"/>
      <c r="B6" s="667"/>
      <c r="C6" s="667"/>
      <c r="D6" s="667"/>
      <c r="E6" s="667"/>
      <c r="F6" s="428"/>
      <c r="G6" s="428"/>
      <c r="H6" s="428"/>
      <c r="I6" s="428"/>
      <c r="AS6" s="630"/>
      <c r="AT6" s="630"/>
      <c r="AU6" s="630"/>
      <c r="AV6" s="630"/>
      <c r="AW6" s="630"/>
      <c r="AY6" s="118" t="s">
        <v>1320</v>
      </c>
      <c r="AZ6" s="117" t="str">
        <f>CBPRESE</f>
        <v>NA</v>
      </c>
      <c r="BA6" s="117" t="str">
        <f>PAYPRESE</f>
        <v>NA</v>
      </c>
    </row>
    <row r="7" spans="1:69" ht="15.95" customHeight="1">
      <c r="A7" s="629" t="s">
        <v>83</v>
      </c>
      <c r="B7" s="629"/>
      <c r="C7" s="629"/>
      <c r="D7" s="629"/>
      <c r="E7" s="629"/>
      <c r="F7" s="85"/>
      <c r="G7" s="85"/>
      <c r="H7" s="85"/>
      <c r="I7" s="85"/>
      <c r="AS7" s="629" t="s">
        <v>299</v>
      </c>
      <c r="AT7" s="629"/>
      <c r="AU7" s="629"/>
      <c r="AV7" s="629"/>
      <c r="AW7" s="629"/>
      <c r="AY7" s="118" t="s">
        <v>135</v>
      </c>
      <c r="AZ7" s="117" t="str">
        <f>CBCUSE</f>
        <v>NA</v>
      </c>
      <c r="BA7" s="117" t="str">
        <f>PAYCUSE</f>
        <v>NA</v>
      </c>
    </row>
    <row r="8" spans="1:69" ht="15.95" customHeight="1" thickBot="1">
      <c r="A8" s="632"/>
      <c r="B8" s="632"/>
      <c r="C8" s="632"/>
      <c r="D8" s="632"/>
      <c r="E8" s="632"/>
      <c r="F8" s="429"/>
      <c r="G8" s="429"/>
      <c r="H8" s="429"/>
      <c r="I8" s="429"/>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28" t="str">
        <f ca="1">PROJSTATUS</f>
        <v>Enter Measures</v>
      </c>
      <c r="AT8" s="628"/>
      <c r="AU8" s="628"/>
      <c r="AV8" s="628"/>
      <c r="AW8" s="628"/>
      <c r="AY8" s="118" t="s">
        <v>596</v>
      </c>
      <c r="AZ8" s="117" t="str">
        <f>CBALL</f>
        <v>NA</v>
      </c>
      <c r="BA8" s="117" t="str">
        <f>PAYALL</f>
        <v>NA</v>
      </c>
    </row>
    <row r="9" spans="1:69" s="88" customFormat="1" ht="15.95" customHeight="1">
      <c r="B9" s="89"/>
      <c r="C9" s="89"/>
      <c r="D9" s="89"/>
      <c r="E9" s="89"/>
      <c r="F9" s="89"/>
      <c r="G9" s="89"/>
      <c r="J9" s="877"/>
      <c r="K9" s="878"/>
      <c r="L9" s="878"/>
      <c r="M9" s="878"/>
      <c r="N9" s="876" t="str">
        <f>M3S3</f>
        <v>Lighting Controls</v>
      </c>
      <c r="O9" s="817"/>
      <c r="P9" s="817"/>
      <c r="Q9" s="817"/>
      <c r="R9" s="819" t="str">
        <f>M3S4</f>
        <v>Refrigeration</v>
      </c>
      <c r="S9" s="819"/>
      <c r="T9" s="819"/>
      <c r="U9" s="819"/>
      <c r="V9" s="876" t="str">
        <f>M3S5</f>
        <v>HVAC</v>
      </c>
      <c r="W9" s="817"/>
      <c r="X9" s="817"/>
      <c r="Y9" s="817"/>
      <c r="Z9" s="876" t="str">
        <f>M4S8</f>
        <v>Motors and Drives</v>
      </c>
      <c r="AA9" s="817"/>
      <c r="AB9" s="817"/>
      <c r="AC9" s="817"/>
      <c r="AD9" s="876" t="str">
        <f>M3S6</f>
        <v>Compressed Air / Process</v>
      </c>
      <c r="AE9" s="817"/>
      <c r="AF9" s="817"/>
      <c r="AG9" s="817"/>
      <c r="AH9" s="876" t="str">
        <f>M3S7</f>
        <v>Water Heating / Food Services</v>
      </c>
      <c r="AI9" s="817"/>
      <c r="AJ9" s="817"/>
      <c r="AK9" s="817"/>
      <c r="AL9" s="876" t="str">
        <f>M4S9</f>
        <v>Miscellaneous</v>
      </c>
      <c r="AM9" s="817"/>
      <c r="AN9" s="817"/>
      <c r="AO9" s="817"/>
      <c r="AP9" s="89"/>
      <c r="AQ9" s="89"/>
      <c r="AR9" s="89"/>
      <c r="AS9"/>
      <c r="AU9" s="89"/>
      <c r="AV9" s="89"/>
    </row>
    <row r="10" spans="1:69" s="88" customFormat="1" ht="15.95" customHeight="1">
      <c r="B10" s="89"/>
      <c r="C10" s="89"/>
      <c r="D10" s="89"/>
      <c r="E10" s="89"/>
      <c r="F10" s="89"/>
      <c r="G10" s="89"/>
      <c r="J10" s="878"/>
      <c r="K10" s="878"/>
      <c r="L10" s="878"/>
      <c r="M10" s="878"/>
      <c r="N10" s="817"/>
      <c r="O10" s="817"/>
      <c r="P10" s="817"/>
      <c r="Q10" s="817"/>
      <c r="R10" s="819"/>
      <c r="S10" s="819"/>
      <c r="T10" s="819"/>
      <c r="U10" s="819"/>
      <c r="V10" s="817"/>
      <c r="W10" s="817"/>
      <c r="X10" s="817"/>
      <c r="Y10" s="817"/>
      <c r="Z10" s="817"/>
      <c r="AA10" s="817"/>
      <c r="AB10" s="817"/>
      <c r="AC10" s="817"/>
      <c r="AD10" s="817"/>
      <c r="AE10" s="817"/>
      <c r="AF10" s="817"/>
      <c r="AG10" s="817"/>
      <c r="AH10" s="817"/>
      <c r="AI10" s="817"/>
      <c r="AJ10" s="817"/>
      <c r="AK10" s="817"/>
      <c r="AL10" s="817"/>
      <c r="AM10" s="817"/>
      <c r="AN10" s="817"/>
      <c r="AO10" s="817"/>
      <c r="AP10" s="89"/>
      <c r="AQ10" s="89"/>
      <c r="AR10" s="89"/>
      <c r="AS10"/>
      <c r="AU10" s="89"/>
      <c r="AV10" s="89"/>
    </row>
    <row r="11" spans="1:69" ht="15.95" customHeight="1">
      <c r="B11" s="106"/>
      <c r="C11" s="106"/>
      <c r="D11" s="106"/>
      <c r="E11" s="106"/>
      <c r="F11" s="106"/>
      <c r="G11" s="106"/>
      <c r="J11" s="878"/>
      <c r="K11" s="878"/>
      <c r="L11" s="878"/>
      <c r="M11" s="878"/>
      <c r="N11" s="817"/>
      <c r="O11" s="817"/>
      <c r="P11" s="817"/>
      <c r="Q11" s="817"/>
      <c r="R11" s="819"/>
      <c r="S11" s="819"/>
      <c r="T11" s="819"/>
      <c r="U11" s="819"/>
      <c r="V11" s="817"/>
      <c r="W11" s="817"/>
      <c r="X11" s="817"/>
      <c r="Y11" s="817"/>
      <c r="Z11" s="817"/>
      <c r="AA11" s="817"/>
      <c r="AB11" s="817"/>
      <c r="AC11" s="817"/>
      <c r="AD11" s="817"/>
      <c r="AE11" s="817"/>
      <c r="AF11" s="817"/>
      <c r="AG11" s="817"/>
      <c r="AH11" s="817"/>
      <c r="AI11" s="817"/>
      <c r="AJ11" s="817"/>
      <c r="AK11" s="817"/>
      <c r="AL11" s="817"/>
      <c r="AM11" s="817"/>
      <c r="AN11" s="817"/>
      <c r="AO11" s="817"/>
      <c r="AP11" s="106"/>
      <c r="AQ11" s="106"/>
      <c r="AR11" s="106"/>
      <c r="AU11" s="106"/>
      <c r="AV11" s="106"/>
    </row>
    <row r="12" spans="1:69" ht="15.95" customHeight="1">
      <c r="A12" s="86"/>
      <c r="B12" s="86"/>
      <c r="C12" s="86"/>
      <c r="D12" s="86"/>
      <c r="E12" s="86"/>
      <c r="F12" s="86"/>
      <c r="G12" s="86"/>
      <c r="T12" s="821">
        <f>SUM(AR18:AU199)</f>
        <v>0</v>
      </c>
      <c r="U12" s="821"/>
      <c r="V12" s="821"/>
      <c r="W12" s="821"/>
      <c r="X12" s="821">
        <f>SUM(AX18:AX199)</f>
        <v>0</v>
      </c>
      <c r="Y12" s="821"/>
      <c r="Z12" s="821"/>
      <c r="AA12" s="821"/>
      <c r="AB12" s="820">
        <f ca="1">SUMIF(AR18:AU199,"&gt;0",AO18:AQ199)</f>
        <v>0</v>
      </c>
      <c r="AC12" s="820"/>
      <c r="AD12" s="820"/>
      <c r="AE12" s="820"/>
      <c r="AT12" s="377"/>
    </row>
    <row r="13" spans="1:69" ht="15.95" customHeight="1">
      <c r="A13" s="86"/>
      <c r="B13" s="86"/>
      <c r="C13" s="86"/>
      <c r="D13" s="86"/>
      <c r="E13" s="758" t="s">
        <v>1844</v>
      </c>
      <c r="F13" s="758"/>
      <c r="G13" s="758"/>
      <c r="H13" s="758"/>
      <c r="I13" s="758"/>
      <c r="J13" s="758"/>
      <c r="K13" s="758"/>
      <c r="L13" s="758"/>
      <c r="M13" s="758"/>
      <c r="N13" s="758"/>
      <c r="O13" s="758"/>
      <c r="P13" s="758"/>
      <c r="Q13" s="758"/>
      <c r="R13" s="758"/>
      <c r="T13" s="821"/>
      <c r="U13" s="821"/>
      <c r="V13" s="821"/>
      <c r="W13" s="821"/>
      <c r="X13" s="821"/>
      <c r="Y13" s="821"/>
      <c r="Z13" s="821"/>
      <c r="AA13" s="821"/>
      <c r="AB13" s="820"/>
      <c r="AC13" s="820"/>
      <c r="AD13" s="820"/>
      <c r="AE13" s="820"/>
      <c r="AM13" s="840" t="str">
        <f>IF(IFERROR(MATCH("100% Total Cost", BI:BI, 0), FALSE), "The incentive for one or more measures is capped due to measure cost.", "")</f>
        <v/>
      </c>
      <c r="AN13" s="840"/>
      <c r="AO13" s="840"/>
      <c r="AP13" s="840"/>
      <c r="AQ13" s="840"/>
      <c r="AR13" s="840"/>
      <c r="AS13" s="840"/>
      <c r="AT13" s="840"/>
      <c r="AU13" s="840"/>
    </row>
    <row r="14" spans="1:69" ht="15.95" customHeight="1">
      <c r="T14" s="758" t="s">
        <v>1717</v>
      </c>
      <c r="U14" s="758"/>
      <c r="V14" s="758"/>
      <c r="W14" s="758"/>
      <c r="X14" s="758" t="s">
        <v>67</v>
      </c>
      <c r="Y14" s="758"/>
      <c r="Z14" s="758"/>
      <c r="AA14" s="758"/>
      <c r="AB14" s="758" t="s">
        <v>1161</v>
      </c>
      <c r="AC14" s="758"/>
      <c r="AD14" s="758"/>
      <c r="AE14" s="758"/>
      <c r="AM14" s="840"/>
      <c r="AN14" s="840"/>
      <c r="AO14" s="840"/>
      <c r="AP14" s="840"/>
      <c r="AQ14" s="840"/>
      <c r="AR14" s="840"/>
      <c r="AS14" s="840"/>
      <c r="AT14" s="840"/>
      <c r="AU14" s="840"/>
    </row>
    <row r="15" spans="1:69" ht="15.95" customHeight="1"/>
    <row r="16" spans="1:69" ht="15.95" customHeight="1">
      <c r="C16" s="723" t="s">
        <v>1250</v>
      </c>
      <c r="D16" s="723"/>
      <c r="E16" s="723"/>
      <c r="F16" s="723"/>
      <c r="G16" s="723"/>
      <c r="H16" s="723"/>
      <c r="I16" s="723"/>
      <c r="J16" s="723"/>
      <c r="K16" s="723"/>
      <c r="L16" s="723"/>
      <c r="M16" s="723"/>
      <c r="N16" s="723"/>
      <c r="O16" s="723"/>
      <c r="P16" s="723"/>
      <c r="Q16" s="723"/>
      <c r="R16" s="723" t="s">
        <v>1261</v>
      </c>
      <c r="S16" s="723"/>
      <c r="T16" s="723"/>
      <c r="U16" s="723" t="s">
        <v>74</v>
      </c>
      <c r="V16" s="723"/>
      <c r="W16" s="723" t="s">
        <v>2912</v>
      </c>
      <c r="X16" s="723"/>
      <c r="Y16" s="723"/>
      <c r="Z16" s="723"/>
      <c r="AA16" s="723" t="s">
        <v>2913</v>
      </c>
      <c r="AB16" s="723"/>
      <c r="AC16" s="723"/>
      <c r="AD16" s="723"/>
      <c r="AE16" s="723" t="s">
        <v>1249</v>
      </c>
      <c r="AF16" s="723"/>
      <c r="AG16" s="723"/>
      <c r="AH16" s="723"/>
      <c r="AI16" s="814" t="s">
        <v>1243</v>
      </c>
      <c r="AJ16" s="814"/>
      <c r="AK16" s="814"/>
      <c r="AL16" s="814"/>
      <c r="AM16" s="723" t="s">
        <v>1718</v>
      </c>
      <c r="AN16" s="723"/>
      <c r="AO16" s="723" t="s">
        <v>1108</v>
      </c>
      <c r="AP16" s="723"/>
      <c r="AQ16" s="723"/>
      <c r="AR16" s="723" t="s">
        <v>83</v>
      </c>
      <c r="AS16" s="723"/>
      <c r="AT16" s="723"/>
      <c r="AU16" s="723"/>
      <c r="AX16" s="752" t="s">
        <v>1257</v>
      </c>
      <c r="AY16" s="752" t="s">
        <v>1116</v>
      </c>
      <c r="AZ16" s="759" t="s">
        <v>1253</v>
      </c>
      <c r="BA16" s="759"/>
      <c r="BB16" s="752" t="s">
        <v>1255</v>
      </c>
      <c r="BC16" s="752" t="s">
        <v>1256</v>
      </c>
      <c r="BD16" s="752" t="s">
        <v>1305</v>
      </c>
      <c r="BE16" s="759" t="s">
        <v>1254</v>
      </c>
      <c r="BF16" s="759"/>
      <c r="BG16" s="752" t="s">
        <v>2774</v>
      </c>
      <c r="BH16" s="752" t="s">
        <v>85</v>
      </c>
      <c r="BI16" s="752" t="s">
        <v>1306</v>
      </c>
      <c r="BJ16" s="752" t="s">
        <v>309</v>
      </c>
      <c r="BK16" s="736" t="s">
        <v>88</v>
      </c>
      <c r="BL16" s="736" t="s">
        <v>2130</v>
      </c>
      <c r="BM16" s="833"/>
      <c r="BN16" s="736" t="s">
        <v>2270</v>
      </c>
      <c r="BO16" s="736" t="s">
        <v>1303</v>
      </c>
      <c r="BP16" s="736" t="s">
        <v>2401</v>
      </c>
      <c r="BQ16" s="752" t="s">
        <v>2917</v>
      </c>
    </row>
    <row r="17" spans="1:69" ht="15.95" customHeight="1" thickBot="1">
      <c r="C17" s="724"/>
      <c r="D17" s="724"/>
      <c r="E17" s="724"/>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t="s">
        <v>1241</v>
      </c>
      <c r="AJ17" s="724"/>
      <c r="AK17" s="724" t="s">
        <v>1242</v>
      </c>
      <c r="AL17" s="724"/>
      <c r="AM17" s="724"/>
      <c r="AN17" s="724"/>
      <c r="AO17" s="724"/>
      <c r="AP17" s="724"/>
      <c r="AQ17" s="724"/>
      <c r="AR17" s="724"/>
      <c r="AS17" s="724"/>
      <c r="AT17" s="724"/>
      <c r="AU17" s="724"/>
      <c r="AX17" s="753"/>
      <c r="AY17" s="753"/>
      <c r="AZ17" s="107" t="s">
        <v>1251</v>
      </c>
      <c r="BA17" s="107" t="s">
        <v>1252</v>
      </c>
      <c r="BB17" s="753"/>
      <c r="BC17" s="753" t="s">
        <v>1256</v>
      </c>
      <c r="BD17" s="753"/>
      <c r="BE17" s="107" t="s">
        <v>1251</v>
      </c>
      <c r="BF17" s="107" t="s">
        <v>1465</v>
      </c>
      <c r="BG17" s="753"/>
      <c r="BH17" s="753"/>
      <c r="BI17" s="753"/>
      <c r="BJ17" s="753"/>
      <c r="BK17" s="737"/>
      <c r="BL17" s="737"/>
      <c r="BM17" s="834"/>
      <c r="BN17" s="737"/>
      <c r="BO17" s="737"/>
      <c r="BP17" s="737"/>
      <c r="BQ17" s="753"/>
    </row>
    <row r="18" spans="1:69" ht="15.95" customHeight="1">
      <c r="B18" s="806">
        <v>1</v>
      </c>
      <c r="C18" s="813"/>
      <c r="D18" s="813"/>
      <c r="E18" s="813"/>
      <c r="F18" s="813"/>
      <c r="G18" s="813"/>
      <c r="H18" s="813"/>
      <c r="I18" s="813"/>
      <c r="J18" s="813"/>
      <c r="K18" s="813"/>
      <c r="L18" s="813"/>
      <c r="M18" s="813"/>
      <c r="N18" s="813"/>
      <c r="O18" s="813"/>
      <c r="P18" s="813"/>
      <c r="Q18" s="813"/>
      <c r="R18" s="869" t="str">
        <f>IF(C18="","",INDEX(STDREFRIG[Current Unit],MATCH(C18,STDREFRIG[Measure Name],0)))</f>
        <v/>
      </c>
      <c r="S18" s="869"/>
      <c r="T18" s="869"/>
      <c r="U18" s="784"/>
      <c r="V18" s="784"/>
      <c r="W18" s="813"/>
      <c r="X18" s="813"/>
      <c r="Y18" s="813"/>
      <c r="Z18" s="813"/>
      <c r="AA18" s="813"/>
      <c r="AB18" s="813"/>
      <c r="AC18" s="813"/>
      <c r="AD18" s="813"/>
      <c r="AE18" s="813"/>
      <c r="AF18" s="813"/>
      <c r="AG18" s="813"/>
      <c r="AH18" s="716"/>
      <c r="AI18" s="786"/>
      <c r="AJ18" s="787"/>
      <c r="AK18" s="787"/>
      <c r="AL18" s="788"/>
      <c r="AM18" s="796" t="str">
        <f>IFERROR(IF(C18="","",INDEX(IF(AND(ACTIVEBONUS = TRUE,INDEX(STDREFRIG[Bonus Incentive],MATCH(C18,STDREFRIG[Measure Name],0))&lt;&gt; ""),STDREFRIG[Bonus Incentive],STDREFRIG[Base Incentive]),MATCH(C18,STDREFRIG[Measure Name],0))),"")</f>
        <v/>
      </c>
      <c r="AN18" s="823"/>
      <c r="AO18" s="797" t="str">
        <f>IFERROR(IF(OR(C18="",U18="",R18="",AA18="",AE18="",AI18="",AK18="",W18=""),"",IF(BN18="Deemed",AZ18,IF(BN18="Calculated",BE18,""))),"")</f>
        <v/>
      </c>
      <c r="AP18" s="797"/>
      <c r="AQ18" s="797"/>
      <c r="AR18" s="826" t="str">
        <f>IFERROR(IF(OR(C18="",U18="",R18="",AA18="",AE18="",AI18="",AK18="",W18=""),"",IF(BJ18&lt;&gt;"",BJ18,IF(BP18&gt;0,BP18,ROUND(IF(AO18&lt;=0,0,MIN(AX18,BG18)),2)))),"")</f>
        <v/>
      </c>
      <c r="AS18" s="826"/>
      <c r="AT18" s="826"/>
      <c r="AU18" s="826"/>
      <c r="AV18" s="22"/>
      <c r="AX18" s="873" t="str">
        <f>IF(OR(C18="",U18="",R18="",AA18="",AE18="",AI18="",AK18="",W18=""),"",IF(AO18=0,"",ROUND(AI18+AK18,2)))</f>
        <v/>
      </c>
      <c r="AY18" s="750" t="str">
        <f>IFERROR(IF(OR(C18="",U18="",R18="",AA18="",AE18="",AI18="",AK18="",W18=""),"",INDEX(STDREFRIG[Current Unit],MATCH(C18,STDREFRIG[Measure Name],0))),"Err")</f>
        <v/>
      </c>
      <c r="AZ18" s="746" t="str">
        <f>IF(OR(C18="",U18="",R18="",AA18="",AE18="",AI18="",AK18="",W18=""),"",ROUND(U18*INDEX(STDREFRIG[Electric Energy Savings (Annual kWh/unit)],MATCH(C18,STDREFRIG[Measure Name],0)),4))</f>
        <v/>
      </c>
      <c r="BA18" s="746" t="str">
        <f>IF(OR(C18="",U18="",R18="",AA18="",AE18="",AI18="",AK18="",W18=""),"",ROUND(U18*INDEX(STDREFRIG[Coincident Peak Demand Savings (kW/unit)],MATCH(C18,STDREFRIG[Measure Name],0)),4))</f>
        <v/>
      </c>
      <c r="BB18" s="870"/>
      <c r="BC18" s="870"/>
      <c r="BD18" s="754" t="str">
        <f>IFERROR(IF(OR(C18="",U18="",R18="",AA18="",AE18="",AI18="",AK18="",W18=""),"",INDEX(STDREFRIG[End Use],MATCH(C18,STDREFRIG[Measure Name],0))),"Err")</f>
        <v/>
      </c>
      <c r="BE18" s="870"/>
      <c r="BF18" s="870"/>
      <c r="BG18" s="838" t="str">
        <f>IFERROR(ROUND(U18*AM18, 2), "")</f>
        <v/>
      </c>
      <c r="BH18" s="750" t="str">
        <f>IFERROR(IF(OR(C18="",U18="",R18="",AA18="",AE18="",AI18="",AK18="",W18="",ISNUMBER(AR18)=FALSE,AR18=0),"",INDEX(STDREFRIG[Measure Number],MATCH(C18,STDREFRIG[Measure Name],0))),"Err")</f>
        <v/>
      </c>
      <c r="BI18" s="754" t="str">
        <f>IFERROR(IF(BP18="",IF(AR18 &lt; BG18, "100% Total Cost", ""), ""), "")</f>
        <v/>
      </c>
      <c r="BJ18" s="750" t="str">
        <f>IFERROR(IF(OR(C18="",U18="",R18="",AA18="",AE18="",AI18="",AK18="",W18=""),"",
IF(BP18&gt;0,"",
IF(EXPIRATION&lt;&gt;"",PROJSTATEXP,""))),"")</f>
        <v/>
      </c>
      <c r="BK18" s="828" t="str">
        <f>IFERROR(INDEX(STDREFRIG[Measure Life (Years)],MATCH(C18,STDREFRIG[Measure Name],0)),"")</f>
        <v/>
      </c>
      <c r="BL18" s="830" t="str">
        <f>IFERROR(IF(OR(C18="",U18="",R18="",AA18="",AE18="",AI18="",AK18="",W18=""),"",
ROUND(((1+ELOSS)*((AZ18*INDEX(ELECCB[NPV AEC $/kWh],MATCH(BK18,ELECCB[Year Number],1)))+(BA18*INDEX(ELECCB[NPV ACC $/kW],MATCH(BK18,ELECCB[Year Number],1))))),2)),0)</f>
        <v/>
      </c>
      <c r="BM18" s="835"/>
      <c r="BN18" s="832" t="str">
        <f>IFERROR(IF(OR(C18="",U18="",R18="",AA18="",AE18="",AI18="",AK18="",W18=""),"",INDEX(STDREFRIG[Reporting Methodology],MATCH(C18,STDREFRIG[Measure Name],0))),"Err")</f>
        <v/>
      </c>
      <c r="BO18" s="867" t="str">
        <f>IFERROR(IF(BH18="","",INDEX(STDREFRIG[Incremental Measure Cost ($/Unit)],MATCH(C18,STDREFRIG[Measure Name],0))),"Err")</f>
        <v/>
      </c>
      <c r="BP18" s="837"/>
      <c r="BQ18" s="838" t="str">
        <f>_xlfn.LET(
_xlpm.IPU,
IFERROR(IF(C18="","",INDEX(STDREFRIG[Base Incentive],MATCH(C18,STDREFRIG[Measure Name],0))),""),
IFERROR(ROUND(U18*_xlpm.IPU, 2), ""))</f>
        <v/>
      </c>
    </row>
    <row r="19" spans="1:69" ht="15.95" customHeight="1">
      <c r="B19" s="806"/>
      <c r="C19" s="805"/>
      <c r="D19" s="805"/>
      <c r="E19" s="805"/>
      <c r="F19" s="805"/>
      <c r="G19" s="805"/>
      <c r="H19" s="805"/>
      <c r="I19" s="805"/>
      <c r="J19" s="805"/>
      <c r="K19" s="805"/>
      <c r="L19" s="805"/>
      <c r="M19" s="805"/>
      <c r="N19" s="805"/>
      <c r="O19" s="805"/>
      <c r="P19" s="805"/>
      <c r="Q19" s="805"/>
      <c r="R19" s="868"/>
      <c r="S19" s="868"/>
      <c r="T19" s="868"/>
      <c r="U19" s="785"/>
      <c r="V19" s="785"/>
      <c r="W19" s="805"/>
      <c r="X19" s="805"/>
      <c r="Y19" s="805"/>
      <c r="Z19" s="805"/>
      <c r="AA19" s="805"/>
      <c r="AB19" s="805"/>
      <c r="AC19" s="805"/>
      <c r="AD19" s="805"/>
      <c r="AE19" s="805"/>
      <c r="AF19" s="805"/>
      <c r="AG19" s="805"/>
      <c r="AH19" s="728"/>
      <c r="AI19" s="765"/>
      <c r="AJ19" s="766"/>
      <c r="AK19" s="766"/>
      <c r="AL19" s="767"/>
      <c r="AM19" s="875"/>
      <c r="AN19" s="825"/>
      <c r="AO19" s="798"/>
      <c r="AP19" s="798"/>
      <c r="AQ19" s="798"/>
      <c r="AR19" s="827"/>
      <c r="AS19" s="827"/>
      <c r="AT19" s="827"/>
      <c r="AU19" s="827"/>
      <c r="AV19" s="22"/>
      <c r="AX19" s="874"/>
      <c r="AY19" s="751"/>
      <c r="AZ19" s="747"/>
      <c r="BA19" s="747"/>
      <c r="BB19" s="871"/>
      <c r="BC19" s="871"/>
      <c r="BD19" s="755"/>
      <c r="BE19" s="871"/>
      <c r="BF19" s="871"/>
      <c r="BG19" s="839"/>
      <c r="BH19" s="751"/>
      <c r="BI19" s="755"/>
      <c r="BJ19" s="751"/>
      <c r="BK19" s="829"/>
      <c r="BL19" s="831"/>
      <c r="BM19" s="836"/>
      <c r="BN19" s="832"/>
      <c r="BO19" s="867"/>
      <c r="BP19" s="837"/>
      <c r="BQ19" s="839"/>
    </row>
    <row r="20" spans="1:69" ht="15.95" customHeight="1">
      <c r="A20" s="85"/>
      <c r="B20" s="806">
        <v>2</v>
      </c>
      <c r="C20" s="805"/>
      <c r="D20" s="805"/>
      <c r="E20" s="805"/>
      <c r="F20" s="805"/>
      <c r="G20" s="805"/>
      <c r="H20" s="805"/>
      <c r="I20" s="805"/>
      <c r="J20" s="805"/>
      <c r="K20" s="805"/>
      <c r="L20" s="805"/>
      <c r="M20" s="805"/>
      <c r="N20" s="805"/>
      <c r="O20" s="805"/>
      <c r="P20" s="805"/>
      <c r="Q20" s="805"/>
      <c r="R20" s="868" t="str">
        <f>IF(C20="","",INDEX(STDREFRIG[Current Unit],MATCH(C20,STDREFRIG[Measure Name],0)))</f>
        <v/>
      </c>
      <c r="S20" s="868"/>
      <c r="T20" s="868"/>
      <c r="U20" s="785"/>
      <c r="V20" s="785"/>
      <c r="W20" s="805"/>
      <c r="X20" s="805"/>
      <c r="Y20" s="805"/>
      <c r="Z20" s="805"/>
      <c r="AA20" s="805"/>
      <c r="AB20" s="805"/>
      <c r="AC20" s="805"/>
      <c r="AD20" s="805"/>
      <c r="AE20" s="805"/>
      <c r="AF20" s="805"/>
      <c r="AG20" s="805"/>
      <c r="AH20" s="728"/>
      <c r="AI20" s="765"/>
      <c r="AJ20" s="766"/>
      <c r="AK20" s="766"/>
      <c r="AL20" s="767"/>
      <c r="AM20" s="793" t="str">
        <f>IFERROR(IF(C20="","",INDEX(IF(AND(ACTIVEBONUS = TRUE,INDEX(STDREFRIG[Bonus Incentive],MATCH(C20,STDREFRIG[Measure Name],0))&lt;&gt; ""),STDREFRIG[Bonus Incentive],STDREFRIG[Base Incentive]),MATCH(C20,STDREFRIG[Measure Name],0))),"")</f>
        <v/>
      </c>
      <c r="AN20" s="794"/>
      <c r="AO20" s="797" t="str">
        <f>IFERROR(IF(OR(C20="",U20="",R20="",AA20="",AE20="",AI20="",AK20=""),"",IF(BN20="Deemed",AZ20,IF(BN20="Calculated",BE20,""))),"")</f>
        <v/>
      </c>
      <c r="AP20" s="797"/>
      <c r="AQ20" s="797"/>
      <c r="AR20" s="799" t="str">
        <f>IFERROR(IF(OR(C20="",U20="",R20="",AA20="",AE20="",AI20="",AK20=""),"",IF(BJ20&lt;&gt;"",BJ20,IF(BP20&gt;0,BP20,ROUND(IF(AO20&lt;=0,0,MIN(AX20,BG20)),2)))),"")</f>
        <v/>
      </c>
      <c r="AS20" s="800"/>
      <c r="AT20" s="800"/>
      <c r="AU20" s="801"/>
      <c r="AV20" s="22"/>
      <c r="AX20" s="873" t="str">
        <f>IF(OR(C20="",U20="",R20="",AA20="",AE20="",AI20="",AK20=""),"",IF(AO20=0,"",ROUND(AI20+AK20,2)))</f>
        <v/>
      </c>
      <c r="AY20" s="750" t="str">
        <f>IFERROR(IF(OR(C20="",U20="",R20="",AA20="",AE20="",AI20="",AK20=""),"",INDEX(STDREFRIG[Current Unit],MATCH(C20,STDREFRIG[Measure Name],0))),"Err")</f>
        <v/>
      </c>
      <c r="AZ20" s="746" t="str">
        <f>IF(OR(C20="",U20="",R20="",AA20="",AE20="",AI20="",AK20=""),"",ROUND(U20*INDEX(STDREFRIG[Electric Energy Savings (Annual kWh/unit)],MATCH(C20,STDREFRIG[Measure Name],0)),4))</f>
        <v/>
      </c>
      <c r="BA20" s="746" t="str">
        <f>IF(OR(C20="",U20="",R20="",AA20="",AE20="",AI20="",AK20=""),"",ROUND(U20*INDEX(STDREFRIG[Coincident Peak Demand Savings (kW/unit)],MATCH(C20,STDREFRIG[Measure Name],0)),4))</f>
        <v/>
      </c>
      <c r="BB20" s="871"/>
      <c r="BC20" s="871"/>
      <c r="BD20" s="754" t="str">
        <f>IFERROR(IF(OR(C20="",U20="",R20="",AA20="",AE20="",AI20="",AK20=""),"",INDEX(STDREFRIG[End Use],MATCH(C20,STDREFRIG[Measure Name],0))),"Err")</f>
        <v/>
      </c>
      <c r="BE20" s="871"/>
      <c r="BF20" s="871"/>
      <c r="BG20" s="872" t="str">
        <f>IFERROR(ROUND(U20*AM20, 2), "")</f>
        <v/>
      </c>
      <c r="BH20" s="750" t="str">
        <f>IFERROR(IF(OR(C20="",U20="",R20="",AA20="",AE20="",AI20="",AK20="",ISNUMBER(AR20)=FALSE,AR20=0),"",INDEX(STDREFRIG[Measure Number],MATCH(C20,STDREFRIG[Measure Name],0))),"Err")</f>
        <v/>
      </c>
      <c r="BI20" s="754" t="str">
        <f t="shared" ref="BI20" si="0">IFERROR(IF(BP20="",IF(AR20 &lt; BG20, "100% Total Cost", ""), ""), "")</f>
        <v/>
      </c>
      <c r="BJ20" s="750" t="str">
        <f>IFERROR(IF(OR(C20="",U20="",AA20="",AE20="",AI20="",AK20=""),"",
IF(BP20&gt;0,"",
IF(EXPIRATION&lt;&gt;"",PROJSTATEXP,""))),"")</f>
        <v/>
      </c>
      <c r="BK20" s="828" t="str">
        <f>IFERROR(INDEX(STDREFRIG[Measure Life (Years)],MATCH(C20,STDREFRIG[Measure Name],0)),"")</f>
        <v/>
      </c>
      <c r="BL20" s="830" t="str">
        <f>IFERROR(IF(OR(C20="",U20="",R20="",AA20="",AE20="",AI20="",AK20=""),"",
ROUND(((1+ELOSS)*((AZ20*INDEX(ELECCB[NPV AEC $/kWh],MATCH(BK20,ELECCB[Year Number],1)))+(BA20*INDEX(ELECCB[NPV ACC $/kW],MATCH(BK20,ELECCB[Year Number],1))))),2)),0)</f>
        <v/>
      </c>
      <c r="BM20" s="835"/>
      <c r="BN20" s="832" t="str">
        <f>IFERROR(IF(OR(C20="",U20="",R20="",AA20="",AE20="",AI20="",AK20=""),"",INDEX(STDREFRIG[Reporting Methodology],MATCH(C20,STDREFRIG[Measure Name],0))),"Err")</f>
        <v/>
      </c>
      <c r="BO20" s="867" t="str">
        <f>IFERROR(IF(BH20="","",INDEX(STDREFRIG[Incremental Measure Cost ($/Unit)],MATCH(C20,STDREFRIG[Measure Name],0))),"Err")</f>
        <v/>
      </c>
      <c r="BP20" s="837"/>
      <c r="BQ20" s="838" t="str">
        <f>_xlfn.LET(
_xlpm.IPU,
IFERROR(IF(C20="","",INDEX(STDREFRIG[Base Incentive],MATCH(C20,STDREFRIG[Measure Name],0))),""),
IFERROR(ROUND(U20*_xlpm.IPU, 2), ""))</f>
        <v/>
      </c>
    </row>
    <row r="21" spans="1:69" ht="15.95" customHeight="1">
      <c r="B21" s="806"/>
      <c r="C21" s="805"/>
      <c r="D21" s="805"/>
      <c r="E21" s="805"/>
      <c r="F21" s="805"/>
      <c r="G21" s="805"/>
      <c r="H21" s="805"/>
      <c r="I21" s="805"/>
      <c r="J21" s="805"/>
      <c r="K21" s="805"/>
      <c r="L21" s="805"/>
      <c r="M21" s="805"/>
      <c r="N21" s="805"/>
      <c r="O21" s="805"/>
      <c r="P21" s="805"/>
      <c r="Q21" s="805"/>
      <c r="R21" s="868"/>
      <c r="S21" s="868"/>
      <c r="T21" s="868"/>
      <c r="U21" s="785"/>
      <c r="V21" s="785"/>
      <c r="W21" s="805"/>
      <c r="X21" s="805"/>
      <c r="Y21" s="805"/>
      <c r="Z21" s="805"/>
      <c r="AA21" s="805"/>
      <c r="AB21" s="805"/>
      <c r="AC21" s="805"/>
      <c r="AD21" s="805"/>
      <c r="AE21" s="805"/>
      <c r="AF21" s="805"/>
      <c r="AG21" s="805"/>
      <c r="AH21" s="728"/>
      <c r="AI21" s="765"/>
      <c r="AJ21" s="766"/>
      <c r="AK21" s="766"/>
      <c r="AL21" s="767"/>
      <c r="AM21" s="795"/>
      <c r="AN21" s="796"/>
      <c r="AO21" s="798"/>
      <c r="AP21" s="798"/>
      <c r="AQ21" s="798"/>
      <c r="AR21" s="802"/>
      <c r="AS21" s="803"/>
      <c r="AT21" s="803"/>
      <c r="AU21" s="804"/>
      <c r="AV21" s="22"/>
      <c r="AX21" s="874"/>
      <c r="AY21" s="751"/>
      <c r="AZ21" s="747"/>
      <c r="BA21" s="747"/>
      <c r="BB21" s="871"/>
      <c r="BC21" s="871"/>
      <c r="BD21" s="755"/>
      <c r="BE21" s="871"/>
      <c r="BF21" s="871"/>
      <c r="BG21" s="838"/>
      <c r="BH21" s="751"/>
      <c r="BI21" s="755"/>
      <c r="BJ21" s="751"/>
      <c r="BK21" s="829"/>
      <c r="BL21" s="831"/>
      <c r="BM21" s="836"/>
      <c r="BN21" s="832"/>
      <c r="BO21" s="867"/>
      <c r="BP21" s="837"/>
      <c r="BQ21" s="839"/>
    </row>
    <row r="22" spans="1:69" ht="15.95" customHeight="1">
      <c r="A22" s="85"/>
      <c r="B22" s="806">
        <v>3</v>
      </c>
      <c r="C22" s="805"/>
      <c r="D22" s="805"/>
      <c r="E22" s="805"/>
      <c r="F22" s="805"/>
      <c r="G22" s="805"/>
      <c r="H22" s="805"/>
      <c r="I22" s="805"/>
      <c r="J22" s="805"/>
      <c r="K22" s="805"/>
      <c r="L22" s="805"/>
      <c r="M22" s="805"/>
      <c r="N22" s="805"/>
      <c r="O22" s="805"/>
      <c r="P22" s="805"/>
      <c r="Q22" s="805"/>
      <c r="R22" s="868" t="str">
        <f>IF(C22="","",INDEX(STDREFRIG[Current Unit],MATCH(C22,STDREFRIG[Measure Name],0)))</f>
        <v/>
      </c>
      <c r="S22" s="868"/>
      <c r="T22" s="868"/>
      <c r="U22" s="785"/>
      <c r="V22" s="785"/>
      <c r="W22" s="805"/>
      <c r="X22" s="805"/>
      <c r="Y22" s="805"/>
      <c r="Z22" s="805"/>
      <c r="AA22" s="805"/>
      <c r="AB22" s="805"/>
      <c r="AC22" s="805"/>
      <c r="AD22" s="805"/>
      <c r="AE22" s="805"/>
      <c r="AF22" s="805"/>
      <c r="AG22" s="805"/>
      <c r="AH22" s="728"/>
      <c r="AI22" s="765"/>
      <c r="AJ22" s="766"/>
      <c r="AK22" s="766"/>
      <c r="AL22" s="767"/>
      <c r="AM22" s="793" t="str">
        <f>IFERROR(IF(C22="","",INDEX(IF(AND(ACTIVEBONUS = TRUE,INDEX(STDREFRIG[Bonus Incentive],MATCH(C22,STDREFRIG[Measure Name],0))&lt;&gt; ""),STDREFRIG[Bonus Incentive],STDREFRIG[Base Incentive]),MATCH(C22,STDREFRIG[Measure Name],0))),"")</f>
        <v/>
      </c>
      <c r="AN22" s="794"/>
      <c r="AO22" s="797" t="str">
        <f>IFERROR(IF(OR(C22="",U22="",R22="",AA22="",AE22="",AI22="",AK22=""),"",IF(BN22="Deemed",AZ22,IF(BN22="Calculated",BE22,""))),"")</f>
        <v/>
      </c>
      <c r="AP22" s="797"/>
      <c r="AQ22" s="797"/>
      <c r="AR22" s="799" t="str">
        <f>IFERROR(IF(OR(C22="",U22="",R22="",AA22="",AE22="",AI22="",AK22=""),"",IF(BJ22&lt;&gt;"",BJ22,IF(BP22&gt;0,BP22,ROUND(IF(AO22&lt;=0,0,MIN(AX22,BG22)),2)))),"")</f>
        <v/>
      </c>
      <c r="AS22" s="800"/>
      <c r="AT22" s="800"/>
      <c r="AU22" s="801"/>
      <c r="AV22" s="22"/>
      <c r="AX22" s="873" t="str">
        <f>IF(OR(C22="",U22="",R22="",AA22="",AE22="",AI22="",AK22=""),"",IF(AO22=0,"",ROUND(AI22+AK22,2)))</f>
        <v/>
      </c>
      <c r="AY22" s="750" t="str">
        <f>IFERROR(IF(OR(C22="",U22="",R22="",AA22="",AE22="",AI22="",AK22=""),"",INDEX(STDREFRIG[Current Unit],MATCH(C22,STDREFRIG[Measure Name],0))),"Err")</f>
        <v/>
      </c>
      <c r="AZ22" s="746" t="str">
        <f>IF(OR(C22="",U22="",R22="",AA22="",AE22="",AI22="",AK22=""),"",ROUND(U22*INDEX(STDREFRIG[Electric Energy Savings (Annual kWh/unit)],MATCH(C22,STDREFRIG[Measure Name],0)),4))</f>
        <v/>
      </c>
      <c r="BA22" s="746" t="str">
        <f>IF(OR(C22="",U22="",R22="",AA22="",AE22="",AI22="",AK22=""),"",ROUND(U22*INDEX(STDREFRIG[Coincident Peak Demand Savings (kW/unit)],MATCH(C22,STDREFRIG[Measure Name],0)),4))</f>
        <v/>
      </c>
      <c r="BB22" s="871"/>
      <c r="BC22" s="871"/>
      <c r="BD22" s="754" t="str">
        <f>IFERROR(IF(OR(C22="",U22="",R22="",AA22="",AE22="",AI22="",AK22=""),"",INDEX(STDREFRIG[End Use],MATCH(C22,STDREFRIG[Measure Name],0))),"Err")</f>
        <v/>
      </c>
      <c r="BE22" s="871"/>
      <c r="BF22" s="871"/>
      <c r="BG22" s="872" t="str">
        <f>IFERROR(ROUND(U22*AM22, 2), "")</f>
        <v/>
      </c>
      <c r="BH22" s="750" t="str">
        <f>IFERROR(IF(OR(C22="",U22="",R22="",AA22="",AE22="",AI22="",AK22="",ISNUMBER(AR22)=FALSE,AR22=0),"",INDEX(STDREFRIG[Measure Number],MATCH(C22,STDREFRIG[Measure Name],0))),"Err")</f>
        <v/>
      </c>
      <c r="BI22" s="754" t="str">
        <f t="shared" ref="BI22" si="1">IFERROR(IF(BP22="",IF(AR22 &lt; BG22, "100% Total Cost", ""), ""), "")</f>
        <v/>
      </c>
      <c r="BJ22" s="750" t="str">
        <f>IFERROR(IF(OR(C22="",U22="",AA22="",AE22="",AI22="",AK22=""),"",
IF(BP22&gt;0,"",
IF(EXPIRATION&lt;&gt;"",PROJSTATEXP,""))),"")</f>
        <v/>
      </c>
      <c r="BK22" s="828" t="str">
        <f>IFERROR(INDEX(STDREFRIG[Measure Life (Years)],MATCH(C22,STDREFRIG[Measure Name],0)),"")</f>
        <v/>
      </c>
      <c r="BL22" s="830" t="str">
        <f>IFERROR(IF(OR(C22="",U22="",R22="",AA22="",AE22="",AI22="",AK22=""),"",
ROUND(((1+ELOSS)*((AZ22*INDEX(ELECCB[NPV AEC $/kWh],MATCH(BK22,ELECCB[Year Number],1)))+(BA22*INDEX(ELECCB[NPV ACC $/kW],MATCH(BK22,ELECCB[Year Number],1))))),2)),0)</f>
        <v/>
      </c>
      <c r="BM22" s="835"/>
      <c r="BN22" s="832" t="str">
        <f>IFERROR(IF(OR(C22="",U22="",R22="",AA22="",AE22="",AI22="",AK22=""),"",INDEX(STDREFRIG[Reporting Methodology],MATCH(C22,STDREFRIG[Measure Name],0))),"Err")</f>
        <v/>
      </c>
      <c r="BO22" s="867" t="str">
        <f>IFERROR(IF(BH22="","",INDEX(STDREFRIG[Incremental Measure Cost ($/Unit)],MATCH(C22,STDREFRIG[Measure Name],0))),"Err")</f>
        <v/>
      </c>
      <c r="BP22" s="837"/>
      <c r="BQ22" s="838" t="str">
        <f>_xlfn.LET(
_xlpm.IPU,
IFERROR(IF(C22="","",INDEX(STDREFRIG[Base Incentive],MATCH(C22,STDREFRIG[Measure Name],0))),""),
IFERROR(ROUND(U22*_xlpm.IPU, 2), ""))</f>
        <v/>
      </c>
    </row>
    <row r="23" spans="1:69" ht="15.95" customHeight="1">
      <c r="B23" s="806"/>
      <c r="C23" s="805"/>
      <c r="D23" s="805"/>
      <c r="E23" s="805"/>
      <c r="F23" s="805"/>
      <c r="G23" s="805"/>
      <c r="H23" s="805"/>
      <c r="I23" s="805"/>
      <c r="J23" s="805"/>
      <c r="K23" s="805"/>
      <c r="L23" s="805"/>
      <c r="M23" s="805"/>
      <c r="N23" s="805"/>
      <c r="O23" s="805"/>
      <c r="P23" s="805"/>
      <c r="Q23" s="805"/>
      <c r="R23" s="868"/>
      <c r="S23" s="868"/>
      <c r="T23" s="868"/>
      <c r="U23" s="785"/>
      <c r="V23" s="785"/>
      <c r="W23" s="805"/>
      <c r="X23" s="805"/>
      <c r="Y23" s="805"/>
      <c r="Z23" s="805"/>
      <c r="AA23" s="805"/>
      <c r="AB23" s="805"/>
      <c r="AC23" s="805"/>
      <c r="AD23" s="805"/>
      <c r="AE23" s="805"/>
      <c r="AF23" s="805"/>
      <c r="AG23" s="805"/>
      <c r="AH23" s="728"/>
      <c r="AI23" s="765"/>
      <c r="AJ23" s="766"/>
      <c r="AK23" s="766"/>
      <c r="AL23" s="767"/>
      <c r="AM23" s="795"/>
      <c r="AN23" s="796"/>
      <c r="AO23" s="798"/>
      <c r="AP23" s="798"/>
      <c r="AQ23" s="798"/>
      <c r="AR23" s="802"/>
      <c r="AS23" s="803"/>
      <c r="AT23" s="803"/>
      <c r="AU23" s="804"/>
      <c r="AV23" s="22"/>
      <c r="AX23" s="874"/>
      <c r="AY23" s="751"/>
      <c r="AZ23" s="747"/>
      <c r="BA23" s="747"/>
      <c r="BB23" s="871"/>
      <c r="BC23" s="871"/>
      <c r="BD23" s="755"/>
      <c r="BE23" s="871"/>
      <c r="BF23" s="871"/>
      <c r="BG23" s="838"/>
      <c r="BH23" s="751"/>
      <c r="BI23" s="755"/>
      <c r="BJ23" s="751"/>
      <c r="BK23" s="829"/>
      <c r="BL23" s="831"/>
      <c r="BM23" s="836"/>
      <c r="BN23" s="832"/>
      <c r="BO23" s="867"/>
      <c r="BP23" s="837"/>
      <c r="BQ23" s="839"/>
    </row>
    <row r="24" spans="1:69" ht="15.95" customHeight="1">
      <c r="B24" s="806">
        <v>4</v>
      </c>
      <c r="C24" s="805"/>
      <c r="D24" s="805"/>
      <c r="E24" s="805"/>
      <c r="F24" s="805"/>
      <c r="G24" s="805"/>
      <c r="H24" s="805"/>
      <c r="I24" s="805"/>
      <c r="J24" s="805"/>
      <c r="K24" s="805"/>
      <c r="L24" s="805"/>
      <c r="M24" s="805"/>
      <c r="N24" s="805"/>
      <c r="O24" s="805"/>
      <c r="P24" s="805"/>
      <c r="Q24" s="805"/>
      <c r="R24" s="868" t="str">
        <f>IF(C24="","",INDEX(STDREFRIG[Current Unit],MATCH(C24,STDREFRIG[Measure Name],0)))</f>
        <v/>
      </c>
      <c r="S24" s="868"/>
      <c r="T24" s="868"/>
      <c r="U24" s="785"/>
      <c r="V24" s="785"/>
      <c r="W24" s="805"/>
      <c r="X24" s="805"/>
      <c r="Y24" s="805"/>
      <c r="Z24" s="805"/>
      <c r="AA24" s="805"/>
      <c r="AB24" s="805"/>
      <c r="AC24" s="805"/>
      <c r="AD24" s="805"/>
      <c r="AE24" s="805"/>
      <c r="AF24" s="805"/>
      <c r="AG24" s="805"/>
      <c r="AH24" s="728"/>
      <c r="AI24" s="765"/>
      <c r="AJ24" s="766"/>
      <c r="AK24" s="766"/>
      <c r="AL24" s="767"/>
      <c r="AM24" s="793" t="str">
        <f>IFERROR(IF(C24="","",INDEX(IF(AND(ACTIVEBONUS = TRUE,INDEX(STDREFRIG[Bonus Incentive],MATCH(C24,STDREFRIG[Measure Name],0))&lt;&gt; ""),STDREFRIG[Bonus Incentive],STDREFRIG[Base Incentive]),MATCH(C24,STDREFRIG[Measure Name],0))),"")</f>
        <v/>
      </c>
      <c r="AN24" s="794"/>
      <c r="AO24" s="797" t="str">
        <f>IFERROR(IF(OR(C24="",U24="",R24="",AA24="",AE24="",AI24="",AK24=""),"",IF(BN24="Deemed",AZ24,IF(BN24="Calculated",BE24,""))),"")</f>
        <v/>
      </c>
      <c r="AP24" s="797"/>
      <c r="AQ24" s="797"/>
      <c r="AR24" s="799" t="str">
        <f>IFERROR(IF(OR(C24="",U24="",R24="",AA24="",AE24="",AI24="",AK24=""),"",IF(BJ24&lt;&gt;"",BJ24,IF(BP24&gt;0,BP24,ROUND(IF(AO24&lt;=0,0,MIN(AX24,BG24)),2)))),"")</f>
        <v/>
      </c>
      <c r="AS24" s="800"/>
      <c r="AT24" s="800"/>
      <c r="AU24" s="801"/>
      <c r="AV24" s="22"/>
      <c r="AX24" s="873" t="str">
        <f>IF(OR(C24="",U24="",R24="",AA24="",AE24="",AI24="",AK24=""),"",IF(AO24=0,"",ROUND(AI24+AK24,2)))</f>
        <v/>
      </c>
      <c r="AY24" s="750" t="str">
        <f>IFERROR(IF(OR(C24="",U24="",R24="",AA24="",AE24="",AI24="",AK24=""),"",INDEX(STDREFRIG[Current Unit],MATCH(C24,STDREFRIG[Measure Name],0))),"Err")</f>
        <v/>
      </c>
      <c r="AZ24" s="746" t="str">
        <f>IF(OR(C24="",U24="",R24="",AA24="",AE24="",AI24="",AK24=""),"",ROUND(U24*INDEX(STDREFRIG[Electric Energy Savings (Annual kWh/unit)],MATCH(C24,STDREFRIG[Measure Name],0)),4))</f>
        <v/>
      </c>
      <c r="BA24" s="746" t="str">
        <f>IF(OR(C24="",U24="",R24="",AA24="",AE24="",AI24="",AK24=""),"",ROUND(U24*INDEX(STDREFRIG[Coincident Peak Demand Savings (kW/unit)],MATCH(C24,STDREFRIG[Measure Name],0)),4))</f>
        <v/>
      </c>
      <c r="BB24" s="871"/>
      <c r="BC24" s="871"/>
      <c r="BD24" s="754" t="str">
        <f>IFERROR(IF(OR(C24="",U24="",R24="",AA24="",AE24="",AI24="",AK24=""),"",INDEX(STDREFRIG[End Use],MATCH(C24,STDREFRIG[Measure Name],0))),"Err")</f>
        <v/>
      </c>
      <c r="BE24" s="871"/>
      <c r="BF24" s="871"/>
      <c r="BG24" s="872" t="str">
        <f>IFERROR(ROUND(U24*AM24, 2), "")</f>
        <v/>
      </c>
      <c r="BH24" s="750" t="str">
        <f>IFERROR(IF(OR(C24="",U24="",R24="",AA24="",AE24="",AI24="",AK24="",ISNUMBER(AR24)=FALSE,AR24=0),"",INDEX(STDREFRIG[Measure Number],MATCH(C24,STDREFRIG[Measure Name],0))),"Err")</f>
        <v/>
      </c>
      <c r="BI24" s="754" t="str">
        <f t="shared" ref="BI24" si="2">IFERROR(IF(BP24="",IF(AR24 &lt; BG24, "100% Total Cost", ""), ""), "")</f>
        <v/>
      </c>
      <c r="BJ24" s="750" t="str">
        <f>IFERROR(IF(OR(C24="",U24="",AA24="",AE24="",AI24="",AK24=""),"",
IF(BP24&gt;0,"",
IF(EXPIRATION&lt;&gt;"",PROJSTATEXP,""))),"")</f>
        <v/>
      </c>
      <c r="BK24" s="828" t="str">
        <f>IFERROR(INDEX(STDREFRIG[Measure Life (Years)],MATCH(C24,STDREFRIG[Measure Name],0)),"")</f>
        <v/>
      </c>
      <c r="BL24" s="830" t="str">
        <f>IFERROR(IF(OR(C24="",U24="",R24="",AA24="",AE24="",AI24="",AK24=""),"",
ROUND(((1+ELOSS)*((AZ24*INDEX(ELECCB[NPV AEC $/kWh],MATCH(BK24,ELECCB[Year Number],1)))+(BA24*INDEX(ELECCB[NPV ACC $/kW],MATCH(BK24,ELECCB[Year Number],1))))),2)),0)</f>
        <v/>
      </c>
      <c r="BM24" s="835"/>
      <c r="BN24" s="832" t="str">
        <f>IFERROR(IF(OR(C24="",U24="",R24="",AA24="",AE24="",AI24="",AK24=""),"",INDEX(STDREFRIG[Reporting Methodology],MATCH(C24,STDREFRIG[Measure Name],0))),"Err")</f>
        <v/>
      </c>
      <c r="BO24" s="867" t="str">
        <f>IFERROR(IF(BH24="","",INDEX(STDREFRIG[Incremental Measure Cost ($/Unit)],MATCH(C24,STDREFRIG[Measure Name],0))),"Err")</f>
        <v/>
      </c>
      <c r="BP24" s="837"/>
      <c r="BQ24" s="838" t="str">
        <f>_xlfn.LET(
_xlpm.IPU,
IFERROR(IF(C24="","",INDEX(STDREFRIG[Base Incentive],MATCH(C24,STDREFRIG[Measure Name],0))),""),
IFERROR(ROUND(U24*_xlpm.IPU, 2), ""))</f>
        <v/>
      </c>
    </row>
    <row r="25" spans="1:69" ht="15.95" customHeight="1">
      <c r="A25" s="85"/>
      <c r="B25" s="806"/>
      <c r="C25" s="805"/>
      <c r="D25" s="805"/>
      <c r="E25" s="805"/>
      <c r="F25" s="805"/>
      <c r="G25" s="805"/>
      <c r="H25" s="805"/>
      <c r="I25" s="805"/>
      <c r="J25" s="805"/>
      <c r="K25" s="805"/>
      <c r="L25" s="805"/>
      <c r="M25" s="805"/>
      <c r="N25" s="805"/>
      <c r="O25" s="805"/>
      <c r="P25" s="805"/>
      <c r="Q25" s="805"/>
      <c r="R25" s="868"/>
      <c r="S25" s="868"/>
      <c r="T25" s="868"/>
      <c r="U25" s="785"/>
      <c r="V25" s="785"/>
      <c r="W25" s="805"/>
      <c r="X25" s="805"/>
      <c r="Y25" s="805"/>
      <c r="Z25" s="805"/>
      <c r="AA25" s="805"/>
      <c r="AB25" s="805"/>
      <c r="AC25" s="805"/>
      <c r="AD25" s="805"/>
      <c r="AE25" s="805"/>
      <c r="AF25" s="805"/>
      <c r="AG25" s="805"/>
      <c r="AH25" s="728"/>
      <c r="AI25" s="765"/>
      <c r="AJ25" s="766"/>
      <c r="AK25" s="766"/>
      <c r="AL25" s="767"/>
      <c r="AM25" s="795"/>
      <c r="AN25" s="796"/>
      <c r="AO25" s="798"/>
      <c r="AP25" s="798"/>
      <c r="AQ25" s="798"/>
      <c r="AR25" s="802"/>
      <c r="AS25" s="803"/>
      <c r="AT25" s="803"/>
      <c r="AU25" s="804"/>
      <c r="AV25" s="22"/>
      <c r="AX25" s="874"/>
      <c r="AY25" s="751"/>
      <c r="AZ25" s="747"/>
      <c r="BA25" s="747"/>
      <c r="BB25" s="871"/>
      <c r="BC25" s="871"/>
      <c r="BD25" s="755"/>
      <c r="BE25" s="871"/>
      <c r="BF25" s="871"/>
      <c r="BG25" s="838"/>
      <c r="BH25" s="751"/>
      <c r="BI25" s="755"/>
      <c r="BJ25" s="751"/>
      <c r="BK25" s="829"/>
      <c r="BL25" s="831"/>
      <c r="BM25" s="836"/>
      <c r="BN25" s="832"/>
      <c r="BO25" s="867"/>
      <c r="BP25" s="837"/>
      <c r="BQ25" s="839"/>
    </row>
    <row r="26" spans="1:69" ht="15.95" customHeight="1">
      <c r="B26" s="806">
        <v>5</v>
      </c>
      <c r="C26" s="805"/>
      <c r="D26" s="805"/>
      <c r="E26" s="805"/>
      <c r="F26" s="805"/>
      <c r="G26" s="805"/>
      <c r="H26" s="805"/>
      <c r="I26" s="805"/>
      <c r="J26" s="805"/>
      <c r="K26" s="805"/>
      <c r="L26" s="805"/>
      <c r="M26" s="805"/>
      <c r="N26" s="805"/>
      <c r="O26" s="805"/>
      <c r="P26" s="805"/>
      <c r="Q26" s="805"/>
      <c r="R26" s="868" t="str">
        <f>IF(C26="","",INDEX(STDREFRIG[Current Unit],MATCH(C26,STDREFRIG[Measure Name],0)))</f>
        <v/>
      </c>
      <c r="S26" s="868"/>
      <c r="T26" s="868"/>
      <c r="U26" s="785"/>
      <c r="V26" s="785"/>
      <c r="W26" s="805"/>
      <c r="X26" s="805"/>
      <c r="Y26" s="805"/>
      <c r="Z26" s="805"/>
      <c r="AA26" s="805"/>
      <c r="AB26" s="805"/>
      <c r="AC26" s="805"/>
      <c r="AD26" s="805"/>
      <c r="AE26" s="805"/>
      <c r="AF26" s="805"/>
      <c r="AG26" s="805"/>
      <c r="AH26" s="728"/>
      <c r="AI26" s="765"/>
      <c r="AJ26" s="766"/>
      <c r="AK26" s="766"/>
      <c r="AL26" s="767"/>
      <c r="AM26" s="793" t="str">
        <f>IFERROR(IF(C26="","",INDEX(IF(AND(ACTIVEBONUS = TRUE,INDEX(STDREFRIG[Bonus Incentive],MATCH(C26,STDREFRIG[Measure Name],0))&lt;&gt; ""),STDREFRIG[Bonus Incentive],STDREFRIG[Base Incentive]),MATCH(C26,STDREFRIG[Measure Name],0))),"")</f>
        <v/>
      </c>
      <c r="AN26" s="794"/>
      <c r="AO26" s="797" t="str">
        <f>IFERROR(IF(OR(C26="",U26="",R26="",AA26="",AE26="",AI26="",AK26=""),"",IF(BN26="Deemed",AZ26,IF(BN26="Calculated",BE26,""))),"")</f>
        <v/>
      </c>
      <c r="AP26" s="797"/>
      <c r="AQ26" s="797"/>
      <c r="AR26" s="799" t="str">
        <f>IFERROR(IF(OR(C26="",U26="",R26="",AA26="",AE26="",AI26="",AK26=""),"",IF(BJ26&lt;&gt;"",BJ26,IF(BP26&gt;0,BP26,ROUND(IF(AO26&lt;=0,0,MIN(AX26,BG26)),2)))),"")</f>
        <v/>
      </c>
      <c r="AS26" s="800"/>
      <c r="AT26" s="800"/>
      <c r="AU26" s="801"/>
      <c r="AV26" s="22"/>
      <c r="AX26" s="873" t="str">
        <f>IF(OR(C26="",U26="",R26="",AA26="",AE26="",AI26="",AK26=""),"",IF(AO26=0,"",ROUND(AI26+AK26,2)))</f>
        <v/>
      </c>
      <c r="AY26" s="750" t="str">
        <f>IFERROR(IF(OR(C26="",U26="",R26="",AA26="",AE26="",AI26="",AK26=""),"",INDEX(STDREFRIG[Current Unit],MATCH(C26,STDREFRIG[Measure Name],0))),"Err")</f>
        <v/>
      </c>
      <c r="AZ26" s="746" t="str">
        <f>IF(OR(C26="",U26="",R26="",AA26="",AE26="",AI26="",AK26=""),"",ROUND(U26*INDEX(STDREFRIG[Electric Energy Savings (Annual kWh/unit)],MATCH(C26,STDREFRIG[Measure Name],0)),4))</f>
        <v/>
      </c>
      <c r="BA26" s="746" t="str">
        <f>IF(OR(C26="",U26="",R26="",AA26="",AE26="",AI26="",AK26=""),"",ROUND(U26*INDEX(STDREFRIG[Coincident Peak Demand Savings (kW/unit)],MATCH(C26,STDREFRIG[Measure Name],0)),4))</f>
        <v/>
      </c>
      <c r="BB26" s="871"/>
      <c r="BC26" s="871"/>
      <c r="BD26" s="754" t="str">
        <f>IFERROR(IF(OR(C26="",U26="",R26="",AA26="",AE26="",AI26="",AK26=""),"",INDEX(STDREFRIG[End Use],MATCH(C26,STDREFRIG[Measure Name],0))),"Err")</f>
        <v/>
      </c>
      <c r="BE26" s="871"/>
      <c r="BF26" s="871"/>
      <c r="BG26" s="872" t="str">
        <f>IFERROR(ROUND(U26*AM26, 2), "")</f>
        <v/>
      </c>
      <c r="BH26" s="750" t="str">
        <f>IFERROR(IF(OR(C26="",U26="",R26="",AA26="",AE26="",AI26="",AK26="",ISNUMBER(AR26)=FALSE,AR26=0),"",INDEX(STDREFRIG[Measure Number],MATCH(C26,STDREFRIG[Measure Name],0))),"Err")</f>
        <v/>
      </c>
      <c r="BI26" s="754" t="str">
        <f t="shared" ref="BI26" si="3">IFERROR(IF(BP26="",IF(AR26 &lt; BG26, "100% Total Cost", ""), ""), "")</f>
        <v/>
      </c>
      <c r="BJ26" s="750" t="str">
        <f>IFERROR(IF(OR(C26="",U26="",AA26="",AE26="",AI26="",AK26=""),"",
IF(BP26&gt;0,"",
IF(EXPIRATION&lt;&gt;"",PROJSTATEXP,""))),"")</f>
        <v/>
      </c>
      <c r="BK26" s="828" t="str">
        <f>IFERROR(INDEX(STDREFRIG[Measure Life (Years)],MATCH(C26,STDREFRIG[Measure Name],0)),"")</f>
        <v/>
      </c>
      <c r="BL26" s="830" t="str">
        <f>IFERROR(IF(OR(C26="",U26="",R26="",AA26="",AE26="",AI26="",AK26=""),"",
ROUND(((1+ELOSS)*((AZ26*INDEX(ELECCB[NPV AEC $/kWh],MATCH(BK26,ELECCB[Year Number],1)))+(BA26*INDEX(ELECCB[NPV ACC $/kW],MATCH(BK26,ELECCB[Year Number],1))))),2)),0)</f>
        <v/>
      </c>
      <c r="BM26" s="835"/>
      <c r="BN26" s="832" t="str">
        <f>IFERROR(IF(OR(C26="",U26="",R26="",AA26="",AE26="",AI26="",AK26=""),"",INDEX(STDREFRIG[Reporting Methodology],MATCH(C26,STDREFRIG[Measure Name],0))),"Err")</f>
        <v/>
      </c>
      <c r="BO26" s="867" t="str">
        <f>IFERROR(IF(BH26="","",INDEX(STDREFRIG[Incremental Measure Cost ($/Unit)],MATCH(C26,STDREFRIG[Measure Name],0))),"Err")</f>
        <v/>
      </c>
      <c r="BP26" s="837"/>
      <c r="BQ26" s="838" t="str">
        <f>_xlfn.LET(
_xlpm.IPU,
IFERROR(IF(C26="","",INDEX(STDREFRIG[Base Incentive],MATCH(C26,STDREFRIG[Measure Name],0))),""),
IFERROR(ROUND(U26*_xlpm.IPU, 2), ""))</f>
        <v/>
      </c>
    </row>
    <row r="27" spans="1:69" ht="15.95" customHeight="1">
      <c r="B27" s="806"/>
      <c r="C27" s="805"/>
      <c r="D27" s="805"/>
      <c r="E27" s="805"/>
      <c r="F27" s="805"/>
      <c r="G27" s="805"/>
      <c r="H27" s="805"/>
      <c r="I27" s="805"/>
      <c r="J27" s="805"/>
      <c r="K27" s="805"/>
      <c r="L27" s="805"/>
      <c r="M27" s="805"/>
      <c r="N27" s="805"/>
      <c r="O27" s="805"/>
      <c r="P27" s="805"/>
      <c r="Q27" s="805"/>
      <c r="R27" s="868"/>
      <c r="S27" s="868"/>
      <c r="T27" s="868"/>
      <c r="U27" s="785"/>
      <c r="V27" s="785"/>
      <c r="W27" s="805"/>
      <c r="X27" s="805"/>
      <c r="Y27" s="805"/>
      <c r="Z27" s="805"/>
      <c r="AA27" s="805"/>
      <c r="AB27" s="805"/>
      <c r="AC27" s="805"/>
      <c r="AD27" s="805"/>
      <c r="AE27" s="805"/>
      <c r="AF27" s="805"/>
      <c r="AG27" s="805"/>
      <c r="AH27" s="728"/>
      <c r="AI27" s="765"/>
      <c r="AJ27" s="766"/>
      <c r="AK27" s="766"/>
      <c r="AL27" s="767"/>
      <c r="AM27" s="795"/>
      <c r="AN27" s="796"/>
      <c r="AO27" s="798"/>
      <c r="AP27" s="798"/>
      <c r="AQ27" s="798"/>
      <c r="AR27" s="802"/>
      <c r="AS27" s="803"/>
      <c r="AT27" s="803"/>
      <c r="AU27" s="804"/>
      <c r="AV27" s="22"/>
      <c r="AX27" s="874"/>
      <c r="AY27" s="751"/>
      <c r="AZ27" s="747"/>
      <c r="BA27" s="747"/>
      <c r="BB27" s="871"/>
      <c r="BC27" s="871"/>
      <c r="BD27" s="755"/>
      <c r="BE27" s="871"/>
      <c r="BF27" s="871"/>
      <c r="BG27" s="838"/>
      <c r="BH27" s="751"/>
      <c r="BI27" s="755"/>
      <c r="BJ27" s="751"/>
      <c r="BK27" s="829"/>
      <c r="BL27" s="831"/>
      <c r="BM27" s="836"/>
      <c r="BN27" s="832"/>
      <c r="BO27" s="867"/>
      <c r="BP27" s="837"/>
      <c r="BQ27" s="839"/>
    </row>
    <row r="28" spans="1:69" ht="15.95" customHeight="1">
      <c r="B28" s="806">
        <v>6</v>
      </c>
      <c r="C28" s="805"/>
      <c r="D28" s="805"/>
      <c r="E28" s="805"/>
      <c r="F28" s="805"/>
      <c r="G28" s="805"/>
      <c r="H28" s="805"/>
      <c r="I28" s="805"/>
      <c r="J28" s="805"/>
      <c r="K28" s="805"/>
      <c r="L28" s="805"/>
      <c r="M28" s="805"/>
      <c r="N28" s="805"/>
      <c r="O28" s="805"/>
      <c r="P28" s="805"/>
      <c r="Q28" s="805"/>
      <c r="R28" s="868" t="str">
        <f>IF(C28="","",INDEX(STDREFRIG[Current Unit],MATCH(C28,STDREFRIG[Measure Name],0)))</f>
        <v/>
      </c>
      <c r="S28" s="868"/>
      <c r="T28" s="868"/>
      <c r="U28" s="785"/>
      <c r="V28" s="785"/>
      <c r="W28" s="805"/>
      <c r="X28" s="805"/>
      <c r="Y28" s="805"/>
      <c r="Z28" s="805"/>
      <c r="AA28" s="805"/>
      <c r="AB28" s="805"/>
      <c r="AC28" s="805"/>
      <c r="AD28" s="805"/>
      <c r="AE28" s="805"/>
      <c r="AF28" s="805"/>
      <c r="AG28" s="805"/>
      <c r="AH28" s="728"/>
      <c r="AI28" s="765"/>
      <c r="AJ28" s="766"/>
      <c r="AK28" s="766"/>
      <c r="AL28" s="767"/>
      <c r="AM28" s="793" t="str">
        <f>IFERROR(IF(C28="","",INDEX(IF(AND(ACTIVEBONUS = TRUE,INDEX(STDREFRIG[Bonus Incentive],MATCH(C28,STDREFRIG[Measure Name],0))&lt;&gt; ""),STDREFRIG[Bonus Incentive],STDREFRIG[Base Incentive]),MATCH(C28,STDREFRIG[Measure Name],0))),"")</f>
        <v/>
      </c>
      <c r="AN28" s="794"/>
      <c r="AO28" s="797" t="str">
        <f>IFERROR(IF(OR(C28="",U28="",R28="",AA28="",AE28="",AI28="",AK28=""),"",IF(BN28="Deemed",AZ28,IF(BN28="Calculated",BE28,""))),"")</f>
        <v/>
      </c>
      <c r="AP28" s="797"/>
      <c r="AQ28" s="797"/>
      <c r="AR28" s="799" t="str">
        <f>IFERROR(IF(OR(C28="",U28="",R28="",AA28="",AE28="",AI28="",AK28=""),"",IF(BJ28&lt;&gt;"",BJ28,IF(BP28&gt;0,BP28,ROUND(IF(AO28&lt;=0,0,MIN(AX28,BG28)),2)))),"")</f>
        <v/>
      </c>
      <c r="AS28" s="800"/>
      <c r="AT28" s="800"/>
      <c r="AU28" s="801"/>
      <c r="AV28" s="22"/>
      <c r="AX28" s="873" t="str">
        <f>IF(OR(C28="",U28="",R28="",AA28="",AE28="",AI28="",AK28=""),"",IF(AO28=0,"",ROUND(AI28+AK28,2)))</f>
        <v/>
      </c>
      <c r="AY28" s="750" t="str">
        <f>IFERROR(IF(OR(C28="",U28="",R28="",AA28="",AE28="",AI28="",AK28=""),"",INDEX(STDREFRIG[Current Unit],MATCH(C28,STDREFRIG[Measure Name],0))),"Err")</f>
        <v/>
      </c>
      <c r="AZ28" s="746" t="str">
        <f>IF(OR(C28="",U28="",R28="",AA28="",AE28="",AI28="",AK28=""),"",ROUND(U28*INDEX(STDREFRIG[Electric Energy Savings (Annual kWh/unit)],MATCH(C28,STDREFRIG[Measure Name],0)),4))</f>
        <v/>
      </c>
      <c r="BA28" s="746" t="str">
        <f>IF(OR(C28="",U28="",R28="",AA28="",AE28="",AI28="",AK28=""),"",ROUND(U28*INDEX(STDREFRIG[Coincident Peak Demand Savings (kW/unit)],MATCH(C28,STDREFRIG[Measure Name],0)),4))</f>
        <v/>
      </c>
      <c r="BB28" s="871"/>
      <c r="BC28" s="871"/>
      <c r="BD28" s="754" t="str">
        <f>IFERROR(IF(OR(C28="",U28="",R28="",AA28="",AE28="",AI28="",AK28=""),"",INDEX(STDREFRIG[End Use],MATCH(C28,STDREFRIG[Measure Name],0))),"Err")</f>
        <v/>
      </c>
      <c r="BE28" s="871"/>
      <c r="BF28" s="871"/>
      <c r="BG28" s="872" t="str">
        <f>IFERROR(ROUND(U28*AM28, 2), "")</f>
        <v/>
      </c>
      <c r="BH28" s="750" t="str">
        <f>IFERROR(IF(OR(C28="",U28="",R28="",AA28="",AE28="",AI28="",AK28="",ISNUMBER(AR28)=FALSE,AR28=0),"",INDEX(STDREFRIG[Measure Number],MATCH(C28,STDREFRIG[Measure Name],0))),"Err")</f>
        <v/>
      </c>
      <c r="BI28" s="754" t="str">
        <f t="shared" ref="BI28" si="4">IFERROR(IF(BP28="",IF(AR28 &lt; BG28, "100% Total Cost", ""), ""), "")</f>
        <v/>
      </c>
      <c r="BJ28" s="750" t="str">
        <f>IFERROR(IF(OR(C28="",U28="",AA28="",AE28="",AI28="",AK28=""),"",
IF(BP28&gt;0,"",
IF(EXPIRATION&lt;&gt;"",PROJSTATEXP,""))),"")</f>
        <v/>
      </c>
      <c r="BK28" s="828" t="str">
        <f>IFERROR(INDEX(STDREFRIG[Measure Life (Years)],MATCH(C28,STDREFRIG[Measure Name],0)),"")</f>
        <v/>
      </c>
      <c r="BL28" s="830" t="str">
        <f>IFERROR(IF(OR(C28="",U28="",R28="",AA28="",AE28="",AI28="",AK28=""),"",
ROUND(((1+ELOSS)*((AZ28*INDEX(ELECCB[NPV AEC $/kWh],MATCH(BK28,ELECCB[Year Number],1)))+(BA28*INDEX(ELECCB[NPV ACC $/kW],MATCH(BK28,ELECCB[Year Number],1))))),2)),0)</f>
        <v/>
      </c>
      <c r="BM28" s="835"/>
      <c r="BN28" s="832" t="str">
        <f>IFERROR(IF(OR(C28="",U28="",R28="",AA28="",AE28="",AI28="",AK28=""),"",INDEX(STDREFRIG[Reporting Methodology],MATCH(C28,STDREFRIG[Measure Name],0))),"Err")</f>
        <v/>
      </c>
      <c r="BO28" s="867" t="str">
        <f>IFERROR(IF(BH28="","",INDEX(STDREFRIG[Incremental Measure Cost ($/Unit)],MATCH(C28,STDREFRIG[Measure Name],0))),"Err")</f>
        <v/>
      </c>
      <c r="BP28" s="837"/>
      <c r="BQ28" s="838" t="str">
        <f>_xlfn.LET(
_xlpm.IPU,
IFERROR(IF(C28="","",INDEX(STDREFRIG[Base Incentive],MATCH(C28,STDREFRIG[Measure Name],0))),""),
IFERROR(ROUND(U28*_xlpm.IPU, 2), ""))</f>
        <v/>
      </c>
    </row>
    <row r="29" spans="1:69" ht="15.95" customHeight="1">
      <c r="B29" s="806"/>
      <c r="C29" s="805"/>
      <c r="D29" s="805"/>
      <c r="E29" s="805"/>
      <c r="F29" s="805"/>
      <c r="G29" s="805"/>
      <c r="H29" s="805"/>
      <c r="I29" s="805"/>
      <c r="J29" s="805"/>
      <c r="K29" s="805"/>
      <c r="L29" s="805"/>
      <c r="M29" s="805"/>
      <c r="N29" s="805"/>
      <c r="O29" s="805"/>
      <c r="P29" s="805"/>
      <c r="Q29" s="805"/>
      <c r="R29" s="868"/>
      <c r="S29" s="868"/>
      <c r="T29" s="868"/>
      <c r="U29" s="785"/>
      <c r="V29" s="785"/>
      <c r="W29" s="805"/>
      <c r="X29" s="805"/>
      <c r="Y29" s="805"/>
      <c r="Z29" s="805"/>
      <c r="AA29" s="805"/>
      <c r="AB29" s="805"/>
      <c r="AC29" s="805"/>
      <c r="AD29" s="805"/>
      <c r="AE29" s="805"/>
      <c r="AF29" s="805"/>
      <c r="AG29" s="805"/>
      <c r="AH29" s="728"/>
      <c r="AI29" s="765"/>
      <c r="AJ29" s="766"/>
      <c r="AK29" s="766"/>
      <c r="AL29" s="767"/>
      <c r="AM29" s="795"/>
      <c r="AN29" s="796"/>
      <c r="AO29" s="798"/>
      <c r="AP29" s="798"/>
      <c r="AQ29" s="798"/>
      <c r="AR29" s="802"/>
      <c r="AS29" s="803"/>
      <c r="AT29" s="803"/>
      <c r="AU29" s="804"/>
      <c r="AV29" s="22"/>
      <c r="AX29" s="874"/>
      <c r="AY29" s="751"/>
      <c r="AZ29" s="747"/>
      <c r="BA29" s="747"/>
      <c r="BB29" s="871"/>
      <c r="BC29" s="871"/>
      <c r="BD29" s="755"/>
      <c r="BE29" s="871"/>
      <c r="BF29" s="871"/>
      <c r="BG29" s="838"/>
      <c r="BH29" s="751"/>
      <c r="BI29" s="755"/>
      <c r="BJ29" s="751"/>
      <c r="BK29" s="829"/>
      <c r="BL29" s="831"/>
      <c r="BM29" s="836"/>
      <c r="BN29" s="832"/>
      <c r="BO29" s="867"/>
      <c r="BP29" s="837"/>
      <c r="BQ29" s="839"/>
    </row>
    <row r="30" spans="1:69" ht="15.95" customHeight="1">
      <c r="B30" s="806">
        <v>7</v>
      </c>
      <c r="C30" s="805"/>
      <c r="D30" s="805"/>
      <c r="E30" s="805"/>
      <c r="F30" s="805"/>
      <c r="G30" s="805"/>
      <c r="H30" s="805"/>
      <c r="I30" s="805"/>
      <c r="J30" s="805"/>
      <c r="K30" s="805"/>
      <c r="L30" s="805"/>
      <c r="M30" s="805"/>
      <c r="N30" s="805"/>
      <c r="O30" s="805"/>
      <c r="P30" s="805"/>
      <c r="Q30" s="805"/>
      <c r="R30" s="868" t="str">
        <f>IF(C30="","",INDEX(STDREFRIG[Current Unit],MATCH(C30,STDREFRIG[Measure Name],0)))</f>
        <v/>
      </c>
      <c r="S30" s="868"/>
      <c r="T30" s="868"/>
      <c r="U30" s="785"/>
      <c r="V30" s="785"/>
      <c r="W30" s="805"/>
      <c r="X30" s="805"/>
      <c r="Y30" s="805"/>
      <c r="Z30" s="805"/>
      <c r="AA30" s="805"/>
      <c r="AB30" s="805"/>
      <c r="AC30" s="805"/>
      <c r="AD30" s="805"/>
      <c r="AE30" s="805"/>
      <c r="AF30" s="805"/>
      <c r="AG30" s="805"/>
      <c r="AH30" s="728"/>
      <c r="AI30" s="765"/>
      <c r="AJ30" s="766"/>
      <c r="AK30" s="766"/>
      <c r="AL30" s="767"/>
      <c r="AM30" s="793" t="str">
        <f>IFERROR(IF(C30="","",INDEX(IF(AND(ACTIVEBONUS = TRUE,INDEX(STDREFRIG[Bonus Incentive],MATCH(C30,STDREFRIG[Measure Name],0))&lt;&gt; ""),STDREFRIG[Bonus Incentive],STDREFRIG[Base Incentive]),MATCH(C30,STDREFRIG[Measure Name],0))),"")</f>
        <v/>
      </c>
      <c r="AN30" s="794"/>
      <c r="AO30" s="797" t="str">
        <f>IFERROR(IF(OR(C30="",U30="",R30="",AA30="",AE30="",AI30="",AK30=""),"",IF(BN30="Deemed",AZ30,IF(BN30="Calculated",BE30,""))),"")</f>
        <v/>
      </c>
      <c r="AP30" s="797"/>
      <c r="AQ30" s="797"/>
      <c r="AR30" s="799" t="str">
        <f>IFERROR(IF(OR(C30="",U30="",R30="",AA30="",AE30="",AI30="",AK30=""),"",IF(BJ30&lt;&gt;"",BJ30,IF(BP30&gt;0,BP30,ROUND(IF(AO30&lt;=0,0,MIN(AX30,BG30)),2)))),"")</f>
        <v/>
      </c>
      <c r="AS30" s="800"/>
      <c r="AT30" s="800"/>
      <c r="AU30" s="801"/>
      <c r="AV30" s="22"/>
      <c r="AX30" s="873" t="str">
        <f>IF(OR(C30="",U30="",R30="",AA30="",AE30="",AI30="",AK30=""),"",IF(AO30=0,"",ROUND(AI30+AK30,2)))</f>
        <v/>
      </c>
      <c r="AY30" s="750" t="str">
        <f>IFERROR(IF(OR(C30="",U30="",R30="",AA30="",AE30="",AI30="",AK30=""),"",INDEX(STDREFRIG[Current Unit],MATCH(C30,STDREFRIG[Measure Name],0))),"Err")</f>
        <v/>
      </c>
      <c r="AZ30" s="746" t="str">
        <f>IF(OR(C30="",U30="",R30="",AA30="",AE30="",AI30="",AK30=""),"",ROUND(U30*INDEX(STDREFRIG[Electric Energy Savings (Annual kWh/unit)],MATCH(C30,STDREFRIG[Measure Name],0)),4))</f>
        <v/>
      </c>
      <c r="BA30" s="746" t="str">
        <f>IF(OR(C30="",U30="",R30="",AA30="",AE30="",AI30="",AK30=""),"",ROUND(U30*INDEX(STDREFRIG[Coincident Peak Demand Savings (kW/unit)],MATCH(C30,STDREFRIG[Measure Name],0)),4))</f>
        <v/>
      </c>
      <c r="BB30" s="871"/>
      <c r="BC30" s="871"/>
      <c r="BD30" s="754" t="str">
        <f>IFERROR(IF(OR(C30="",U30="",R30="",AA30="",AE30="",AI30="",AK30=""),"",INDEX(STDREFRIG[End Use],MATCH(C30,STDREFRIG[Measure Name],0))),"Err")</f>
        <v/>
      </c>
      <c r="BE30" s="871"/>
      <c r="BF30" s="871"/>
      <c r="BG30" s="872" t="str">
        <f>IFERROR(ROUND(U30*AM30, 2), "")</f>
        <v/>
      </c>
      <c r="BH30" s="750" t="str">
        <f>IFERROR(IF(OR(C30="",U30="",R30="",AA30="",AE30="",AI30="",AK30="",ISNUMBER(AR30)=FALSE,AR30=0),"",INDEX(STDREFRIG[Measure Number],MATCH(C30,STDREFRIG[Measure Name],0))),"Err")</f>
        <v/>
      </c>
      <c r="BI30" s="754" t="str">
        <f t="shared" ref="BI30" si="5">IFERROR(IF(BP30="",IF(AR30 &lt; BG30, "100% Total Cost", ""), ""), "")</f>
        <v/>
      </c>
      <c r="BJ30" s="750" t="str">
        <f>IFERROR(IF(OR(C30="",U30="",AA30="",AE30="",AI30="",AK30=""),"",
IF(BP30&gt;0,"",
IF(EXPIRATION&lt;&gt;"",PROJSTATEXP,""))),"")</f>
        <v/>
      </c>
      <c r="BK30" s="828" t="str">
        <f>IFERROR(INDEX(STDREFRIG[Measure Life (Years)],MATCH(C30,STDREFRIG[Measure Name],0)),"")</f>
        <v/>
      </c>
      <c r="BL30" s="830" t="str">
        <f>IFERROR(IF(OR(C30="",U30="",R30="",AA30="",AE30="",AI30="",AK30=""),"",
ROUND(((1+ELOSS)*((AZ30*INDEX(ELECCB[NPV AEC $/kWh],MATCH(BK30,ELECCB[Year Number],1)))+(BA30*INDEX(ELECCB[NPV ACC $/kW],MATCH(BK30,ELECCB[Year Number],1))))),2)),0)</f>
        <v/>
      </c>
      <c r="BM30" s="835"/>
      <c r="BN30" s="832" t="str">
        <f>IFERROR(IF(OR(C30="",U30="",R30="",AA30="",AE30="",AI30="",AK30=""),"",INDEX(STDREFRIG[Reporting Methodology],MATCH(C30,STDREFRIG[Measure Name],0))),"Err")</f>
        <v/>
      </c>
      <c r="BO30" s="867" t="str">
        <f>IFERROR(IF(BH30="","",INDEX(STDREFRIG[Incremental Measure Cost ($/Unit)],MATCH(C30,STDREFRIG[Measure Name],0))),"Err")</f>
        <v/>
      </c>
      <c r="BP30" s="837"/>
      <c r="BQ30" s="838" t="str">
        <f>_xlfn.LET(
_xlpm.IPU,
IFERROR(IF(C30="","",INDEX(STDREFRIG[Base Incentive],MATCH(C30,STDREFRIG[Measure Name],0))),""),
IFERROR(ROUND(U30*_xlpm.IPU, 2), ""))</f>
        <v/>
      </c>
    </row>
    <row r="31" spans="1:69" ht="15.95" customHeight="1">
      <c r="B31" s="806"/>
      <c r="C31" s="805"/>
      <c r="D31" s="805"/>
      <c r="E31" s="805"/>
      <c r="F31" s="805"/>
      <c r="G31" s="805"/>
      <c r="H31" s="805"/>
      <c r="I31" s="805"/>
      <c r="J31" s="805"/>
      <c r="K31" s="805"/>
      <c r="L31" s="805"/>
      <c r="M31" s="805"/>
      <c r="N31" s="805"/>
      <c r="O31" s="805"/>
      <c r="P31" s="805"/>
      <c r="Q31" s="805"/>
      <c r="R31" s="868"/>
      <c r="S31" s="868"/>
      <c r="T31" s="868"/>
      <c r="U31" s="785"/>
      <c r="V31" s="785"/>
      <c r="W31" s="805"/>
      <c r="X31" s="805"/>
      <c r="Y31" s="805"/>
      <c r="Z31" s="805"/>
      <c r="AA31" s="805"/>
      <c r="AB31" s="805"/>
      <c r="AC31" s="805"/>
      <c r="AD31" s="805"/>
      <c r="AE31" s="805"/>
      <c r="AF31" s="805"/>
      <c r="AG31" s="805"/>
      <c r="AH31" s="728"/>
      <c r="AI31" s="765"/>
      <c r="AJ31" s="766"/>
      <c r="AK31" s="766"/>
      <c r="AL31" s="767"/>
      <c r="AM31" s="795"/>
      <c r="AN31" s="796"/>
      <c r="AO31" s="798"/>
      <c r="AP31" s="798"/>
      <c r="AQ31" s="798"/>
      <c r="AR31" s="802"/>
      <c r="AS31" s="803"/>
      <c r="AT31" s="803"/>
      <c r="AU31" s="804"/>
      <c r="AV31" s="22"/>
      <c r="AX31" s="874"/>
      <c r="AY31" s="751"/>
      <c r="AZ31" s="747"/>
      <c r="BA31" s="747"/>
      <c r="BB31" s="871"/>
      <c r="BC31" s="871"/>
      <c r="BD31" s="755"/>
      <c r="BE31" s="871"/>
      <c r="BF31" s="871"/>
      <c r="BG31" s="838"/>
      <c r="BH31" s="751"/>
      <c r="BI31" s="755"/>
      <c r="BJ31" s="751"/>
      <c r="BK31" s="829"/>
      <c r="BL31" s="831"/>
      <c r="BM31" s="836"/>
      <c r="BN31" s="832"/>
      <c r="BO31" s="867"/>
      <c r="BP31" s="837"/>
      <c r="BQ31" s="839"/>
    </row>
    <row r="32" spans="1:69" ht="15.95" customHeight="1">
      <c r="B32" s="806">
        <v>8</v>
      </c>
      <c r="C32" s="805"/>
      <c r="D32" s="805"/>
      <c r="E32" s="805"/>
      <c r="F32" s="805"/>
      <c r="G32" s="805"/>
      <c r="H32" s="805"/>
      <c r="I32" s="805"/>
      <c r="J32" s="805"/>
      <c r="K32" s="805"/>
      <c r="L32" s="805"/>
      <c r="M32" s="805"/>
      <c r="N32" s="805"/>
      <c r="O32" s="805"/>
      <c r="P32" s="805"/>
      <c r="Q32" s="805"/>
      <c r="R32" s="868" t="str">
        <f>IF(C32="","",INDEX(STDREFRIG[Current Unit],MATCH(C32,STDREFRIG[Measure Name],0)))</f>
        <v/>
      </c>
      <c r="S32" s="868"/>
      <c r="T32" s="868"/>
      <c r="U32" s="785"/>
      <c r="V32" s="785"/>
      <c r="W32" s="805"/>
      <c r="X32" s="805"/>
      <c r="Y32" s="805"/>
      <c r="Z32" s="805"/>
      <c r="AA32" s="805"/>
      <c r="AB32" s="805"/>
      <c r="AC32" s="805"/>
      <c r="AD32" s="805"/>
      <c r="AE32" s="805"/>
      <c r="AF32" s="805"/>
      <c r="AG32" s="805"/>
      <c r="AH32" s="728"/>
      <c r="AI32" s="765"/>
      <c r="AJ32" s="766"/>
      <c r="AK32" s="766"/>
      <c r="AL32" s="767"/>
      <c r="AM32" s="793" t="str">
        <f>IFERROR(IF(C32="","",INDEX(IF(AND(ACTIVEBONUS = TRUE,INDEX(STDREFRIG[Bonus Incentive],MATCH(C32,STDREFRIG[Measure Name],0))&lt;&gt; ""),STDREFRIG[Bonus Incentive],STDREFRIG[Base Incentive]),MATCH(C32,STDREFRIG[Measure Name],0))),"")</f>
        <v/>
      </c>
      <c r="AN32" s="794"/>
      <c r="AO32" s="797" t="str">
        <f>IFERROR(IF(OR(C32="",U32="",R32="",AA32="",AE32="",AI32="",AK32=""),"",IF(BN32="Deemed",AZ32,IF(BN32="Calculated",BE32,""))),"")</f>
        <v/>
      </c>
      <c r="AP32" s="797"/>
      <c r="AQ32" s="797"/>
      <c r="AR32" s="799" t="str">
        <f>IFERROR(IF(OR(C32="",U32="",R32="",AA32="",AE32="",AI32="",AK32=""),"",IF(BJ32&lt;&gt;"",BJ32,IF(BP32&gt;0,BP32,ROUND(IF(AO32&lt;=0,0,MIN(AX32,BG32)),2)))),"")</f>
        <v/>
      </c>
      <c r="AS32" s="800"/>
      <c r="AT32" s="800"/>
      <c r="AU32" s="801"/>
      <c r="AV32" s="22"/>
      <c r="AX32" s="873" t="str">
        <f>IF(OR(C32="",U32="",R32="",AA32="",AE32="",AI32="",AK32=""),"",IF(AO32=0,"",ROUND(AI32+AK32,2)))</f>
        <v/>
      </c>
      <c r="AY32" s="750" t="str">
        <f>IFERROR(IF(OR(C32="",U32="",R32="",AA32="",AE32="",AI32="",AK32=""),"",INDEX(STDREFRIG[Current Unit],MATCH(C32,STDREFRIG[Measure Name],0))),"Err")</f>
        <v/>
      </c>
      <c r="AZ32" s="746" t="str">
        <f>IF(OR(C32="",U32="",R32="",AA32="",AE32="",AI32="",AK32=""),"",ROUND(U32*INDEX(STDREFRIG[Electric Energy Savings (Annual kWh/unit)],MATCH(C32,STDREFRIG[Measure Name],0)),4))</f>
        <v/>
      </c>
      <c r="BA32" s="746" t="str">
        <f>IF(OR(C32="",U32="",R32="",AA32="",AE32="",AI32="",AK32=""),"",ROUND(U32*INDEX(STDREFRIG[Coincident Peak Demand Savings (kW/unit)],MATCH(C32,STDREFRIG[Measure Name],0)),4))</f>
        <v/>
      </c>
      <c r="BB32" s="871"/>
      <c r="BC32" s="871"/>
      <c r="BD32" s="754" t="str">
        <f>IFERROR(IF(OR(C32="",U32="",R32="",AA32="",AE32="",AI32="",AK32=""),"",INDEX(STDREFRIG[End Use],MATCH(C32,STDREFRIG[Measure Name],0))),"Err")</f>
        <v/>
      </c>
      <c r="BE32" s="871"/>
      <c r="BF32" s="871"/>
      <c r="BG32" s="872" t="str">
        <f>IFERROR(ROUND(U32*AM32, 2), "")</f>
        <v/>
      </c>
      <c r="BH32" s="750" t="str">
        <f>IFERROR(IF(OR(C32="",U32="",R32="",AA32="",AE32="",AI32="",AK32="",ISNUMBER(AR32)=FALSE,AR32=0),"",INDEX(STDREFRIG[Measure Number],MATCH(C32,STDREFRIG[Measure Name],0))),"Err")</f>
        <v/>
      </c>
      <c r="BI32" s="754" t="str">
        <f t="shared" ref="BI32" si="6">IFERROR(IF(BP32="",IF(AR32 &lt; BG32, "100% Total Cost", ""), ""), "")</f>
        <v/>
      </c>
      <c r="BJ32" s="750" t="str">
        <f>IFERROR(IF(OR(C32="",U32="",AA32="",AE32="",AI32="",AK32=""),"",
IF(BP32&gt;0,"",
IF(EXPIRATION&lt;&gt;"",PROJSTATEXP,""))),"")</f>
        <v/>
      </c>
      <c r="BK32" s="828" t="str">
        <f>IFERROR(INDEX(STDREFRIG[Measure Life (Years)],MATCH(C32,STDREFRIG[Measure Name],0)),"")</f>
        <v/>
      </c>
      <c r="BL32" s="830" t="str">
        <f>IFERROR(IF(OR(C32="",U32="",R32="",AA32="",AE32="",AI32="",AK32=""),"",
ROUND(((1+ELOSS)*((AZ32*INDEX(ELECCB[NPV AEC $/kWh],MATCH(BK32,ELECCB[Year Number],1)))+(BA32*INDEX(ELECCB[NPV ACC $/kW],MATCH(BK32,ELECCB[Year Number],1))))),2)),0)</f>
        <v/>
      </c>
      <c r="BM32" s="835"/>
      <c r="BN32" s="832" t="str">
        <f>IFERROR(IF(OR(C32="",U32="",R32="",AA32="",AE32="",AI32="",AK32=""),"",INDEX(STDREFRIG[Reporting Methodology],MATCH(C32,STDREFRIG[Measure Name],0))),"Err")</f>
        <v/>
      </c>
      <c r="BO32" s="867" t="str">
        <f>IFERROR(IF(BH32="","",INDEX(STDREFRIG[Incremental Measure Cost ($/Unit)],MATCH(C32,STDREFRIG[Measure Name],0))),"Err")</f>
        <v/>
      </c>
      <c r="BP32" s="837"/>
      <c r="BQ32" s="838" t="str">
        <f>_xlfn.LET(
_xlpm.IPU,
IFERROR(IF(C32="","",INDEX(STDREFRIG[Base Incentive],MATCH(C32,STDREFRIG[Measure Name],0))),""),
IFERROR(ROUND(U32*_xlpm.IPU, 2), ""))</f>
        <v/>
      </c>
    </row>
    <row r="33" spans="2:69" ht="15.95" customHeight="1">
      <c r="B33" s="806"/>
      <c r="C33" s="805"/>
      <c r="D33" s="805"/>
      <c r="E33" s="805"/>
      <c r="F33" s="805"/>
      <c r="G33" s="805"/>
      <c r="H33" s="805"/>
      <c r="I33" s="805"/>
      <c r="J33" s="805"/>
      <c r="K33" s="805"/>
      <c r="L33" s="805"/>
      <c r="M33" s="805"/>
      <c r="N33" s="805"/>
      <c r="O33" s="805"/>
      <c r="P33" s="805"/>
      <c r="Q33" s="805"/>
      <c r="R33" s="868"/>
      <c r="S33" s="868"/>
      <c r="T33" s="868"/>
      <c r="U33" s="785"/>
      <c r="V33" s="785"/>
      <c r="W33" s="805"/>
      <c r="X33" s="805"/>
      <c r="Y33" s="805"/>
      <c r="Z33" s="805"/>
      <c r="AA33" s="805"/>
      <c r="AB33" s="805"/>
      <c r="AC33" s="805"/>
      <c r="AD33" s="805"/>
      <c r="AE33" s="805"/>
      <c r="AF33" s="805"/>
      <c r="AG33" s="805"/>
      <c r="AH33" s="728"/>
      <c r="AI33" s="765"/>
      <c r="AJ33" s="766"/>
      <c r="AK33" s="766"/>
      <c r="AL33" s="767"/>
      <c r="AM33" s="795"/>
      <c r="AN33" s="796"/>
      <c r="AO33" s="798"/>
      <c r="AP33" s="798"/>
      <c r="AQ33" s="798"/>
      <c r="AR33" s="802"/>
      <c r="AS33" s="803"/>
      <c r="AT33" s="803"/>
      <c r="AU33" s="804"/>
      <c r="AV33" s="22"/>
      <c r="AX33" s="874"/>
      <c r="AY33" s="751"/>
      <c r="AZ33" s="747"/>
      <c r="BA33" s="747"/>
      <c r="BB33" s="871"/>
      <c r="BC33" s="871"/>
      <c r="BD33" s="755"/>
      <c r="BE33" s="871"/>
      <c r="BF33" s="871"/>
      <c r="BG33" s="838"/>
      <c r="BH33" s="751"/>
      <c r="BI33" s="755"/>
      <c r="BJ33" s="751"/>
      <c r="BK33" s="829"/>
      <c r="BL33" s="831"/>
      <c r="BM33" s="836"/>
      <c r="BN33" s="832"/>
      <c r="BO33" s="867"/>
      <c r="BP33" s="837"/>
      <c r="BQ33" s="839"/>
    </row>
    <row r="34" spans="2:69" ht="15.95" customHeight="1">
      <c r="B34" s="806">
        <v>9</v>
      </c>
      <c r="C34" s="805"/>
      <c r="D34" s="805"/>
      <c r="E34" s="805"/>
      <c r="F34" s="805"/>
      <c r="G34" s="805"/>
      <c r="H34" s="805"/>
      <c r="I34" s="805"/>
      <c r="J34" s="805"/>
      <c r="K34" s="805"/>
      <c r="L34" s="805"/>
      <c r="M34" s="805"/>
      <c r="N34" s="805"/>
      <c r="O34" s="805"/>
      <c r="P34" s="805"/>
      <c r="Q34" s="805"/>
      <c r="R34" s="868" t="str">
        <f>IF(C34="","",INDEX(STDREFRIG[Current Unit],MATCH(C34,STDREFRIG[Measure Name],0)))</f>
        <v/>
      </c>
      <c r="S34" s="868"/>
      <c r="T34" s="868"/>
      <c r="U34" s="785"/>
      <c r="V34" s="785"/>
      <c r="W34" s="805"/>
      <c r="X34" s="805"/>
      <c r="Y34" s="805"/>
      <c r="Z34" s="805"/>
      <c r="AA34" s="805"/>
      <c r="AB34" s="805"/>
      <c r="AC34" s="805"/>
      <c r="AD34" s="805"/>
      <c r="AE34" s="805"/>
      <c r="AF34" s="805"/>
      <c r="AG34" s="805"/>
      <c r="AH34" s="728"/>
      <c r="AI34" s="765"/>
      <c r="AJ34" s="766"/>
      <c r="AK34" s="766"/>
      <c r="AL34" s="767"/>
      <c r="AM34" s="793" t="str">
        <f>IFERROR(IF(C34="","",INDEX(IF(AND(ACTIVEBONUS = TRUE,INDEX(STDREFRIG[Bonus Incentive],MATCH(C34,STDREFRIG[Measure Name],0))&lt;&gt; ""),STDREFRIG[Bonus Incentive],STDREFRIG[Base Incentive]),MATCH(C34,STDREFRIG[Measure Name],0))),"")</f>
        <v/>
      </c>
      <c r="AN34" s="794"/>
      <c r="AO34" s="797" t="str">
        <f>IFERROR(IF(OR(C34="",U34="",R34="",AA34="",AE34="",AI34="",AK34=""),"",IF(BN34="Deemed",AZ34,IF(BN34="Calculated",BE34,""))),"")</f>
        <v/>
      </c>
      <c r="AP34" s="797"/>
      <c r="AQ34" s="797"/>
      <c r="AR34" s="799" t="str">
        <f>IFERROR(IF(OR(C34="",U34="",R34="",AA34="",AE34="",AI34="",AK34=""),"",IF(BJ34&lt;&gt;"",BJ34,IF(BP34&gt;0,BP34,ROUND(IF(AO34&lt;=0,0,MIN(AX34,BG34)),2)))),"")</f>
        <v/>
      </c>
      <c r="AS34" s="800"/>
      <c r="AT34" s="800"/>
      <c r="AU34" s="801"/>
      <c r="AV34" s="22"/>
      <c r="AX34" s="873" t="str">
        <f>IF(OR(C34="",U34="",R34="",AA34="",AE34="",AI34="",AK34=""),"",IF(AO34=0,"",ROUND(AI34+AK34,2)))</f>
        <v/>
      </c>
      <c r="AY34" s="750" t="str">
        <f>IFERROR(IF(OR(C34="",U34="",R34="",AA34="",AE34="",AI34="",AK34=""),"",INDEX(STDREFRIG[Current Unit],MATCH(C34,STDREFRIG[Measure Name],0))),"Err")</f>
        <v/>
      </c>
      <c r="AZ34" s="746" t="str">
        <f>IF(OR(C34="",U34="",R34="",AA34="",AE34="",AI34="",AK34=""),"",ROUND(U34*INDEX(STDREFRIG[Electric Energy Savings (Annual kWh/unit)],MATCH(C34,STDREFRIG[Measure Name],0)),4))</f>
        <v/>
      </c>
      <c r="BA34" s="746" t="str">
        <f>IF(OR(C34="",U34="",R34="",AA34="",AE34="",AI34="",AK34=""),"",ROUND(U34*INDEX(STDREFRIG[Coincident Peak Demand Savings (kW/unit)],MATCH(C34,STDREFRIG[Measure Name],0)),4))</f>
        <v/>
      </c>
      <c r="BB34" s="871"/>
      <c r="BC34" s="871"/>
      <c r="BD34" s="754" t="str">
        <f>IFERROR(IF(OR(C34="",U34="",R34="",AA34="",AE34="",AI34="",AK34=""),"",INDEX(STDREFRIG[End Use],MATCH(C34,STDREFRIG[Measure Name],0))),"Err")</f>
        <v/>
      </c>
      <c r="BE34" s="871"/>
      <c r="BF34" s="871"/>
      <c r="BG34" s="872" t="str">
        <f>IFERROR(ROUND(U34*AM34, 2), "")</f>
        <v/>
      </c>
      <c r="BH34" s="750" t="str">
        <f>IFERROR(IF(OR(C34="",U34="",R34="",AA34="",AE34="",AI34="",AK34="",ISNUMBER(AR34)=FALSE,AR34=0),"",INDEX(STDREFRIG[Measure Number],MATCH(C34,STDREFRIG[Measure Name],0))),"Err")</f>
        <v/>
      </c>
      <c r="BI34" s="754" t="str">
        <f t="shared" ref="BI34" si="7">IFERROR(IF(BP34="",IF(AR34 &lt; BG34, "100% Total Cost", ""), ""), "")</f>
        <v/>
      </c>
      <c r="BJ34" s="750" t="str">
        <f>IFERROR(IF(OR(C34="",U34="",AA34="",AE34="",AI34="",AK34=""),"",
IF(BP34&gt;0,"",
IF(EXPIRATION&lt;&gt;"",PROJSTATEXP,""))),"")</f>
        <v/>
      </c>
      <c r="BK34" s="828" t="str">
        <f>IFERROR(INDEX(STDREFRIG[Measure Life (Years)],MATCH(C34,STDREFRIG[Measure Name],0)),"")</f>
        <v/>
      </c>
      <c r="BL34" s="830" t="str">
        <f>IFERROR(IF(OR(C34="",U34="",R34="",AA34="",AE34="",AI34="",AK34=""),"",
ROUND(((1+ELOSS)*((AZ34*INDEX(ELECCB[NPV AEC $/kWh],MATCH(BK34,ELECCB[Year Number],1)))+(BA34*INDEX(ELECCB[NPV ACC $/kW],MATCH(BK34,ELECCB[Year Number],1))))),2)),0)</f>
        <v/>
      </c>
      <c r="BM34" s="835"/>
      <c r="BN34" s="832" t="str">
        <f>IFERROR(IF(OR(C34="",U34="",R34="",AA34="",AE34="",AI34="",AK34=""),"",INDEX(STDREFRIG[Reporting Methodology],MATCH(C34,STDREFRIG[Measure Name],0))),"Err")</f>
        <v/>
      </c>
      <c r="BO34" s="867" t="str">
        <f>IFERROR(IF(BH34="","",INDEX(STDREFRIG[Incremental Measure Cost ($/Unit)],MATCH(C34,STDREFRIG[Measure Name],0))),"Err")</f>
        <v/>
      </c>
      <c r="BP34" s="837"/>
      <c r="BQ34" s="838" t="str">
        <f>_xlfn.LET(
_xlpm.IPU,
IFERROR(IF(C34="","",INDEX(STDREFRIG[Base Incentive],MATCH(C34,STDREFRIG[Measure Name],0))),""),
IFERROR(ROUND(U34*_xlpm.IPU, 2), ""))</f>
        <v/>
      </c>
    </row>
    <row r="35" spans="2:69" ht="15.95" customHeight="1">
      <c r="B35" s="806"/>
      <c r="C35" s="805"/>
      <c r="D35" s="805"/>
      <c r="E35" s="805"/>
      <c r="F35" s="805"/>
      <c r="G35" s="805"/>
      <c r="H35" s="805"/>
      <c r="I35" s="805"/>
      <c r="J35" s="805"/>
      <c r="K35" s="805"/>
      <c r="L35" s="805"/>
      <c r="M35" s="805"/>
      <c r="N35" s="805"/>
      <c r="O35" s="805"/>
      <c r="P35" s="805"/>
      <c r="Q35" s="805"/>
      <c r="R35" s="868"/>
      <c r="S35" s="868"/>
      <c r="T35" s="868"/>
      <c r="U35" s="785"/>
      <c r="V35" s="785"/>
      <c r="W35" s="805"/>
      <c r="X35" s="805"/>
      <c r="Y35" s="805"/>
      <c r="Z35" s="805"/>
      <c r="AA35" s="805"/>
      <c r="AB35" s="805"/>
      <c r="AC35" s="805"/>
      <c r="AD35" s="805"/>
      <c r="AE35" s="805"/>
      <c r="AF35" s="805"/>
      <c r="AG35" s="805"/>
      <c r="AH35" s="728"/>
      <c r="AI35" s="765"/>
      <c r="AJ35" s="766"/>
      <c r="AK35" s="766"/>
      <c r="AL35" s="767"/>
      <c r="AM35" s="795"/>
      <c r="AN35" s="796"/>
      <c r="AO35" s="798"/>
      <c r="AP35" s="798"/>
      <c r="AQ35" s="798"/>
      <c r="AR35" s="802"/>
      <c r="AS35" s="803"/>
      <c r="AT35" s="803"/>
      <c r="AU35" s="804"/>
      <c r="AV35" s="22"/>
      <c r="AX35" s="874"/>
      <c r="AY35" s="751"/>
      <c r="AZ35" s="747"/>
      <c r="BA35" s="747"/>
      <c r="BB35" s="871"/>
      <c r="BC35" s="871"/>
      <c r="BD35" s="755"/>
      <c r="BE35" s="871"/>
      <c r="BF35" s="871"/>
      <c r="BG35" s="838"/>
      <c r="BH35" s="751"/>
      <c r="BI35" s="755"/>
      <c r="BJ35" s="751"/>
      <c r="BK35" s="829"/>
      <c r="BL35" s="831"/>
      <c r="BM35" s="836"/>
      <c r="BN35" s="832"/>
      <c r="BO35" s="867"/>
      <c r="BP35" s="837"/>
      <c r="BQ35" s="839"/>
    </row>
    <row r="36" spans="2:69" ht="15.95" customHeight="1">
      <c r="B36" s="806">
        <v>10</v>
      </c>
      <c r="C36" s="813"/>
      <c r="D36" s="813"/>
      <c r="E36" s="813"/>
      <c r="F36" s="813"/>
      <c r="G36" s="813"/>
      <c r="H36" s="813"/>
      <c r="I36" s="813"/>
      <c r="J36" s="813"/>
      <c r="K36" s="813"/>
      <c r="L36" s="813"/>
      <c r="M36" s="813"/>
      <c r="N36" s="813"/>
      <c r="O36" s="813"/>
      <c r="P36" s="813"/>
      <c r="Q36" s="813"/>
      <c r="R36" s="869" t="str">
        <f>IF(C36="","",INDEX(STDREFRIG[Current Unit],MATCH(C36,STDREFRIG[Measure Name],0)))</f>
        <v/>
      </c>
      <c r="S36" s="869"/>
      <c r="T36" s="869"/>
      <c r="U36" s="784"/>
      <c r="V36" s="784"/>
      <c r="W36" s="813"/>
      <c r="X36" s="813"/>
      <c r="Y36" s="813"/>
      <c r="Z36" s="813"/>
      <c r="AA36" s="813"/>
      <c r="AB36" s="813"/>
      <c r="AC36" s="813"/>
      <c r="AD36" s="813"/>
      <c r="AE36" s="813"/>
      <c r="AF36" s="813"/>
      <c r="AG36" s="813"/>
      <c r="AH36" s="716"/>
      <c r="AI36" s="786"/>
      <c r="AJ36" s="787"/>
      <c r="AK36" s="787"/>
      <c r="AL36" s="788"/>
      <c r="AM36" s="793" t="str">
        <f>IFERROR(IF(C36="","",INDEX(IF(AND(ACTIVEBONUS = TRUE,INDEX(STDREFRIG[Bonus Incentive],MATCH(C36,STDREFRIG[Measure Name],0))&lt;&gt; ""),STDREFRIG[Bonus Incentive],STDREFRIG[Base Incentive]),MATCH(C36,STDREFRIG[Measure Name],0))),"")</f>
        <v/>
      </c>
      <c r="AN36" s="794"/>
      <c r="AO36" s="797" t="str">
        <f>IFERROR(IF(OR(C36="",U36="",R36="",AA36="",AE36="",AI36="",AK36=""),"",IF(BN36="Deemed",AZ36,IF(BN36="Calculated",BE36,""))),"")</f>
        <v/>
      </c>
      <c r="AP36" s="797"/>
      <c r="AQ36" s="797"/>
      <c r="AR36" s="799" t="str">
        <f>IFERROR(IF(OR(C36="",U36="",R36="",AA36="",AE36="",AI36="",AK36=""),"",IF(BJ36&lt;&gt;"",BJ36,IF(BP36&gt;0,BP36,ROUND(IF(AO36&lt;=0,0,MIN(AX36,BG36)),2)))),"")</f>
        <v/>
      </c>
      <c r="AS36" s="800"/>
      <c r="AT36" s="800"/>
      <c r="AU36" s="801"/>
      <c r="AV36" s="22"/>
      <c r="AX36" s="873" t="str">
        <f>IF(OR(C36="",U36="",R36="",AA36="",AE36="",AI36="",AK36=""),"",IF(AO36=0,"",ROUND(AI36+AK36,2)))</f>
        <v/>
      </c>
      <c r="AY36" s="750" t="str">
        <f>IFERROR(IF(OR(C36="",U36="",R36="",AA36="",AE36="",AI36="",AK36=""),"",INDEX(STDREFRIG[Current Unit],MATCH(C36,STDREFRIG[Measure Name],0))),"Err")</f>
        <v/>
      </c>
      <c r="AZ36" s="746" t="str">
        <f>IF(OR(C36="",U36="",R36="",AA36="",AE36="",AI36="",AK36=""),"",ROUND(U36*INDEX(STDREFRIG[Electric Energy Savings (Annual kWh/unit)],MATCH(C36,STDREFRIG[Measure Name],0)),4))</f>
        <v/>
      </c>
      <c r="BA36" s="746" t="str">
        <f>IF(OR(C36="",U36="",R36="",AA36="",AE36="",AI36="",AK36=""),"",ROUND(U36*INDEX(STDREFRIG[Coincident Peak Demand Savings (kW/unit)],MATCH(C36,STDREFRIG[Measure Name],0)),4))</f>
        <v/>
      </c>
      <c r="BB36" s="871"/>
      <c r="BC36" s="871"/>
      <c r="BD36" s="754" t="str">
        <f>IFERROR(IF(OR(C36="",U36="",R36="",AA36="",AE36="",AI36="",AK36=""),"",INDEX(STDREFRIG[End Use],MATCH(C36,STDREFRIG[Measure Name],0))),"Err")</f>
        <v/>
      </c>
      <c r="BE36" s="871"/>
      <c r="BF36" s="871"/>
      <c r="BG36" s="872" t="str">
        <f>IFERROR(ROUND(U36*AM36, 2), "")</f>
        <v/>
      </c>
      <c r="BH36" s="750" t="str">
        <f>IFERROR(IF(OR(C36="",U36="",R36="",AA36="",AE36="",AI36="",AK36="",ISNUMBER(AR36)=FALSE,AR36=0),"",INDEX(STDREFRIG[Measure Number],MATCH(C36,STDREFRIG[Measure Name],0))),"Err")</f>
        <v/>
      </c>
      <c r="BI36" s="754" t="str">
        <f t="shared" ref="BI36" si="8">IFERROR(IF(BP36="",IF(AR36 &lt; BG36, "100% Total Cost", ""), ""), "")</f>
        <v/>
      </c>
      <c r="BJ36" s="750" t="str">
        <f>IFERROR(IF(OR(C36="",U36="",AA36="",AE36="",AI36="",AK36=""),"",
IF(BP36&gt;0,"",
IF(EXPIRATION&lt;&gt;"",PROJSTATEXP,""))),"")</f>
        <v/>
      </c>
      <c r="BK36" s="828" t="str">
        <f>IFERROR(INDEX(STDREFRIG[Measure Life (Years)],MATCH(C36,STDREFRIG[Measure Name],0)),"")</f>
        <v/>
      </c>
      <c r="BL36" s="830" t="str">
        <f>IFERROR(IF(OR(C36="",U36="",R36="",AA36="",AE36="",AI36="",AK36=""),"",
ROUND(((1+ELOSS)*((AZ36*INDEX(ELECCB[NPV AEC $/kWh],MATCH(BK36,ELECCB[Year Number],1)))+(BA36*INDEX(ELECCB[NPV ACC $/kW],MATCH(BK36,ELECCB[Year Number],1))))),2)),0)</f>
        <v/>
      </c>
      <c r="BM36" s="835"/>
      <c r="BN36" s="832" t="str">
        <f>IFERROR(IF(OR(C36="",U36="",R36="",AA36="",AE36="",AI36="",AK36=""),"",INDEX(STDREFRIG[Reporting Methodology],MATCH(C36,STDREFRIG[Measure Name],0))),"Err")</f>
        <v/>
      </c>
      <c r="BO36" s="867" t="str">
        <f>IFERROR(IF(BH36="","",INDEX(STDREFRIG[Incremental Measure Cost ($/Unit)],MATCH(C36,STDREFRIG[Measure Name],0))),"Err")</f>
        <v/>
      </c>
      <c r="BP36" s="837"/>
      <c r="BQ36" s="838" t="str">
        <f>_xlfn.LET(
_xlpm.IPU,
IFERROR(IF(C36="","",INDEX(STDREFRIG[Base Incentive],MATCH(C36,STDREFRIG[Measure Name],0))),""),
IFERROR(ROUND(U36*_xlpm.IPU, 2), ""))</f>
        <v/>
      </c>
    </row>
    <row r="37" spans="2:69" ht="15.95" customHeight="1">
      <c r="B37" s="806"/>
      <c r="C37" s="805"/>
      <c r="D37" s="805"/>
      <c r="E37" s="805"/>
      <c r="F37" s="805"/>
      <c r="G37" s="805"/>
      <c r="H37" s="805"/>
      <c r="I37" s="805"/>
      <c r="J37" s="805"/>
      <c r="K37" s="805"/>
      <c r="L37" s="805"/>
      <c r="M37" s="805"/>
      <c r="N37" s="805"/>
      <c r="O37" s="805"/>
      <c r="P37" s="805"/>
      <c r="Q37" s="805"/>
      <c r="R37" s="868"/>
      <c r="S37" s="868"/>
      <c r="T37" s="868"/>
      <c r="U37" s="785"/>
      <c r="V37" s="785"/>
      <c r="W37" s="805"/>
      <c r="X37" s="805"/>
      <c r="Y37" s="805"/>
      <c r="Z37" s="805"/>
      <c r="AA37" s="805"/>
      <c r="AB37" s="805"/>
      <c r="AC37" s="805"/>
      <c r="AD37" s="805"/>
      <c r="AE37" s="805"/>
      <c r="AF37" s="805"/>
      <c r="AG37" s="805"/>
      <c r="AH37" s="728"/>
      <c r="AI37" s="765"/>
      <c r="AJ37" s="766"/>
      <c r="AK37" s="766"/>
      <c r="AL37" s="767"/>
      <c r="AM37" s="795"/>
      <c r="AN37" s="796"/>
      <c r="AO37" s="798"/>
      <c r="AP37" s="798"/>
      <c r="AQ37" s="798"/>
      <c r="AR37" s="802"/>
      <c r="AS37" s="803"/>
      <c r="AT37" s="803"/>
      <c r="AU37" s="804"/>
      <c r="AV37" s="22"/>
      <c r="AX37" s="874"/>
      <c r="AY37" s="751"/>
      <c r="AZ37" s="747"/>
      <c r="BA37" s="747"/>
      <c r="BB37" s="871"/>
      <c r="BC37" s="871"/>
      <c r="BD37" s="755"/>
      <c r="BE37" s="871"/>
      <c r="BF37" s="871"/>
      <c r="BG37" s="838"/>
      <c r="BH37" s="751"/>
      <c r="BI37" s="755"/>
      <c r="BJ37" s="751"/>
      <c r="BK37" s="829"/>
      <c r="BL37" s="831"/>
      <c r="BM37" s="836"/>
      <c r="BN37" s="832"/>
      <c r="BO37" s="867"/>
      <c r="BP37" s="837"/>
      <c r="BQ37" s="839"/>
    </row>
    <row r="38" spans="2:69" ht="15.95" customHeight="1">
      <c r="AX38" s="222"/>
    </row>
    <row r="39" spans="2:69" ht="15.95" hidden="1" customHeight="1">
      <c r="AX39" s="222"/>
    </row>
    <row r="40" spans="2:69" ht="15.95" hidden="1" customHeight="1">
      <c r="AX40" s="222"/>
    </row>
    <row r="41" spans="2:69" ht="15.95" hidden="1" customHeight="1">
      <c r="AX41" s="222"/>
    </row>
    <row r="42" spans="2:69" ht="15.95" hidden="1" customHeight="1">
      <c r="AX42" s="222"/>
    </row>
    <row r="43" spans="2:69" ht="15.95" hidden="1" customHeight="1">
      <c r="AX43" s="222"/>
    </row>
    <row r="44" spans="2:69" ht="15.95" hidden="1" customHeight="1">
      <c r="AX44" s="222"/>
    </row>
    <row r="45" spans="2:69" ht="15.95" hidden="1" customHeight="1">
      <c r="AX45" s="222"/>
    </row>
    <row r="46" spans="2:69" ht="15.95" hidden="1" customHeight="1">
      <c r="AX46" s="222"/>
    </row>
    <row r="47" spans="2:69" ht="15.95" hidden="1" customHeight="1">
      <c r="AX47" s="222"/>
    </row>
    <row r="48" spans="2:69" ht="15.95" hidden="1" customHeight="1">
      <c r="AZ48" s="31"/>
      <c r="BA48" s="37"/>
    </row>
    <row r="49" spans="52:53" ht="15.95" hidden="1" customHeight="1">
      <c r="AZ49" s="31"/>
      <c r="BA49" s="37"/>
    </row>
    <row r="50" spans="52:53" ht="15.95" hidden="1" customHeight="1">
      <c r="AZ50" s="31"/>
      <c r="BA50" s="37"/>
    </row>
    <row r="51" spans="52:53" ht="15.95" hidden="1" customHeight="1">
      <c r="AZ51" s="31"/>
      <c r="BA51" s="37"/>
    </row>
    <row r="52" spans="52:53" ht="15.95" hidden="1" customHeight="1">
      <c r="AZ52" s="31"/>
      <c r="BA52" s="37"/>
    </row>
    <row r="53" spans="52:53" ht="15.95" hidden="1" customHeight="1">
      <c r="AZ53" s="31"/>
      <c r="BA53" s="37"/>
    </row>
    <row r="54" spans="52:53" ht="15.95" hidden="1" customHeight="1">
      <c r="AZ54" s="31"/>
      <c r="BA54" s="37"/>
    </row>
    <row r="55" spans="52:53" ht="15.95" hidden="1" customHeight="1">
      <c r="AZ55" s="31"/>
      <c r="BA55" s="37"/>
    </row>
    <row r="56" spans="52:53" ht="15.95" hidden="1" customHeight="1">
      <c r="AZ56" s="31"/>
      <c r="BA56" s="37"/>
    </row>
    <row r="57" spans="52:53" ht="15.95" hidden="1" customHeight="1">
      <c r="AZ57" s="31"/>
      <c r="BA57" s="37"/>
    </row>
    <row r="58" spans="52:53" ht="15.95" hidden="1" customHeight="1">
      <c r="AZ58" s="31"/>
      <c r="BA58" s="37"/>
    </row>
    <row r="59" spans="52:53" ht="15.95" hidden="1" customHeight="1">
      <c r="AZ59" s="31"/>
      <c r="BA59" s="37"/>
    </row>
    <row r="60" spans="52:53" ht="15.95" hidden="1" customHeight="1">
      <c r="AZ60" s="31"/>
      <c r="BA60" s="37"/>
    </row>
    <row r="61" spans="52:53" ht="15.95" hidden="1" customHeight="1">
      <c r="AZ61" s="31"/>
      <c r="BA61" s="37"/>
    </row>
    <row r="62" spans="52:53" ht="15.95" hidden="1" customHeight="1">
      <c r="AZ62" s="31"/>
      <c r="BA62" s="37"/>
    </row>
    <row r="63" spans="52:53" ht="15.95" hidden="1" customHeight="1">
      <c r="AZ63" s="31"/>
      <c r="BA63" s="37"/>
    </row>
    <row r="64" spans="52:53" ht="15.95" hidden="1" customHeight="1">
      <c r="AZ64" s="31"/>
      <c r="BA64" s="37"/>
    </row>
    <row r="65" spans="52:53" ht="15.95" hidden="1" customHeight="1">
      <c r="AZ65" s="31"/>
      <c r="BA65" s="37"/>
    </row>
    <row r="66" spans="52:53" ht="15.95" hidden="1" customHeight="1">
      <c r="AZ66" s="31"/>
      <c r="BA66" s="37"/>
    </row>
    <row r="67" spans="52:53" ht="15.95" hidden="1" customHeight="1">
      <c r="AZ67" s="31"/>
      <c r="BA67" s="37"/>
    </row>
    <row r="68" spans="52:53" ht="15.95" hidden="1" customHeight="1">
      <c r="AZ68" s="31"/>
      <c r="BA68" s="37"/>
    </row>
    <row r="69" spans="52:53" ht="15.95" hidden="1" customHeight="1">
      <c r="AZ69" s="31"/>
      <c r="BA69" s="37"/>
    </row>
    <row r="70" spans="52:53" ht="15.95" hidden="1" customHeight="1">
      <c r="AZ70" s="31"/>
      <c r="BA70" s="37"/>
    </row>
    <row r="71" spans="52:53" ht="15.95" hidden="1" customHeight="1">
      <c r="AZ71" s="31"/>
      <c r="BA71" s="37"/>
    </row>
    <row r="72" spans="52:53" ht="15.95" hidden="1" customHeight="1">
      <c r="AZ72" s="31"/>
      <c r="BA72" s="37"/>
    </row>
    <row r="73" spans="52:53" ht="15.95" hidden="1" customHeight="1">
      <c r="AZ73" s="31"/>
      <c r="BA73" s="37"/>
    </row>
    <row r="74" spans="52:53" ht="15.95" hidden="1" customHeight="1">
      <c r="AZ74" s="31"/>
      <c r="BA74" s="37"/>
    </row>
    <row r="75" spans="52:53" ht="15.95" hidden="1" customHeight="1">
      <c r="AZ75" s="31"/>
      <c r="BA75" s="37"/>
    </row>
    <row r="76" spans="52:53" ht="15.95" hidden="1" customHeight="1">
      <c r="AZ76" s="31"/>
      <c r="BA76" s="37"/>
    </row>
    <row r="77" spans="52:53" ht="15.95" hidden="1" customHeight="1">
      <c r="AZ77" s="31"/>
      <c r="BA77" s="37"/>
    </row>
    <row r="78" spans="52:53" ht="15.95" hidden="1" customHeight="1">
      <c r="AZ78" s="31"/>
      <c r="BA78" s="37"/>
    </row>
    <row r="79" spans="52:53" ht="15.95" hidden="1" customHeight="1">
      <c r="AZ79" s="31"/>
      <c r="BA79" s="37"/>
    </row>
    <row r="80" spans="52:53" ht="15.95" hidden="1" customHeight="1">
      <c r="AZ80" s="31"/>
      <c r="BA80" s="37"/>
    </row>
    <row r="81" spans="52:53" ht="15.95" hidden="1" customHeight="1">
      <c r="AZ81" s="31"/>
      <c r="BA81" s="37"/>
    </row>
    <row r="82" spans="52:53" ht="15.95" hidden="1" customHeight="1">
      <c r="AZ82" s="31"/>
      <c r="BA82" s="37"/>
    </row>
    <row r="83" spans="52:53" ht="15.95" hidden="1" customHeight="1">
      <c r="AZ83" s="31"/>
      <c r="BA83" s="37"/>
    </row>
    <row r="84" spans="52:53" ht="15.95" hidden="1" customHeight="1">
      <c r="AZ84" s="31"/>
      <c r="BA84" s="37"/>
    </row>
    <row r="85" spans="52:53" ht="15.95" hidden="1" customHeight="1">
      <c r="AZ85" s="31"/>
      <c r="BA85" s="37"/>
    </row>
    <row r="86" spans="52:53" ht="15.95" hidden="1" customHeight="1">
      <c r="AZ86" s="31"/>
      <c r="BA86" s="37"/>
    </row>
    <row r="87" spans="52:53" ht="15.95" hidden="1" customHeight="1">
      <c r="AZ87" s="31"/>
      <c r="BA87" s="37"/>
    </row>
    <row r="88" spans="52:53" ht="15.95" hidden="1" customHeight="1">
      <c r="AZ88" s="31"/>
      <c r="BA88" s="37"/>
    </row>
    <row r="89" spans="52:53" ht="15.95" hidden="1" customHeight="1">
      <c r="AZ89" s="31"/>
      <c r="BA89" s="37"/>
    </row>
    <row r="90" spans="52:53" ht="15.95" hidden="1" customHeight="1">
      <c r="AZ90" s="31"/>
      <c r="BA90" s="37"/>
    </row>
    <row r="91" spans="52:53" ht="15.95" hidden="1" customHeight="1">
      <c r="AZ91" s="31"/>
      <c r="BA91" s="37"/>
    </row>
    <row r="92" spans="52:53" ht="15.95" hidden="1" customHeight="1">
      <c r="AZ92" s="31"/>
      <c r="BA92" s="37"/>
    </row>
    <row r="93" spans="52:53" ht="15.95" hidden="1" customHeight="1">
      <c r="AZ93" s="31"/>
      <c r="BA93" s="37"/>
    </row>
    <row r="94" spans="52:53" ht="15.95" hidden="1" customHeight="1">
      <c r="AZ94" s="31"/>
      <c r="BA94" s="37"/>
    </row>
    <row r="95" spans="52:53" ht="15.95" hidden="1" customHeight="1">
      <c r="AZ95" s="31"/>
      <c r="BA95" s="37"/>
    </row>
    <row r="96" spans="52:53" ht="15.95" hidden="1" customHeight="1">
      <c r="AZ96" s="31"/>
      <c r="BA96" s="37"/>
    </row>
    <row r="97" spans="52:53" ht="15.95" hidden="1" customHeight="1">
      <c r="AZ97" s="31"/>
      <c r="BA97" s="37"/>
    </row>
    <row r="98" spans="52:53" ht="15.95" hidden="1" customHeight="1">
      <c r="AZ98" s="31"/>
      <c r="BA98" s="37"/>
    </row>
    <row r="99" spans="52:53" ht="15.95" hidden="1" customHeight="1">
      <c r="AZ99" s="31"/>
      <c r="BA99" s="37"/>
    </row>
    <row r="100" spans="52:53" ht="15.95" hidden="1" customHeight="1">
      <c r="AZ100" s="31"/>
      <c r="BA100" s="37"/>
    </row>
    <row r="101" spans="52:53" ht="15.95" hidden="1" customHeight="1">
      <c r="AZ101" s="31"/>
      <c r="BA101" s="37"/>
    </row>
    <row r="102" spans="52:53" ht="15.95" hidden="1" customHeight="1">
      <c r="AZ102" s="31"/>
      <c r="BA102" s="37"/>
    </row>
    <row r="103" spans="52:53" ht="15.95" hidden="1" customHeight="1">
      <c r="AZ103" s="31"/>
      <c r="BA103" s="37"/>
    </row>
    <row r="104" spans="52:53" ht="15.95" hidden="1" customHeight="1">
      <c r="AZ104" s="31"/>
      <c r="BA104" s="37"/>
    </row>
    <row r="105" spans="52:53" ht="15.95" hidden="1" customHeight="1">
      <c r="AZ105" s="31"/>
      <c r="BA105" s="37"/>
    </row>
    <row r="106" spans="52:53" ht="15.95" hidden="1" customHeight="1">
      <c r="AZ106" s="31"/>
      <c r="BA106" s="37"/>
    </row>
    <row r="107" spans="52:53" ht="15.95" hidden="1" customHeight="1">
      <c r="AZ107" s="31"/>
      <c r="BA107" s="37"/>
    </row>
    <row r="108" spans="52:53" ht="15.95" hidden="1" customHeight="1">
      <c r="AZ108" s="31"/>
      <c r="BA108" s="37"/>
    </row>
    <row r="109" spans="52:53" ht="15.95" hidden="1" customHeight="1">
      <c r="AZ109" s="31"/>
      <c r="BA109" s="37"/>
    </row>
    <row r="110" spans="52:53" ht="15.95" hidden="1" customHeight="1">
      <c r="AZ110" s="31"/>
      <c r="BA110" s="37"/>
    </row>
    <row r="111" spans="52:53" ht="15.95" hidden="1" customHeight="1">
      <c r="AZ111" s="31"/>
      <c r="BA111" s="37"/>
    </row>
    <row r="112" spans="52:53" ht="15.95" hidden="1" customHeight="1">
      <c r="AZ112" s="31"/>
      <c r="BA112" s="37"/>
    </row>
    <row r="113" spans="52:53" ht="15.95" hidden="1" customHeight="1">
      <c r="AZ113" s="31"/>
      <c r="BA113" s="37"/>
    </row>
    <row r="114" spans="52:53" ht="15.95" hidden="1" customHeight="1">
      <c r="AZ114" s="31"/>
      <c r="BA114" s="37"/>
    </row>
    <row r="115" spans="52:53" ht="15.95" hidden="1" customHeight="1">
      <c r="AZ115" s="31"/>
      <c r="BA115" s="37"/>
    </row>
    <row r="116" spans="52:53" ht="15.95" hidden="1" customHeight="1">
      <c r="AZ116" s="31"/>
      <c r="BA116" s="37"/>
    </row>
    <row r="117" spans="52:53" ht="15.95" hidden="1" customHeight="1">
      <c r="AZ117" s="31"/>
      <c r="BA117" s="37"/>
    </row>
    <row r="118" spans="52:53" ht="15.95" hidden="1" customHeight="1">
      <c r="AZ118" s="31"/>
      <c r="BA118" s="37"/>
    </row>
    <row r="119" spans="52:53" ht="15.95" hidden="1" customHeight="1">
      <c r="AZ119" s="31"/>
      <c r="BA119" s="37"/>
    </row>
    <row r="120" spans="52:53" ht="15.95" hidden="1" customHeight="1">
      <c r="AZ120" s="31"/>
      <c r="BA120" s="37"/>
    </row>
    <row r="121" spans="52:53" ht="15.95" hidden="1" customHeight="1">
      <c r="AZ121" s="31"/>
      <c r="BA121" s="37"/>
    </row>
    <row r="122" spans="52:53" ht="15.95" hidden="1" customHeight="1">
      <c r="AZ122" s="31"/>
      <c r="BA122" s="37"/>
    </row>
    <row r="123" spans="52:53" ht="15.95" hidden="1" customHeight="1">
      <c r="AZ123" s="31"/>
      <c r="BA123" s="37"/>
    </row>
    <row r="124" spans="52:53" ht="15.95" hidden="1" customHeight="1">
      <c r="AZ124" s="31"/>
      <c r="BA124" s="37"/>
    </row>
    <row r="125" spans="52:53" ht="15.95" hidden="1" customHeight="1">
      <c r="AZ125" s="31"/>
      <c r="BA125" s="37"/>
    </row>
    <row r="126" spans="52:53" ht="15.95" hidden="1" customHeight="1">
      <c r="AZ126" s="31"/>
      <c r="BA126" s="37"/>
    </row>
    <row r="127" spans="52:53" ht="15.95" hidden="1" customHeight="1">
      <c r="AZ127" s="31"/>
      <c r="BA127" s="37"/>
    </row>
    <row r="128" spans="52:53" ht="15.95" hidden="1" customHeight="1">
      <c r="AZ128" s="31"/>
      <c r="BA128" s="37"/>
    </row>
    <row r="129" spans="52:53" ht="15.95" hidden="1" customHeight="1">
      <c r="AZ129" s="31"/>
      <c r="BA129" s="37"/>
    </row>
    <row r="130" spans="52:53" ht="15.95" hidden="1" customHeight="1">
      <c r="AZ130" s="31"/>
      <c r="BA130" s="37"/>
    </row>
    <row r="131" spans="52:53" ht="15.95" hidden="1" customHeight="1">
      <c r="AZ131" s="31"/>
      <c r="BA131" s="37"/>
    </row>
    <row r="132" spans="52:53" ht="15.95" hidden="1" customHeight="1">
      <c r="AZ132" s="31"/>
      <c r="BA132" s="37"/>
    </row>
    <row r="133" spans="52:53" ht="15.95" hidden="1" customHeight="1">
      <c r="AZ133" s="31"/>
      <c r="BA133" s="37"/>
    </row>
    <row r="134" spans="52:53" ht="15.95" hidden="1" customHeight="1">
      <c r="AZ134" s="31"/>
      <c r="BA134" s="37"/>
    </row>
    <row r="135" spans="52:53" ht="15.95" hidden="1" customHeight="1">
      <c r="AZ135" s="31"/>
      <c r="BA135" s="37"/>
    </row>
    <row r="136" spans="52:53" ht="15.95" hidden="1" customHeight="1">
      <c r="AZ136" s="31"/>
      <c r="BA136" s="37"/>
    </row>
    <row r="137" spans="52:53" ht="15.95" hidden="1" customHeight="1">
      <c r="AZ137" s="31"/>
      <c r="BA137" s="37"/>
    </row>
    <row r="138" spans="52:53" ht="15.95" hidden="1" customHeight="1">
      <c r="AZ138" s="31"/>
      <c r="BA138" s="37"/>
    </row>
    <row r="139" spans="52:53" ht="15.95" hidden="1" customHeight="1">
      <c r="AZ139" s="31"/>
      <c r="BA139" s="37"/>
    </row>
    <row r="140" spans="52:53" ht="15.95" hidden="1" customHeight="1">
      <c r="AZ140" s="31"/>
      <c r="BA140" s="37"/>
    </row>
    <row r="141" spans="52:53" ht="15.95" hidden="1" customHeight="1">
      <c r="AZ141" s="31"/>
      <c r="BA141" s="37"/>
    </row>
    <row r="142" spans="52:53" ht="15.95" hidden="1" customHeight="1">
      <c r="AZ142" s="31"/>
      <c r="BA142" s="37"/>
    </row>
    <row r="143" spans="52:53" ht="15.95" hidden="1" customHeight="1">
      <c r="AZ143" s="31"/>
      <c r="BA143" s="37"/>
    </row>
    <row r="144" spans="52:53" ht="15.95" hidden="1" customHeight="1">
      <c r="AZ144" s="31"/>
      <c r="BA144" s="37"/>
    </row>
    <row r="145" spans="52:53" ht="15.95" hidden="1" customHeight="1">
      <c r="AZ145" s="31"/>
      <c r="BA145" s="37"/>
    </row>
    <row r="146" spans="52:53" ht="15.95" hidden="1" customHeight="1">
      <c r="AZ146" s="31"/>
      <c r="BA146" s="37"/>
    </row>
    <row r="147" spans="52:53" ht="15.95" hidden="1" customHeight="1">
      <c r="AZ147" s="31"/>
      <c r="BA147" s="37"/>
    </row>
    <row r="148" spans="52:53" ht="15.95" hidden="1" customHeight="1">
      <c r="AZ148" s="31"/>
      <c r="BA148" s="37"/>
    </row>
    <row r="149" spans="52:53" ht="15.95" hidden="1" customHeight="1">
      <c r="AZ149" s="31"/>
      <c r="BA149" s="37"/>
    </row>
    <row r="150" spans="52:53" ht="15.95" hidden="1" customHeight="1">
      <c r="AZ150" s="31"/>
      <c r="BA150" s="37"/>
    </row>
    <row r="151" spans="52:53" ht="15.95" hidden="1" customHeight="1">
      <c r="AZ151" s="31"/>
      <c r="BA151" s="37"/>
    </row>
    <row r="152" spans="52:53" ht="15.95" hidden="1" customHeight="1">
      <c r="AZ152" s="31"/>
      <c r="BA152" s="37"/>
    </row>
    <row r="153" spans="52:53" ht="15.95" hidden="1" customHeight="1">
      <c r="AZ153" s="31"/>
      <c r="BA153" s="37"/>
    </row>
    <row r="154" spans="52:53" ht="15.95" hidden="1" customHeight="1">
      <c r="AZ154" s="31"/>
      <c r="BA154" s="37"/>
    </row>
    <row r="155" spans="52:53" ht="15.95" hidden="1" customHeight="1">
      <c r="AZ155" s="31"/>
      <c r="BA155" s="37"/>
    </row>
    <row r="156" spans="52:53" ht="15.95" hidden="1" customHeight="1">
      <c r="AZ156" s="31"/>
      <c r="BA156" s="37"/>
    </row>
    <row r="157" spans="52:53" ht="15.95" hidden="1" customHeight="1">
      <c r="AZ157" s="31"/>
      <c r="BA157" s="37"/>
    </row>
    <row r="158" spans="52:53" ht="15.95" hidden="1" customHeight="1">
      <c r="AZ158" s="31"/>
      <c r="BA158" s="37"/>
    </row>
    <row r="159" spans="52:53" ht="15.95" hidden="1" customHeight="1">
      <c r="AZ159" s="31"/>
      <c r="BA159" s="37"/>
    </row>
    <row r="160" spans="52:53" ht="15.95" hidden="1" customHeight="1">
      <c r="AZ160" s="31"/>
      <c r="BA160" s="37"/>
    </row>
    <row r="161" spans="52:53" ht="15.95" hidden="1" customHeight="1">
      <c r="AZ161" s="31"/>
      <c r="BA161" s="37"/>
    </row>
    <row r="162" spans="52:53" ht="15.95" hidden="1" customHeight="1">
      <c r="AZ162" s="31"/>
      <c r="BA162" s="37"/>
    </row>
    <row r="163" spans="52:53" ht="15.95" hidden="1" customHeight="1">
      <c r="AZ163" s="31"/>
      <c r="BA163" s="37"/>
    </row>
    <row r="164" spans="52:53" ht="15.95" hidden="1" customHeight="1">
      <c r="AZ164" s="31"/>
      <c r="BA164" s="37"/>
    </row>
    <row r="165" spans="52:53" ht="15.95" hidden="1" customHeight="1">
      <c r="AZ165" s="31"/>
      <c r="BA165" s="37"/>
    </row>
    <row r="166" spans="52:53" ht="15.95" hidden="1" customHeight="1">
      <c r="AZ166" s="31"/>
      <c r="BA166" s="37"/>
    </row>
    <row r="167" spans="52:53" ht="15.95" hidden="1" customHeight="1">
      <c r="AZ167" s="31"/>
      <c r="BA167" s="37"/>
    </row>
    <row r="168" spans="52:53" ht="15.95" hidden="1" customHeight="1">
      <c r="AZ168" s="31"/>
      <c r="BA168" s="37"/>
    </row>
    <row r="169" spans="52:53" ht="15.95" hidden="1" customHeight="1">
      <c r="AZ169" s="31"/>
      <c r="BA169" s="37"/>
    </row>
    <row r="170" spans="52:53" ht="15.95" hidden="1" customHeight="1">
      <c r="AZ170" s="31"/>
      <c r="BA170" s="37"/>
    </row>
    <row r="171" spans="52:53" ht="15.95" hidden="1" customHeight="1">
      <c r="AZ171" s="31"/>
      <c r="BA171" s="37"/>
    </row>
    <row r="172" spans="52:53" ht="15.95" hidden="1" customHeight="1">
      <c r="AZ172" s="31"/>
      <c r="BA172" s="37"/>
    </row>
    <row r="173" spans="52:53" ht="15.95" hidden="1" customHeight="1">
      <c r="AZ173" s="31"/>
      <c r="BA173" s="37"/>
    </row>
    <row r="174" spans="52:53" ht="15.95" hidden="1" customHeight="1">
      <c r="AZ174" s="31"/>
      <c r="BA174" s="37"/>
    </row>
    <row r="175" spans="52:53" ht="15.95" hidden="1" customHeight="1">
      <c r="AZ175" s="31"/>
      <c r="BA175" s="37"/>
    </row>
    <row r="176" spans="52:53" ht="15.95" hidden="1" customHeight="1">
      <c r="AZ176" s="31"/>
      <c r="BA176" s="37"/>
    </row>
    <row r="177" spans="52:53" ht="15.95" hidden="1" customHeight="1">
      <c r="AZ177" s="31"/>
      <c r="BA177" s="37"/>
    </row>
    <row r="178" spans="52:53" ht="15.95" hidden="1" customHeight="1">
      <c r="AZ178" s="31"/>
      <c r="BA178" s="37"/>
    </row>
    <row r="179" spans="52:53" ht="15.95" hidden="1" customHeight="1">
      <c r="AZ179" s="31"/>
      <c r="BA179" s="37"/>
    </row>
    <row r="180" spans="52:53" ht="15.95" hidden="1" customHeight="1">
      <c r="AZ180" s="31"/>
      <c r="BA180" s="37"/>
    </row>
    <row r="181" spans="52:53" ht="15.95" hidden="1" customHeight="1">
      <c r="AZ181" s="31"/>
      <c r="BA181" s="37"/>
    </row>
    <row r="182" spans="52:53" ht="15.95" hidden="1" customHeight="1">
      <c r="AZ182" s="31"/>
      <c r="BA182" s="37"/>
    </row>
    <row r="183" spans="52:53" ht="15.95" hidden="1" customHeight="1">
      <c r="AZ183" s="31"/>
      <c r="BA183" s="37"/>
    </row>
    <row r="184" spans="52:53" ht="15.95" hidden="1" customHeight="1">
      <c r="AZ184" s="31"/>
      <c r="BA184" s="37"/>
    </row>
    <row r="185" spans="52:53" ht="15.95" hidden="1" customHeight="1">
      <c r="AZ185" s="31"/>
      <c r="BA185" s="37"/>
    </row>
    <row r="186" spans="52:53" ht="15.95" hidden="1" customHeight="1">
      <c r="AZ186" s="31"/>
      <c r="BA186" s="37"/>
    </row>
    <row r="187" spans="52:53" ht="15.95" hidden="1" customHeight="1">
      <c r="AZ187" s="31"/>
      <c r="BA187" s="37"/>
    </row>
    <row r="188" spans="52:53" ht="15.95" hidden="1" customHeight="1">
      <c r="AZ188" s="31"/>
      <c r="BA188" s="37"/>
    </row>
    <row r="189" spans="52:53" ht="15.95" hidden="1" customHeight="1">
      <c r="AZ189" s="31"/>
      <c r="BA189" s="37"/>
    </row>
    <row r="190" spans="52:53" ht="15.95" hidden="1" customHeight="1">
      <c r="AZ190" s="31"/>
      <c r="BA190" s="37"/>
    </row>
    <row r="191" spans="52:53" ht="15.95" hidden="1" customHeight="1">
      <c r="AZ191" s="31"/>
      <c r="BA191" s="37"/>
    </row>
    <row r="192" spans="52:53" ht="15.95" hidden="1" customHeight="1">
      <c r="AZ192" s="31"/>
      <c r="BA192" s="37"/>
    </row>
    <row r="193" spans="1:53" ht="15.95" hidden="1" customHeight="1">
      <c r="AZ193" s="31"/>
      <c r="BA193" s="37"/>
    </row>
    <row r="194" spans="1:53" ht="15.95" hidden="1" customHeight="1">
      <c r="AZ194" s="31"/>
      <c r="BA194" s="37"/>
    </row>
    <row r="195" spans="1:53" ht="15.95" hidden="1" customHeight="1">
      <c r="AZ195" s="31"/>
      <c r="BA195" s="37"/>
    </row>
    <row r="196" spans="1:53" ht="15.95" hidden="1" customHeight="1">
      <c r="AZ196" s="31"/>
      <c r="BA196" s="37"/>
    </row>
    <row r="197" spans="1:53" ht="15.95" hidden="1" customHeight="1">
      <c r="AZ197" s="31"/>
      <c r="BA197" s="37"/>
    </row>
    <row r="198" spans="1:53" ht="15.95" hidden="1" customHeight="1">
      <c r="AZ198" s="31"/>
      <c r="BA198" s="37"/>
    </row>
    <row r="199" spans="1:53" ht="15.95" hidden="1" customHeight="1">
      <c r="AZ199" s="31"/>
      <c r="BA199" s="37"/>
    </row>
    <row r="200" spans="1:53"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c r="AX200" s="760">
        <f>SUM(AX18:AX199)</f>
        <v>0</v>
      </c>
      <c r="AZ200" s="761">
        <f>SUM(AZ18:AZ199)</f>
        <v>0</v>
      </c>
      <c r="BA200" s="762">
        <f>SUM(BA18:BA199)</f>
        <v>0</v>
      </c>
    </row>
    <row r="201" spans="1:53"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c r="AX201" s="760"/>
      <c r="AZ201" s="761"/>
      <c r="BA201" s="762"/>
    </row>
    <row r="202" spans="1:53"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3" ht="15.95" hidden="1" customHeight="1"/>
    <row r="204" spans="1:53" ht="15.95" hidden="1" customHeight="1"/>
  </sheetData>
  <sheetProtection algorithmName="SHA-512" hashValue="9VvnaFPVps0KDUjPsJpEE5y/rDR6VfWyyl1aEVBqxl36PBPvsnba4nkCnwMlWg7x+hkRIyMC0fvyT2jFeUziiw==" saltValue="Y9Qjizy/uDAcdgOZEte3VQ==" spinCount="100000" sheet="1" objects="1" scenarios="1" selectLockedCells="1"/>
  <mergeCells count="381">
    <mergeCell ref="BQ34:BQ35"/>
    <mergeCell ref="BQ36:BQ37"/>
    <mergeCell ref="BQ16:BQ17"/>
    <mergeCell ref="BQ18:BQ19"/>
    <mergeCell ref="BQ20:BQ21"/>
    <mergeCell ref="BQ22:BQ23"/>
    <mergeCell ref="BQ24:BQ25"/>
    <mergeCell ref="BQ26:BQ27"/>
    <mergeCell ref="BQ28:BQ29"/>
    <mergeCell ref="BQ30:BQ31"/>
    <mergeCell ref="BQ32:BQ33"/>
    <mergeCell ref="BI34:BI35"/>
    <mergeCell ref="BI36:BI37"/>
    <mergeCell ref="BP34:BP35"/>
    <mergeCell ref="BP36:BP37"/>
    <mergeCell ref="BP16:BP17"/>
    <mergeCell ref="BP18:BP19"/>
    <mergeCell ref="BP20:BP21"/>
    <mergeCell ref="BP22:BP23"/>
    <mergeCell ref="BP24:BP25"/>
    <mergeCell ref="BP26:BP27"/>
    <mergeCell ref="BP28:BP29"/>
    <mergeCell ref="BP30:BP31"/>
    <mergeCell ref="BP32:BP33"/>
    <mergeCell ref="BM36:BM37"/>
    <mergeCell ref="BN36:BN37"/>
    <mergeCell ref="BM26:BM27"/>
    <mergeCell ref="BN26:BN27"/>
    <mergeCell ref="BM28:BM29"/>
    <mergeCell ref="BN28:BN29"/>
    <mergeCell ref="BM30:BM31"/>
    <mergeCell ref="BN30:BN31"/>
    <mergeCell ref="BM32:BM33"/>
    <mergeCell ref="BN32:BN33"/>
    <mergeCell ref="BM34:BM35"/>
    <mergeCell ref="BN34:BN35"/>
    <mergeCell ref="BN16:BN17"/>
    <mergeCell ref="BN18:BN19"/>
    <mergeCell ref="BM16:BM17"/>
    <mergeCell ref="BM18:BM19"/>
    <mergeCell ref="BM20:BM21"/>
    <mergeCell ref="BN20:BN21"/>
    <mergeCell ref="BM22:BM23"/>
    <mergeCell ref="BN22:BN23"/>
    <mergeCell ref="BM24:BM25"/>
    <mergeCell ref="BN24:BN25"/>
    <mergeCell ref="BK36:BK37"/>
    <mergeCell ref="BL36:BL37"/>
    <mergeCell ref="BK26:BK27"/>
    <mergeCell ref="BL26:BL27"/>
    <mergeCell ref="BK28:BK29"/>
    <mergeCell ref="BL28:BL29"/>
    <mergeCell ref="BK30:BK31"/>
    <mergeCell ref="BL30:BL31"/>
    <mergeCell ref="BK32:BK33"/>
    <mergeCell ref="BL32:BL33"/>
    <mergeCell ref="BK34:BK35"/>
    <mergeCell ref="BL34:BL35"/>
    <mergeCell ref="BI24:BI25"/>
    <mergeCell ref="BI26:BI27"/>
    <mergeCell ref="BI28:BI29"/>
    <mergeCell ref="BG22:BG23"/>
    <mergeCell ref="BG24:BG25"/>
    <mergeCell ref="BG26:BG27"/>
    <mergeCell ref="BG28:BG29"/>
    <mergeCell ref="BL16:BL17"/>
    <mergeCell ref="BK18:BK19"/>
    <mergeCell ref="BL18:BL19"/>
    <mergeCell ref="BK20:BK21"/>
    <mergeCell ref="BL20:BL21"/>
    <mergeCell ref="BK22:BK23"/>
    <mergeCell ref="BL22:BL23"/>
    <mergeCell ref="BK24:BK25"/>
    <mergeCell ref="BL24:BL25"/>
    <mergeCell ref="BK16:BK17"/>
    <mergeCell ref="AB14:AE14"/>
    <mergeCell ref="BB18:BB19"/>
    <mergeCell ref="BC18:BC19"/>
    <mergeCell ref="BE18:BE19"/>
    <mergeCell ref="BB20:BB21"/>
    <mergeCell ref="BC20:BC21"/>
    <mergeCell ref="BE20:BE21"/>
    <mergeCell ref="BC22:BC23"/>
    <mergeCell ref="BD20:BD21"/>
    <mergeCell ref="AM20:AN21"/>
    <mergeCell ref="AY22:AY23"/>
    <mergeCell ref="BB22:BB23"/>
    <mergeCell ref="AO18:AQ19"/>
    <mergeCell ref="AR18:AU19"/>
    <mergeCell ref="AX18:AX19"/>
    <mergeCell ref="AZ18:AZ19"/>
    <mergeCell ref="AI17:AJ17"/>
    <mergeCell ref="AK17:AL17"/>
    <mergeCell ref="AI16:AL16"/>
    <mergeCell ref="AM16:AN17"/>
    <mergeCell ref="AO16:AQ17"/>
    <mergeCell ref="AR16:AU17"/>
    <mergeCell ref="AX16:AX17"/>
    <mergeCell ref="BB16:BB17"/>
    <mergeCell ref="F1:I3"/>
    <mergeCell ref="J1:M3"/>
    <mergeCell ref="AL1:AO3"/>
    <mergeCell ref="AP1:AS3"/>
    <mergeCell ref="AD9:AG11"/>
    <mergeCell ref="AS5:AW6"/>
    <mergeCell ref="AS7:AW7"/>
    <mergeCell ref="AS8:AW8"/>
    <mergeCell ref="J9:M11"/>
    <mergeCell ref="N9:Q11"/>
    <mergeCell ref="R9:U11"/>
    <mergeCell ref="V9:Y11"/>
    <mergeCell ref="Z9:AC11"/>
    <mergeCell ref="AH9:AK11"/>
    <mergeCell ref="AL9:AO11"/>
    <mergeCell ref="Q1:AG3"/>
    <mergeCell ref="AT1:AW3"/>
    <mergeCell ref="BC16:BC17"/>
    <mergeCell ref="AZ16:BA16"/>
    <mergeCell ref="BJ18:BJ19"/>
    <mergeCell ref="BJ20:BJ21"/>
    <mergeCell ref="AY16:AY17"/>
    <mergeCell ref="BD16:BD17"/>
    <mergeCell ref="BD18:BD19"/>
    <mergeCell ref="AK20:AL21"/>
    <mergeCell ref="AM13:AU14"/>
    <mergeCell ref="BJ16:BJ17"/>
    <mergeCell ref="BE16:BF16"/>
    <mergeCell ref="BH16:BH17"/>
    <mergeCell ref="BG16:BG17"/>
    <mergeCell ref="AO20:AQ21"/>
    <mergeCell ref="AR20:AU21"/>
    <mergeCell ref="AX20:AX21"/>
    <mergeCell ref="AZ20:AZ21"/>
    <mergeCell ref="BA20:BA21"/>
    <mergeCell ref="BA18:BA19"/>
    <mergeCell ref="BG18:BG19"/>
    <mergeCell ref="BI16:BI17"/>
    <mergeCell ref="BI18:BI19"/>
    <mergeCell ref="BI20:BI21"/>
    <mergeCell ref="AK18:AL19"/>
    <mergeCell ref="AM18:AN19"/>
    <mergeCell ref="AA18:AD19"/>
    <mergeCell ref="AE18:AH19"/>
    <mergeCell ref="BJ22:BJ23"/>
    <mergeCell ref="B24:B25"/>
    <mergeCell ref="AO22:AQ23"/>
    <mergeCell ref="AR22:AU23"/>
    <mergeCell ref="AX22:AX23"/>
    <mergeCell ref="AZ22:AZ23"/>
    <mergeCell ref="BA22:BA23"/>
    <mergeCell ref="AI22:AJ23"/>
    <mergeCell ref="AK22:AL23"/>
    <mergeCell ref="AM22:AN23"/>
    <mergeCell ref="BJ24:BJ25"/>
    <mergeCell ref="U22:V23"/>
    <mergeCell ref="AA22:AD23"/>
    <mergeCell ref="AE22:AH23"/>
    <mergeCell ref="B22:B23"/>
    <mergeCell ref="AO24:AQ25"/>
    <mergeCell ref="AR24:AU25"/>
    <mergeCell ref="AX24:AX25"/>
    <mergeCell ref="AZ24:AZ25"/>
    <mergeCell ref="AE20:AH21"/>
    <mergeCell ref="BA24:BA25"/>
    <mergeCell ref="BE22:BE23"/>
    <mergeCell ref="BF22:BF23"/>
    <mergeCell ref="R24:T25"/>
    <mergeCell ref="BJ26:BJ27"/>
    <mergeCell ref="B28:B29"/>
    <mergeCell ref="AO26:AQ27"/>
    <mergeCell ref="AR26:AU27"/>
    <mergeCell ref="AX26:AX27"/>
    <mergeCell ref="AZ26:AZ27"/>
    <mergeCell ref="BA26:BA27"/>
    <mergeCell ref="AI26:AJ27"/>
    <mergeCell ref="AK26:AL27"/>
    <mergeCell ref="AM26:AN27"/>
    <mergeCell ref="BJ28:BJ29"/>
    <mergeCell ref="AA26:AD27"/>
    <mergeCell ref="AE26:AH27"/>
    <mergeCell ref="C26:Q27"/>
    <mergeCell ref="B26:B27"/>
    <mergeCell ref="AO28:AQ29"/>
    <mergeCell ref="AR28:AU29"/>
    <mergeCell ref="AX28:AX29"/>
    <mergeCell ref="AZ28:AZ29"/>
    <mergeCell ref="BC28:BC29"/>
    <mergeCell ref="BI22:BI23"/>
    <mergeCell ref="AM28:AN29"/>
    <mergeCell ref="BJ30:BJ31"/>
    <mergeCell ref="BJ32:BJ33"/>
    <mergeCell ref="AE32:AH33"/>
    <mergeCell ref="BB30:BB31"/>
    <mergeCell ref="BC30:BC31"/>
    <mergeCell ref="BE30:BE31"/>
    <mergeCell ref="BF30:BF31"/>
    <mergeCell ref="BB32:BB33"/>
    <mergeCell ref="BC32:BC33"/>
    <mergeCell ref="BE32:BE33"/>
    <mergeCell ref="BF32:BF33"/>
    <mergeCell ref="BH30:BH31"/>
    <mergeCell ref="BH32:BH33"/>
    <mergeCell ref="AY30:AY31"/>
    <mergeCell ref="AY32:AY33"/>
    <mergeCell ref="BD32:BD33"/>
    <mergeCell ref="BI30:BI31"/>
    <mergeCell ref="BI32:BI33"/>
    <mergeCell ref="BG30:BG31"/>
    <mergeCell ref="B32:B33"/>
    <mergeCell ref="AO30:AQ31"/>
    <mergeCell ref="AR30:AU31"/>
    <mergeCell ref="AX30:AX31"/>
    <mergeCell ref="AZ30:AZ31"/>
    <mergeCell ref="BA30:BA31"/>
    <mergeCell ref="AI30:AJ31"/>
    <mergeCell ref="AK30:AL31"/>
    <mergeCell ref="AM30:AN31"/>
    <mergeCell ref="AA30:AD31"/>
    <mergeCell ref="R30:T31"/>
    <mergeCell ref="AE30:AH31"/>
    <mergeCell ref="C30:Q31"/>
    <mergeCell ref="B30:B31"/>
    <mergeCell ref="AO32:AQ33"/>
    <mergeCell ref="AR32:AU33"/>
    <mergeCell ref="AX32:AX33"/>
    <mergeCell ref="AZ32:AZ33"/>
    <mergeCell ref="BA32:BA33"/>
    <mergeCell ref="AI32:AJ33"/>
    <mergeCell ref="AK32:AL33"/>
    <mergeCell ref="AM32:AN33"/>
    <mergeCell ref="BJ34:BJ35"/>
    <mergeCell ref="B36:B37"/>
    <mergeCell ref="AO34:AQ35"/>
    <mergeCell ref="AR34:AU35"/>
    <mergeCell ref="AX34:AX35"/>
    <mergeCell ref="AZ34:AZ35"/>
    <mergeCell ref="BA34:BA35"/>
    <mergeCell ref="AI34:AJ35"/>
    <mergeCell ref="AK34:AL35"/>
    <mergeCell ref="AM34:AN35"/>
    <mergeCell ref="BJ36:BJ37"/>
    <mergeCell ref="AA34:AD35"/>
    <mergeCell ref="R34:T35"/>
    <mergeCell ref="AE34:AH35"/>
    <mergeCell ref="C34:Q35"/>
    <mergeCell ref="B34:B35"/>
    <mergeCell ref="AO36:AQ37"/>
    <mergeCell ref="AR36:AU37"/>
    <mergeCell ref="AX36:AX37"/>
    <mergeCell ref="AZ36:AZ37"/>
    <mergeCell ref="BA36:BA37"/>
    <mergeCell ref="AI36:AJ37"/>
    <mergeCell ref="BB36:BB37"/>
    <mergeCell ref="BC36:BC37"/>
    <mergeCell ref="BB34:BB35"/>
    <mergeCell ref="C36:Q37"/>
    <mergeCell ref="O200:AI201"/>
    <mergeCell ref="AX200:AX201"/>
    <mergeCell ref="AZ200:AZ201"/>
    <mergeCell ref="BA200:BA201"/>
    <mergeCell ref="BA28:BA29"/>
    <mergeCell ref="AI28:AJ29"/>
    <mergeCell ref="AK28:AL29"/>
    <mergeCell ref="R36:T37"/>
    <mergeCell ref="U28:V29"/>
    <mergeCell ref="AA28:AD29"/>
    <mergeCell ref="AE28:AH29"/>
    <mergeCell ref="C32:Q33"/>
    <mergeCell ref="C28:Q29"/>
    <mergeCell ref="AM36:AN37"/>
    <mergeCell ref="W30:Z31"/>
    <mergeCell ref="W32:Z33"/>
    <mergeCell ref="W34:Z35"/>
    <mergeCell ref="W36:Z37"/>
    <mergeCell ref="AY28:AY29"/>
    <mergeCell ref="U32:V33"/>
    <mergeCell ref="AA32:AD33"/>
    <mergeCell ref="BB28:BB29"/>
    <mergeCell ref="BB26:BB27"/>
    <mergeCell ref="BC26:BC27"/>
    <mergeCell ref="BE26:BE27"/>
    <mergeCell ref="BF26:BF27"/>
    <mergeCell ref="BD22:BD23"/>
    <mergeCell ref="R26:T27"/>
    <mergeCell ref="C24:Q25"/>
    <mergeCell ref="U34:V35"/>
    <mergeCell ref="U30:V31"/>
    <mergeCell ref="U26:V27"/>
    <mergeCell ref="R32:T33"/>
    <mergeCell ref="R28:T29"/>
    <mergeCell ref="U24:V25"/>
    <mergeCell ref="BD28:BD29"/>
    <mergeCell ref="AY24:AY25"/>
    <mergeCell ref="AM24:AN25"/>
    <mergeCell ref="BC24:BC25"/>
    <mergeCell ref="AI24:AJ25"/>
    <mergeCell ref="AK24:AL25"/>
    <mergeCell ref="BB24:BB25"/>
    <mergeCell ref="BE24:BE25"/>
    <mergeCell ref="BF28:BF29"/>
    <mergeCell ref="BF24:BF25"/>
    <mergeCell ref="BC34:BC35"/>
    <mergeCell ref="BH36:BH37"/>
    <mergeCell ref="BD34:BD35"/>
    <mergeCell ref="BD36:BD37"/>
    <mergeCell ref="BH34:BH35"/>
    <mergeCell ref="BH22:BH23"/>
    <mergeCell ref="BH24:BH25"/>
    <mergeCell ref="BH26:BH27"/>
    <mergeCell ref="BH18:BH19"/>
    <mergeCell ref="BH20:BH21"/>
    <mergeCell ref="BD26:BD27"/>
    <mergeCell ref="BH28:BH29"/>
    <mergeCell ref="BF18:BF19"/>
    <mergeCell ref="BF20:BF21"/>
    <mergeCell ref="BG34:BG35"/>
    <mergeCell ref="BG36:BG37"/>
    <mergeCell ref="BE34:BE35"/>
    <mergeCell ref="BF34:BF35"/>
    <mergeCell ref="BG32:BG33"/>
    <mergeCell ref="BD30:BD31"/>
    <mergeCell ref="BG20:BG21"/>
    <mergeCell ref="BE36:BE37"/>
    <mergeCell ref="BF36:BF37"/>
    <mergeCell ref="BE28:BE29"/>
    <mergeCell ref="BD24:BD25"/>
    <mergeCell ref="AB12:AE13"/>
    <mergeCell ref="R22:T23"/>
    <mergeCell ref="AY34:AY35"/>
    <mergeCell ref="AY36:AY37"/>
    <mergeCell ref="AA24:AD25"/>
    <mergeCell ref="AE24:AH25"/>
    <mergeCell ref="AA16:AD17"/>
    <mergeCell ref="AE16:AH17"/>
    <mergeCell ref="U16:V17"/>
    <mergeCell ref="U18:V19"/>
    <mergeCell ref="R16:T17"/>
    <mergeCell ref="R18:T19"/>
    <mergeCell ref="R20:T21"/>
    <mergeCell ref="U36:V37"/>
    <mergeCell ref="AA36:AD37"/>
    <mergeCell ref="AE36:AH37"/>
    <mergeCell ref="AI20:AJ21"/>
    <mergeCell ref="AY18:AY19"/>
    <mergeCell ref="AY20:AY21"/>
    <mergeCell ref="U20:V21"/>
    <mergeCell ref="AA20:AD21"/>
    <mergeCell ref="AK36:AL37"/>
    <mergeCell ref="AY26:AY27"/>
    <mergeCell ref="AI18:AJ19"/>
    <mergeCell ref="BO34:BO35"/>
    <mergeCell ref="BO36:BO37"/>
    <mergeCell ref="BO16:BO17"/>
    <mergeCell ref="BO18:BO19"/>
    <mergeCell ref="BO20:BO21"/>
    <mergeCell ref="BO22:BO23"/>
    <mergeCell ref="BO24:BO25"/>
    <mergeCell ref="BO26:BO27"/>
    <mergeCell ref="BO28:BO29"/>
    <mergeCell ref="BO30:BO31"/>
    <mergeCell ref="BO32:BO33"/>
    <mergeCell ref="A4:E6"/>
    <mergeCell ref="A7:E8"/>
    <mergeCell ref="W16:Z17"/>
    <mergeCell ref="W18:Z19"/>
    <mergeCell ref="W20:Z21"/>
    <mergeCell ref="W22:Z23"/>
    <mergeCell ref="W24:Z25"/>
    <mergeCell ref="W26:Z27"/>
    <mergeCell ref="W28:Z29"/>
    <mergeCell ref="E13:R13"/>
    <mergeCell ref="B20:B21"/>
    <mergeCell ref="B18:B19"/>
    <mergeCell ref="T14:W14"/>
    <mergeCell ref="X14:AA14"/>
    <mergeCell ref="C16:Q17"/>
    <mergeCell ref="C18:Q19"/>
    <mergeCell ref="C20:Q21"/>
    <mergeCell ref="C22:Q23"/>
    <mergeCell ref="T12:W13"/>
    <mergeCell ref="X12:AA13"/>
  </mergeCells>
  <conditionalFormatting sqref="U18:V37 AA18:AL37">
    <cfRule type="expression" dxfId="135" priority="6">
      <formula>AND(ISBLANK($C18)=FALSE,OR(ISBLANK(U18)=TRUE,U18=""))</formula>
    </cfRule>
  </conditionalFormatting>
  <conditionalFormatting sqref="AM18:AN37">
    <cfRule type="expression" dxfId="134" priority="1">
      <formula>AM18 &lt;&gt; INDEX(STDREFRIGINC, MATCH(C18, STDREFRIGLIST,0))</formula>
    </cfRule>
  </conditionalFormatting>
  <conditionalFormatting sqref="AR18:AU37">
    <cfRule type="expression" dxfId="133" priority="2" stopIfTrue="1">
      <formula>ISNUMBER($AR18)=FALSE</formula>
    </cfRule>
    <cfRule type="expression" dxfId="132" priority="4">
      <formula xml:space="preserve"> $AR18 &lt;&gt; $BG18</formula>
    </cfRule>
  </conditionalFormatting>
  <conditionalFormatting sqref="AS8:AW8">
    <cfRule type="expression" dxfId="131" priority="7">
      <formula>IF($AS$8=PROJSTATMEASURE,FALSE,TRUE)</formula>
    </cfRule>
  </conditionalFormatting>
  <dataValidations xWindow="781" yWindow="703" count="6">
    <dataValidation type="decimal" allowBlank="1" showInputMessage="1" showErrorMessage="1" prompt="This is the TOTAL Labor Cost of the measure, NOT a per unit basis." sqref="AK18:AL37" xr:uid="{C2C3F224-8A4A-4CE1-BA1A-9912953B55B4}">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U18:V37" xr:uid="{80311C17-D262-4C1E-8594-E3280B9C9571}">
      <formula1>0</formula1>
    </dataValidation>
    <dataValidation type="decimal" allowBlank="1" showInputMessage="1" showErrorMessage="1" prompt="This is the TOTAL Material Cost of the measure, NOT a per unit basis." sqref="AI18:AJ37" xr:uid="{C66C700F-290C-4D5B-A3B5-C6BD5D72E734}">
      <formula1>0</formula1>
      <formula2>999999</formula2>
    </dataValidation>
    <dataValidation type="list" allowBlank="1" showInputMessage="1" showErrorMessage="1" prompt="Select Efficient Measure. If you do not see your equipment listed, it may qualify as a Custom Measure." sqref="C18:Q37" xr:uid="{D10A2CCE-4433-4628-A14E-391A39568D50}">
      <formula1>STDREFRIGLIST</formula1>
    </dataValidation>
    <dataValidation allowBlank="1" showInputMessage="1" showErrorMessage="1" prompt="Install Location should describe the area where the equipment installed. (e.g. Room 201, Garage, Mechanical Room)" sqref="AE18:AH37" xr:uid="{40452BE0-9E9A-44C5-BBC7-E5BC13F4932C}"/>
    <dataValidation allowBlank="1" showInputMessage="1" showErrorMessage="1" prompt="Enter the Brand and Model # as it appears in technical documents and invoices." sqref="W18:AD37" xr:uid="{5A7BBA88-ABF2-41D5-9868-06154426AFCF}"/>
  </dataValidations>
  <hyperlinks>
    <hyperlink ref="N9:Q11" location="'M03-S03'!C18" tooltip="Lighting Controls" display="'M03-S03'!C18" xr:uid="{A83A3454-2CF3-4240-97B8-E530B3058E1E}"/>
    <hyperlink ref="R9:U11" location="'M03-S04'!C18" tooltip="Refrigeration" display="'M03-S04'!C18" xr:uid="{EBBCD44F-A1B8-4AD5-B2C1-42B6B9A56152}"/>
    <hyperlink ref="V9:Y11" location="'M03-S05'!C18" tooltip="HVAC" display="'M03-S05'!C18" xr:uid="{43EC95E8-8179-41F5-A5E4-880817B30E11}"/>
    <hyperlink ref="AD9:AG11" location="'M03-S06'!C18" tooltip="Compressed Air / Process" display="'M03-S06'!C18" xr:uid="{4031721B-A716-4D75-ABBE-46D4D0A40808}"/>
    <hyperlink ref="AH9:AK11" location="'M03-S07'!C18" tooltip="Water Heating / Cooking" display="'M03-S07'!C18" xr:uid="{AE4B0C0A-5542-484D-B4D8-0FED9BF43C35}"/>
    <hyperlink ref="Z9:AC11" location="'M03-S08'!C18" tooltip="Motors and Drives" display="'M03-S08'!C18" xr:uid="{CD48BD08-3053-400E-A9DD-D42823C806C2}"/>
    <hyperlink ref="AL9:AO11" location="'M04-S09'!C18" tooltip="Miscellaneous" display="'M04-S09'!C18" xr:uid="{E3D2C4D3-4486-42D3-9629-20C1B48D84FF}"/>
    <hyperlink ref="B202" r:id="rId1" xr:uid="{8BCA6320-AA80-4C6B-AD8B-5B013DCDF9B5}"/>
    <hyperlink ref="J1:M3" location="'M01-S02'!J1" tooltip="Instructions" display="'M01-S02'!J1" xr:uid="{8BA53C42-C96C-4E9B-B07A-475694D620FB}"/>
    <hyperlink ref="AP1:AS3" location="'M05-S05'!AL1" tooltip=" " display="'M05-S05'!AL1" xr:uid="{10A98F96-7D55-49D9-B95F-0FEF004351C0}"/>
    <hyperlink ref="AL1:AO3" location="'M05-S04'!AH1" tooltip=" " display="'M05-S04'!AH1" xr:uid="{B1CEBD9C-872E-490E-9E48-BB1F03C92CD3}"/>
    <hyperlink ref="AT1:AW3" location="'M01-S03'!AP1" tooltip="Contact" display="'M01-S03'!AP1" xr:uid="{AA8DF0D5-67C5-420E-9179-3CB7B0FB9A9C}"/>
  </hyperlinks>
  <printOptions horizontalCentered="1"/>
  <pageMargins left="0" right="0" top="0" bottom="0" header="0" footer="0"/>
  <pageSetup scale="4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0D234-6757-4803-AFCC-7787EE19B2F2}">
  <sheetPr codeName="Sheet22">
    <tabColor theme="8" tint="0.59999389629810485"/>
    <pageSetUpPr fitToPage="1"/>
  </sheetPr>
  <dimension ref="A1:BT204"/>
  <sheetViews>
    <sheetView showGridLines="0" showRowColHeaders="0" zoomScale="85" zoomScaleNormal="85" workbookViewId="0">
      <selection activeCell="C18" sqref="C18:I19"/>
    </sheetView>
  </sheetViews>
  <sheetFormatPr defaultColWidth="0" defaultRowHeight="15" zeroHeight="1"/>
  <cols>
    <col min="1" max="49" width="4.7109375" customWidth="1"/>
    <col min="50" max="50" width="9.5703125" hidden="1"/>
    <col min="51" max="51" width="15.7109375" hidden="1"/>
    <col min="52" max="58" width="9.5703125" hidden="1"/>
    <col min="59" max="61" width="12.7109375" hidden="1"/>
    <col min="62" max="64" width="9.5703125" hidden="1"/>
    <col min="65" max="65" width="10" hidden="1"/>
    <col min="66" max="66" width="6" hidden="1"/>
    <col min="67" max="67" width="7.85546875" hidden="1"/>
    <col min="68" max="68" width="9.7109375" hidden="1"/>
    <col min="69" max="70" width="13.7109375" hidden="1"/>
    <col min="71" max="71" width="9.7109375" hidden="1"/>
    <col min="72" max="72" width="14.7109375" hidden="1"/>
    <col min="73" max="16384" width="4.7109375" hidden="1"/>
  </cols>
  <sheetData>
    <row r="1" spans="1:72"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72"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72"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72" ht="15.95" customHeight="1">
      <c r="A4" s="666">
        <f>INCENTOTAL</f>
        <v>0</v>
      </c>
      <c r="B4" s="666"/>
      <c r="C4" s="666"/>
      <c r="D4" s="666"/>
      <c r="E4" s="666"/>
      <c r="F4" s="203"/>
      <c r="G4" s="203"/>
      <c r="H4" s="203"/>
      <c r="I4" s="203"/>
    </row>
    <row r="5" spans="1:72" ht="15.95" customHeight="1">
      <c r="A5" s="667"/>
      <c r="B5" s="667"/>
      <c r="C5" s="667"/>
      <c r="D5" s="667"/>
      <c r="E5" s="667"/>
      <c r="F5" s="428"/>
      <c r="G5" s="428"/>
      <c r="H5" s="428"/>
      <c r="I5" s="428"/>
      <c r="AS5" s="630">
        <f ca="1">PROGRESSSTATUS</f>
        <v>0</v>
      </c>
      <c r="AT5" s="630"/>
      <c r="AU5" s="630"/>
      <c r="AV5" s="630"/>
      <c r="AW5" s="630"/>
      <c r="AY5" s="22"/>
      <c r="AZ5" s="119" t="s">
        <v>1315</v>
      </c>
      <c r="BA5" s="119" t="s">
        <v>325</v>
      </c>
    </row>
    <row r="6" spans="1:72" ht="15.95" customHeight="1">
      <c r="A6" s="667"/>
      <c r="B6" s="667"/>
      <c r="C6" s="667"/>
      <c r="D6" s="667"/>
      <c r="E6" s="667"/>
      <c r="F6" s="428"/>
      <c r="G6" s="428"/>
      <c r="H6" s="428"/>
      <c r="I6" s="428"/>
      <c r="AS6" s="630"/>
      <c r="AT6" s="630"/>
      <c r="AU6" s="630"/>
      <c r="AV6" s="630"/>
      <c r="AW6" s="630"/>
      <c r="AY6" s="118" t="s">
        <v>1320</v>
      </c>
      <c r="AZ6" s="117" t="str">
        <f>CBPRESE</f>
        <v>NA</v>
      </c>
      <c r="BA6" s="117" t="str">
        <f>PAYPRESE</f>
        <v>NA</v>
      </c>
    </row>
    <row r="7" spans="1:72" ht="15.95" customHeight="1">
      <c r="A7" s="629" t="s">
        <v>83</v>
      </c>
      <c r="B7" s="629"/>
      <c r="C7" s="629"/>
      <c r="D7" s="629"/>
      <c r="E7" s="629"/>
      <c r="F7" s="85"/>
      <c r="G7" s="85"/>
      <c r="H7" s="85"/>
      <c r="I7" s="85"/>
      <c r="AS7" s="629" t="s">
        <v>299</v>
      </c>
      <c r="AT7" s="629"/>
      <c r="AU7" s="629"/>
      <c r="AV7" s="629"/>
      <c r="AW7" s="629"/>
      <c r="AY7" s="118" t="s">
        <v>135</v>
      </c>
      <c r="AZ7" s="117" t="str">
        <f>CBCUSE</f>
        <v>NA</v>
      </c>
      <c r="BA7" s="117" t="str">
        <f>PAYCUSE</f>
        <v>NA</v>
      </c>
    </row>
    <row r="8" spans="1:72" ht="15.95" customHeight="1" thickBot="1">
      <c r="A8" s="632"/>
      <c r="B8" s="632"/>
      <c r="C8" s="632"/>
      <c r="D8" s="632"/>
      <c r="E8" s="632"/>
      <c r="F8" s="429"/>
      <c r="G8" s="429"/>
      <c r="H8" s="429"/>
      <c r="I8" s="85"/>
      <c r="AS8" s="628" t="str">
        <f ca="1">PROJSTATUS</f>
        <v>Enter Measures</v>
      </c>
      <c r="AT8" s="628"/>
      <c r="AU8" s="628"/>
      <c r="AV8" s="628"/>
      <c r="AW8" s="628"/>
      <c r="AY8" s="118" t="s">
        <v>596</v>
      </c>
      <c r="AZ8" s="117" t="str">
        <f>CBALL</f>
        <v>NA</v>
      </c>
      <c r="BA8" s="117" t="str">
        <f>PAYALL</f>
        <v>NA</v>
      </c>
    </row>
    <row r="9" spans="1:72" s="88" customFormat="1" ht="15.95" customHeight="1">
      <c r="B9" s="110"/>
      <c r="C9" s="110"/>
      <c r="D9" s="110"/>
      <c r="E9" s="110"/>
      <c r="F9" s="110"/>
      <c r="G9" s="110"/>
      <c r="H9" s="111"/>
      <c r="I9" s="111"/>
      <c r="J9" s="927"/>
      <c r="K9" s="928"/>
      <c r="L9" s="928"/>
      <c r="M9" s="928"/>
      <c r="N9" s="815" t="str">
        <f>M3S3</f>
        <v>Lighting Controls</v>
      </c>
      <c r="O9" s="816"/>
      <c r="P9" s="816"/>
      <c r="Q9" s="816"/>
      <c r="R9" s="815" t="str">
        <f>M3S4</f>
        <v>Refrigeration</v>
      </c>
      <c r="S9" s="816"/>
      <c r="T9" s="816"/>
      <c r="U9" s="816"/>
      <c r="V9" s="818" t="str">
        <f>M3S5</f>
        <v>HVAC</v>
      </c>
      <c r="W9" s="818"/>
      <c r="X9" s="818"/>
      <c r="Y9" s="818"/>
      <c r="Z9" s="815" t="str">
        <f>M4S8</f>
        <v>Motors and Drives</v>
      </c>
      <c r="AA9" s="816"/>
      <c r="AB9" s="816"/>
      <c r="AC9" s="816"/>
      <c r="AD9" s="815" t="str">
        <f>M3S6</f>
        <v>Compressed Air / Process</v>
      </c>
      <c r="AE9" s="816"/>
      <c r="AF9" s="816"/>
      <c r="AG9" s="816"/>
      <c r="AH9" s="815" t="str">
        <f>M3S7</f>
        <v>Water Heating / Food Services</v>
      </c>
      <c r="AI9" s="816"/>
      <c r="AJ9" s="816"/>
      <c r="AK9" s="816"/>
      <c r="AL9" s="815" t="str">
        <f>M4S9</f>
        <v>Miscellaneous</v>
      </c>
      <c r="AM9" s="816"/>
      <c r="AN9" s="816"/>
      <c r="AO9" s="816"/>
      <c r="AP9" s="110"/>
      <c r="AQ9" s="110"/>
      <c r="AR9" s="110"/>
      <c r="AS9" s="112"/>
      <c r="AU9" s="110"/>
      <c r="AV9" s="110"/>
    </row>
    <row r="10" spans="1:72" s="88" customFormat="1" ht="15.95" customHeight="1">
      <c r="B10" s="89"/>
      <c r="C10" s="89"/>
      <c r="D10" s="89"/>
      <c r="E10" s="89"/>
      <c r="F10" s="89"/>
      <c r="G10" s="89"/>
      <c r="J10" s="878"/>
      <c r="K10" s="878"/>
      <c r="L10" s="878"/>
      <c r="M10" s="878"/>
      <c r="N10" s="817"/>
      <c r="O10" s="817"/>
      <c r="P10" s="817"/>
      <c r="Q10" s="817"/>
      <c r="R10" s="817"/>
      <c r="S10" s="817"/>
      <c r="T10" s="817"/>
      <c r="U10" s="817"/>
      <c r="V10" s="819"/>
      <c r="W10" s="819"/>
      <c r="X10" s="819"/>
      <c r="Y10" s="819"/>
      <c r="Z10" s="817"/>
      <c r="AA10" s="817"/>
      <c r="AB10" s="817"/>
      <c r="AC10" s="817"/>
      <c r="AD10" s="817"/>
      <c r="AE10" s="817"/>
      <c r="AF10" s="817"/>
      <c r="AG10" s="817"/>
      <c r="AH10" s="817"/>
      <c r="AI10" s="817"/>
      <c r="AJ10" s="817"/>
      <c r="AK10" s="817"/>
      <c r="AL10" s="817"/>
      <c r="AM10" s="817"/>
      <c r="AN10" s="817"/>
      <c r="AO10" s="817"/>
      <c r="AP10" s="89"/>
      <c r="AQ10" s="89"/>
      <c r="AR10" s="89"/>
      <c r="AS10"/>
      <c r="AU10" s="89"/>
      <c r="AV10" s="89"/>
    </row>
    <row r="11" spans="1:72" ht="15.95" customHeight="1">
      <c r="B11" s="106"/>
      <c r="C11" s="106"/>
      <c r="D11" s="106"/>
      <c r="E11" s="106"/>
      <c r="F11" s="106"/>
      <c r="G11" s="106"/>
      <c r="J11" s="878"/>
      <c r="K11" s="878"/>
      <c r="L11" s="878"/>
      <c r="M11" s="878"/>
      <c r="N11" s="817"/>
      <c r="O11" s="817"/>
      <c r="P11" s="817"/>
      <c r="Q11" s="817"/>
      <c r="R11" s="817"/>
      <c r="S11" s="817"/>
      <c r="T11" s="817"/>
      <c r="U11" s="817"/>
      <c r="V11" s="819"/>
      <c r="W11" s="819"/>
      <c r="X11" s="819"/>
      <c r="Y11" s="819"/>
      <c r="Z11" s="817"/>
      <c r="AA11" s="817"/>
      <c r="AB11" s="817"/>
      <c r="AC11" s="817"/>
      <c r="AD11" s="817"/>
      <c r="AE11" s="817"/>
      <c r="AF11" s="817"/>
      <c r="AG11" s="817"/>
      <c r="AH11" s="817"/>
      <c r="AI11" s="817"/>
      <c r="AJ11" s="817"/>
      <c r="AK11" s="817"/>
      <c r="AL11" s="817"/>
      <c r="AM11" s="817"/>
      <c r="AN11" s="817"/>
      <c r="AO11" s="817"/>
      <c r="AP11" s="106"/>
      <c r="AQ11" s="106"/>
      <c r="AR11" s="106"/>
      <c r="AU11" s="106"/>
      <c r="AV11" s="106"/>
    </row>
    <row r="12" spans="1:72" ht="15.95" customHeight="1">
      <c r="A12" s="86"/>
      <c r="B12" s="86"/>
      <c r="C12" s="86"/>
      <c r="D12" s="86"/>
      <c r="E12" s="86"/>
      <c r="F12" s="86"/>
      <c r="G12" s="86"/>
      <c r="T12" s="821">
        <f>SUM(AR18:AU199)</f>
        <v>0</v>
      </c>
      <c r="U12" s="821"/>
      <c r="V12" s="821"/>
      <c r="W12" s="821"/>
      <c r="X12" s="821">
        <f>SUM(AX18:AX199)</f>
        <v>0</v>
      </c>
      <c r="Y12" s="821"/>
      <c r="Z12" s="821"/>
      <c r="AA12" s="821"/>
      <c r="AB12" s="820">
        <f ca="1">SUMIF(AR18:AU199,"&gt;0",AO18:AQ199)</f>
        <v>0</v>
      </c>
      <c r="AC12" s="820"/>
      <c r="AD12" s="820"/>
      <c r="AE12" s="820"/>
      <c r="AT12" s="377"/>
    </row>
    <row r="13" spans="1:72" ht="15.95" customHeight="1">
      <c r="A13" s="86"/>
      <c r="B13" s="86"/>
      <c r="C13" s="86"/>
      <c r="D13" s="86"/>
      <c r="E13" s="758" t="s">
        <v>1844</v>
      </c>
      <c r="F13" s="758"/>
      <c r="G13" s="758"/>
      <c r="H13" s="758"/>
      <c r="I13" s="758"/>
      <c r="J13" s="758"/>
      <c r="K13" s="758"/>
      <c r="L13" s="758"/>
      <c r="M13" s="758"/>
      <c r="N13" s="758"/>
      <c r="O13" s="758"/>
      <c r="P13" s="758"/>
      <c r="Q13" s="758"/>
      <c r="R13" s="758"/>
      <c r="T13" s="821"/>
      <c r="U13" s="821"/>
      <c r="V13" s="821"/>
      <c r="W13" s="821"/>
      <c r="X13" s="821"/>
      <c r="Y13" s="821"/>
      <c r="Z13" s="821"/>
      <c r="AA13" s="821"/>
      <c r="AB13" s="820"/>
      <c r="AC13" s="820"/>
      <c r="AD13" s="820"/>
      <c r="AE13" s="820"/>
      <c r="AM13" s="840" t="str">
        <f>IF(IFERROR(MATCH("100% Total Cost", BI:BI, 0), FALSE), "The incentive for one or more measures is capped due to measure cost.", "")</f>
        <v/>
      </c>
      <c r="AN13" s="840"/>
      <c r="AO13" s="840"/>
      <c r="AP13" s="840"/>
      <c r="AQ13" s="840"/>
      <c r="AR13" s="840"/>
      <c r="AS13" s="840"/>
      <c r="AT13" s="840"/>
      <c r="AU13" s="840"/>
    </row>
    <row r="14" spans="1:72" ht="15.95" customHeight="1">
      <c r="T14" s="758" t="s">
        <v>1717</v>
      </c>
      <c r="U14" s="758"/>
      <c r="V14" s="758"/>
      <c r="W14" s="758"/>
      <c r="X14" s="758" t="s">
        <v>67</v>
      </c>
      <c r="Y14" s="758"/>
      <c r="Z14" s="758"/>
      <c r="AA14" s="758"/>
      <c r="AB14" s="758" t="s">
        <v>1161</v>
      </c>
      <c r="AC14" s="758"/>
      <c r="AD14" s="758"/>
      <c r="AE14" s="758"/>
      <c r="AM14" s="840"/>
      <c r="AN14" s="840"/>
      <c r="AO14" s="840"/>
      <c r="AP14" s="840"/>
      <c r="AQ14" s="840"/>
      <c r="AR14" s="840"/>
      <c r="AS14" s="840"/>
      <c r="AT14" s="840"/>
      <c r="AU14" s="840"/>
    </row>
    <row r="15" spans="1:72" ht="15.95" customHeight="1"/>
    <row r="16" spans="1:72" ht="15.95" customHeight="1">
      <c r="C16" s="723" t="s">
        <v>1743</v>
      </c>
      <c r="D16" s="723"/>
      <c r="E16" s="723"/>
      <c r="F16" s="723"/>
      <c r="G16" s="723"/>
      <c r="H16" s="723"/>
      <c r="I16" s="723"/>
      <c r="J16" s="933" t="s">
        <v>2931</v>
      </c>
      <c r="K16" s="933"/>
      <c r="L16" s="933"/>
      <c r="M16" s="933"/>
      <c r="N16" s="933"/>
      <c r="O16" s="933"/>
      <c r="P16" s="933" t="s">
        <v>2932</v>
      </c>
      <c r="Q16" s="933"/>
      <c r="R16" s="933"/>
      <c r="S16" s="933"/>
      <c r="T16" s="933"/>
      <c r="U16" s="933"/>
      <c r="V16" s="723" t="s">
        <v>2911</v>
      </c>
      <c r="W16" s="723"/>
      <c r="X16" s="723" t="s">
        <v>2912</v>
      </c>
      <c r="Y16" s="723"/>
      <c r="Z16" s="723"/>
      <c r="AA16" s="752" t="s">
        <v>2913</v>
      </c>
      <c r="AB16" s="752"/>
      <c r="AC16" s="752"/>
      <c r="AD16" s="752"/>
      <c r="AE16" s="814" t="s">
        <v>1243</v>
      </c>
      <c r="AF16" s="814"/>
      <c r="AG16" s="814"/>
      <c r="AH16" s="814"/>
      <c r="AI16" s="723" t="s">
        <v>1744</v>
      </c>
      <c r="AJ16" s="723"/>
      <c r="AK16" s="723"/>
      <c r="AL16" s="723"/>
      <c r="AM16" s="723" t="s">
        <v>1718</v>
      </c>
      <c r="AN16" s="723"/>
      <c r="AO16" s="723" t="s">
        <v>1108</v>
      </c>
      <c r="AP16" s="723"/>
      <c r="AQ16" s="723"/>
      <c r="AR16" s="723" t="s">
        <v>83</v>
      </c>
      <c r="AS16" s="723"/>
      <c r="AT16" s="723"/>
      <c r="AU16" s="723"/>
      <c r="AX16" s="752" t="s">
        <v>1257</v>
      </c>
      <c r="AY16" s="752" t="s">
        <v>1116</v>
      </c>
      <c r="AZ16" s="759" t="s">
        <v>1253</v>
      </c>
      <c r="BA16" s="759"/>
      <c r="BB16" s="752" t="s">
        <v>1255</v>
      </c>
      <c r="BC16" s="752" t="s">
        <v>1256</v>
      </c>
      <c r="BD16" s="752" t="s">
        <v>1305</v>
      </c>
      <c r="BE16" s="759" t="s">
        <v>1254</v>
      </c>
      <c r="BF16" s="759"/>
      <c r="BG16" s="752" t="s">
        <v>2774</v>
      </c>
      <c r="BH16" s="752" t="s">
        <v>85</v>
      </c>
      <c r="BI16" s="752" t="s">
        <v>1306</v>
      </c>
      <c r="BJ16" s="752" t="s">
        <v>309</v>
      </c>
      <c r="BK16" s="736" t="s">
        <v>88</v>
      </c>
      <c r="BL16" s="736" t="s">
        <v>2130</v>
      </c>
      <c r="BM16" s="736" t="s">
        <v>2478</v>
      </c>
      <c r="BN16" s="736" t="s">
        <v>2479</v>
      </c>
      <c r="BO16" s="752" t="s">
        <v>2480</v>
      </c>
      <c r="BP16" s="752" t="s">
        <v>2586</v>
      </c>
      <c r="BQ16" s="736" t="s">
        <v>2270</v>
      </c>
      <c r="BR16" s="736" t="s">
        <v>1303</v>
      </c>
      <c r="BS16" s="736" t="s">
        <v>2401</v>
      </c>
      <c r="BT16" s="752" t="s">
        <v>2917</v>
      </c>
    </row>
    <row r="17" spans="1:72" ht="15.95" customHeight="1" thickBot="1">
      <c r="C17" s="724"/>
      <c r="D17" s="724"/>
      <c r="E17" s="724"/>
      <c r="F17" s="724"/>
      <c r="G17" s="724"/>
      <c r="H17" s="724"/>
      <c r="I17" s="724"/>
      <c r="J17" s="922" t="s">
        <v>1748</v>
      </c>
      <c r="K17" s="922"/>
      <c r="L17" s="922" t="s">
        <v>1301</v>
      </c>
      <c r="M17" s="922"/>
      <c r="N17" s="923" t="s">
        <v>1747</v>
      </c>
      <c r="O17" s="923"/>
      <c r="P17" s="922" t="s">
        <v>1748</v>
      </c>
      <c r="Q17" s="922"/>
      <c r="R17" s="922" t="s">
        <v>1301</v>
      </c>
      <c r="S17" s="922"/>
      <c r="T17" s="923" t="s">
        <v>1747</v>
      </c>
      <c r="U17" s="923"/>
      <c r="V17" s="724"/>
      <c r="W17" s="724"/>
      <c r="X17" s="724"/>
      <c r="Y17" s="724"/>
      <c r="Z17" s="724"/>
      <c r="AA17" s="753"/>
      <c r="AB17" s="753"/>
      <c r="AC17" s="753"/>
      <c r="AD17" s="753"/>
      <c r="AE17" s="724" t="s">
        <v>1241</v>
      </c>
      <c r="AF17" s="724"/>
      <c r="AG17" s="724" t="s">
        <v>1242</v>
      </c>
      <c r="AH17" s="724"/>
      <c r="AI17" s="724"/>
      <c r="AJ17" s="724"/>
      <c r="AK17" s="724"/>
      <c r="AL17" s="724"/>
      <c r="AM17" s="724"/>
      <c r="AN17" s="724"/>
      <c r="AO17" s="724"/>
      <c r="AP17" s="724"/>
      <c r="AQ17" s="724"/>
      <c r="AR17" s="724"/>
      <c r="AS17" s="724"/>
      <c r="AT17" s="724"/>
      <c r="AU17" s="724"/>
      <c r="AX17" s="753"/>
      <c r="AY17" s="753"/>
      <c r="AZ17" s="107" t="s">
        <v>1251</v>
      </c>
      <c r="BA17" s="107" t="s">
        <v>1252</v>
      </c>
      <c r="BB17" s="753"/>
      <c r="BC17" s="753" t="s">
        <v>1256</v>
      </c>
      <c r="BD17" s="753"/>
      <c r="BE17" s="515" t="s">
        <v>1251</v>
      </c>
      <c r="BF17" s="515" t="s">
        <v>1465</v>
      </c>
      <c r="BG17" s="753"/>
      <c r="BH17" s="753"/>
      <c r="BI17" s="753"/>
      <c r="BJ17" s="753"/>
      <c r="BK17" s="737"/>
      <c r="BL17" s="737"/>
      <c r="BM17" s="737"/>
      <c r="BN17" s="737"/>
      <c r="BO17" s="753"/>
      <c r="BP17" s="753"/>
      <c r="BQ17" s="737"/>
      <c r="BR17" s="737"/>
      <c r="BS17" s="737"/>
      <c r="BT17" s="753"/>
    </row>
    <row r="18" spans="1:72" ht="15.95" customHeight="1">
      <c r="B18" s="806">
        <v>1</v>
      </c>
      <c r="C18" s="719"/>
      <c r="D18" s="720"/>
      <c r="E18" s="720"/>
      <c r="F18" s="720"/>
      <c r="G18" s="720"/>
      <c r="H18" s="720"/>
      <c r="I18" s="720"/>
      <c r="J18" s="894" t="str">
        <f>IF(C18="","",INDEX(STDHVAC[Eff Unit 1],MATCH(C18,STDHVAC[Measure Name],0)))</f>
        <v/>
      </c>
      <c r="K18" s="895"/>
      <c r="L18" s="898" t="str">
        <f>IF(C18="","",INDEX(STDHVAC[Base Efficiency 1],MATCH(C18,STDHVAC[Measure Name],0)))</f>
        <v/>
      </c>
      <c r="M18" s="899"/>
      <c r="N18" s="900"/>
      <c r="O18" s="901"/>
      <c r="P18" s="894" t="str">
        <f>IF(C18="","",INDEX(STDHVAC[Eff Unit 2],MATCH(C18,STDHVAC[Measure Name],0)))</f>
        <v/>
      </c>
      <c r="Q18" s="895"/>
      <c r="R18" s="898" t="str">
        <f>IF(C18="","",INDEX(STDHVAC[Base Efficiency 2],MATCH(C18,STDHVAC[Measure Name],0)))</f>
        <v/>
      </c>
      <c r="S18" s="899"/>
      <c r="T18" s="906" t="str">
        <f t="shared" ref="T18" si="0">IF(AND(ISNUMBER(SEARCH("DX",C18)),ISNUMBER(SEARCH("&lt;65 kbtu",C18)),N18&lt;&gt;""),1.12*N18-0.02*N18^2,IF(AND(ISNUMBER(SEARCH("PTAC",C18)),N18&lt;&gt;""),1,""))</f>
        <v/>
      </c>
      <c r="U18" s="907"/>
      <c r="V18" s="924"/>
      <c r="W18" s="925"/>
      <c r="X18" s="719"/>
      <c r="Y18" s="720"/>
      <c r="Z18" s="721"/>
      <c r="AA18" s="936"/>
      <c r="AB18" s="937"/>
      <c r="AC18" s="937"/>
      <c r="AD18" s="938"/>
      <c r="AE18" s="786"/>
      <c r="AF18" s="787"/>
      <c r="AG18" s="787"/>
      <c r="AH18" s="788"/>
      <c r="AI18" s="934" t="str">
        <f>IF(C18="","",INDEX(STDHVAC[Current Unit],MATCH(C18,STDHVAC[Measure Name],0)))</f>
        <v/>
      </c>
      <c r="AJ18" s="934"/>
      <c r="AK18" s="934"/>
      <c r="AL18" s="935"/>
      <c r="AM18" s="823" t="str">
        <f>IFERROR(IF(C18="","",INDEX(IF(AND(ACTIVEBONUS = TRUE,INDEX(STDHVAC[Bonus Incentive],MATCH(C18,STDHVAC[Measure Name],0))&lt;&gt; ""),STDHVAC[Bonus Incentive],STDHVAC[Base Incentive]),MATCH(C18,STDHVAC[Measure Name],0))),"")</f>
        <v/>
      </c>
      <c r="AN18" s="823"/>
      <c r="AO18" s="797" t="str">
        <f>IFERROR(IF(OR(C18="",N18="",V18="",AA18="",T18="",AE18="",AG18="",X18=""),"",IF(BQ18="Deemed",AZ18,IF(BQ18="Calculated",BE18,""))),"")</f>
        <v/>
      </c>
      <c r="AP18" s="797"/>
      <c r="AQ18" s="797"/>
      <c r="AR18" s="826" t="str">
        <f>IFERROR(IF(OR(C18="",N18="",V18="",AA18="",T18="",AE18="",AG18="",X18=""),"",IF(BJ18&lt;&gt;"",BJ18,IF(BS18&gt;0,BS18,ROUND(IF(AO18&lt;=0,0,MIN(AX18,BG18)), 2)))), "")</f>
        <v/>
      </c>
      <c r="AS18" s="826"/>
      <c r="AT18" s="826"/>
      <c r="AU18" s="826"/>
      <c r="AV18" s="22"/>
      <c r="AX18" s="873" t="str">
        <f>IF(OR(C18="",N18="",V18="",AA18="",T18="",AE18="",AG18="",X18=""),"",IF(AO18=0,"",ROUND(AE18+AG18,2)))</f>
        <v/>
      </c>
      <c r="AY18" s="916" t="str">
        <f>IFERROR(IF(OR(C18="",N18="",V18="",AA18="",T18="",AE18="",AG18="",X18=""),"",INDEX(STDHVAC[Current Unit],MATCH(C18,STDHVAC[Measure Name],0))),"Err")</f>
        <v/>
      </c>
      <c r="AZ18" s="746" t="str">
        <f>IF(
OR(C18="",N18="",V18="",AA18="",T18="",AE18="",AG18="",X18=""),"",
IF(OR(ISNUMBER(SEARCH("PTAC",C18)),ISNUMBER(SEARCH("PTHP",C18))),
ROUND(V18*INDEX(STDHVAC[Electric Energy Savings (Annual kWh/unit)],MATCH(C18,STDHVAC[Measure Name],0)),4),
ROUND(V18*ABS(N18-L18)*INDEX(STDHVAC[Electric Energy Savings (Annual kWh/unit)],MATCH(C18,STDHVAC[Measure Name],0)),4)
))</f>
        <v/>
      </c>
      <c r="BA18" s="746" t="str">
        <f>IF(
OR(C18="",N18="",V18="",AA18="",T18="",AE18="",AG18="",X18=""),"",
IF(OR(ISNUMBER(SEARCH("PTAC",C18)),ISNUMBER(SEARCH("PTHP",C18))),
ROUND(V18*INDEX(STDHVAC[Coincident Peak Demand Savings (kW/unit)],MATCH(C18,STDHVAC[Measure Name],0)),4),
ROUND(V18* ABS(N18-L18)*INDEX(STDHVAC[Coincident Peak Demand Savings (kW/unit)],MATCH(C18,STDHVAC[Measure Name],0)),4)
))</f>
        <v/>
      </c>
      <c r="BB18" s="926"/>
      <c r="BC18" s="926"/>
      <c r="BD18" s="886" t="str">
        <f>IFERROR(IF(OR(C18="",N18="",V18="",AA18="",T18="",AE18="",AG18="",X18=""),"",INDEX(STDHVAC[End Use],MATCH(C18,STDHVAC[Measure Name],0))),"Err")</f>
        <v/>
      </c>
      <c r="BE18" s="888" t="str">
        <f>IF(C18&lt;&gt;"", _xlfn.LET(
_xlpm.Tons_Cool, V18, _xlpm.PLC_Base, L18, _xlpm.PLC_Eff, N18, _xlpm.Tons_Heat, BP18, _xlpm.Other_Base, R18, _xlpm.Other_Eff, T18,
_xlpm.EFLH_Cool,
INDEX(STDHVAC[EFLHcool],MATCH(C18,STDHVAC[Measure Name],0)),
_xlpm.EFLH_Heat,
INDEX(STDHVAC[EFLHheat],MATCH(C18,STDHVAC[Measure Name],0)),
_xlpm.ElecHeat,
INDEX(SPACEHEAT[ELECHEAT],MATCH(M02S04F22,SPACEHEAT[Space Conditioning],0)),
_xlpm.kWhCool,
ROUND(
IF(OR(ISNUMBER(SEARCH("DX", C18)),ISNUMBER(SEARCH("ASHP", C18)), ISNUMBER(SEARCH("PTAC", C18)), ISNUMBER(SEARCH("PTHP", C18)), ISNUMBER(SEARCH("Air-Cooled Chiller", C18)), ISNUMBER(SEARCH("VRF", C18))),
_xlpm.Tons_Cool * (12/_xlpm.PLC_Base - 12/_xlpm.PLC_Eff)*_xlpm.EFLH_Cool,
IF(ISNUMBER(SEARCH("Water", C18)),
_xlpm.Tons_Cool * (_xlpm.PLC_Base - _xlpm.PLC_Eff) * _xlpm.EFLH_Cool,
" "
)),4),
_xlpm.kWhHeat,
IF(
_xlpm.ElecHeat=1,
ROUND(
IF(OR(ISNUMBER(SEARCH("DX", C18)),ISNUMBER(SEARCH("PTAC", C18)), ISNUMBER(SEARCH("Air-Cooled Chiller", C18)), ISNUMBER(SEARCH("Water", C18)),
ISNUMBER(SEARCH("VRF", C18))),
0,
IF(
OR(ISNUMBER(SEARCH("ASHP", C18)), ISNUMBER(SEARCH("PTHP", C18))),
_xlpm.Tons_Heat * (1/_xlpm.Other_Base - 1/_xlpm.Other_Eff) * _xlpm.EFLH_Heat,
" "
)),4),
0
),
_xlpm.kWhCool + _xlpm.kWhHeat
), "")</f>
        <v/>
      </c>
      <c r="BF18" s="888" t="str">
        <f>IF(C18&lt;&gt;"", _xlfn.LET(
_xlpm.Tons, V18, _xlpm.PCF, 0.913,
IF(AND(ISNUMBER(SEARCH("DX",C18)),ISNUMBER(SEARCH("&lt;65 kbtu",C18))),
_xlpm.Tons * (12/11.42-12/MAX(11.42,T18))*_xlpm.PCF,
IF(OR(ISNUMBER(SEARCH("DX", C18)), ISNUMBER(SEARCH("Air-Cooled Chiller", C18)), ISNUMBER(SEARCH("VRF", C18))),
_xlpm.Tons * (12/R18 - 12/T18) * _xlpm.PCF,
IF(ISNUMBER(SEARCH("Water", C18)),
_xlpm.Tons * (R18-T18) * _xlpm.PCF,
IF(ISNUMBER(SEARCH("ASHP", C18)),
_xlpm.Tons * (12/BN18 - 12/BO18) * _xlpm.PCF,
IF(OR(ISNUMBER(SEARCH("PTAC", C18)), ISNUMBER(SEARCH("PTHP", C18))),
_xlpm.Tons * (12/L18 - 12/N18) * _xlpm.PCF,#REF!)))))), "")</f>
        <v/>
      </c>
      <c r="BG18" s="838" t="str">
        <f t="shared" ref="BG18:BG80" si="1">IFERROR(IF(AI18="per ton", ROUND(V18*AM18, 2),
IF(AND(ISNUMBER(SEARCH("Air-Cooled Chiller",C18)),AI18="$/ton/IPLV"), ROUND((12/L18-12/N18)*V18*AM18, 2),
ROUND(ABS(N18-L18)*V18*AM18, 2))), "")</f>
        <v/>
      </c>
      <c r="BH18" s="882" t="str">
        <f>IFERROR(IF(OR(C18="",N18="",V18="",AA18="",T18="",AE18="",AG18="",ISNUMBER(AR18)=FALSE,AR18=0),"",INDEX(STDHVAC[Measure Number],MATCH(C18,STDHVAC[Measure Name],0))),"Err")</f>
        <v/>
      </c>
      <c r="BI18" s="754" t="str">
        <f t="shared" ref="BI18" si="2">IFERROR(IF(BS18="",IF(AR18 &lt; BG18, "100% Total Cost", ""), ""), "")</f>
        <v/>
      </c>
      <c r="BJ18" s="882" t="str">
        <f>IFERROR(
IF(OR(C18="",N18="",T18="",V18="",AA18="",AE18="",AG18=""),
"",
IF(BS18&gt;0,"",IF(OR(AND(ISNUMBER(SEARCH("kW/ton", J18)),OR(L18&lt;=N18,R18&lt;T18)),AND(NOT(ISNUMBER(SEARCH("kW/ton", J18))),OR(L18&gt;=N18,R18&gt;T18))),
"Must Improve Efficiency",
IF(EXPIRATION&lt;&gt;"",PROJSTATEXP,"")))),
"")</f>
        <v/>
      </c>
      <c r="BK18" s="828" t="str">
        <f>IFERROR(INDEX(STDHVAC[Measure Life (Years)],MATCH(C18,STDHVAC[Measure Name],0)),"")</f>
        <v/>
      </c>
      <c r="BL18" s="884" t="str">
        <f>IFERROR(IF(OR(C18="",N18="",V18="",AA18="",T18="",AE18="",AG18=""),"",
ROUND(((1+ELOSS)*((AZ18*INDEX(ELECCB[NPV AEC $/kWh],MATCH(BK18,ELECCB[Year Number],1)))+(BA18*INDEX(ELECCB[NPV ACC $/kW],MATCH(BK18,ELECCB[Year Number],1))))),2)),0)</f>
        <v/>
      </c>
      <c r="BM18" s="918" t="str">
        <f>IFERROR(IF(INDEX(STDHVAC[Eff Unit 3],MATCH(C18,STDHVAC[Measure Name],0))="","",INDEX(STDHVAC[Eff Unit 3],MATCH(C18,STDHVAC[Measure Name],0))),"")</f>
        <v/>
      </c>
      <c r="BN18" s="880" t="str">
        <f>IFERROR(IF(INDEX(STDHVAC[Base Efficiency 3],MATCH(C18,STDHVAC[Measure Name],0))="","",INDEX(STDHVAC[Base Efficiency 3],MATCH(C18,STDHVAC[Measure Name],0))),"")</f>
        <v/>
      </c>
      <c r="BO18" s="889" t="str">
        <f t="shared" ref="BO18:BO80" si="3">IFERROR(IF(ISNUMBER(SEARCH("Air-Cooled Chiller",$C18)),12/N18,""),"")</f>
        <v/>
      </c>
      <c r="BP18" s="920"/>
      <c r="BQ18" s="891" t="str">
        <f>IFERROR(IF(OR(C18="",N18="",V18="",AA18="",T18="",AE18="",AG18=""),"",INDEX(STDHVAC[Reporting Methodology],MATCH(C18,STDHVAC[Measure Name],0))),"Err")</f>
        <v/>
      </c>
      <c r="BR18" s="867" t="str">
        <f>IFERROR(IF(OR(C18="", V18=""),"",INDEX(STDHVAC[Incremental Measure Cost ($/Unit)],MATCH(C18,STDHVAC[Measure Name],0)) * V18),"Err")</f>
        <v/>
      </c>
      <c r="BS18" s="837"/>
      <c r="BT18" s="838" t="str">
        <f>_xlfn.LET(
_xlpm.IPU,
IFERROR(IF(C18="","",INDEX(STDHVAC[Base Incentive],MATCH(C18,STDHVAC[Measure Name],0))),""),
IFERROR(IF(AI18="$/ton", ROUND(V18*_xlpm.IPU, 2),
IF(AND(ISNUMBER(SEARCH("Air-Cooled Chiller",C18)),AI18="$/ton/IPLV"), ROUND((12/L18-12/N18)*V18*_xlpm.IPU, 2),
ROUND(ABS(N18-L18)*V18*_xlpm.IPU, 2))), ""))</f>
        <v/>
      </c>
    </row>
    <row r="19" spans="1:72" ht="15.95" customHeight="1">
      <c r="B19" s="806"/>
      <c r="C19" s="716"/>
      <c r="D19" s="717"/>
      <c r="E19" s="717"/>
      <c r="F19" s="717"/>
      <c r="G19" s="717"/>
      <c r="H19" s="717"/>
      <c r="I19" s="717"/>
      <c r="J19" s="902"/>
      <c r="K19" s="903"/>
      <c r="L19" s="904"/>
      <c r="M19" s="905"/>
      <c r="N19" s="900"/>
      <c r="O19" s="901"/>
      <c r="P19" s="902"/>
      <c r="Q19" s="903"/>
      <c r="R19" s="904"/>
      <c r="S19" s="905"/>
      <c r="T19" s="908"/>
      <c r="U19" s="909"/>
      <c r="V19" s="910"/>
      <c r="W19" s="911"/>
      <c r="X19" s="716"/>
      <c r="Y19" s="717"/>
      <c r="Z19" s="718"/>
      <c r="AA19" s="932"/>
      <c r="AB19" s="930"/>
      <c r="AC19" s="930"/>
      <c r="AD19" s="931"/>
      <c r="AE19" s="765"/>
      <c r="AF19" s="766"/>
      <c r="AG19" s="766"/>
      <c r="AH19" s="767"/>
      <c r="AI19" s="912"/>
      <c r="AJ19" s="912"/>
      <c r="AK19" s="912"/>
      <c r="AL19" s="913"/>
      <c r="AM19" s="825"/>
      <c r="AN19" s="825"/>
      <c r="AO19" s="798"/>
      <c r="AP19" s="798"/>
      <c r="AQ19" s="798"/>
      <c r="AR19" s="827"/>
      <c r="AS19" s="827"/>
      <c r="AT19" s="827"/>
      <c r="AU19" s="827"/>
      <c r="AV19" s="22"/>
      <c r="AX19" s="874"/>
      <c r="AY19" s="917"/>
      <c r="AZ19" s="747"/>
      <c r="BA19" s="747"/>
      <c r="BB19" s="871"/>
      <c r="BC19" s="871"/>
      <c r="BD19" s="887"/>
      <c r="BE19" s="762"/>
      <c r="BF19" s="762"/>
      <c r="BG19" s="839"/>
      <c r="BH19" s="883"/>
      <c r="BI19" s="755"/>
      <c r="BJ19" s="883"/>
      <c r="BK19" s="829"/>
      <c r="BL19" s="885"/>
      <c r="BM19" s="919"/>
      <c r="BN19" s="881"/>
      <c r="BO19" s="890"/>
      <c r="BP19" s="921"/>
      <c r="BQ19" s="891"/>
      <c r="BR19" s="867"/>
      <c r="BS19" s="837"/>
      <c r="BT19" s="839"/>
    </row>
    <row r="20" spans="1:72" ht="15.95" customHeight="1">
      <c r="A20" s="85"/>
      <c r="B20" s="806">
        <v>2</v>
      </c>
      <c r="C20" s="713"/>
      <c r="D20" s="714"/>
      <c r="E20" s="714"/>
      <c r="F20" s="714"/>
      <c r="G20" s="714"/>
      <c r="H20" s="714"/>
      <c r="I20" s="714"/>
      <c r="J20" s="892" t="str">
        <f>IF(C20="","",INDEX(STDHVAC[Eff Unit 1],MATCH(C20,STDHVAC[Measure Name],0)))</f>
        <v/>
      </c>
      <c r="K20" s="893"/>
      <c r="L20" s="896" t="str">
        <f>IF(C20="","",INDEX(STDHVAC[Base Efficiency 1],MATCH(C20,STDHVAC[Measure Name],0)))</f>
        <v/>
      </c>
      <c r="M20" s="897"/>
      <c r="N20" s="900"/>
      <c r="O20" s="901"/>
      <c r="P20" s="894" t="str">
        <f>IF(C20="","",INDEX(STDHVAC[Eff Unit 2],MATCH(C20,STDHVAC[Measure Name],0)))</f>
        <v/>
      </c>
      <c r="Q20" s="895"/>
      <c r="R20" s="898" t="str">
        <f>IF(C20="","",INDEX(STDHVAC[Base Efficiency 2],MATCH(C20,STDHVAC[Measure Name],0)))</f>
        <v/>
      </c>
      <c r="S20" s="899"/>
      <c r="T20" s="906" t="str">
        <f t="shared" ref="T20" si="4">IF(AND(ISNUMBER(SEARCH("DX",C20)),ISNUMBER(SEARCH("&lt;65 kbtu",C20)),N20&lt;&gt;""),1.12*N20-0.02*N20^2,IF(AND(ISNUMBER(SEARCH("PTAC",C20)),N20&lt;&gt;""),1,""))</f>
        <v/>
      </c>
      <c r="U20" s="907"/>
      <c r="V20" s="910"/>
      <c r="W20" s="911"/>
      <c r="X20" s="713"/>
      <c r="Y20" s="714"/>
      <c r="Z20" s="715"/>
      <c r="AA20" s="929"/>
      <c r="AB20" s="930"/>
      <c r="AC20" s="930"/>
      <c r="AD20" s="931"/>
      <c r="AE20" s="786"/>
      <c r="AF20" s="787"/>
      <c r="AG20" s="787"/>
      <c r="AH20" s="788"/>
      <c r="AI20" s="912" t="str">
        <f>IF(C20="","",INDEX(STDHVAC[Current Unit],MATCH(C20,STDHVAC[Measure Name],0)))</f>
        <v/>
      </c>
      <c r="AJ20" s="912"/>
      <c r="AK20" s="912"/>
      <c r="AL20" s="913"/>
      <c r="AM20" s="914" t="str">
        <f>IFERROR(IF(C20="","",INDEX(IF(AND(ACTIVEBONUS = TRUE,INDEX(STDHVAC[Bonus Incentive],MATCH(C20,STDHVAC[Measure Name],0))&lt;&gt; ""),STDHVAC[Bonus Incentive],STDHVAC[Base Incentive]),MATCH(C20,STDHVAC[Measure Name],0))),"")</f>
        <v/>
      </c>
      <c r="AN20" s="794"/>
      <c r="AO20" s="797" t="str">
        <f t="shared" ref="AO20" si="5">IFERROR(IF(OR(C20="",N20="",V20="",AA20="",T20="",AE20="",AG20=""),"",IF(BQ20="Deemed",AZ20,IF(BQ20="Calculated",BE20,""))),"")</f>
        <v/>
      </c>
      <c r="AP20" s="797"/>
      <c r="AQ20" s="797"/>
      <c r="AR20" s="826" t="str">
        <f t="shared" ref="AR20" si="6">IFERROR(IF(OR(C20="",N20="",V20="",AA20="",T20="",AE20="",AG20=""),"",IF(BJ20&lt;&gt;"",BJ20,IF(BS20&gt;0,BS20,ROUND(IF(AO20&lt;=0,0,MIN(AX20,BG20)), 2)))), "")</f>
        <v/>
      </c>
      <c r="AS20" s="826"/>
      <c r="AT20" s="826"/>
      <c r="AU20" s="826"/>
      <c r="AV20" s="22"/>
      <c r="AX20" s="873" t="str">
        <f t="shared" ref="AX20" si="7">IF(OR(C20="",N20="",V20="",AA20="",T20="",AE20="",AG20="",X20=""),"",IF(AO20=0,"",ROUND(AE20+AG20,2)))</f>
        <v/>
      </c>
      <c r="AY20" s="916" t="str">
        <f>IFERROR(IF(OR(C20="",N20="",V20="",AA20="",T20="",AE20="",AG20="",X20=""),"",INDEX(STDHVAC[Current Unit],MATCH(C20,STDHVAC[Measure Name],0))),"Err")</f>
        <v/>
      </c>
      <c r="AZ20" s="746" t="str">
        <f>IF(
OR(C20="",N20="",V20="",AA20="",T20="",AE20="",AG20="",X20=""),"",
IF(OR(ISNUMBER(SEARCH("PTAC",C20)),ISNUMBER(SEARCH("PTHP",C20))),
ROUND(V20*INDEX(STDHVAC[Electric Energy Savings (Annual kWh/unit)],MATCH(C20,STDHVAC[Measure Name],0)),4),
ROUND(V20*ABS(N20-L20)*INDEX(STDHVAC[Electric Energy Savings (Annual kWh/unit)],MATCH(C20,STDHVAC[Measure Name],0)),4)
))</f>
        <v/>
      </c>
      <c r="BA20" s="746" t="str">
        <f>IF(
OR(C20="",N20="",V20="",AA20="",T20="",AE20="",AG20="",X20=""),"",
IF(OR(ISNUMBER(SEARCH("PTAC",C20)),ISNUMBER(SEARCH("PTHP",C20))),
ROUND(V20*INDEX(STDHVAC[Coincident Peak Demand Savings (kW/unit)],MATCH(C20,STDHVAC[Measure Name],0)),4),
ROUND(V20* ABS(N20-L20)*INDEX(STDHVAC[Coincident Peak Demand Savings (kW/unit)],MATCH(C20,STDHVAC[Measure Name],0)),4)
))</f>
        <v/>
      </c>
      <c r="BB20" s="871"/>
      <c r="BC20" s="871"/>
      <c r="BD20" s="886" t="str">
        <f>IFERROR(IF(OR(C20="",N20="",V20="",AA20="",T20="",AE20="",AG20=""),"",INDEX(STDHVAC[End Use],MATCH(C20,STDHVAC[Measure Name],0))),"Err")</f>
        <v/>
      </c>
      <c r="BE20" s="888" t="str">
        <f>IF(C20&lt;&gt;"", _xlfn.LET(
_xlpm.Tons_Cool, V20, _xlpm.PLC_Base, L20, _xlpm.PLC_Eff, N20, _xlpm.Tons_Heat, BP20, _xlpm.Other_Base, R20, _xlpm.Other_Eff, T20,
_xlpm.EFLH_Cool,
INDEX(STDHVAC[EFLHcool],MATCH(C20,STDHVAC[Measure Name],0)),
_xlpm.EFLH_Heat,
INDEX(STDHVAC[EFLHheat],MATCH(C20,STDHVAC[Measure Name],0)),
_xlpm.ElecHeat,
INDEX(SPACEHEAT[ELECHEAT],MATCH(M02S04F22,SPACEHEAT[Space Conditioning],0)),
_xlpm.kWhCool,
ROUND(
IF(OR(ISNUMBER(SEARCH("DX", C20)),ISNUMBER(SEARCH("ASHP", C20)), ISNUMBER(SEARCH("PTAC", C20)), ISNUMBER(SEARCH("PTHP", C20)), ISNUMBER(SEARCH("Air-Cooled Chiller", C20)), ISNUMBER(SEARCH("VRF", C20))),
_xlpm.Tons_Cool * (12/_xlpm.PLC_Base - 12/_xlpm.PLC_Eff)*_xlpm.EFLH_Cool,
IF(ISNUMBER(SEARCH("Water", C20)),
_xlpm.Tons_Cool * (_xlpm.PLC_Base - _xlpm.PLC_Eff) * _xlpm.EFLH_Cool,
" "
)),4),
_xlpm.kWhHeat,
IF(
_xlpm.ElecHeat=1,
ROUND(
IF(OR(ISNUMBER(SEARCH("DX", C20)),ISNUMBER(SEARCH("PTAC", C20)), ISNUMBER(SEARCH("Air-Cooled Chiller", C20)), ISNUMBER(SEARCH("Water", C20)),
ISNUMBER(SEARCH("VRF", C20))),
0,
IF(
OR(ISNUMBER(SEARCH("ASHP", C20)), ISNUMBER(SEARCH("PTHP", C20))),
_xlpm.Tons_Heat * (1/_xlpm.Other_Base - 1/_xlpm.Other_Eff) * _xlpm.EFLH_Heat,
" "
)),4),
0
),
_xlpm.kWhCool + _xlpm.kWhHeat
), "")</f>
        <v/>
      </c>
      <c r="BF20" s="888" t="str">
        <f>IF(C20&lt;&gt;"", _xlfn.LET(
_xlpm.Tons, V20, _xlpm.PCF, 0.913,
IF(AND(ISNUMBER(SEARCH("DX",C20)),ISNUMBER(SEARCH("&lt;65 kbtu",C20))),
_xlpm.Tons * (12/11.42-12/MAX(11.42,T20))*_xlpm.PCF,
IF(OR(ISNUMBER(SEARCH("DX", C20)), ISNUMBER(SEARCH("Air-Cooled Chiller", C20)), ISNUMBER(SEARCH("VRF", C20))),
_xlpm.Tons * (12/R20 - 12/T20) * _xlpm.PCF,
IF(ISNUMBER(SEARCH("Water", C20)),
_xlpm.Tons * (R20-T20) * _xlpm.PCF,
IF(ISNUMBER(SEARCH("ASHP", C20)),
_xlpm.Tons * (12/BN20 - 12/BO20) * _xlpm.PCF,
IF(OR(ISNUMBER(SEARCH("PTAC", C20)), ISNUMBER(SEARCH("PTHP", C20))),
_xlpm.Tons * (12/L20 - 12/N20) * _xlpm.PCF,#REF!)))))), "")</f>
        <v/>
      </c>
      <c r="BG20" s="838" t="str">
        <f t="shared" si="1"/>
        <v/>
      </c>
      <c r="BH20" s="882" t="str">
        <f>IFERROR(IF(OR(C20="",N20="",V20="",AA20="",T20="",AE20="",AG20="",ISNUMBER(AR20)=FALSE,AR20=0),"",INDEX(STDHVAC[Measure Number],MATCH(C20,STDHVAC[Measure Name],0))),"Err")</f>
        <v/>
      </c>
      <c r="BI20" s="754" t="str">
        <f t="shared" ref="BI20" si="8">IFERROR(IF(BS20="",IF(AR20 &lt; BG20, "100% Total Cost", ""), ""), "")</f>
        <v/>
      </c>
      <c r="BJ20" s="882" t="str">
        <f>IFERROR(
IF(OR(C20="",N20="",T20="",V20="",AA20="",AE20="",AG20=""),
"",
IF(BS20&gt;0,"",IF(OR(AND(ISNUMBER(SEARCH("kW/ton", J20)),OR(L20&lt;=N20,R20&lt;T20)),AND(NOT(ISNUMBER(SEARCH("kW/ton", J20))),OR(L20&gt;=N20,R20&gt;T20))),
"Must Improve Efficiency",
IF(EXPIRATION&lt;&gt;"",PROJSTATEXP,"")))),
"")</f>
        <v/>
      </c>
      <c r="BK20" s="828" t="str">
        <f>IFERROR(INDEX(STDHVAC[Measure Life (Years)],MATCH(C20,STDHVAC[Measure Name],0)),"")</f>
        <v/>
      </c>
      <c r="BL20" s="884" t="str">
        <f>IFERROR(IF(OR(C20="",N20="",V20="",AA20="",T20="",AE20="",AG20=""),"",
ROUND(((1+ELOSS)*((AZ20*INDEX(ELECCB[NPV AEC $/kWh],MATCH(BK20,ELECCB[Year Number],1)))+(BA20*INDEX(ELECCB[NPV ACC $/kW],MATCH(BK20,ELECCB[Year Number],1))))),2)),0)</f>
        <v/>
      </c>
      <c r="BM20" s="918" t="str">
        <f>IFERROR(IF(INDEX(STDHVAC[Eff Unit 3],MATCH(C20,STDHVAC[Measure Name],0))="","",INDEX(STDHVAC[Eff Unit 3],MATCH(C20,STDHVAC[Measure Name],0))),"")</f>
        <v/>
      </c>
      <c r="BN20" s="880" t="str">
        <f>IFERROR(IF(INDEX(STDHVAC[Base Efficiency 3],MATCH(C20,STDHVAC[Measure Name],0))="","",INDEX(STDHVAC[Base Efficiency 3],MATCH(C20,STDHVAC[Measure Name],0))),"")</f>
        <v/>
      </c>
      <c r="BO20" s="889" t="str">
        <f t="shared" si="3"/>
        <v/>
      </c>
      <c r="BP20" s="920"/>
      <c r="BQ20" s="891" t="str">
        <f>IFERROR(IF(OR(C20="",N20="",V20="",AA20="",T20="",AE20="",AG20=""),"",INDEX(STDHVAC[Reporting Methodology],MATCH(C20,STDHVAC[Measure Name],0))),"Err")</f>
        <v/>
      </c>
      <c r="BR20" s="867" t="str">
        <f>IFERROR(IF(OR(C20="", V20=""),"",INDEX(STDHVAC[Incremental Measure Cost ($/Unit)],MATCH(C20,STDHVAC[Measure Name],0)) * V20),"Err")</f>
        <v/>
      </c>
      <c r="BS20" s="837"/>
      <c r="BT20" s="838" t="str">
        <f>_xlfn.LET(
_xlpm.IPU,
IFERROR(IF(C20="","",INDEX(STDHVAC[Base Incentive],MATCH(C20,STDHVAC[Measure Name],0))),""),
IFERROR(IF(AI20="$/ton", ROUND(V20*_xlpm.IPU, 2),
IF(AND(ISNUMBER(SEARCH("Air-Cooled Chiller",C20)),AI20="$/ton/IPLV"), ROUND((12/L20-12/N20)*V20*_xlpm.IPU, 2),
ROUND(ABS(N20-L20)*V20*_xlpm.IPU, 2))), ""))</f>
        <v/>
      </c>
    </row>
    <row r="21" spans="1:72" ht="15.95" customHeight="1">
      <c r="B21" s="806"/>
      <c r="C21" s="716"/>
      <c r="D21" s="717"/>
      <c r="E21" s="717"/>
      <c r="F21" s="717"/>
      <c r="G21" s="717"/>
      <c r="H21" s="717"/>
      <c r="I21" s="717"/>
      <c r="J21" s="894"/>
      <c r="K21" s="895"/>
      <c r="L21" s="898"/>
      <c r="M21" s="899"/>
      <c r="N21" s="900"/>
      <c r="O21" s="901"/>
      <c r="P21" s="902"/>
      <c r="Q21" s="903"/>
      <c r="R21" s="904"/>
      <c r="S21" s="905"/>
      <c r="T21" s="908"/>
      <c r="U21" s="909"/>
      <c r="V21" s="910"/>
      <c r="W21" s="911"/>
      <c r="X21" s="716"/>
      <c r="Y21" s="717"/>
      <c r="Z21" s="718"/>
      <c r="AA21" s="932"/>
      <c r="AB21" s="930"/>
      <c r="AC21" s="930"/>
      <c r="AD21" s="931"/>
      <c r="AE21" s="765"/>
      <c r="AF21" s="766"/>
      <c r="AG21" s="766"/>
      <c r="AH21" s="767"/>
      <c r="AI21" s="912"/>
      <c r="AJ21" s="912"/>
      <c r="AK21" s="912"/>
      <c r="AL21" s="913"/>
      <c r="AM21" s="915"/>
      <c r="AN21" s="796"/>
      <c r="AO21" s="798"/>
      <c r="AP21" s="798"/>
      <c r="AQ21" s="798"/>
      <c r="AR21" s="827"/>
      <c r="AS21" s="827"/>
      <c r="AT21" s="827"/>
      <c r="AU21" s="827"/>
      <c r="AV21" s="22"/>
      <c r="AX21" s="874"/>
      <c r="AY21" s="917"/>
      <c r="AZ21" s="747"/>
      <c r="BA21" s="747"/>
      <c r="BB21" s="871"/>
      <c r="BC21" s="871"/>
      <c r="BD21" s="887"/>
      <c r="BE21" s="762"/>
      <c r="BF21" s="762"/>
      <c r="BG21" s="839"/>
      <c r="BH21" s="883"/>
      <c r="BI21" s="755"/>
      <c r="BJ21" s="883"/>
      <c r="BK21" s="829"/>
      <c r="BL21" s="885"/>
      <c r="BM21" s="919"/>
      <c r="BN21" s="881"/>
      <c r="BO21" s="890"/>
      <c r="BP21" s="921"/>
      <c r="BQ21" s="891"/>
      <c r="BR21" s="867"/>
      <c r="BS21" s="837"/>
      <c r="BT21" s="839"/>
    </row>
    <row r="22" spans="1:72" ht="15.95" customHeight="1">
      <c r="A22" s="85"/>
      <c r="B22" s="806">
        <v>3</v>
      </c>
      <c r="C22" s="713"/>
      <c r="D22" s="714"/>
      <c r="E22" s="714"/>
      <c r="F22" s="714"/>
      <c r="G22" s="714"/>
      <c r="H22" s="714"/>
      <c r="I22" s="714"/>
      <c r="J22" s="892" t="str">
        <f>IF(C22="","",INDEX(STDHVAC[Eff Unit 1],MATCH(C22,STDHVAC[Measure Name],0)))</f>
        <v/>
      </c>
      <c r="K22" s="893"/>
      <c r="L22" s="896" t="str">
        <f>IF(C22="","",INDEX(STDHVAC[Base Efficiency 1],MATCH(C22,STDHVAC[Measure Name],0)))</f>
        <v/>
      </c>
      <c r="M22" s="897"/>
      <c r="N22" s="900"/>
      <c r="O22" s="901"/>
      <c r="P22" s="894" t="str">
        <f>IF(C22="","",INDEX(STDHVAC[Eff Unit 2],MATCH(C22,STDHVAC[Measure Name],0)))</f>
        <v/>
      </c>
      <c r="Q22" s="895"/>
      <c r="R22" s="898" t="str">
        <f>IF(C22="","",INDEX(STDHVAC[Base Efficiency 2],MATCH(C22,STDHVAC[Measure Name],0)))</f>
        <v/>
      </c>
      <c r="S22" s="899"/>
      <c r="T22" s="906" t="str">
        <f t="shared" ref="T22" si="9">IF(AND(ISNUMBER(SEARCH("DX",C22)),ISNUMBER(SEARCH("&lt;65 kbtu",C22)),N22&lt;&gt;""),1.12*N22-0.02*N22^2,IF(AND(ISNUMBER(SEARCH("PTAC",C22)),N22&lt;&gt;""),1,""))</f>
        <v/>
      </c>
      <c r="U22" s="907"/>
      <c r="V22" s="910"/>
      <c r="W22" s="911"/>
      <c r="X22" s="713"/>
      <c r="Y22" s="714"/>
      <c r="Z22" s="715"/>
      <c r="AA22" s="929"/>
      <c r="AB22" s="930"/>
      <c r="AC22" s="930"/>
      <c r="AD22" s="931"/>
      <c r="AE22" s="786"/>
      <c r="AF22" s="787"/>
      <c r="AG22" s="787"/>
      <c r="AH22" s="788"/>
      <c r="AI22" s="912" t="str">
        <f>IF(C22="","",INDEX(STDHVAC[Current Unit],MATCH(C22,STDHVAC[Measure Name],0)))</f>
        <v/>
      </c>
      <c r="AJ22" s="912"/>
      <c r="AK22" s="912"/>
      <c r="AL22" s="913"/>
      <c r="AM22" s="914" t="str">
        <f>IFERROR(IF(C22="","",INDEX(IF(AND(ACTIVEBONUS = TRUE,INDEX(STDHVAC[Bonus Incentive],MATCH(C22,STDHVAC[Measure Name],0))&lt;&gt; ""),STDHVAC[Bonus Incentive],STDHVAC[Base Incentive]),MATCH(C22,STDHVAC[Measure Name],0))),"")</f>
        <v/>
      </c>
      <c r="AN22" s="794"/>
      <c r="AO22" s="797" t="str">
        <f t="shared" ref="AO22" si="10">IFERROR(IF(OR(C22="",N22="",V22="",AA22="",T22="",AE22="",AG22=""),"",IF(BQ22="Deemed",AZ22,IF(BQ22="Calculated",BE22,""))),"")</f>
        <v/>
      </c>
      <c r="AP22" s="797"/>
      <c r="AQ22" s="797"/>
      <c r="AR22" s="826" t="str">
        <f t="shared" ref="AR22" si="11">IFERROR(IF(OR(C22="",N22="",V22="",AA22="",T22="",AE22="",AG22=""),"",IF(BJ22&lt;&gt;"",BJ22,IF(BS22&gt;0,BS22,ROUND(IF(AO22&lt;=0,0,MIN(AX22,BG22)), 2)))), "")</f>
        <v/>
      </c>
      <c r="AS22" s="826"/>
      <c r="AT22" s="826"/>
      <c r="AU22" s="826"/>
      <c r="AV22" s="22"/>
      <c r="AX22" s="873" t="str">
        <f t="shared" ref="AX22" si="12">IF(OR(C22="",N22="",V22="",AA22="",T22="",AE22="",AG22="",X22=""),"",IF(AO22=0,"",ROUND(AE22+AG22,2)))</f>
        <v/>
      </c>
      <c r="AY22" s="916" t="str">
        <f>IFERROR(IF(OR(C22="",N22="",V22="",AA22="",T22="",AE22="",AG22="",X22=""),"",INDEX(STDHVAC[Current Unit],MATCH(C22,STDHVAC[Measure Name],0))),"Err")</f>
        <v/>
      </c>
      <c r="AZ22" s="746" t="str">
        <f>IF(
OR(C22="",N22="",V22="",AA22="",T22="",AE22="",AG22="",X22=""),"",
IF(OR(ISNUMBER(SEARCH("PTAC",C22)),ISNUMBER(SEARCH("PTHP",C22))),
ROUND(V22*INDEX(STDHVAC[Electric Energy Savings (Annual kWh/unit)],MATCH(C22,STDHVAC[Measure Name],0)),4),
ROUND(V22*ABS(N22-L22)*INDEX(STDHVAC[Electric Energy Savings (Annual kWh/unit)],MATCH(C22,STDHVAC[Measure Name],0)),4)
))</f>
        <v/>
      </c>
      <c r="BA22" s="746" t="str">
        <f>IF(
OR(C22="",N22="",V22="",AA22="",T22="",AE22="",AG22="",X22=""),"",
IF(OR(ISNUMBER(SEARCH("PTAC",C22)),ISNUMBER(SEARCH("PTHP",C22))),
ROUND(V22*INDEX(STDHVAC[Coincident Peak Demand Savings (kW/unit)],MATCH(C22,STDHVAC[Measure Name],0)),4),
ROUND(V22* ABS(N22-L22)*INDEX(STDHVAC[Coincident Peak Demand Savings (kW/unit)],MATCH(C22,STDHVAC[Measure Name],0)),4)
))</f>
        <v/>
      </c>
      <c r="BB22" s="871"/>
      <c r="BC22" s="871"/>
      <c r="BD22" s="886" t="str">
        <f>IFERROR(IF(OR(C22="",N22="",V22="",AA22="",T22="",AE22="",AG22=""),"",INDEX(STDHVAC[End Use],MATCH(C22,STDHVAC[Measure Name],0))),"Err")</f>
        <v/>
      </c>
      <c r="BE22" s="888" t="str">
        <f>IF(C22&lt;&gt;"", _xlfn.LET(
_xlpm.Tons_Cool, V22, _xlpm.PLC_Base, L22, _xlpm.PLC_Eff, N22, _xlpm.Tons_Heat, BP22, _xlpm.Other_Base, R22, _xlpm.Other_Eff, T22,
_xlpm.EFLH_Cool,
INDEX(STDHVAC[EFLHcool],MATCH(C22,STDHVAC[Measure Name],0)),
_xlpm.EFLH_Heat,
INDEX(STDHVAC[EFLHheat],MATCH(C22,STDHVAC[Measure Name],0)),
_xlpm.ElecHeat,
INDEX(SPACEHEAT[ELECHEAT],MATCH(M02S04F22,SPACEHEAT[Space Conditioning],0)),
_xlpm.kWhCool,
ROUND(
IF(OR(ISNUMBER(SEARCH("DX", C22)),ISNUMBER(SEARCH("ASHP", C22)), ISNUMBER(SEARCH("PTAC", C22)), ISNUMBER(SEARCH("PTHP", C22)), ISNUMBER(SEARCH("Air-Cooled Chiller", C22)), ISNUMBER(SEARCH("VRF", C22))),
_xlpm.Tons_Cool * (12/_xlpm.PLC_Base - 12/_xlpm.PLC_Eff)*_xlpm.EFLH_Cool,
IF(ISNUMBER(SEARCH("Water", C22)),
_xlpm.Tons_Cool * (_xlpm.PLC_Base - _xlpm.PLC_Eff) * _xlpm.EFLH_Cool,
" "
)),4),
_xlpm.kWhHeat,
IF(
_xlpm.ElecHeat=1,
ROUND(
IF(OR(ISNUMBER(SEARCH("DX", C22)),ISNUMBER(SEARCH("PTAC", C22)), ISNUMBER(SEARCH("Air-Cooled Chiller", C22)), ISNUMBER(SEARCH("Water", C22)),
ISNUMBER(SEARCH("VRF", C22))),
0,
IF(
OR(ISNUMBER(SEARCH("ASHP", C22)), ISNUMBER(SEARCH("PTHP", C22))),
_xlpm.Tons_Heat * (1/_xlpm.Other_Base - 1/_xlpm.Other_Eff) * _xlpm.EFLH_Heat,
" "
)),4),
0
),
_xlpm.kWhCool + _xlpm.kWhHeat
), "")</f>
        <v/>
      </c>
      <c r="BF22" s="888" t="str">
        <f>IF(C22&lt;&gt;"", _xlfn.LET(
_xlpm.Tons, V22, _xlpm.PCF, 0.913,
IF(AND(ISNUMBER(SEARCH("DX",C22)),ISNUMBER(SEARCH("&lt;65 kbtu",C22))),
_xlpm.Tons * (12/11.42-12/MAX(11.42,T22))*_xlpm.PCF,
IF(OR(ISNUMBER(SEARCH("DX", C22)), ISNUMBER(SEARCH("Air-Cooled Chiller", C22)), ISNUMBER(SEARCH("VRF", C22))),
_xlpm.Tons * (12/R22 - 12/T22) * _xlpm.PCF,
IF(ISNUMBER(SEARCH("Water", C22)),
_xlpm.Tons * (R22-T22) * _xlpm.PCF,
IF(ISNUMBER(SEARCH("ASHP", C22)),
_xlpm.Tons * (12/BN22 - 12/BO22) * _xlpm.PCF,
IF(OR(ISNUMBER(SEARCH("PTAC", C22)), ISNUMBER(SEARCH("PTHP", C22))),
_xlpm.Tons * (12/L22 - 12/N22) * _xlpm.PCF,#REF!)))))), "")</f>
        <v/>
      </c>
      <c r="BG22" s="838" t="str">
        <f t="shared" si="1"/>
        <v/>
      </c>
      <c r="BH22" s="882" t="str">
        <f>IFERROR(IF(OR(C22="",N22="",V22="",AA22="",T22="",AE22="",AG22="",ISNUMBER(AR22)=FALSE,AR22=0),"",INDEX(STDHVAC[Measure Number],MATCH(C22,STDHVAC[Measure Name],0))),"Err")</f>
        <v/>
      </c>
      <c r="BI22" s="754" t="str">
        <f t="shared" ref="BI22" si="13">IFERROR(IF(BS22="",IF(AR22 &lt; BG22, "100% Total Cost", ""), ""), "")</f>
        <v/>
      </c>
      <c r="BJ22" s="882" t="str">
        <f>IFERROR(
IF(OR(C22="",N22="",T22="",V22="",AA22="",AE22="",AG22=""),
"",
IF(BS22&gt;0,"",IF(OR(AND(ISNUMBER(SEARCH("kW/ton", J22)),OR(L22&lt;=N22,R22&lt;T22)),AND(NOT(ISNUMBER(SEARCH("kW/ton", J22))),OR(L22&gt;=N22,R22&gt;T22))),
"Must Improve Efficiency",
IF(EXPIRATION&lt;&gt;"",PROJSTATEXP,"")))),
"")</f>
        <v/>
      </c>
      <c r="BK22" s="828" t="str">
        <f>IFERROR(INDEX(STDHVAC[Measure Life (Years)],MATCH(C22,STDHVAC[Measure Name],0)),"")</f>
        <v/>
      </c>
      <c r="BL22" s="884" t="str">
        <f>IFERROR(IF(OR(C22="",N22="",V22="",AA22="",T22="",AE22="",AG22=""),"",
ROUND(((1+ELOSS)*((AZ22*INDEX(ELECCB[NPV AEC $/kWh],MATCH(BK22,ELECCB[Year Number],1)))+(BA22*INDEX(ELECCB[NPV ACC $/kW],MATCH(BK22,ELECCB[Year Number],1))))),2)),0)</f>
        <v/>
      </c>
      <c r="BM22" s="918" t="str">
        <f>IFERROR(IF(INDEX(STDHVAC[Eff Unit 3],MATCH(C22,STDHVAC[Measure Name],0))="","",INDEX(STDHVAC[Eff Unit 3],MATCH(C22,STDHVAC[Measure Name],0))),"")</f>
        <v/>
      </c>
      <c r="BN22" s="880" t="str">
        <f>IFERROR(IF(INDEX(STDHVAC[Base Efficiency 3],MATCH(C22,STDHVAC[Measure Name],0))="","",INDEX(STDHVAC[Base Efficiency 3],MATCH(C22,STDHVAC[Measure Name],0))),"")</f>
        <v/>
      </c>
      <c r="BO22" s="889" t="str">
        <f t="shared" si="3"/>
        <v/>
      </c>
      <c r="BP22" s="920"/>
      <c r="BQ22" s="891" t="str">
        <f>IFERROR(IF(OR(C22="",N22="",V22="",AA22="",T22="",AE22="",AG22=""),"",INDEX(STDHVAC[Reporting Methodology],MATCH(C22,STDHVAC[Measure Name],0))),"Err")</f>
        <v/>
      </c>
      <c r="BR22" s="867" t="str">
        <f>IFERROR(IF(OR(C22="", V22=""),"",INDEX(STDHVAC[Incremental Measure Cost ($/Unit)],MATCH(C22,STDHVAC[Measure Name],0)) * V22),"Err")</f>
        <v/>
      </c>
      <c r="BS22" s="837"/>
      <c r="BT22" s="838" t="str">
        <f>_xlfn.LET(
_xlpm.IPU,
IFERROR(IF(C22="","",INDEX(STDHVAC[Base Incentive],MATCH(C22,STDHVAC[Measure Name],0))),""),
IFERROR(IF(AI22="$/ton", ROUND(V22*_xlpm.IPU, 2),
IF(AND(ISNUMBER(SEARCH("Air-Cooled Chiller",C22)),AI22="$/ton/IPLV"), ROUND((12/L22-12/N22)*V22*_xlpm.IPU, 2),
ROUND(ABS(N22-L22)*V22*_xlpm.IPU, 2))), ""))</f>
        <v/>
      </c>
    </row>
    <row r="23" spans="1:72" ht="15.95" customHeight="1">
      <c r="B23" s="806"/>
      <c r="C23" s="716"/>
      <c r="D23" s="717"/>
      <c r="E23" s="717"/>
      <c r="F23" s="717"/>
      <c r="G23" s="717"/>
      <c r="H23" s="717"/>
      <c r="I23" s="717"/>
      <c r="J23" s="894"/>
      <c r="K23" s="895"/>
      <c r="L23" s="898"/>
      <c r="M23" s="899"/>
      <c r="N23" s="900"/>
      <c r="O23" s="901"/>
      <c r="P23" s="902"/>
      <c r="Q23" s="903"/>
      <c r="R23" s="904"/>
      <c r="S23" s="905"/>
      <c r="T23" s="908"/>
      <c r="U23" s="909"/>
      <c r="V23" s="910"/>
      <c r="W23" s="911"/>
      <c r="X23" s="716"/>
      <c r="Y23" s="717"/>
      <c r="Z23" s="718"/>
      <c r="AA23" s="932"/>
      <c r="AB23" s="930"/>
      <c r="AC23" s="930"/>
      <c r="AD23" s="931"/>
      <c r="AE23" s="765"/>
      <c r="AF23" s="766"/>
      <c r="AG23" s="766"/>
      <c r="AH23" s="767"/>
      <c r="AI23" s="912"/>
      <c r="AJ23" s="912"/>
      <c r="AK23" s="912"/>
      <c r="AL23" s="913"/>
      <c r="AM23" s="915"/>
      <c r="AN23" s="796"/>
      <c r="AO23" s="798"/>
      <c r="AP23" s="798"/>
      <c r="AQ23" s="798"/>
      <c r="AR23" s="827"/>
      <c r="AS23" s="827"/>
      <c r="AT23" s="827"/>
      <c r="AU23" s="827"/>
      <c r="AV23" s="22"/>
      <c r="AX23" s="874"/>
      <c r="AY23" s="917"/>
      <c r="AZ23" s="747"/>
      <c r="BA23" s="747"/>
      <c r="BB23" s="871"/>
      <c r="BC23" s="871"/>
      <c r="BD23" s="887"/>
      <c r="BE23" s="762"/>
      <c r="BF23" s="762"/>
      <c r="BG23" s="839"/>
      <c r="BH23" s="883"/>
      <c r="BI23" s="755"/>
      <c r="BJ23" s="883"/>
      <c r="BK23" s="829"/>
      <c r="BL23" s="885"/>
      <c r="BM23" s="919"/>
      <c r="BN23" s="881"/>
      <c r="BO23" s="890"/>
      <c r="BP23" s="921"/>
      <c r="BQ23" s="891"/>
      <c r="BR23" s="867"/>
      <c r="BS23" s="837"/>
      <c r="BT23" s="839"/>
    </row>
    <row r="24" spans="1:72" ht="15.95" customHeight="1">
      <c r="B24" s="806">
        <v>4</v>
      </c>
      <c r="C24" s="713"/>
      <c r="D24" s="714"/>
      <c r="E24" s="714"/>
      <c r="F24" s="714"/>
      <c r="G24" s="714"/>
      <c r="H24" s="714"/>
      <c r="I24" s="714"/>
      <c r="J24" s="892" t="str">
        <f>IF(C24="","",INDEX(STDHVAC[Eff Unit 1],MATCH(C24,STDHVAC[Measure Name],0)))</f>
        <v/>
      </c>
      <c r="K24" s="893"/>
      <c r="L24" s="896" t="str">
        <f>IF(C24="","",INDEX(STDHVAC[Base Efficiency 1],MATCH(C24,STDHVAC[Measure Name],0)))</f>
        <v/>
      </c>
      <c r="M24" s="897"/>
      <c r="N24" s="900"/>
      <c r="O24" s="901"/>
      <c r="P24" s="894" t="str">
        <f>IF(C24="","",INDEX(STDHVAC[Eff Unit 2],MATCH(C24,STDHVAC[Measure Name],0)))</f>
        <v/>
      </c>
      <c r="Q24" s="895"/>
      <c r="R24" s="898" t="str">
        <f>IF(C24="","",INDEX(STDHVAC[Base Efficiency 2],MATCH(C24,STDHVAC[Measure Name],0)))</f>
        <v/>
      </c>
      <c r="S24" s="899"/>
      <c r="T24" s="906" t="str">
        <f t="shared" ref="T24" si="14">IF(AND(ISNUMBER(SEARCH("DX",C24)),ISNUMBER(SEARCH("&lt;65 kbtu",C24)),N24&lt;&gt;""),1.12*N24-0.02*N24^2,IF(AND(ISNUMBER(SEARCH("PTAC",C24)),N24&lt;&gt;""),1,""))</f>
        <v/>
      </c>
      <c r="U24" s="907"/>
      <c r="V24" s="910"/>
      <c r="W24" s="911"/>
      <c r="X24" s="713"/>
      <c r="Y24" s="714"/>
      <c r="Z24" s="715"/>
      <c r="AA24" s="929"/>
      <c r="AB24" s="930"/>
      <c r="AC24" s="930"/>
      <c r="AD24" s="931"/>
      <c r="AE24" s="786"/>
      <c r="AF24" s="787"/>
      <c r="AG24" s="787"/>
      <c r="AH24" s="788"/>
      <c r="AI24" s="912" t="str">
        <f>IF(C24="","",INDEX(STDHVAC[Current Unit],MATCH(C24,STDHVAC[Measure Name],0)))</f>
        <v/>
      </c>
      <c r="AJ24" s="912"/>
      <c r="AK24" s="912"/>
      <c r="AL24" s="913"/>
      <c r="AM24" s="914" t="str">
        <f>IFERROR(IF(C24="","",INDEX(IF(AND(ACTIVEBONUS = TRUE,INDEX(STDHVAC[Bonus Incentive],MATCH(C24,STDHVAC[Measure Name],0))&lt;&gt; ""),STDHVAC[Bonus Incentive],STDHVAC[Base Incentive]),MATCH(C24,STDHVAC[Measure Name],0))),"")</f>
        <v/>
      </c>
      <c r="AN24" s="794"/>
      <c r="AO24" s="797" t="str">
        <f t="shared" ref="AO24" si="15">IFERROR(IF(OR(C24="",N24="",V24="",AA24="",T24="",AE24="",AG24=""),"",IF(BQ24="Deemed",AZ24,IF(BQ24="Calculated",BE24,""))),"")</f>
        <v/>
      </c>
      <c r="AP24" s="797"/>
      <c r="AQ24" s="797"/>
      <c r="AR24" s="826" t="str">
        <f t="shared" ref="AR24" si="16">IFERROR(IF(OR(C24="",N24="",V24="",AA24="",T24="",AE24="",AG24=""),"",IF(BJ24&lt;&gt;"",BJ24,IF(BS24&gt;0,BS24,ROUND(IF(AO24&lt;=0,0,MIN(AX24,BG24)), 2)))), "")</f>
        <v/>
      </c>
      <c r="AS24" s="826"/>
      <c r="AT24" s="826"/>
      <c r="AU24" s="826"/>
      <c r="AV24" s="22"/>
      <c r="AX24" s="873" t="str">
        <f t="shared" ref="AX24" si="17">IF(OR(C24="",N24="",V24="",AA24="",T24="",AE24="",AG24="",X24=""),"",IF(AO24=0,"",ROUND(AE24+AG24,2)))</f>
        <v/>
      </c>
      <c r="AY24" s="916" t="str">
        <f>IFERROR(IF(OR(C24="",N24="",V24="",AA24="",T24="",AE24="",AG24="",X24=""),"",INDEX(STDHVAC[Current Unit],MATCH(C24,STDHVAC[Measure Name],0))),"Err")</f>
        <v/>
      </c>
      <c r="AZ24" s="746" t="str">
        <f>IF(
OR(C24="",N24="",V24="",AA24="",T24="",AE24="",AG24="",X24=""),"",
IF(OR(ISNUMBER(SEARCH("PTAC",C24)),ISNUMBER(SEARCH("PTHP",C24))),
ROUND(V24*INDEX(STDHVAC[Electric Energy Savings (Annual kWh/unit)],MATCH(C24,STDHVAC[Measure Name],0)),4),
ROUND(V24*ABS(N24-L24)*INDEX(STDHVAC[Electric Energy Savings (Annual kWh/unit)],MATCH(C24,STDHVAC[Measure Name],0)),4)
))</f>
        <v/>
      </c>
      <c r="BA24" s="746" t="str">
        <f>IF(
OR(C24="",N24="",V24="",AA24="",T24="",AE24="",AG24="",X24=""),"",
IF(OR(ISNUMBER(SEARCH("PTAC",C24)),ISNUMBER(SEARCH("PTHP",C24))),
ROUND(V24*INDEX(STDHVAC[Coincident Peak Demand Savings (kW/unit)],MATCH(C24,STDHVAC[Measure Name],0)),4),
ROUND(V24* ABS(N24-L24)*INDEX(STDHVAC[Coincident Peak Demand Savings (kW/unit)],MATCH(C24,STDHVAC[Measure Name],0)),4)
))</f>
        <v/>
      </c>
      <c r="BB24" s="871"/>
      <c r="BC24" s="871"/>
      <c r="BD24" s="886" t="str">
        <f>IFERROR(IF(OR(C24="",N24="",V24="",AA24="",T24="",AE24="",AG24=""),"",INDEX(STDHVAC[End Use],MATCH(C24,STDHVAC[Measure Name],0))),"Err")</f>
        <v/>
      </c>
      <c r="BE24" s="888" t="str">
        <f>IF(C24&lt;&gt;"", _xlfn.LET(
_xlpm.Tons_Cool, V24, _xlpm.PLC_Base, L24, _xlpm.PLC_Eff, N24, _xlpm.Tons_Heat, BP24, _xlpm.Other_Base, R24, _xlpm.Other_Eff, T24,
_xlpm.EFLH_Cool,
INDEX(STDHVAC[EFLHcool],MATCH(C24,STDHVAC[Measure Name],0)),
_xlpm.EFLH_Heat,
INDEX(STDHVAC[EFLHheat],MATCH(C24,STDHVAC[Measure Name],0)),
_xlpm.ElecHeat,
INDEX(SPACEHEAT[ELECHEAT],MATCH(M02S04F22,SPACEHEAT[Space Conditioning],0)),
_xlpm.kWhCool,
ROUND(
IF(OR(ISNUMBER(SEARCH("DX", C24)),ISNUMBER(SEARCH("ASHP", C24)), ISNUMBER(SEARCH("PTAC", C24)), ISNUMBER(SEARCH("PTHP", C24)), ISNUMBER(SEARCH("Air-Cooled Chiller", C24)), ISNUMBER(SEARCH("VRF", C24))),
_xlpm.Tons_Cool * (12/_xlpm.PLC_Base - 12/_xlpm.PLC_Eff)*_xlpm.EFLH_Cool,
IF(ISNUMBER(SEARCH("Water", C24)),
_xlpm.Tons_Cool * (_xlpm.PLC_Base - _xlpm.PLC_Eff) * _xlpm.EFLH_Cool,
" "
)),4),
_xlpm.kWhHeat,
IF(
_xlpm.ElecHeat=1,
ROUND(
IF(OR(ISNUMBER(SEARCH("DX", C24)),ISNUMBER(SEARCH("PTAC", C24)), ISNUMBER(SEARCH("Air-Cooled Chiller", C24)), ISNUMBER(SEARCH("Water", C24)),
ISNUMBER(SEARCH("VRF", C24))),
0,
IF(
OR(ISNUMBER(SEARCH("ASHP", C24)), ISNUMBER(SEARCH("PTHP", C24))),
_xlpm.Tons_Heat * (1/_xlpm.Other_Base - 1/_xlpm.Other_Eff) * _xlpm.EFLH_Heat,
" "
)),4),
0
),
_xlpm.kWhCool + _xlpm.kWhHeat
), "")</f>
        <v/>
      </c>
      <c r="BF24" s="888" t="str">
        <f>IF(C24&lt;&gt;"", _xlfn.LET(
_xlpm.Tons, V24, _xlpm.PCF, 0.913,
IF(AND(ISNUMBER(SEARCH("DX",C24)),ISNUMBER(SEARCH("&lt;65 kbtu",C24))),
_xlpm.Tons * (12/11.42-12/MAX(11.42,T24))*_xlpm.PCF,
IF(OR(ISNUMBER(SEARCH("DX", C24)), ISNUMBER(SEARCH("Air-Cooled Chiller", C24)), ISNUMBER(SEARCH("VRF", C24))),
_xlpm.Tons * (12/R24 - 12/T24) * _xlpm.PCF,
IF(ISNUMBER(SEARCH("Water", C24)),
_xlpm.Tons * (R24-T24) * _xlpm.PCF,
IF(ISNUMBER(SEARCH("ASHP", C24)),
_xlpm.Tons * (12/BN24 - 12/BO24) * _xlpm.PCF,
IF(OR(ISNUMBER(SEARCH("PTAC", C24)), ISNUMBER(SEARCH("PTHP", C24))),
_xlpm.Tons * (12/L24 - 12/N24) * _xlpm.PCF,#REF!)))))), "")</f>
        <v/>
      </c>
      <c r="BG24" s="838" t="str">
        <f t="shared" si="1"/>
        <v/>
      </c>
      <c r="BH24" s="882" t="str">
        <f>IFERROR(IF(OR(C24="",N24="",V24="",AA24="",T24="",AE24="",AG24="",ISNUMBER(AR24)=FALSE,AR24=0),"",INDEX(STDHVAC[Measure Number],MATCH(C24,STDHVAC[Measure Name],0))),"Err")</f>
        <v/>
      </c>
      <c r="BI24" s="754" t="str">
        <f t="shared" ref="BI24" si="18">IFERROR(IF(BS24="",IF(AR24 &lt; BG24, "100% Total Cost", ""), ""), "")</f>
        <v/>
      </c>
      <c r="BJ24" s="882" t="str">
        <f>IFERROR(
IF(OR(C24="",N24="",T24="",V24="",AA24="",AE24="",AG24=""),
"",
IF(BS24&gt;0,"",IF(OR(AND(ISNUMBER(SEARCH("kW/ton", J24)),OR(L24&lt;=N24,R24&lt;T24)),AND(NOT(ISNUMBER(SEARCH("kW/ton", J24))),OR(L24&gt;=N24,R24&gt;T24))),
"Must Improve Efficiency",
IF(EXPIRATION&lt;&gt;"",PROJSTATEXP,"")))),
"")</f>
        <v/>
      </c>
      <c r="BK24" s="828" t="str">
        <f>IFERROR(INDEX(STDHVAC[Measure Life (Years)],MATCH(C24,STDHVAC[Measure Name],0)),"")</f>
        <v/>
      </c>
      <c r="BL24" s="884" t="str">
        <f>IFERROR(IF(OR(C24="",N24="",V24="",AA24="",T24="",AE24="",AG24=""),"",
ROUND(((1+ELOSS)*((AZ24*INDEX(ELECCB[NPV AEC $/kWh],MATCH(BK24,ELECCB[Year Number],1)))+(BA24*INDEX(ELECCB[NPV ACC $/kW],MATCH(BK24,ELECCB[Year Number],1))))),2)),0)</f>
        <v/>
      </c>
      <c r="BM24" s="918" t="str">
        <f>IFERROR(IF(INDEX(STDHVAC[Eff Unit 3],MATCH(C24,STDHVAC[Measure Name],0))="","",INDEX(STDHVAC[Eff Unit 3],MATCH(C24,STDHVAC[Measure Name],0))),"")</f>
        <v/>
      </c>
      <c r="BN24" s="880" t="str">
        <f>IFERROR(IF(INDEX(STDHVAC[Base Efficiency 3],MATCH(C24,STDHVAC[Measure Name],0))="","",INDEX(STDHVAC[Base Efficiency 3],MATCH(C24,STDHVAC[Measure Name],0))),"")</f>
        <v/>
      </c>
      <c r="BO24" s="889" t="str">
        <f t="shared" si="3"/>
        <v/>
      </c>
      <c r="BP24" s="920"/>
      <c r="BQ24" s="891" t="str">
        <f>IFERROR(IF(OR(C24="",N24="",V24="",AA24="",T24="",AE24="",AG24=""),"",INDEX(STDHVAC[Reporting Methodology],MATCH(C24,STDHVAC[Measure Name],0))),"Err")</f>
        <v/>
      </c>
      <c r="BR24" s="867" t="str">
        <f>IFERROR(IF(OR(C24="", V24=""),"",INDEX(STDHVAC[Incremental Measure Cost ($/Unit)],MATCH(C24,STDHVAC[Measure Name],0)) * V24),"Err")</f>
        <v/>
      </c>
      <c r="BS24" s="837"/>
      <c r="BT24" s="838" t="str">
        <f>_xlfn.LET(
_xlpm.IPU,
IFERROR(IF(C24="","",INDEX(STDHVAC[Base Incentive],MATCH(C24,STDHVAC[Measure Name],0))),""),
IFERROR(IF(AI24="$/ton", ROUND(V24*_xlpm.IPU, 2),
IF(AND(ISNUMBER(SEARCH("Air-Cooled Chiller",C24)),AI24="$/ton/IPLV"), ROUND((12/L24-12/N24)*V24*_xlpm.IPU, 2),
ROUND(ABS(N24-L24)*V24*_xlpm.IPU, 2))), ""))</f>
        <v/>
      </c>
    </row>
    <row r="25" spans="1:72" ht="15.95" customHeight="1">
      <c r="A25" s="85"/>
      <c r="B25" s="806"/>
      <c r="C25" s="716"/>
      <c r="D25" s="717"/>
      <c r="E25" s="717"/>
      <c r="F25" s="717"/>
      <c r="G25" s="717"/>
      <c r="H25" s="717"/>
      <c r="I25" s="717"/>
      <c r="J25" s="894"/>
      <c r="K25" s="895"/>
      <c r="L25" s="898"/>
      <c r="M25" s="899"/>
      <c r="N25" s="900"/>
      <c r="O25" s="901"/>
      <c r="P25" s="902"/>
      <c r="Q25" s="903"/>
      <c r="R25" s="904"/>
      <c r="S25" s="905"/>
      <c r="T25" s="908"/>
      <c r="U25" s="909"/>
      <c r="V25" s="910"/>
      <c r="W25" s="911"/>
      <c r="X25" s="716"/>
      <c r="Y25" s="717"/>
      <c r="Z25" s="718"/>
      <c r="AA25" s="932"/>
      <c r="AB25" s="930"/>
      <c r="AC25" s="930"/>
      <c r="AD25" s="931"/>
      <c r="AE25" s="765"/>
      <c r="AF25" s="766"/>
      <c r="AG25" s="766"/>
      <c r="AH25" s="767"/>
      <c r="AI25" s="912"/>
      <c r="AJ25" s="912"/>
      <c r="AK25" s="912"/>
      <c r="AL25" s="913"/>
      <c r="AM25" s="915"/>
      <c r="AN25" s="796"/>
      <c r="AO25" s="798"/>
      <c r="AP25" s="798"/>
      <c r="AQ25" s="798"/>
      <c r="AR25" s="827"/>
      <c r="AS25" s="827"/>
      <c r="AT25" s="827"/>
      <c r="AU25" s="827"/>
      <c r="AV25" s="22"/>
      <c r="AX25" s="874"/>
      <c r="AY25" s="917"/>
      <c r="AZ25" s="747"/>
      <c r="BA25" s="747"/>
      <c r="BB25" s="871"/>
      <c r="BC25" s="871"/>
      <c r="BD25" s="887"/>
      <c r="BE25" s="762"/>
      <c r="BF25" s="762"/>
      <c r="BG25" s="839"/>
      <c r="BH25" s="883"/>
      <c r="BI25" s="755"/>
      <c r="BJ25" s="883"/>
      <c r="BK25" s="829"/>
      <c r="BL25" s="885"/>
      <c r="BM25" s="919"/>
      <c r="BN25" s="881"/>
      <c r="BO25" s="890"/>
      <c r="BP25" s="921"/>
      <c r="BQ25" s="891"/>
      <c r="BR25" s="867"/>
      <c r="BS25" s="837"/>
      <c r="BT25" s="839"/>
    </row>
    <row r="26" spans="1:72" ht="15.95" customHeight="1">
      <c r="B26" s="806">
        <v>5</v>
      </c>
      <c r="C26" s="713"/>
      <c r="D26" s="714"/>
      <c r="E26" s="714"/>
      <c r="F26" s="714"/>
      <c r="G26" s="714"/>
      <c r="H26" s="714"/>
      <c r="I26" s="714"/>
      <c r="J26" s="892" t="str">
        <f>IF(C26="","",INDEX(STDHVAC[Eff Unit 1],MATCH(C26,STDHVAC[Measure Name],0)))</f>
        <v/>
      </c>
      <c r="K26" s="893"/>
      <c r="L26" s="896" t="str">
        <f>IF(C26="","",INDEX(STDHVAC[Base Efficiency 1],MATCH(C26,STDHVAC[Measure Name],0)))</f>
        <v/>
      </c>
      <c r="M26" s="897"/>
      <c r="N26" s="900"/>
      <c r="O26" s="901"/>
      <c r="P26" s="894" t="str">
        <f>IF(C26="","",INDEX(STDHVAC[Eff Unit 2],MATCH(C26,STDHVAC[Measure Name],0)))</f>
        <v/>
      </c>
      <c r="Q26" s="895"/>
      <c r="R26" s="898" t="str">
        <f>IF(C26="","",INDEX(STDHVAC[Base Efficiency 2],MATCH(C26,STDHVAC[Measure Name],0)))</f>
        <v/>
      </c>
      <c r="S26" s="899"/>
      <c r="T26" s="906" t="str">
        <f t="shared" ref="T26" si="19">IF(AND(ISNUMBER(SEARCH("DX",C26)),ISNUMBER(SEARCH("&lt;65 kbtu",C26)),N26&lt;&gt;""),1.12*N26-0.02*N26^2,IF(AND(ISNUMBER(SEARCH("PTAC",C26)),N26&lt;&gt;""),1,""))</f>
        <v/>
      </c>
      <c r="U26" s="907"/>
      <c r="V26" s="910"/>
      <c r="W26" s="911"/>
      <c r="X26" s="713"/>
      <c r="Y26" s="714"/>
      <c r="Z26" s="715"/>
      <c r="AA26" s="929"/>
      <c r="AB26" s="930"/>
      <c r="AC26" s="930"/>
      <c r="AD26" s="931"/>
      <c r="AE26" s="786"/>
      <c r="AF26" s="787"/>
      <c r="AG26" s="787"/>
      <c r="AH26" s="788"/>
      <c r="AI26" s="912" t="str">
        <f>IF(C26="","",INDEX(STDHVAC[Current Unit],MATCH(C26,STDHVAC[Measure Name],0)))</f>
        <v/>
      </c>
      <c r="AJ26" s="912"/>
      <c r="AK26" s="912"/>
      <c r="AL26" s="913"/>
      <c r="AM26" s="914" t="str">
        <f>IFERROR(IF(C26="","",INDEX(IF(AND(ACTIVEBONUS = TRUE,INDEX(STDHVAC[Bonus Incentive],MATCH(C26,STDHVAC[Measure Name],0))&lt;&gt; ""),STDHVAC[Bonus Incentive],STDHVAC[Base Incentive]),MATCH(C26,STDHVAC[Measure Name],0))),"")</f>
        <v/>
      </c>
      <c r="AN26" s="794"/>
      <c r="AO26" s="797" t="str">
        <f t="shared" ref="AO26" si="20">IFERROR(IF(OR(C26="",N26="",V26="",AA26="",T26="",AE26="",AG26=""),"",IF(BQ26="Deemed",AZ26,IF(BQ26="Calculated",BE26,""))),"")</f>
        <v/>
      </c>
      <c r="AP26" s="797"/>
      <c r="AQ26" s="797"/>
      <c r="AR26" s="826" t="str">
        <f t="shared" ref="AR26" si="21">IFERROR(IF(OR(C26="",N26="",V26="",AA26="",T26="",AE26="",AG26=""),"",IF(BJ26&lt;&gt;"",BJ26,IF(BS26&gt;0,BS26,ROUND(IF(AO26&lt;=0,0,MIN(AX26,BG26)), 2)))), "")</f>
        <v/>
      </c>
      <c r="AS26" s="826"/>
      <c r="AT26" s="826"/>
      <c r="AU26" s="826"/>
      <c r="AV26" s="22"/>
      <c r="AX26" s="873" t="str">
        <f t="shared" ref="AX26" si="22">IF(OR(C26="",N26="",V26="",AA26="",T26="",AE26="",AG26="",X26=""),"",IF(AO26=0,"",ROUND(AE26+AG26,2)))</f>
        <v/>
      </c>
      <c r="AY26" s="916" t="str">
        <f>IFERROR(IF(OR(C26="",N26="",V26="",AA26="",T26="",AE26="",AG26="",X26=""),"",INDEX(STDHVAC[Current Unit],MATCH(C26,STDHVAC[Measure Name],0))),"Err")</f>
        <v/>
      </c>
      <c r="AZ26" s="746" t="str">
        <f>IF(
OR(C26="",N26="",V26="",AA26="",T26="",AE26="",AG26="",X26=""),"",
IF(OR(ISNUMBER(SEARCH("PTAC",C26)),ISNUMBER(SEARCH("PTHP",C26))),
ROUND(V26*INDEX(STDHVAC[Electric Energy Savings (Annual kWh/unit)],MATCH(C26,STDHVAC[Measure Name],0)),4),
ROUND(V26*ABS(N26-L26)*INDEX(STDHVAC[Electric Energy Savings (Annual kWh/unit)],MATCH(C26,STDHVAC[Measure Name],0)),4)
))</f>
        <v/>
      </c>
      <c r="BA26" s="746" t="str">
        <f>IF(
OR(C26="",N26="",V26="",AA26="",T26="",AE26="",AG26="",X26=""),"",
IF(OR(ISNUMBER(SEARCH("PTAC",C26)),ISNUMBER(SEARCH("PTHP",C26))),
ROUND(V26*INDEX(STDHVAC[Coincident Peak Demand Savings (kW/unit)],MATCH(C26,STDHVAC[Measure Name],0)),4),
ROUND(V26* ABS(N26-L26)*INDEX(STDHVAC[Coincident Peak Demand Savings (kW/unit)],MATCH(C26,STDHVAC[Measure Name],0)),4)
))</f>
        <v/>
      </c>
      <c r="BB26" s="871"/>
      <c r="BC26" s="871"/>
      <c r="BD26" s="886" t="str">
        <f>IFERROR(IF(OR(C26="",N26="",V26="",AA26="",T26="",AE26="",AG26=""),"",INDEX(STDHVAC[End Use],MATCH(C26,STDHVAC[Measure Name],0))),"Err")</f>
        <v/>
      </c>
      <c r="BE26" s="888" t="str">
        <f>IF(C26&lt;&gt;"", _xlfn.LET(
_xlpm.Tons_Cool, V26, _xlpm.PLC_Base, L26, _xlpm.PLC_Eff, N26, _xlpm.Tons_Heat, BP26, _xlpm.Other_Base, R26, _xlpm.Other_Eff, T26,
_xlpm.EFLH_Cool,
INDEX(STDHVAC[EFLHcool],MATCH(C26,STDHVAC[Measure Name],0)),
_xlpm.EFLH_Heat,
INDEX(STDHVAC[EFLHheat],MATCH(C26,STDHVAC[Measure Name],0)),
_xlpm.ElecHeat,
INDEX(SPACEHEAT[ELECHEAT],MATCH(M02S04F22,SPACEHEAT[Space Conditioning],0)),
_xlpm.kWhCool,
ROUND(
IF(OR(ISNUMBER(SEARCH("DX", C26)),ISNUMBER(SEARCH("ASHP", C26)), ISNUMBER(SEARCH("PTAC", C26)), ISNUMBER(SEARCH("PTHP", C26)), ISNUMBER(SEARCH("Air-Cooled Chiller", C26)), ISNUMBER(SEARCH("VRF", C26))),
_xlpm.Tons_Cool * (12/_xlpm.PLC_Base - 12/_xlpm.PLC_Eff)*_xlpm.EFLH_Cool,
IF(ISNUMBER(SEARCH("Water", C26)),
_xlpm.Tons_Cool * (_xlpm.PLC_Base - _xlpm.PLC_Eff) * _xlpm.EFLH_Cool,
" "
)),4),
_xlpm.kWhHeat,
IF(
_xlpm.ElecHeat=1,
ROUND(
IF(OR(ISNUMBER(SEARCH("DX", C26)),ISNUMBER(SEARCH("PTAC", C26)), ISNUMBER(SEARCH("Air-Cooled Chiller", C26)), ISNUMBER(SEARCH("Water", C26)),
ISNUMBER(SEARCH("VRF", C26))),
0,
IF(
OR(ISNUMBER(SEARCH("ASHP", C26)), ISNUMBER(SEARCH("PTHP", C26))),
_xlpm.Tons_Heat * (1/_xlpm.Other_Base - 1/_xlpm.Other_Eff) * _xlpm.EFLH_Heat,
" "
)),4),
0
),
_xlpm.kWhCool + _xlpm.kWhHeat
), "")</f>
        <v/>
      </c>
      <c r="BF26" s="888" t="str">
        <f>IF(C26&lt;&gt;"", _xlfn.LET(
_xlpm.Tons, V26, _xlpm.PCF, 0.913,
IF(AND(ISNUMBER(SEARCH("DX",C26)),ISNUMBER(SEARCH("&lt;65 kbtu",C26))),
_xlpm.Tons * (12/11.42-12/MAX(11.42,T26))*_xlpm.PCF,
IF(OR(ISNUMBER(SEARCH("DX", C26)), ISNUMBER(SEARCH("Air-Cooled Chiller", C26)), ISNUMBER(SEARCH("VRF", C26))),
_xlpm.Tons * (12/R26 - 12/T26) * _xlpm.PCF,
IF(ISNUMBER(SEARCH("Water", C26)),
_xlpm.Tons * (R26-T26) * _xlpm.PCF,
IF(ISNUMBER(SEARCH("ASHP", C26)),
_xlpm.Tons * (12/BN26 - 12/BO26) * _xlpm.PCF,
IF(OR(ISNUMBER(SEARCH("PTAC", C26)), ISNUMBER(SEARCH("PTHP", C26))),
_xlpm.Tons * (12/L26 - 12/N26) * _xlpm.PCF,#REF!)))))), "")</f>
        <v/>
      </c>
      <c r="BG26" s="838" t="str">
        <f t="shared" si="1"/>
        <v/>
      </c>
      <c r="BH26" s="882" t="str">
        <f>IFERROR(IF(OR(C26="",N26="",V26="",AA26="",T26="",AE26="",AG26="",ISNUMBER(AR26)=FALSE,AR26=0),"",INDEX(STDHVAC[Measure Number],MATCH(C26,STDHVAC[Measure Name],0))),"Err")</f>
        <v/>
      </c>
      <c r="BI26" s="754" t="str">
        <f t="shared" ref="BI26" si="23">IFERROR(IF(BS26="",IF(AR26 &lt; BG26, "100% Total Cost", ""), ""), "")</f>
        <v/>
      </c>
      <c r="BJ26" s="882" t="str">
        <f>IFERROR(
IF(OR(C26="",N26="",T26="",V26="",AA26="",AE26="",AG26=""),
"",
IF(BS26&gt;0,"",IF(OR(AND(ISNUMBER(SEARCH("kW/ton", J26)),OR(L26&lt;=N26,R26&lt;T26)),AND(NOT(ISNUMBER(SEARCH("kW/ton", J26))),OR(L26&gt;=N26,R26&gt;T26))),
"Must Improve Efficiency",
IF(EXPIRATION&lt;&gt;"",PROJSTATEXP,"")))),
"")</f>
        <v/>
      </c>
      <c r="BK26" s="828" t="str">
        <f>IFERROR(INDEX(STDHVAC[Measure Life (Years)],MATCH(C26,STDHVAC[Measure Name],0)),"")</f>
        <v/>
      </c>
      <c r="BL26" s="884" t="str">
        <f>IFERROR(IF(OR(C26="",N26="",V26="",AA26="",T26="",AE26="",AG26=""),"",
ROUND(((1+ELOSS)*((AZ26*INDEX(ELECCB[NPV AEC $/kWh],MATCH(BK26,ELECCB[Year Number],1)))+(BA26*INDEX(ELECCB[NPV ACC $/kW],MATCH(BK26,ELECCB[Year Number],1))))),2)),0)</f>
        <v/>
      </c>
      <c r="BM26" s="918" t="str">
        <f>IFERROR(IF(INDEX(STDHVAC[Eff Unit 3],MATCH(C26,STDHVAC[Measure Name],0))="","",INDEX(STDHVAC[Eff Unit 3],MATCH(C26,STDHVAC[Measure Name],0))),"")</f>
        <v/>
      </c>
      <c r="BN26" s="880" t="str">
        <f>IFERROR(IF(INDEX(STDHVAC[Base Efficiency 3],MATCH(C26,STDHVAC[Measure Name],0))="","",INDEX(STDHVAC[Base Efficiency 3],MATCH(C26,STDHVAC[Measure Name],0))),"")</f>
        <v/>
      </c>
      <c r="BO26" s="889" t="str">
        <f t="shared" si="3"/>
        <v/>
      </c>
      <c r="BP26" s="920"/>
      <c r="BQ26" s="891" t="str">
        <f>IFERROR(IF(OR(C26="",N26="",V26="",AA26="",T26="",AE26="",AG26=""),"",INDEX(STDHVAC[Reporting Methodology],MATCH(C26,STDHVAC[Measure Name],0))),"Err")</f>
        <v/>
      </c>
      <c r="BR26" s="867" t="str">
        <f>IFERROR(IF(OR(C26="", V26=""),"",INDEX(STDHVAC[Incremental Measure Cost ($/Unit)],MATCH(C26,STDHVAC[Measure Name],0)) * V26),"Err")</f>
        <v/>
      </c>
      <c r="BS26" s="837"/>
      <c r="BT26" s="838" t="str">
        <f>_xlfn.LET(
_xlpm.IPU,
IFERROR(IF(C26="","",INDEX(STDHVAC[Base Incentive],MATCH(C26,STDHVAC[Measure Name],0))),""),
IFERROR(IF(AI26="$/ton", ROUND(V26*_xlpm.IPU, 2),
IF(AND(ISNUMBER(SEARCH("Air-Cooled Chiller",C26)),AI26="$/ton/IPLV"), ROUND((12/L26-12/N26)*V26*_xlpm.IPU, 2),
ROUND(ABS(N26-L26)*V26*_xlpm.IPU, 2))), ""))</f>
        <v/>
      </c>
    </row>
    <row r="27" spans="1:72" ht="15.95" customHeight="1">
      <c r="B27" s="806"/>
      <c r="C27" s="716"/>
      <c r="D27" s="717"/>
      <c r="E27" s="717"/>
      <c r="F27" s="717"/>
      <c r="G27" s="717"/>
      <c r="H27" s="717"/>
      <c r="I27" s="717"/>
      <c r="J27" s="894"/>
      <c r="K27" s="895"/>
      <c r="L27" s="898"/>
      <c r="M27" s="899"/>
      <c r="N27" s="900"/>
      <c r="O27" s="901"/>
      <c r="P27" s="902"/>
      <c r="Q27" s="903"/>
      <c r="R27" s="904"/>
      <c r="S27" s="905"/>
      <c r="T27" s="908"/>
      <c r="U27" s="909"/>
      <c r="V27" s="910"/>
      <c r="W27" s="911"/>
      <c r="X27" s="716"/>
      <c r="Y27" s="717"/>
      <c r="Z27" s="718"/>
      <c r="AA27" s="932"/>
      <c r="AB27" s="930"/>
      <c r="AC27" s="930"/>
      <c r="AD27" s="931"/>
      <c r="AE27" s="765"/>
      <c r="AF27" s="766"/>
      <c r="AG27" s="766"/>
      <c r="AH27" s="767"/>
      <c r="AI27" s="912"/>
      <c r="AJ27" s="912"/>
      <c r="AK27" s="912"/>
      <c r="AL27" s="913"/>
      <c r="AM27" s="915"/>
      <c r="AN27" s="796"/>
      <c r="AO27" s="798"/>
      <c r="AP27" s="798"/>
      <c r="AQ27" s="798"/>
      <c r="AR27" s="827"/>
      <c r="AS27" s="827"/>
      <c r="AT27" s="827"/>
      <c r="AU27" s="827"/>
      <c r="AV27" s="22"/>
      <c r="AX27" s="874"/>
      <c r="AY27" s="917"/>
      <c r="AZ27" s="747"/>
      <c r="BA27" s="747"/>
      <c r="BB27" s="871"/>
      <c r="BC27" s="871"/>
      <c r="BD27" s="887"/>
      <c r="BE27" s="762"/>
      <c r="BF27" s="762"/>
      <c r="BG27" s="839"/>
      <c r="BH27" s="883"/>
      <c r="BI27" s="755"/>
      <c r="BJ27" s="883"/>
      <c r="BK27" s="829"/>
      <c r="BL27" s="885"/>
      <c r="BM27" s="919"/>
      <c r="BN27" s="881"/>
      <c r="BO27" s="890"/>
      <c r="BP27" s="921"/>
      <c r="BQ27" s="891"/>
      <c r="BR27" s="867"/>
      <c r="BS27" s="837"/>
      <c r="BT27" s="839"/>
    </row>
    <row r="28" spans="1:72" ht="15.95" customHeight="1">
      <c r="B28" s="806">
        <v>6</v>
      </c>
      <c r="C28" s="713"/>
      <c r="D28" s="714"/>
      <c r="E28" s="714"/>
      <c r="F28" s="714"/>
      <c r="G28" s="714"/>
      <c r="H28" s="714"/>
      <c r="I28" s="714"/>
      <c r="J28" s="892" t="str">
        <f>IF(C28="","",INDEX(STDHVAC[Eff Unit 1],MATCH(C28,STDHVAC[Measure Name],0)))</f>
        <v/>
      </c>
      <c r="K28" s="893"/>
      <c r="L28" s="896" t="str">
        <f>IF(C28="","",INDEX(STDHVAC[Base Efficiency 1],MATCH(C28,STDHVAC[Measure Name],0)))</f>
        <v/>
      </c>
      <c r="M28" s="897"/>
      <c r="N28" s="900"/>
      <c r="O28" s="901"/>
      <c r="P28" s="894" t="str">
        <f>IF(C28="","",INDEX(STDHVAC[Eff Unit 2],MATCH(C28,STDHVAC[Measure Name],0)))</f>
        <v/>
      </c>
      <c r="Q28" s="895"/>
      <c r="R28" s="898" t="str">
        <f>IF(C28="","",INDEX(STDHVAC[Base Efficiency 2],MATCH(C28,STDHVAC[Measure Name],0)))</f>
        <v/>
      </c>
      <c r="S28" s="899"/>
      <c r="T28" s="906" t="str">
        <f t="shared" ref="T28" si="24">IF(AND(ISNUMBER(SEARCH("DX",C28)),ISNUMBER(SEARCH("&lt;65 kbtu",C28)),N28&lt;&gt;""),1.12*N28-0.02*N28^2,IF(AND(ISNUMBER(SEARCH("PTAC",C28)),N28&lt;&gt;""),1,""))</f>
        <v/>
      </c>
      <c r="U28" s="907"/>
      <c r="V28" s="910"/>
      <c r="W28" s="911"/>
      <c r="X28" s="713"/>
      <c r="Y28" s="714"/>
      <c r="Z28" s="715"/>
      <c r="AA28" s="932"/>
      <c r="AB28" s="930"/>
      <c r="AC28" s="930"/>
      <c r="AD28" s="931"/>
      <c r="AE28" s="786"/>
      <c r="AF28" s="787"/>
      <c r="AG28" s="787"/>
      <c r="AH28" s="788"/>
      <c r="AI28" s="912" t="str">
        <f>IF(C28="","",INDEX(STDHVAC[Current Unit],MATCH(C28,STDHVAC[Measure Name],0)))</f>
        <v/>
      </c>
      <c r="AJ28" s="912"/>
      <c r="AK28" s="912"/>
      <c r="AL28" s="913"/>
      <c r="AM28" s="914" t="str">
        <f>IFERROR(IF(C28="","",INDEX(IF(AND(ACTIVEBONUS = TRUE,INDEX(STDHVAC[Bonus Incentive],MATCH(C28,STDHVAC[Measure Name],0))&lt;&gt; ""),STDHVAC[Bonus Incentive],STDHVAC[Base Incentive]),MATCH(C28,STDHVAC[Measure Name],0))),"")</f>
        <v/>
      </c>
      <c r="AN28" s="794"/>
      <c r="AO28" s="797" t="str">
        <f t="shared" ref="AO28" si="25">IFERROR(IF(OR(C28="",N28="",V28="",AA28="",T28="",AE28="",AG28=""),"",IF(BQ28="Deemed",AZ28,IF(BQ28="Calculated",BE28,""))),"")</f>
        <v/>
      </c>
      <c r="AP28" s="797"/>
      <c r="AQ28" s="797"/>
      <c r="AR28" s="826" t="str">
        <f t="shared" ref="AR28" si="26">IFERROR(IF(OR(C28="",N28="",V28="",AA28="",T28="",AE28="",AG28=""),"",IF(BJ28&lt;&gt;"",BJ28,IF(BS28&gt;0,BS28,ROUND(IF(AO28&lt;=0,0,MIN(AX28,BG28)), 2)))), "")</f>
        <v/>
      </c>
      <c r="AS28" s="826"/>
      <c r="AT28" s="826"/>
      <c r="AU28" s="826"/>
      <c r="AV28" s="22"/>
      <c r="AX28" s="873" t="str">
        <f t="shared" ref="AX28" si="27">IF(OR(C28="",N28="",V28="",AA28="",T28="",AE28="",AG28="",X28=""),"",IF(AO28=0,"",ROUND(AE28+AG28,2)))</f>
        <v/>
      </c>
      <c r="AY28" s="916" t="str">
        <f>IFERROR(IF(OR(C28="",N28="",V28="",AA28="",T28="",AE28="",AG28="",X28=""),"",INDEX(STDHVAC[Current Unit],MATCH(C28,STDHVAC[Measure Name],0))),"Err")</f>
        <v/>
      </c>
      <c r="AZ28" s="746" t="str">
        <f>IF(
OR(C28="",N28="",V28="",AA28="",T28="",AE28="",AG28="",X28=""),"",
IF(OR(ISNUMBER(SEARCH("PTAC",C28)),ISNUMBER(SEARCH("PTHP",C28))),
ROUND(V28*INDEX(STDHVAC[Electric Energy Savings (Annual kWh/unit)],MATCH(C28,STDHVAC[Measure Name],0)),4),
ROUND(V28*ABS(N28-L28)*INDEX(STDHVAC[Electric Energy Savings (Annual kWh/unit)],MATCH(C28,STDHVAC[Measure Name],0)),4)
))</f>
        <v/>
      </c>
      <c r="BA28" s="746" t="str">
        <f>IF(
OR(C28="",N28="",V28="",AA28="",T28="",AE28="",AG28="",X28=""),"",
IF(OR(ISNUMBER(SEARCH("PTAC",C28)),ISNUMBER(SEARCH("PTHP",C28))),
ROUND(V28*INDEX(STDHVAC[Coincident Peak Demand Savings (kW/unit)],MATCH(C28,STDHVAC[Measure Name],0)),4),
ROUND(V28* ABS(N28-L28)*INDEX(STDHVAC[Coincident Peak Demand Savings (kW/unit)],MATCH(C28,STDHVAC[Measure Name],0)),4)
))</f>
        <v/>
      </c>
      <c r="BB28" s="871"/>
      <c r="BC28" s="871"/>
      <c r="BD28" s="886" t="str">
        <f>IFERROR(IF(OR(C28="",N28="",V28="",AA28="",T28="",AE28="",AG28=""),"",INDEX(STDHVAC[End Use],MATCH(C28,STDHVAC[Measure Name],0))),"Err")</f>
        <v/>
      </c>
      <c r="BE28" s="888" t="str">
        <f>IF(C28&lt;&gt;"", _xlfn.LET(
_xlpm.Tons_Cool, V28, _xlpm.PLC_Base, L28, _xlpm.PLC_Eff, N28, _xlpm.Tons_Heat, BP28, _xlpm.Other_Base, R28, _xlpm.Other_Eff, T28,
_xlpm.EFLH_Cool,
INDEX(STDHVAC[EFLHcool],MATCH(C28,STDHVAC[Measure Name],0)),
_xlpm.EFLH_Heat,
INDEX(STDHVAC[EFLHheat],MATCH(C28,STDHVAC[Measure Name],0)),
_xlpm.ElecHeat,
INDEX(SPACEHEAT[ELECHEAT],MATCH(M02S04F22,SPACEHEAT[Space Conditioning],0)),
_xlpm.kWhCool,
ROUND(
IF(OR(ISNUMBER(SEARCH("DX", C28)),ISNUMBER(SEARCH("ASHP", C28)), ISNUMBER(SEARCH("PTAC", C28)), ISNUMBER(SEARCH("PTHP", C28)), ISNUMBER(SEARCH("Air-Cooled Chiller", C28)), ISNUMBER(SEARCH("VRF", C28))),
_xlpm.Tons_Cool * (12/_xlpm.PLC_Base - 12/_xlpm.PLC_Eff)*_xlpm.EFLH_Cool,
IF(ISNUMBER(SEARCH("Water", C28)),
_xlpm.Tons_Cool * (_xlpm.PLC_Base - _xlpm.PLC_Eff) * _xlpm.EFLH_Cool,
" "
)),4),
_xlpm.kWhHeat,
IF(
_xlpm.ElecHeat=1,
ROUND(
IF(OR(ISNUMBER(SEARCH("DX", C28)),ISNUMBER(SEARCH("PTAC", C28)), ISNUMBER(SEARCH("Air-Cooled Chiller", C28)), ISNUMBER(SEARCH("Water", C28)),
ISNUMBER(SEARCH("VRF", C28))),
0,
IF(
OR(ISNUMBER(SEARCH("ASHP", C28)), ISNUMBER(SEARCH("PTHP", C28))),
_xlpm.Tons_Heat * (1/_xlpm.Other_Base - 1/_xlpm.Other_Eff) * _xlpm.EFLH_Heat,
" "
)),4),
0
),
_xlpm.kWhCool + _xlpm.kWhHeat
), "")</f>
        <v/>
      </c>
      <c r="BF28" s="888" t="str">
        <f>IF(C28&lt;&gt;"", _xlfn.LET(
_xlpm.Tons, V28, _xlpm.PCF, 0.913,
IF(AND(ISNUMBER(SEARCH("DX",C28)),ISNUMBER(SEARCH("&lt;65 kbtu",C28))),
_xlpm.Tons * (12/11.42-12/MAX(11.42,T28))*_xlpm.PCF,
IF(OR(ISNUMBER(SEARCH("DX", C28)), ISNUMBER(SEARCH("Air-Cooled Chiller", C28)), ISNUMBER(SEARCH("VRF", C28))),
_xlpm.Tons * (12/R28 - 12/T28) * _xlpm.PCF,
IF(ISNUMBER(SEARCH("Water", C28)),
_xlpm.Tons * (R28-T28) * _xlpm.PCF,
IF(ISNUMBER(SEARCH("ASHP", C28)),
_xlpm.Tons * (12/BN28 - 12/BO28) * _xlpm.PCF,
IF(OR(ISNUMBER(SEARCH("PTAC", C28)), ISNUMBER(SEARCH("PTHP", C28))),
_xlpm.Tons * (12/L28 - 12/N28) * _xlpm.PCF,#REF!)))))), "")</f>
        <v/>
      </c>
      <c r="BG28" s="838" t="str">
        <f t="shared" si="1"/>
        <v/>
      </c>
      <c r="BH28" s="882" t="str">
        <f>IFERROR(IF(OR(C28="",N28="",V28="",AA28="",T28="",AE28="",AG28="",ISNUMBER(AR28)=FALSE,AR28=0),"",INDEX(STDHVAC[Measure Number],MATCH(C28,STDHVAC[Measure Name],0))),"Err")</f>
        <v/>
      </c>
      <c r="BI28" s="754" t="str">
        <f t="shared" ref="BI28" si="28">IFERROR(IF(BS28="",IF(AR28 &lt; BG28, "100% Total Cost", ""), ""), "")</f>
        <v/>
      </c>
      <c r="BJ28" s="882" t="str">
        <f>IFERROR(
IF(OR(C28="",N28="",T28="",V28="",AA28="",AE28="",AG28=""),
"",
IF(BS28&gt;0,"",IF(OR(AND(ISNUMBER(SEARCH("kW/ton", J28)),OR(L28&lt;=N28,R28&lt;T28)),AND(NOT(ISNUMBER(SEARCH("kW/ton", J28))),OR(L28&gt;=N28,R28&gt;T28))),
"Must Improve Efficiency",
IF(EXPIRATION&lt;&gt;"",PROJSTATEXP,"")))),
"")</f>
        <v/>
      </c>
      <c r="BK28" s="828" t="str">
        <f>IFERROR(INDEX(STDHVAC[Measure Life (Years)],MATCH(C28,STDHVAC[Measure Name],0)),"")</f>
        <v/>
      </c>
      <c r="BL28" s="884" t="str">
        <f>IFERROR(IF(OR(C28="",N28="",V28="",AA28="",T28="",AE28="",AG28=""),"",
ROUND(((1+ELOSS)*((AZ28*INDEX(ELECCB[NPV AEC $/kWh],MATCH(BK28,ELECCB[Year Number],1)))+(BA28*INDEX(ELECCB[NPV ACC $/kW],MATCH(BK28,ELECCB[Year Number],1))))),2)),0)</f>
        <v/>
      </c>
      <c r="BM28" s="918" t="str">
        <f>IFERROR(IF(INDEX(STDHVAC[Eff Unit 3],MATCH(C28,STDHVAC[Measure Name],0))="","",INDEX(STDHVAC[Eff Unit 3],MATCH(C28,STDHVAC[Measure Name],0))),"")</f>
        <v/>
      </c>
      <c r="BN28" s="880" t="str">
        <f>IFERROR(IF(INDEX(STDHVAC[Base Efficiency 3],MATCH(C28,STDHVAC[Measure Name],0))="","",INDEX(STDHVAC[Base Efficiency 3],MATCH(C28,STDHVAC[Measure Name],0))),"")</f>
        <v/>
      </c>
      <c r="BO28" s="889" t="str">
        <f t="shared" si="3"/>
        <v/>
      </c>
      <c r="BP28" s="920"/>
      <c r="BQ28" s="891" t="str">
        <f>IFERROR(IF(OR(C28="",N28="",V28="",AA28="",T28="",AE28="",AG28=""),"",INDEX(STDHVAC[Reporting Methodology],MATCH(C28,STDHVAC[Measure Name],0))),"Err")</f>
        <v/>
      </c>
      <c r="BR28" s="867" t="str">
        <f>IFERROR(IF(OR(C28="", V28=""),"",INDEX(STDHVAC[Incremental Measure Cost ($/Unit)],MATCH(C28,STDHVAC[Measure Name],0)) * V28),"Err")</f>
        <v/>
      </c>
      <c r="BS28" s="837"/>
      <c r="BT28" s="838" t="str">
        <f>_xlfn.LET(
_xlpm.IPU,
IFERROR(IF(C28="","",INDEX(STDHVAC[Base Incentive],MATCH(C28,STDHVAC[Measure Name],0))),""),
IFERROR(IF(AI28="$/ton", ROUND(V28*_xlpm.IPU, 2),
IF(AND(ISNUMBER(SEARCH("Air-Cooled Chiller",C28)),AI28="$/ton/IPLV"), ROUND((12/L28-12/N28)*V28*_xlpm.IPU, 2),
ROUND(ABS(N28-L28)*V28*_xlpm.IPU, 2))), ""))</f>
        <v/>
      </c>
    </row>
    <row r="29" spans="1:72" ht="15.95" customHeight="1">
      <c r="B29" s="806"/>
      <c r="C29" s="716"/>
      <c r="D29" s="717"/>
      <c r="E29" s="717"/>
      <c r="F29" s="717"/>
      <c r="G29" s="717"/>
      <c r="H29" s="717"/>
      <c r="I29" s="717"/>
      <c r="J29" s="894"/>
      <c r="K29" s="895"/>
      <c r="L29" s="898"/>
      <c r="M29" s="899"/>
      <c r="N29" s="900"/>
      <c r="O29" s="901"/>
      <c r="P29" s="902"/>
      <c r="Q29" s="903"/>
      <c r="R29" s="904"/>
      <c r="S29" s="905"/>
      <c r="T29" s="908"/>
      <c r="U29" s="909"/>
      <c r="V29" s="910"/>
      <c r="W29" s="911"/>
      <c r="X29" s="716"/>
      <c r="Y29" s="717"/>
      <c r="Z29" s="718"/>
      <c r="AA29" s="932"/>
      <c r="AB29" s="930"/>
      <c r="AC29" s="930"/>
      <c r="AD29" s="931"/>
      <c r="AE29" s="765"/>
      <c r="AF29" s="766"/>
      <c r="AG29" s="766"/>
      <c r="AH29" s="767"/>
      <c r="AI29" s="912"/>
      <c r="AJ29" s="912"/>
      <c r="AK29" s="912"/>
      <c r="AL29" s="913"/>
      <c r="AM29" s="915"/>
      <c r="AN29" s="796"/>
      <c r="AO29" s="798"/>
      <c r="AP29" s="798"/>
      <c r="AQ29" s="798"/>
      <c r="AR29" s="827"/>
      <c r="AS29" s="827"/>
      <c r="AT29" s="827"/>
      <c r="AU29" s="827"/>
      <c r="AV29" s="22"/>
      <c r="AX29" s="874"/>
      <c r="AY29" s="917"/>
      <c r="AZ29" s="747"/>
      <c r="BA29" s="747"/>
      <c r="BB29" s="871"/>
      <c r="BC29" s="871"/>
      <c r="BD29" s="887"/>
      <c r="BE29" s="762"/>
      <c r="BF29" s="762"/>
      <c r="BG29" s="839"/>
      <c r="BH29" s="883"/>
      <c r="BI29" s="755"/>
      <c r="BJ29" s="883"/>
      <c r="BK29" s="829"/>
      <c r="BL29" s="885"/>
      <c r="BM29" s="919"/>
      <c r="BN29" s="881"/>
      <c r="BO29" s="890"/>
      <c r="BP29" s="921"/>
      <c r="BQ29" s="891"/>
      <c r="BR29" s="867"/>
      <c r="BS29" s="837"/>
      <c r="BT29" s="839"/>
    </row>
    <row r="30" spans="1:72" ht="15.95" customHeight="1">
      <c r="B30" s="806">
        <v>7</v>
      </c>
      <c r="C30" s="713"/>
      <c r="D30" s="714"/>
      <c r="E30" s="714"/>
      <c r="F30" s="714"/>
      <c r="G30" s="714"/>
      <c r="H30" s="714"/>
      <c r="I30" s="714"/>
      <c r="J30" s="892" t="str">
        <f>IF(C30="","",INDEX(STDHVAC[Eff Unit 1],MATCH(C30,STDHVAC[Measure Name],0)))</f>
        <v/>
      </c>
      <c r="K30" s="893"/>
      <c r="L30" s="896" t="str">
        <f>IF(C30="","",INDEX(STDHVAC[Base Efficiency 1],MATCH(C30,STDHVAC[Measure Name],0)))</f>
        <v/>
      </c>
      <c r="M30" s="897"/>
      <c r="N30" s="900"/>
      <c r="O30" s="901"/>
      <c r="P30" s="894" t="str">
        <f>IF(C30="","",INDEX(STDHVAC[Eff Unit 2],MATCH(C30,STDHVAC[Measure Name],0)))</f>
        <v/>
      </c>
      <c r="Q30" s="895"/>
      <c r="R30" s="898" t="str">
        <f>IF(C30="","",INDEX(STDHVAC[Base Efficiency 2],MATCH(C30,STDHVAC[Measure Name],0)))</f>
        <v/>
      </c>
      <c r="S30" s="899"/>
      <c r="T30" s="906" t="str">
        <f t="shared" ref="T30" si="29">IF(AND(ISNUMBER(SEARCH("DX",C30)),ISNUMBER(SEARCH("&lt;65 kbtu",C30)),N30&lt;&gt;""),1.12*N30-0.02*N30^2,IF(AND(ISNUMBER(SEARCH("PTAC",C30)),N30&lt;&gt;""),1,""))</f>
        <v/>
      </c>
      <c r="U30" s="907"/>
      <c r="V30" s="910"/>
      <c r="W30" s="911"/>
      <c r="X30" s="713"/>
      <c r="Y30" s="714"/>
      <c r="Z30" s="715"/>
      <c r="AA30" s="932"/>
      <c r="AB30" s="930"/>
      <c r="AC30" s="930"/>
      <c r="AD30" s="931"/>
      <c r="AE30" s="765"/>
      <c r="AF30" s="766"/>
      <c r="AG30" s="766"/>
      <c r="AH30" s="767"/>
      <c r="AI30" s="912" t="str">
        <f>IF(C30="","",INDEX(STDHVAC[Current Unit],MATCH(C30,STDHVAC[Measure Name],0)))</f>
        <v/>
      </c>
      <c r="AJ30" s="912"/>
      <c r="AK30" s="912"/>
      <c r="AL30" s="913"/>
      <c r="AM30" s="914" t="str">
        <f>IFERROR(IF(C30="","",INDEX(IF(AND(ACTIVEBONUS = TRUE,INDEX(STDHVAC[Bonus Incentive],MATCH(C30,STDHVAC[Measure Name],0))&lt;&gt; ""),STDHVAC[Bonus Incentive],STDHVAC[Base Incentive]),MATCH(C30,STDHVAC[Measure Name],0))),"")</f>
        <v/>
      </c>
      <c r="AN30" s="794"/>
      <c r="AO30" s="797" t="str">
        <f t="shared" ref="AO30" si="30">IFERROR(IF(OR(C30="",N30="",V30="",AA30="",T30="",AE30="",AG30=""),"",IF(BQ30="Deemed",AZ30,IF(BQ30="Calculated",BE30,""))),"")</f>
        <v/>
      </c>
      <c r="AP30" s="797"/>
      <c r="AQ30" s="797"/>
      <c r="AR30" s="826" t="str">
        <f t="shared" ref="AR30" si="31">IFERROR(IF(OR(C30="",N30="",V30="",AA30="",T30="",AE30="",AG30=""),"",IF(BJ30&lt;&gt;"",BJ30,IF(BS30&gt;0,BS30,ROUND(IF(AO30&lt;=0,0,MIN(AX30,BG30)), 2)))), "")</f>
        <v/>
      </c>
      <c r="AS30" s="826"/>
      <c r="AT30" s="826"/>
      <c r="AU30" s="826"/>
      <c r="AV30" s="22"/>
      <c r="AX30" s="873" t="str">
        <f t="shared" ref="AX30" si="32">IF(OR(C30="",N30="",V30="",AA30="",T30="",AE30="",AG30="",X30=""),"",IF(AO30=0,"",ROUND(AE30+AG30,2)))</f>
        <v/>
      </c>
      <c r="AY30" s="916" t="str">
        <f>IFERROR(IF(OR(C30="",N30="",V30="",AA30="",T30="",AE30="",AG30="",X30=""),"",INDEX(STDHVAC[Current Unit],MATCH(C30,STDHVAC[Measure Name],0))),"Err")</f>
        <v/>
      </c>
      <c r="AZ30" s="746" t="str">
        <f>IF(
OR(C30="",N30="",V30="",AA30="",T30="",AE30="",AG30="",X30=""),"",
IF(OR(ISNUMBER(SEARCH("PTAC",C30)),ISNUMBER(SEARCH("PTHP",C30))),
ROUND(V30*INDEX(STDHVAC[Electric Energy Savings (Annual kWh/unit)],MATCH(C30,STDHVAC[Measure Name],0)),4),
ROUND(V30*ABS(N30-L30)*INDEX(STDHVAC[Electric Energy Savings (Annual kWh/unit)],MATCH(C30,STDHVAC[Measure Name],0)),4)
))</f>
        <v/>
      </c>
      <c r="BA30" s="746" t="str">
        <f>IF(
OR(C30="",N30="",V30="",AA30="",T30="",AE30="",AG30="",X30=""),"",
IF(OR(ISNUMBER(SEARCH("PTAC",C30)),ISNUMBER(SEARCH("PTHP",C30))),
ROUND(V30*INDEX(STDHVAC[Coincident Peak Demand Savings (kW/unit)],MATCH(C30,STDHVAC[Measure Name],0)),4),
ROUND(V30* ABS(N30-L30)*INDEX(STDHVAC[Coincident Peak Demand Savings (kW/unit)],MATCH(C30,STDHVAC[Measure Name],0)),4)
))</f>
        <v/>
      </c>
      <c r="BB30" s="871"/>
      <c r="BC30" s="871"/>
      <c r="BD30" s="886" t="str">
        <f>IFERROR(IF(OR(C30="",N30="",V30="",AA30="",T30="",AE30="",AG30=""),"",INDEX(STDHVAC[End Use],MATCH(C30,STDHVAC[Measure Name],0))),"Err")</f>
        <v/>
      </c>
      <c r="BE30" s="888" t="str">
        <f>IF(C30&lt;&gt;"", _xlfn.LET(
_xlpm.Tons_Cool, V30, _xlpm.PLC_Base, L30, _xlpm.PLC_Eff, N30, _xlpm.Tons_Heat, BP30, _xlpm.Other_Base, R30, _xlpm.Other_Eff, T30,
_xlpm.EFLH_Cool,
INDEX(STDHVAC[EFLHcool],MATCH(C30,STDHVAC[Measure Name],0)),
_xlpm.EFLH_Heat,
INDEX(STDHVAC[EFLHheat],MATCH(C30,STDHVAC[Measure Name],0)),
_xlpm.ElecHeat,
INDEX(SPACEHEAT[ELECHEAT],MATCH(M02S04F22,SPACEHEAT[Space Conditioning],0)),
_xlpm.kWhCool,
ROUND(
IF(OR(ISNUMBER(SEARCH("DX", C30)),ISNUMBER(SEARCH("ASHP", C30)), ISNUMBER(SEARCH("PTAC", C30)), ISNUMBER(SEARCH("PTHP", C30)), ISNUMBER(SEARCH("Air-Cooled Chiller", C30)), ISNUMBER(SEARCH("VRF", C30))),
_xlpm.Tons_Cool * (12/_xlpm.PLC_Base - 12/_xlpm.PLC_Eff)*_xlpm.EFLH_Cool,
IF(ISNUMBER(SEARCH("Water", C30)),
_xlpm.Tons_Cool * (_xlpm.PLC_Base - _xlpm.PLC_Eff) * _xlpm.EFLH_Cool,
" "
)),4),
_xlpm.kWhHeat,
IF(
_xlpm.ElecHeat=1,
ROUND(
IF(OR(ISNUMBER(SEARCH("DX", C30)),ISNUMBER(SEARCH("PTAC", C30)), ISNUMBER(SEARCH("Air-Cooled Chiller", C30)), ISNUMBER(SEARCH("Water", C30)),
ISNUMBER(SEARCH("VRF", C30))),
0,
IF(
OR(ISNUMBER(SEARCH("ASHP", C30)), ISNUMBER(SEARCH("PTHP", C30))),
_xlpm.Tons_Heat * (1/_xlpm.Other_Base - 1/_xlpm.Other_Eff) * _xlpm.EFLH_Heat,
" "
)),4),
0
),
_xlpm.kWhCool + _xlpm.kWhHeat
), "")</f>
        <v/>
      </c>
      <c r="BF30" s="888" t="str">
        <f>IF(C30&lt;&gt;"", _xlfn.LET(
_xlpm.Tons, V30, _xlpm.PCF, 0.913,
IF(AND(ISNUMBER(SEARCH("DX",C30)),ISNUMBER(SEARCH("&lt;65 kbtu",C30))),
_xlpm.Tons * (12/11.42-12/MAX(11.42,T30))*_xlpm.PCF,
IF(OR(ISNUMBER(SEARCH("DX", C30)), ISNUMBER(SEARCH("Air-Cooled Chiller", C30)), ISNUMBER(SEARCH("VRF", C30))),
_xlpm.Tons * (12/R30 - 12/T30) * _xlpm.PCF,
IF(ISNUMBER(SEARCH("Water", C30)),
_xlpm.Tons * (R30-T30) * _xlpm.PCF,
IF(ISNUMBER(SEARCH("ASHP", C30)),
_xlpm.Tons * (12/BN30 - 12/BO30) * _xlpm.PCF,
IF(OR(ISNUMBER(SEARCH("PTAC", C30)), ISNUMBER(SEARCH("PTHP", C30))),
_xlpm.Tons * (12/L30 - 12/N30) * _xlpm.PCF,#REF!)))))), "")</f>
        <v/>
      </c>
      <c r="BG30" s="838" t="str">
        <f t="shared" si="1"/>
        <v/>
      </c>
      <c r="BH30" s="882" t="str">
        <f>IFERROR(IF(OR(C30="",N30="",V30="",AA30="",T30="",AE30="",AG30="",ISNUMBER(AR30)=FALSE,AR30=0),"",INDEX(STDHVAC[Measure Number],MATCH(C30,STDHVAC[Measure Name],0))),"Err")</f>
        <v/>
      </c>
      <c r="BI30" s="754" t="str">
        <f t="shared" ref="BI30" si="33">IFERROR(IF(BS30="",IF(AR30 &lt; BG30, "100% Total Cost", ""), ""), "")</f>
        <v/>
      </c>
      <c r="BJ30" s="882" t="str">
        <f>IFERROR(
IF(OR(C30="",N30="",T30="",V30="",AA30="",AE30="",AG30=""),
"",
IF(BS30&gt;0,"",IF(OR(AND(ISNUMBER(SEARCH("kW/ton", J30)),OR(L30&lt;=N30,R30&lt;T30)),AND(NOT(ISNUMBER(SEARCH("kW/ton", J30))),OR(L30&gt;=N30,R30&gt;T30))),
"Must Improve Efficiency",
IF(EXPIRATION&lt;&gt;"",PROJSTATEXP,"")))),
"")</f>
        <v/>
      </c>
      <c r="BK30" s="828" t="str">
        <f>IFERROR(INDEX(STDHVAC[Measure Life (Years)],MATCH(C30,STDHVAC[Measure Name],0)),"")</f>
        <v/>
      </c>
      <c r="BL30" s="884" t="str">
        <f>IFERROR(IF(OR(C30="",N30="",V30="",AA30="",T30="",AE30="",AG30=""),"",
ROUND(((1+ELOSS)*((AZ30*INDEX(ELECCB[NPV AEC $/kWh],MATCH(BK30,ELECCB[Year Number],1)))+(BA30*INDEX(ELECCB[NPV ACC $/kW],MATCH(BK30,ELECCB[Year Number],1))))),2)),0)</f>
        <v/>
      </c>
      <c r="BM30" s="918" t="str">
        <f>IFERROR(IF(INDEX(STDHVAC[Eff Unit 3],MATCH(C30,STDHVAC[Measure Name],0))="","",INDEX(STDHVAC[Eff Unit 3],MATCH(C30,STDHVAC[Measure Name],0))),"")</f>
        <v/>
      </c>
      <c r="BN30" s="880" t="str">
        <f>IFERROR(IF(INDEX(STDHVAC[Base Efficiency 3],MATCH(C30,STDHVAC[Measure Name],0))="","",INDEX(STDHVAC[Base Efficiency 3],MATCH(C30,STDHVAC[Measure Name],0))),"")</f>
        <v/>
      </c>
      <c r="BO30" s="889" t="str">
        <f t="shared" si="3"/>
        <v/>
      </c>
      <c r="BP30" s="920"/>
      <c r="BQ30" s="891" t="str">
        <f>IFERROR(IF(OR(C30="",N30="",V30="",AA30="",T30="",AE30="",AG30=""),"",INDEX(STDHVAC[Reporting Methodology],MATCH(C30,STDHVAC[Measure Name],0))),"Err")</f>
        <v/>
      </c>
      <c r="BR30" s="867" t="str">
        <f>IFERROR(IF(OR(C30="", V30=""),"",INDEX(STDHVAC[Incremental Measure Cost ($/Unit)],MATCH(C30,STDHVAC[Measure Name],0)) * V30),"Err")</f>
        <v/>
      </c>
      <c r="BS30" s="837"/>
      <c r="BT30" s="838" t="str">
        <f>_xlfn.LET(
_xlpm.IPU,
IFERROR(IF(C30="","",INDEX(STDHVAC[Base Incentive],MATCH(C30,STDHVAC[Measure Name],0))),""),
IFERROR(IF(AI30="$/ton", ROUND(V30*_xlpm.IPU, 2),
IF(AND(ISNUMBER(SEARCH("Air-Cooled Chiller",C30)),AI30="$/ton/IPLV"), ROUND((12/L30-12/N30)*V30*_xlpm.IPU, 2),
ROUND(ABS(N30-L30)*V30*_xlpm.IPU, 2))), ""))</f>
        <v/>
      </c>
    </row>
    <row r="31" spans="1:72" ht="15.95" customHeight="1">
      <c r="B31" s="806"/>
      <c r="C31" s="716"/>
      <c r="D31" s="717"/>
      <c r="E31" s="717"/>
      <c r="F31" s="717"/>
      <c r="G31" s="717"/>
      <c r="H31" s="717"/>
      <c r="I31" s="717"/>
      <c r="J31" s="894"/>
      <c r="K31" s="895"/>
      <c r="L31" s="898"/>
      <c r="M31" s="899"/>
      <c r="N31" s="900"/>
      <c r="O31" s="901"/>
      <c r="P31" s="902"/>
      <c r="Q31" s="903"/>
      <c r="R31" s="904"/>
      <c r="S31" s="905"/>
      <c r="T31" s="908"/>
      <c r="U31" s="909"/>
      <c r="V31" s="910"/>
      <c r="W31" s="911"/>
      <c r="X31" s="716"/>
      <c r="Y31" s="717"/>
      <c r="Z31" s="718"/>
      <c r="AA31" s="932"/>
      <c r="AB31" s="930"/>
      <c r="AC31" s="930"/>
      <c r="AD31" s="931"/>
      <c r="AE31" s="765"/>
      <c r="AF31" s="766"/>
      <c r="AG31" s="766"/>
      <c r="AH31" s="767"/>
      <c r="AI31" s="912"/>
      <c r="AJ31" s="912"/>
      <c r="AK31" s="912"/>
      <c r="AL31" s="913"/>
      <c r="AM31" s="915"/>
      <c r="AN31" s="796"/>
      <c r="AO31" s="798"/>
      <c r="AP31" s="798"/>
      <c r="AQ31" s="798"/>
      <c r="AR31" s="827"/>
      <c r="AS31" s="827"/>
      <c r="AT31" s="827"/>
      <c r="AU31" s="827"/>
      <c r="AV31" s="22"/>
      <c r="AX31" s="874"/>
      <c r="AY31" s="917"/>
      <c r="AZ31" s="747"/>
      <c r="BA31" s="747"/>
      <c r="BB31" s="871"/>
      <c r="BC31" s="871"/>
      <c r="BD31" s="887"/>
      <c r="BE31" s="762"/>
      <c r="BF31" s="762"/>
      <c r="BG31" s="839"/>
      <c r="BH31" s="883"/>
      <c r="BI31" s="755"/>
      <c r="BJ31" s="883"/>
      <c r="BK31" s="829"/>
      <c r="BL31" s="885"/>
      <c r="BM31" s="919"/>
      <c r="BN31" s="881"/>
      <c r="BO31" s="890"/>
      <c r="BP31" s="921"/>
      <c r="BQ31" s="891"/>
      <c r="BR31" s="867"/>
      <c r="BS31" s="837"/>
      <c r="BT31" s="839"/>
    </row>
    <row r="32" spans="1:72" ht="15.95" customHeight="1">
      <c r="B32" s="806">
        <v>8</v>
      </c>
      <c r="C32" s="713"/>
      <c r="D32" s="714"/>
      <c r="E32" s="714"/>
      <c r="F32" s="714"/>
      <c r="G32" s="714"/>
      <c r="H32" s="714"/>
      <c r="I32" s="714"/>
      <c r="J32" s="892" t="str">
        <f>IF(C32="","",INDEX(STDHVAC[Eff Unit 1],MATCH(C32,STDHVAC[Measure Name],0)))</f>
        <v/>
      </c>
      <c r="K32" s="893"/>
      <c r="L32" s="896" t="str">
        <f>IF(C32="","",INDEX(STDHVAC[Base Efficiency 1],MATCH(C32,STDHVAC[Measure Name],0)))</f>
        <v/>
      </c>
      <c r="M32" s="897"/>
      <c r="N32" s="900"/>
      <c r="O32" s="901"/>
      <c r="P32" s="894" t="str">
        <f>IF(C32="","",INDEX(STDHVAC[Eff Unit 2],MATCH(C32,STDHVAC[Measure Name],0)))</f>
        <v/>
      </c>
      <c r="Q32" s="895"/>
      <c r="R32" s="898" t="str">
        <f>IF(C32="","",INDEX(STDHVAC[Base Efficiency 2],MATCH(C32,STDHVAC[Measure Name],0)))</f>
        <v/>
      </c>
      <c r="S32" s="899"/>
      <c r="T32" s="906" t="str">
        <f t="shared" ref="T32" si="34">IF(AND(ISNUMBER(SEARCH("DX",C32)),ISNUMBER(SEARCH("&lt;65 kbtu",C32)),N32&lt;&gt;""),1.12*N32-0.02*N32^2,IF(AND(ISNUMBER(SEARCH("PTAC",C32)),N32&lt;&gt;""),1,""))</f>
        <v/>
      </c>
      <c r="U32" s="907"/>
      <c r="V32" s="910"/>
      <c r="W32" s="911"/>
      <c r="X32" s="713"/>
      <c r="Y32" s="714"/>
      <c r="Z32" s="715"/>
      <c r="AA32" s="932"/>
      <c r="AB32" s="930"/>
      <c r="AC32" s="930"/>
      <c r="AD32" s="931"/>
      <c r="AE32" s="765"/>
      <c r="AF32" s="766"/>
      <c r="AG32" s="766"/>
      <c r="AH32" s="767"/>
      <c r="AI32" s="912" t="str">
        <f>IF(C32="","",INDEX(STDHVAC[Current Unit],MATCH(C32,STDHVAC[Measure Name],0)))</f>
        <v/>
      </c>
      <c r="AJ32" s="912"/>
      <c r="AK32" s="912"/>
      <c r="AL32" s="913"/>
      <c r="AM32" s="914" t="str">
        <f>IFERROR(IF(C32="","",INDEX(IF(AND(ACTIVEBONUS = TRUE,INDEX(STDHVAC[Bonus Incentive],MATCH(C32,STDHVAC[Measure Name],0))&lt;&gt; ""),STDHVAC[Bonus Incentive],STDHVAC[Base Incentive]),MATCH(C32,STDHVAC[Measure Name],0))),"")</f>
        <v/>
      </c>
      <c r="AN32" s="794"/>
      <c r="AO32" s="797" t="str">
        <f t="shared" ref="AO32" si="35">IFERROR(IF(OR(C32="",N32="",V32="",AA32="",T32="",AE32="",AG32=""),"",IF(BQ32="Deemed",AZ32,IF(BQ32="Calculated",BE32,""))),"")</f>
        <v/>
      </c>
      <c r="AP32" s="797"/>
      <c r="AQ32" s="797"/>
      <c r="AR32" s="826" t="str">
        <f t="shared" ref="AR32" si="36">IFERROR(IF(OR(C32="",N32="",V32="",AA32="",T32="",AE32="",AG32=""),"",IF(BJ32&lt;&gt;"",BJ32,IF(BS32&gt;0,BS32,ROUND(IF(AO32&lt;=0,0,MIN(AX32,BG32)), 2)))), "")</f>
        <v/>
      </c>
      <c r="AS32" s="826"/>
      <c r="AT32" s="826"/>
      <c r="AU32" s="826"/>
      <c r="AV32" s="22"/>
      <c r="AX32" s="873" t="str">
        <f t="shared" ref="AX32" si="37">IF(OR(C32="",N32="",V32="",AA32="",T32="",AE32="",AG32="",X32=""),"",IF(AO32=0,"",ROUND(AE32+AG32,2)))</f>
        <v/>
      </c>
      <c r="AY32" s="916" t="str">
        <f>IFERROR(IF(OR(C32="",N32="",V32="",AA32="",T32="",AE32="",AG32="",X32=""),"",INDEX(STDHVAC[Current Unit],MATCH(C32,STDHVAC[Measure Name],0))),"Err")</f>
        <v/>
      </c>
      <c r="AZ32" s="746" t="str">
        <f>IF(
OR(C32="",N32="",V32="",AA32="",T32="",AE32="",AG32="",X32=""),"",
IF(OR(ISNUMBER(SEARCH("PTAC",C32)),ISNUMBER(SEARCH("PTHP",C32))),
ROUND(V32*INDEX(STDHVAC[Electric Energy Savings (Annual kWh/unit)],MATCH(C32,STDHVAC[Measure Name],0)),4),
ROUND(V32*ABS(N32-L32)*INDEX(STDHVAC[Electric Energy Savings (Annual kWh/unit)],MATCH(C32,STDHVAC[Measure Name],0)),4)
))</f>
        <v/>
      </c>
      <c r="BA32" s="746" t="str">
        <f>IF(
OR(C32="",N32="",V32="",AA32="",T32="",AE32="",AG32="",X32=""),"",
IF(OR(ISNUMBER(SEARCH("PTAC",C32)),ISNUMBER(SEARCH("PTHP",C32))),
ROUND(V32*INDEX(STDHVAC[Coincident Peak Demand Savings (kW/unit)],MATCH(C32,STDHVAC[Measure Name],0)),4),
ROUND(V32* ABS(N32-L32)*INDEX(STDHVAC[Coincident Peak Demand Savings (kW/unit)],MATCH(C32,STDHVAC[Measure Name],0)),4)
))</f>
        <v/>
      </c>
      <c r="BB32" s="871"/>
      <c r="BC32" s="871"/>
      <c r="BD32" s="886" t="str">
        <f>IFERROR(IF(OR(C32="",N32="",V32="",AA32="",T32="",AE32="",AG32=""),"",INDEX(STDHVAC[End Use],MATCH(C32,STDHVAC[Measure Name],0))),"Err")</f>
        <v/>
      </c>
      <c r="BE32" s="888" t="str">
        <f>IF(C32&lt;&gt;"", _xlfn.LET(
_xlpm.Tons_Cool, V32, _xlpm.PLC_Base, L32, _xlpm.PLC_Eff, N32, _xlpm.Tons_Heat, BP32, _xlpm.Other_Base, R32, _xlpm.Other_Eff, T32,
_xlpm.EFLH_Cool,
INDEX(STDHVAC[EFLHcool],MATCH(C32,STDHVAC[Measure Name],0)),
_xlpm.EFLH_Heat,
INDEX(STDHVAC[EFLHheat],MATCH(C32,STDHVAC[Measure Name],0)),
_xlpm.ElecHeat,
INDEX(SPACEHEAT[ELECHEAT],MATCH(M02S04F22,SPACEHEAT[Space Conditioning],0)),
_xlpm.kWhCool,
ROUND(
IF(OR(ISNUMBER(SEARCH("DX", C32)),ISNUMBER(SEARCH("ASHP", C32)), ISNUMBER(SEARCH("PTAC", C32)), ISNUMBER(SEARCH("PTHP", C32)), ISNUMBER(SEARCH("Air-Cooled Chiller", C32)), ISNUMBER(SEARCH("VRF", C32))),
_xlpm.Tons_Cool * (12/_xlpm.PLC_Base - 12/_xlpm.PLC_Eff)*_xlpm.EFLH_Cool,
IF(ISNUMBER(SEARCH("Water", C32)),
_xlpm.Tons_Cool * (_xlpm.PLC_Base - _xlpm.PLC_Eff) * _xlpm.EFLH_Cool,
" "
)),4),
_xlpm.kWhHeat,
IF(
_xlpm.ElecHeat=1,
ROUND(
IF(OR(ISNUMBER(SEARCH("DX", C32)),ISNUMBER(SEARCH("PTAC", C32)), ISNUMBER(SEARCH("Air-Cooled Chiller", C32)), ISNUMBER(SEARCH("Water", C32)),
ISNUMBER(SEARCH("VRF", C32))),
0,
IF(
OR(ISNUMBER(SEARCH("ASHP", C32)), ISNUMBER(SEARCH("PTHP", C32))),
_xlpm.Tons_Heat * (1/_xlpm.Other_Base - 1/_xlpm.Other_Eff) * _xlpm.EFLH_Heat,
" "
)),4),
0
),
_xlpm.kWhCool + _xlpm.kWhHeat
), "")</f>
        <v/>
      </c>
      <c r="BF32" s="888" t="str">
        <f>IF(C32&lt;&gt;"", _xlfn.LET(
_xlpm.Tons, V32, _xlpm.PCF, 0.913,
IF(AND(ISNUMBER(SEARCH("DX",C32)),ISNUMBER(SEARCH("&lt;65 kbtu",C32))),
_xlpm.Tons * (12/11.42-12/MAX(11.42,T32))*_xlpm.PCF,
IF(OR(ISNUMBER(SEARCH("DX", C32)), ISNUMBER(SEARCH("Air-Cooled Chiller", C32)), ISNUMBER(SEARCH("VRF", C32))),
_xlpm.Tons * (12/R32 - 12/T32) * _xlpm.PCF,
IF(ISNUMBER(SEARCH("Water", C32)),
_xlpm.Tons * (R32-T32) * _xlpm.PCF,
IF(ISNUMBER(SEARCH("ASHP", C32)),
_xlpm.Tons * (12/BN32 - 12/BO32) * _xlpm.PCF,
IF(OR(ISNUMBER(SEARCH("PTAC", C32)), ISNUMBER(SEARCH("PTHP", C32))),
_xlpm.Tons * (12/L32 - 12/N32) * _xlpm.PCF,#REF!)))))), "")</f>
        <v/>
      </c>
      <c r="BG32" s="838" t="str">
        <f t="shared" si="1"/>
        <v/>
      </c>
      <c r="BH32" s="882" t="str">
        <f>IFERROR(IF(OR(C32="",N32="",V32="",AA32="",T32="",AE32="",AG32="",ISNUMBER(AR32)=FALSE,AR32=0),"",INDEX(STDHVAC[Measure Number],MATCH(C32,STDHVAC[Measure Name],0))),"Err")</f>
        <v/>
      </c>
      <c r="BI32" s="754" t="str">
        <f t="shared" ref="BI32" si="38">IFERROR(IF(BS32="",IF(AR32 &lt; BG32, "100% Total Cost", ""), ""), "")</f>
        <v/>
      </c>
      <c r="BJ32" s="882" t="str">
        <f>IFERROR(
IF(OR(C32="",N32="",T32="",V32="",AA32="",AE32="",AG32=""),
"",
IF(BS32&gt;0,"",IF(OR(AND(ISNUMBER(SEARCH("kW/ton", J32)),OR(L32&lt;=N32,R32&lt;T32)),AND(NOT(ISNUMBER(SEARCH("kW/ton", J32))),OR(L32&gt;=N32,R32&gt;T32))),
"Must Improve Efficiency",
IF(EXPIRATION&lt;&gt;"",PROJSTATEXP,"")))),
"")</f>
        <v/>
      </c>
      <c r="BK32" s="828" t="str">
        <f>IFERROR(INDEX(STDHVAC[Measure Life (Years)],MATCH(C32,STDHVAC[Measure Name],0)),"")</f>
        <v/>
      </c>
      <c r="BL32" s="884" t="str">
        <f>IFERROR(IF(OR(C32="",N32="",V32="",AA32="",T32="",AE32="",AG32=""),"",
ROUND(((1+ELOSS)*((AZ32*INDEX(ELECCB[NPV AEC $/kWh],MATCH(BK32,ELECCB[Year Number],1)))+(BA32*INDEX(ELECCB[NPV ACC $/kW],MATCH(BK32,ELECCB[Year Number],1))))),2)),0)</f>
        <v/>
      </c>
      <c r="BM32" s="918" t="str">
        <f>IFERROR(IF(INDEX(STDHVAC[Eff Unit 3],MATCH(C32,STDHVAC[Measure Name],0))="","",INDEX(STDHVAC[Eff Unit 3],MATCH(C32,STDHVAC[Measure Name],0))),"")</f>
        <v/>
      </c>
      <c r="BN32" s="880" t="str">
        <f>IFERROR(IF(INDEX(STDHVAC[Base Efficiency 3],MATCH(C32,STDHVAC[Measure Name],0))="","",INDEX(STDHVAC[Base Efficiency 3],MATCH(C32,STDHVAC[Measure Name],0))),"")</f>
        <v/>
      </c>
      <c r="BO32" s="889" t="str">
        <f t="shared" si="3"/>
        <v/>
      </c>
      <c r="BP32" s="920"/>
      <c r="BQ32" s="891" t="str">
        <f>IFERROR(IF(OR(C32="",N32="",V32="",AA32="",T32="",AE32="",AG32=""),"",INDEX(STDHVAC[Reporting Methodology],MATCH(C32,STDHVAC[Measure Name],0))),"Err")</f>
        <v/>
      </c>
      <c r="BR32" s="867" t="str">
        <f>IFERROR(IF(OR(C32="", V32=""),"",INDEX(STDHVAC[Incremental Measure Cost ($/Unit)],MATCH(C32,STDHVAC[Measure Name],0)) * V32),"Err")</f>
        <v/>
      </c>
      <c r="BS32" s="837"/>
      <c r="BT32" s="838" t="str">
        <f>_xlfn.LET(
_xlpm.IPU,
IFERROR(IF(C32="","",INDEX(STDHVAC[Base Incentive],MATCH(C32,STDHVAC[Measure Name],0))),""),
IFERROR(IF(AI32="$/ton", ROUND(V32*_xlpm.IPU, 2),
IF(AND(ISNUMBER(SEARCH("Air-Cooled Chiller",C32)),AI32="$/ton/IPLV"), ROUND((12/L32-12/N32)*V32*_xlpm.IPU, 2),
ROUND(ABS(N32-L32)*V32*_xlpm.IPU, 2))), ""))</f>
        <v/>
      </c>
    </row>
    <row r="33" spans="2:72" ht="15.95" customHeight="1">
      <c r="B33" s="806"/>
      <c r="C33" s="716"/>
      <c r="D33" s="717"/>
      <c r="E33" s="717"/>
      <c r="F33" s="717"/>
      <c r="G33" s="717"/>
      <c r="H33" s="717"/>
      <c r="I33" s="717"/>
      <c r="J33" s="894"/>
      <c r="K33" s="895"/>
      <c r="L33" s="898"/>
      <c r="M33" s="899"/>
      <c r="N33" s="900"/>
      <c r="O33" s="901"/>
      <c r="P33" s="902"/>
      <c r="Q33" s="903"/>
      <c r="R33" s="904"/>
      <c r="S33" s="905"/>
      <c r="T33" s="908"/>
      <c r="U33" s="909"/>
      <c r="V33" s="910"/>
      <c r="W33" s="911"/>
      <c r="X33" s="716"/>
      <c r="Y33" s="717"/>
      <c r="Z33" s="718"/>
      <c r="AA33" s="932"/>
      <c r="AB33" s="930"/>
      <c r="AC33" s="930"/>
      <c r="AD33" s="931"/>
      <c r="AE33" s="765"/>
      <c r="AF33" s="766"/>
      <c r="AG33" s="766"/>
      <c r="AH33" s="767"/>
      <c r="AI33" s="912"/>
      <c r="AJ33" s="912"/>
      <c r="AK33" s="912"/>
      <c r="AL33" s="913"/>
      <c r="AM33" s="915"/>
      <c r="AN33" s="796"/>
      <c r="AO33" s="798"/>
      <c r="AP33" s="798"/>
      <c r="AQ33" s="798"/>
      <c r="AR33" s="827"/>
      <c r="AS33" s="827"/>
      <c r="AT33" s="827"/>
      <c r="AU33" s="827"/>
      <c r="AV33" s="22"/>
      <c r="AX33" s="874"/>
      <c r="AY33" s="917"/>
      <c r="AZ33" s="747"/>
      <c r="BA33" s="747"/>
      <c r="BB33" s="871"/>
      <c r="BC33" s="871"/>
      <c r="BD33" s="887"/>
      <c r="BE33" s="762"/>
      <c r="BF33" s="762"/>
      <c r="BG33" s="839"/>
      <c r="BH33" s="883"/>
      <c r="BI33" s="755"/>
      <c r="BJ33" s="883"/>
      <c r="BK33" s="829"/>
      <c r="BL33" s="885"/>
      <c r="BM33" s="919"/>
      <c r="BN33" s="881"/>
      <c r="BO33" s="890"/>
      <c r="BP33" s="921"/>
      <c r="BQ33" s="891"/>
      <c r="BR33" s="867"/>
      <c r="BS33" s="837"/>
      <c r="BT33" s="839"/>
    </row>
    <row r="34" spans="2:72" ht="15.95" customHeight="1">
      <c r="B34" s="806">
        <v>9</v>
      </c>
      <c r="C34" s="713"/>
      <c r="D34" s="714"/>
      <c r="E34" s="714"/>
      <c r="F34" s="714"/>
      <c r="G34" s="714"/>
      <c r="H34" s="714"/>
      <c r="I34" s="714"/>
      <c r="J34" s="892" t="str">
        <f>IF(C34="","",INDEX(STDHVAC[Eff Unit 1],MATCH(C34,STDHVAC[Measure Name],0)))</f>
        <v/>
      </c>
      <c r="K34" s="893"/>
      <c r="L34" s="896" t="str">
        <f>IF(C34="","",INDEX(STDHVAC[Base Efficiency 1],MATCH(C34,STDHVAC[Measure Name],0)))</f>
        <v/>
      </c>
      <c r="M34" s="897"/>
      <c r="N34" s="900"/>
      <c r="O34" s="901"/>
      <c r="P34" s="894" t="str">
        <f>IF(C34="","",INDEX(STDHVAC[Eff Unit 2],MATCH(C34,STDHVAC[Measure Name],0)))</f>
        <v/>
      </c>
      <c r="Q34" s="895"/>
      <c r="R34" s="898" t="str">
        <f>IF(C34="","",INDEX(STDHVAC[Base Efficiency 2],MATCH(C34,STDHVAC[Measure Name],0)))</f>
        <v/>
      </c>
      <c r="S34" s="899"/>
      <c r="T34" s="906" t="str">
        <f t="shared" ref="T34" si="39">IF(AND(ISNUMBER(SEARCH("DX",C34)),ISNUMBER(SEARCH("&lt;65 kbtu",C34)),N34&lt;&gt;""),1.12*N34-0.02*N34^2,IF(AND(ISNUMBER(SEARCH("PTAC",C34)),N34&lt;&gt;""),1,""))</f>
        <v/>
      </c>
      <c r="U34" s="907"/>
      <c r="V34" s="910"/>
      <c r="W34" s="911"/>
      <c r="X34" s="713"/>
      <c r="Y34" s="714"/>
      <c r="Z34" s="715"/>
      <c r="AA34" s="932"/>
      <c r="AB34" s="930"/>
      <c r="AC34" s="930"/>
      <c r="AD34" s="931"/>
      <c r="AE34" s="765"/>
      <c r="AF34" s="766"/>
      <c r="AG34" s="766"/>
      <c r="AH34" s="767"/>
      <c r="AI34" s="912" t="str">
        <f>IF(C34="","",INDEX(STDHVAC[Current Unit],MATCH(C34,STDHVAC[Measure Name],0)))</f>
        <v/>
      </c>
      <c r="AJ34" s="912"/>
      <c r="AK34" s="912"/>
      <c r="AL34" s="913"/>
      <c r="AM34" s="914" t="str">
        <f>IFERROR(IF(C34="","",INDEX(IF(AND(ACTIVEBONUS = TRUE,INDEX(STDHVAC[Bonus Incentive],MATCH(C34,STDHVAC[Measure Name],0))&lt;&gt; ""),STDHVAC[Bonus Incentive],STDHVAC[Base Incentive]),MATCH(C34,STDHVAC[Measure Name],0))),"")</f>
        <v/>
      </c>
      <c r="AN34" s="794"/>
      <c r="AO34" s="797" t="str">
        <f t="shared" ref="AO34" si="40">IFERROR(IF(OR(C34="",N34="",V34="",AA34="",T34="",AE34="",AG34=""),"",IF(BQ34="Deemed",AZ34,IF(BQ34="Calculated",BE34,""))),"")</f>
        <v/>
      </c>
      <c r="AP34" s="797"/>
      <c r="AQ34" s="797"/>
      <c r="AR34" s="826" t="str">
        <f t="shared" ref="AR34" si="41">IFERROR(IF(OR(C34="",N34="",V34="",AA34="",T34="",AE34="",AG34=""),"",IF(BJ34&lt;&gt;"",BJ34,IF(BS34&gt;0,BS34,ROUND(IF(AO34&lt;=0,0,MIN(AX34,BG34)), 2)))), "")</f>
        <v/>
      </c>
      <c r="AS34" s="826"/>
      <c r="AT34" s="826"/>
      <c r="AU34" s="826"/>
      <c r="AV34" s="22"/>
      <c r="AX34" s="873" t="str">
        <f t="shared" ref="AX34" si="42">IF(OR(C34="",N34="",V34="",AA34="",T34="",AE34="",AG34="",X34=""),"",IF(AO34=0,"",ROUND(AE34+AG34,2)))</f>
        <v/>
      </c>
      <c r="AY34" s="916" t="str">
        <f>IFERROR(IF(OR(C34="",N34="",V34="",AA34="",T34="",AE34="",AG34="",X34=""),"",INDEX(STDHVAC[Current Unit],MATCH(C34,STDHVAC[Measure Name],0))),"Err")</f>
        <v/>
      </c>
      <c r="AZ34" s="746" t="str">
        <f>IF(
OR(C34="",N34="",V34="",AA34="",T34="",AE34="",AG34="",X34=""),"",
IF(OR(ISNUMBER(SEARCH("PTAC",C34)),ISNUMBER(SEARCH("PTHP",C34))),
ROUND(V34*INDEX(STDHVAC[Electric Energy Savings (Annual kWh/unit)],MATCH(C34,STDHVAC[Measure Name],0)),4),
ROUND(V34*ABS(N34-L34)*INDEX(STDHVAC[Electric Energy Savings (Annual kWh/unit)],MATCH(C34,STDHVAC[Measure Name],0)),4)
))</f>
        <v/>
      </c>
      <c r="BA34" s="746" t="str">
        <f>IF(
OR(C34="",N34="",V34="",AA34="",T34="",AE34="",AG34="",X34=""),"",
IF(OR(ISNUMBER(SEARCH("PTAC",C34)),ISNUMBER(SEARCH("PTHP",C34))),
ROUND(V34*INDEX(STDHVAC[Coincident Peak Demand Savings (kW/unit)],MATCH(C34,STDHVAC[Measure Name],0)),4),
ROUND(V34* ABS(N34-L34)*INDEX(STDHVAC[Coincident Peak Demand Savings (kW/unit)],MATCH(C34,STDHVAC[Measure Name],0)),4)
))</f>
        <v/>
      </c>
      <c r="BB34" s="871"/>
      <c r="BC34" s="871"/>
      <c r="BD34" s="886" t="str">
        <f>IFERROR(IF(OR(C34="",N34="",V34="",AA34="",T34="",AE34="",AG34=""),"",INDEX(STDHVAC[End Use],MATCH(C34,STDHVAC[Measure Name],0))),"Err")</f>
        <v/>
      </c>
      <c r="BE34" s="888" t="str">
        <f>IF(C34&lt;&gt;"", _xlfn.LET(
_xlpm.Tons_Cool, V34, _xlpm.PLC_Base, L34, _xlpm.PLC_Eff, N34, _xlpm.Tons_Heat, BP34, _xlpm.Other_Base, R34, _xlpm.Other_Eff, T34,
_xlpm.EFLH_Cool,
INDEX(STDHVAC[EFLHcool],MATCH(C34,STDHVAC[Measure Name],0)),
_xlpm.EFLH_Heat,
INDEX(STDHVAC[EFLHheat],MATCH(C34,STDHVAC[Measure Name],0)),
_xlpm.ElecHeat,
INDEX(SPACEHEAT[ELECHEAT],MATCH(M02S04F22,SPACEHEAT[Space Conditioning],0)),
_xlpm.kWhCool,
ROUND(
IF(OR(ISNUMBER(SEARCH("DX", C34)),ISNUMBER(SEARCH("ASHP", C34)), ISNUMBER(SEARCH("PTAC", C34)), ISNUMBER(SEARCH("PTHP", C34)), ISNUMBER(SEARCH("Air-Cooled Chiller", C34)), ISNUMBER(SEARCH("VRF", C34))),
_xlpm.Tons_Cool * (12/_xlpm.PLC_Base - 12/_xlpm.PLC_Eff)*_xlpm.EFLH_Cool,
IF(ISNUMBER(SEARCH("Water", C34)),
_xlpm.Tons_Cool * (_xlpm.PLC_Base - _xlpm.PLC_Eff) * _xlpm.EFLH_Cool,
" "
)),4),
_xlpm.kWhHeat,
IF(
_xlpm.ElecHeat=1,
ROUND(
IF(OR(ISNUMBER(SEARCH("DX", C34)),ISNUMBER(SEARCH("PTAC", C34)), ISNUMBER(SEARCH("Air-Cooled Chiller", C34)), ISNUMBER(SEARCH("Water", C34)),
ISNUMBER(SEARCH("VRF", C34))),
0,
IF(
OR(ISNUMBER(SEARCH("ASHP", C34)), ISNUMBER(SEARCH("PTHP", C34))),
_xlpm.Tons_Heat * (1/_xlpm.Other_Base - 1/_xlpm.Other_Eff) * _xlpm.EFLH_Heat,
" "
)),4),
0
),
_xlpm.kWhCool + _xlpm.kWhHeat
), "")</f>
        <v/>
      </c>
      <c r="BF34" s="888" t="str">
        <f>IF(C34&lt;&gt;"", _xlfn.LET(
_xlpm.Tons, V34, _xlpm.PCF, 0.913,
IF(AND(ISNUMBER(SEARCH("DX",C34)),ISNUMBER(SEARCH("&lt;65 kbtu",C34))),
_xlpm.Tons * (12/11.42-12/MAX(11.42,T34))*_xlpm.PCF,
IF(OR(ISNUMBER(SEARCH("DX", C34)), ISNUMBER(SEARCH("Air-Cooled Chiller", C34)), ISNUMBER(SEARCH("VRF", C34))),
_xlpm.Tons * (12/R34 - 12/T34) * _xlpm.PCF,
IF(ISNUMBER(SEARCH("Water", C34)),
_xlpm.Tons * (R34-T34) * _xlpm.PCF,
IF(ISNUMBER(SEARCH("ASHP", C34)),
_xlpm.Tons * (12/BN34 - 12/BO34) * _xlpm.PCF,
IF(OR(ISNUMBER(SEARCH("PTAC", C34)), ISNUMBER(SEARCH("PTHP", C34))),
_xlpm.Tons * (12/L34 - 12/N34) * _xlpm.PCF,#REF!)))))), "")</f>
        <v/>
      </c>
      <c r="BG34" s="838" t="str">
        <f t="shared" si="1"/>
        <v/>
      </c>
      <c r="BH34" s="882" t="str">
        <f>IFERROR(IF(OR(C34="",N34="",V34="",AA34="",T34="",AE34="",AG34="",ISNUMBER(AR34)=FALSE,AR34=0),"",INDEX(STDHVAC[Measure Number],MATCH(C34,STDHVAC[Measure Name],0))),"Err")</f>
        <v/>
      </c>
      <c r="BI34" s="754" t="str">
        <f t="shared" ref="BI34" si="43">IFERROR(IF(BS34="",IF(AR34 &lt; BG34, "100% Total Cost", ""), ""), "")</f>
        <v/>
      </c>
      <c r="BJ34" s="882" t="str">
        <f>IFERROR(
IF(OR(C34="",N34="",T34="",V34="",AA34="",AE34="",AG34=""),
"",
IF(BS34&gt;0,"",IF(OR(AND(ISNUMBER(SEARCH("kW/ton", J34)),OR(L34&lt;=N34,R34&lt;T34)),AND(NOT(ISNUMBER(SEARCH("kW/ton", J34))),OR(L34&gt;=N34,R34&gt;T34))),
"Must Improve Efficiency",
IF(EXPIRATION&lt;&gt;"",PROJSTATEXP,"")))),
"")</f>
        <v/>
      </c>
      <c r="BK34" s="828" t="str">
        <f>IFERROR(INDEX(STDHVAC[Measure Life (Years)],MATCH(C34,STDHVAC[Measure Name],0)),"")</f>
        <v/>
      </c>
      <c r="BL34" s="884" t="str">
        <f>IFERROR(IF(OR(C34="",N34="",V34="",AA34="",T34="",AE34="",AG34=""),"",
ROUND(((1+ELOSS)*((AZ34*INDEX(ELECCB[NPV AEC $/kWh],MATCH(BK34,ELECCB[Year Number],1)))+(BA34*INDEX(ELECCB[NPV ACC $/kW],MATCH(BK34,ELECCB[Year Number],1))))),2)),0)</f>
        <v/>
      </c>
      <c r="BM34" s="918" t="str">
        <f>IFERROR(IF(INDEX(STDHVAC[Eff Unit 3],MATCH(C34,STDHVAC[Measure Name],0))="","",INDEX(STDHVAC[Eff Unit 3],MATCH(C34,STDHVAC[Measure Name],0))),"")</f>
        <v/>
      </c>
      <c r="BN34" s="880" t="str">
        <f>IFERROR(IF(INDEX(STDHVAC[Base Efficiency 3],MATCH(C34,STDHVAC[Measure Name],0))="","",INDEX(STDHVAC[Base Efficiency 3],MATCH(C34,STDHVAC[Measure Name],0))),"")</f>
        <v/>
      </c>
      <c r="BO34" s="889" t="str">
        <f t="shared" si="3"/>
        <v/>
      </c>
      <c r="BP34" s="920"/>
      <c r="BQ34" s="891" t="str">
        <f>IFERROR(IF(OR(C34="",N34="",V34="",AA34="",T34="",AE34="",AG34=""),"",INDEX(STDHVAC[Reporting Methodology],MATCH(C34,STDHVAC[Measure Name],0))),"Err")</f>
        <v/>
      </c>
      <c r="BR34" s="867" t="str">
        <f>IFERROR(IF(OR(C34="", V34=""),"",INDEX(STDHVAC[Incremental Measure Cost ($/Unit)],MATCH(C34,STDHVAC[Measure Name],0)) * V34),"Err")</f>
        <v/>
      </c>
      <c r="BS34" s="837"/>
      <c r="BT34" s="838" t="str">
        <f>_xlfn.LET(
_xlpm.IPU,
IFERROR(IF(C34="","",INDEX(STDHVAC[Base Incentive],MATCH(C34,STDHVAC[Measure Name],0))),""),
IFERROR(IF(AI34="$/ton", ROUND(V34*_xlpm.IPU, 2),
IF(AND(ISNUMBER(SEARCH("Air-Cooled Chiller",C34)),AI34="$/ton/IPLV"), ROUND((12/L34-12/N34)*V34*_xlpm.IPU, 2),
ROUND(ABS(N34-L34)*V34*_xlpm.IPU, 2))), ""))</f>
        <v/>
      </c>
    </row>
    <row r="35" spans="2:72" ht="15.95" customHeight="1">
      <c r="B35" s="806"/>
      <c r="C35" s="716"/>
      <c r="D35" s="717"/>
      <c r="E35" s="717"/>
      <c r="F35" s="717"/>
      <c r="G35" s="717"/>
      <c r="H35" s="717"/>
      <c r="I35" s="717"/>
      <c r="J35" s="894"/>
      <c r="K35" s="895"/>
      <c r="L35" s="898"/>
      <c r="M35" s="899"/>
      <c r="N35" s="900"/>
      <c r="O35" s="901"/>
      <c r="P35" s="902"/>
      <c r="Q35" s="903"/>
      <c r="R35" s="904"/>
      <c r="S35" s="905"/>
      <c r="T35" s="908"/>
      <c r="U35" s="909"/>
      <c r="V35" s="910"/>
      <c r="W35" s="911"/>
      <c r="X35" s="716"/>
      <c r="Y35" s="717"/>
      <c r="Z35" s="718"/>
      <c r="AA35" s="932"/>
      <c r="AB35" s="930"/>
      <c r="AC35" s="930"/>
      <c r="AD35" s="931"/>
      <c r="AE35" s="765"/>
      <c r="AF35" s="766"/>
      <c r="AG35" s="766"/>
      <c r="AH35" s="767"/>
      <c r="AI35" s="912"/>
      <c r="AJ35" s="912"/>
      <c r="AK35" s="912"/>
      <c r="AL35" s="913"/>
      <c r="AM35" s="915"/>
      <c r="AN35" s="796"/>
      <c r="AO35" s="798"/>
      <c r="AP35" s="798"/>
      <c r="AQ35" s="798"/>
      <c r="AR35" s="827"/>
      <c r="AS35" s="827"/>
      <c r="AT35" s="827"/>
      <c r="AU35" s="827"/>
      <c r="AV35" s="22"/>
      <c r="AX35" s="874"/>
      <c r="AY35" s="917"/>
      <c r="AZ35" s="747"/>
      <c r="BA35" s="747"/>
      <c r="BB35" s="871"/>
      <c r="BC35" s="871"/>
      <c r="BD35" s="887"/>
      <c r="BE35" s="762"/>
      <c r="BF35" s="762"/>
      <c r="BG35" s="839"/>
      <c r="BH35" s="883"/>
      <c r="BI35" s="755"/>
      <c r="BJ35" s="883"/>
      <c r="BK35" s="829"/>
      <c r="BL35" s="885"/>
      <c r="BM35" s="919"/>
      <c r="BN35" s="881"/>
      <c r="BO35" s="890"/>
      <c r="BP35" s="921"/>
      <c r="BQ35" s="891"/>
      <c r="BR35" s="867"/>
      <c r="BS35" s="837"/>
      <c r="BT35" s="839"/>
    </row>
    <row r="36" spans="2:72" ht="15.95" customHeight="1">
      <c r="B36" s="806">
        <v>10</v>
      </c>
      <c r="C36" s="713"/>
      <c r="D36" s="714"/>
      <c r="E36" s="714"/>
      <c r="F36" s="714"/>
      <c r="G36" s="714"/>
      <c r="H36" s="714"/>
      <c r="I36" s="714"/>
      <c r="J36" s="892" t="str">
        <f>IF(C36="","",INDEX(STDHVAC[Eff Unit 1],MATCH(C36,STDHVAC[Measure Name],0)))</f>
        <v/>
      </c>
      <c r="K36" s="893"/>
      <c r="L36" s="896" t="str">
        <f>IF(C36="","",INDEX(STDHVAC[Base Efficiency 1],MATCH(C36,STDHVAC[Measure Name],0)))</f>
        <v/>
      </c>
      <c r="M36" s="897"/>
      <c r="N36" s="900"/>
      <c r="O36" s="901"/>
      <c r="P36" s="894" t="str">
        <f>IF(C36="","",INDEX(STDHVAC[Eff Unit 2],MATCH(C36,STDHVAC[Measure Name],0)))</f>
        <v/>
      </c>
      <c r="Q36" s="895"/>
      <c r="R36" s="898" t="str">
        <f>IF(C36="","",INDEX(STDHVAC[Base Efficiency 2],MATCH(C36,STDHVAC[Measure Name],0)))</f>
        <v/>
      </c>
      <c r="S36" s="899"/>
      <c r="T36" s="906" t="str">
        <f t="shared" ref="T36" si="44">IF(AND(ISNUMBER(SEARCH("DX",C36)),ISNUMBER(SEARCH("&lt;65 kbtu",C36)),N36&lt;&gt;""),1.12*N36-0.02*N36^2,IF(AND(ISNUMBER(SEARCH("PTAC",C36)),N36&lt;&gt;""),1,""))</f>
        <v/>
      </c>
      <c r="U36" s="907"/>
      <c r="V36" s="910"/>
      <c r="W36" s="911"/>
      <c r="X36" s="713"/>
      <c r="Y36" s="714"/>
      <c r="Z36" s="715"/>
      <c r="AA36" s="932"/>
      <c r="AB36" s="930"/>
      <c r="AC36" s="930"/>
      <c r="AD36" s="931"/>
      <c r="AE36" s="765"/>
      <c r="AF36" s="766"/>
      <c r="AG36" s="766"/>
      <c r="AH36" s="767"/>
      <c r="AI36" s="912" t="str">
        <f>IF(C36="","",INDEX(STDHVAC[Current Unit],MATCH(C36,STDHVAC[Measure Name],0)))</f>
        <v/>
      </c>
      <c r="AJ36" s="912"/>
      <c r="AK36" s="912"/>
      <c r="AL36" s="913"/>
      <c r="AM36" s="914" t="str">
        <f>IFERROR(IF(C36="","",INDEX(IF(AND(ACTIVEBONUS = TRUE,INDEX(STDHVAC[Bonus Incentive],MATCH(C36,STDHVAC[Measure Name],0))&lt;&gt; ""),STDHVAC[Bonus Incentive],STDHVAC[Base Incentive]),MATCH(C36,STDHVAC[Measure Name],0))),"")</f>
        <v/>
      </c>
      <c r="AN36" s="794"/>
      <c r="AO36" s="797" t="str">
        <f t="shared" ref="AO36" si="45">IFERROR(IF(OR(C36="",N36="",V36="",AA36="",T36="",AE36="",AG36=""),"",IF(BQ36="Deemed",AZ36,IF(BQ36="Calculated",BE36,""))),"")</f>
        <v/>
      </c>
      <c r="AP36" s="797"/>
      <c r="AQ36" s="797"/>
      <c r="AR36" s="826" t="str">
        <f t="shared" ref="AR36" si="46">IFERROR(IF(OR(C36="",N36="",V36="",AA36="",T36="",AE36="",AG36=""),"",IF(BJ36&lt;&gt;"",BJ36,IF(BS36&gt;0,BS36,ROUND(IF(AO36&lt;=0,0,MIN(AX36,BG36)), 2)))), "")</f>
        <v/>
      </c>
      <c r="AS36" s="826"/>
      <c r="AT36" s="826"/>
      <c r="AU36" s="826"/>
      <c r="AV36" s="22"/>
      <c r="AX36" s="873" t="str">
        <f t="shared" ref="AX36" si="47">IF(OR(C36="",N36="",V36="",AA36="",T36="",AE36="",AG36="",X36=""),"",IF(AO36=0,"",ROUND(AE36+AG36,2)))</f>
        <v/>
      </c>
      <c r="AY36" s="916" t="str">
        <f>IFERROR(IF(OR(C36="",N36="",V36="",AA36="",T36="",AE36="",AG36="",X36=""),"",INDEX(STDHVAC[Current Unit],MATCH(C36,STDHVAC[Measure Name],0))),"Err")</f>
        <v/>
      </c>
      <c r="AZ36" s="746" t="str">
        <f>IF(
OR(C36="",N36="",V36="",AA36="",T36="",AE36="",AG36="",X36=""),"",
IF(OR(ISNUMBER(SEARCH("PTAC",C36)),ISNUMBER(SEARCH("PTHP",C36))),
ROUND(V36*INDEX(STDHVAC[Electric Energy Savings (Annual kWh/unit)],MATCH(C36,STDHVAC[Measure Name],0)),4),
ROUND(V36*ABS(N36-L36)*INDEX(STDHVAC[Electric Energy Savings (Annual kWh/unit)],MATCH(C36,STDHVAC[Measure Name],0)),4)
))</f>
        <v/>
      </c>
      <c r="BA36" s="746" t="str">
        <f>IF(
OR(C36="",N36="",V36="",AA36="",T36="",AE36="",AG36="",X36=""),"",
IF(OR(ISNUMBER(SEARCH("PTAC",C36)),ISNUMBER(SEARCH("PTHP",C36))),
ROUND(V36*INDEX(STDHVAC[Coincident Peak Demand Savings (kW/unit)],MATCH(C36,STDHVAC[Measure Name],0)),4),
ROUND(V36* ABS(N36-L36)*INDEX(STDHVAC[Coincident Peak Demand Savings (kW/unit)],MATCH(C36,STDHVAC[Measure Name],0)),4)
))</f>
        <v/>
      </c>
      <c r="BB36" s="871"/>
      <c r="BC36" s="871"/>
      <c r="BD36" s="886" t="str">
        <f>IFERROR(IF(OR(C36="",N36="",V36="",AA36="",T36="",AE36="",AG36=""),"",INDEX(STDHVAC[End Use],MATCH(C36,STDHVAC[Measure Name],0))),"Err")</f>
        <v/>
      </c>
      <c r="BE36" s="888" t="str">
        <f>IF(C36&lt;&gt;"", _xlfn.LET(
_xlpm.Tons_Cool, V36, _xlpm.PLC_Base, L36, _xlpm.PLC_Eff, N36, _xlpm.Tons_Heat, BP36, _xlpm.Other_Base, R36, _xlpm.Other_Eff, T36,
_xlpm.EFLH_Cool,
INDEX(STDHVAC[EFLHcool],MATCH(C36,STDHVAC[Measure Name],0)),
_xlpm.EFLH_Heat,
INDEX(STDHVAC[EFLHheat],MATCH(C36,STDHVAC[Measure Name],0)),
_xlpm.ElecHeat,
INDEX(SPACEHEAT[ELECHEAT],MATCH(M02S04F22,SPACEHEAT[Space Conditioning],0)),
_xlpm.kWhCool,
ROUND(
IF(OR(ISNUMBER(SEARCH("DX", C36)),ISNUMBER(SEARCH("ASHP", C36)), ISNUMBER(SEARCH("PTAC", C36)), ISNUMBER(SEARCH("PTHP", C36)), ISNUMBER(SEARCH("Air-Cooled Chiller", C36)), ISNUMBER(SEARCH("VRF", C36))),
_xlpm.Tons_Cool * (12/_xlpm.PLC_Base - 12/_xlpm.PLC_Eff)*_xlpm.EFLH_Cool,
IF(ISNUMBER(SEARCH("Water", C36)),
_xlpm.Tons_Cool * (_xlpm.PLC_Base - _xlpm.PLC_Eff) * _xlpm.EFLH_Cool,
" "
)),4),
_xlpm.kWhHeat,
IF(
_xlpm.ElecHeat=1,
ROUND(
IF(OR(ISNUMBER(SEARCH("DX", C36)),ISNUMBER(SEARCH("PTAC", C36)), ISNUMBER(SEARCH("Air-Cooled Chiller", C36)), ISNUMBER(SEARCH("Water", C36)),
ISNUMBER(SEARCH("VRF", C36))),
0,
IF(
OR(ISNUMBER(SEARCH("ASHP", C36)), ISNUMBER(SEARCH("PTHP", C36))),
_xlpm.Tons_Heat * (1/_xlpm.Other_Base - 1/_xlpm.Other_Eff) * _xlpm.EFLH_Heat,
" "
)),4),
0
),
_xlpm.kWhCool + _xlpm.kWhHeat
), "")</f>
        <v/>
      </c>
      <c r="BF36" s="888" t="str">
        <f>IF(C36&lt;&gt;"", _xlfn.LET(
_xlpm.Tons, V36, _xlpm.PCF, 0.913,
IF(AND(ISNUMBER(SEARCH("DX",C36)),ISNUMBER(SEARCH("&lt;65 kbtu",C36))),
_xlpm.Tons * (12/11.42-12/MAX(11.42,T36))*_xlpm.PCF,
IF(OR(ISNUMBER(SEARCH("DX", C36)), ISNUMBER(SEARCH("Air-Cooled Chiller", C36)), ISNUMBER(SEARCH("VRF", C36))),
_xlpm.Tons * (12/R36 - 12/T36) * _xlpm.PCF,
IF(ISNUMBER(SEARCH("Water", C36)),
_xlpm.Tons * (R36-T36) * _xlpm.PCF,
IF(ISNUMBER(SEARCH("ASHP", C36)),
_xlpm.Tons * (12/BN36 - 12/BO36) * _xlpm.PCF,
IF(OR(ISNUMBER(SEARCH("PTAC", C36)), ISNUMBER(SEARCH("PTHP", C36))),
_xlpm.Tons * (12/L36 - 12/N36) * _xlpm.PCF,#REF!)))))), "")</f>
        <v/>
      </c>
      <c r="BG36" s="838" t="str">
        <f t="shared" si="1"/>
        <v/>
      </c>
      <c r="BH36" s="882" t="str">
        <f>IFERROR(IF(OR(C36="",N36="",V36="",AA36="",T36="",AE36="",AG36="",ISNUMBER(AR36)=FALSE,AR36=0),"",INDEX(STDHVAC[Measure Number],MATCH(C36,STDHVAC[Measure Name],0))),"Err")</f>
        <v/>
      </c>
      <c r="BI36" s="754" t="str">
        <f t="shared" ref="BI36" si="48">IFERROR(IF(BS36="",IF(AR36 &lt; BG36, "100% Total Cost", ""), ""), "")</f>
        <v/>
      </c>
      <c r="BJ36" s="882" t="str">
        <f>IFERROR(
IF(OR(C36="",N36="",T36="",V36="",AA36="",AE36="",AG36=""),
"",
IF(BS36&gt;0,"",IF(OR(AND(ISNUMBER(SEARCH("kW/ton", J36)),OR(L36&lt;=N36,R36&lt;T36)),AND(NOT(ISNUMBER(SEARCH("kW/ton", J36))),OR(L36&gt;=N36,R36&gt;T36))),
"Must Improve Efficiency",
IF(EXPIRATION&lt;&gt;"",PROJSTATEXP,"")))),
"")</f>
        <v/>
      </c>
      <c r="BK36" s="828" t="str">
        <f>IFERROR(INDEX(STDHVAC[Measure Life (Years)],MATCH(C36,STDHVAC[Measure Name],0)),"")</f>
        <v/>
      </c>
      <c r="BL36" s="884" t="str">
        <f>IFERROR(IF(OR(C36="",N36="",V36="",AA36="",T36="",AE36="",AG36=""),"",
ROUND(((1+ELOSS)*((AZ36*INDEX(ELECCB[NPV AEC $/kWh],MATCH(BK36,ELECCB[Year Number],1)))+(BA36*INDEX(ELECCB[NPV ACC $/kW],MATCH(BK36,ELECCB[Year Number],1))))),2)),0)</f>
        <v/>
      </c>
      <c r="BM36" s="918" t="str">
        <f>IFERROR(IF(INDEX(STDHVAC[Eff Unit 3],MATCH(C36,STDHVAC[Measure Name],0))="","",INDEX(STDHVAC[Eff Unit 3],MATCH(C36,STDHVAC[Measure Name],0))),"")</f>
        <v/>
      </c>
      <c r="BN36" s="880" t="str">
        <f>IFERROR(IF(INDEX(STDHVAC[Base Efficiency 3],MATCH(C36,STDHVAC[Measure Name],0))="","",INDEX(STDHVAC[Base Efficiency 3],MATCH(C36,STDHVAC[Measure Name],0))),"")</f>
        <v/>
      </c>
      <c r="BO36" s="889" t="str">
        <f t="shared" si="3"/>
        <v/>
      </c>
      <c r="BP36" s="920"/>
      <c r="BQ36" s="891" t="str">
        <f>IFERROR(IF(OR(C36="",N36="",V36="",AA36="",T36="",AE36="",AG36=""),"",INDEX(STDHVAC[Reporting Methodology],MATCH(C36,STDHVAC[Measure Name],0))),"Err")</f>
        <v/>
      </c>
      <c r="BR36" s="867" t="str">
        <f>IFERROR(IF(OR(C36="", V36=""),"",INDEX(STDHVAC[Incremental Measure Cost ($/Unit)],MATCH(C36,STDHVAC[Measure Name],0)) * V36),"Err")</f>
        <v/>
      </c>
      <c r="BS36" s="837"/>
      <c r="BT36" s="838" t="str">
        <f>_xlfn.LET(
_xlpm.IPU,
IFERROR(IF(C36="","",INDEX(STDHVAC[Base Incentive],MATCH(C36,STDHVAC[Measure Name],0))),""),
IFERROR(IF(AI36="$/ton", ROUND(V36*_xlpm.IPU, 2),
IF(AND(ISNUMBER(SEARCH("Air-Cooled Chiller",C36)),AI36="$/ton/IPLV"), ROUND((12/L36-12/N36)*V36*_xlpm.IPU, 2),
ROUND(ABS(N36-L36)*V36*_xlpm.IPU, 2))), ""))</f>
        <v/>
      </c>
    </row>
    <row r="37" spans="2:72" ht="15.95" customHeight="1">
      <c r="B37" s="806"/>
      <c r="C37" s="716"/>
      <c r="D37" s="717"/>
      <c r="E37" s="717"/>
      <c r="F37" s="717"/>
      <c r="G37" s="717"/>
      <c r="H37" s="717"/>
      <c r="I37" s="717"/>
      <c r="J37" s="894"/>
      <c r="K37" s="895"/>
      <c r="L37" s="898"/>
      <c r="M37" s="899"/>
      <c r="N37" s="900"/>
      <c r="O37" s="901"/>
      <c r="P37" s="902"/>
      <c r="Q37" s="903"/>
      <c r="R37" s="904"/>
      <c r="S37" s="905"/>
      <c r="T37" s="908"/>
      <c r="U37" s="909"/>
      <c r="V37" s="910"/>
      <c r="W37" s="911"/>
      <c r="X37" s="716"/>
      <c r="Y37" s="717"/>
      <c r="Z37" s="718"/>
      <c r="AA37" s="932"/>
      <c r="AB37" s="930"/>
      <c r="AC37" s="930"/>
      <c r="AD37" s="931"/>
      <c r="AE37" s="765"/>
      <c r="AF37" s="766"/>
      <c r="AG37" s="766"/>
      <c r="AH37" s="767"/>
      <c r="AI37" s="912"/>
      <c r="AJ37" s="912"/>
      <c r="AK37" s="912"/>
      <c r="AL37" s="913"/>
      <c r="AM37" s="915"/>
      <c r="AN37" s="796"/>
      <c r="AO37" s="798"/>
      <c r="AP37" s="798"/>
      <c r="AQ37" s="798"/>
      <c r="AR37" s="827"/>
      <c r="AS37" s="827"/>
      <c r="AT37" s="827"/>
      <c r="AU37" s="827"/>
      <c r="AV37" s="22"/>
      <c r="AX37" s="874"/>
      <c r="AY37" s="917"/>
      <c r="AZ37" s="747"/>
      <c r="BA37" s="747"/>
      <c r="BB37" s="871"/>
      <c r="BC37" s="871"/>
      <c r="BD37" s="887"/>
      <c r="BE37" s="762"/>
      <c r="BF37" s="762"/>
      <c r="BG37" s="839"/>
      <c r="BH37" s="883"/>
      <c r="BI37" s="755"/>
      <c r="BJ37" s="883"/>
      <c r="BK37" s="829"/>
      <c r="BL37" s="885"/>
      <c r="BM37" s="919"/>
      <c r="BN37" s="881"/>
      <c r="BO37" s="890"/>
      <c r="BP37" s="921"/>
      <c r="BQ37" s="891"/>
      <c r="BR37" s="867"/>
      <c r="BS37" s="837"/>
      <c r="BT37" s="839"/>
    </row>
    <row r="38" spans="2:72" ht="15.95" customHeight="1">
      <c r="B38" s="806">
        <v>11</v>
      </c>
      <c r="C38" s="713"/>
      <c r="D38" s="714"/>
      <c r="E38" s="714"/>
      <c r="F38" s="714"/>
      <c r="G38" s="714"/>
      <c r="H38" s="714"/>
      <c r="I38" s="714"/>
      <c r="J38" s="892" t="str">
        <f>IF(C38="","",INDEX(STDHVAC[Eff Unit 1],MATCH(C38,STDHVAC[Measure Name],0)))</f>
        <v/>
      </c>
      <c r="K38" s="893"/>
      <c r="L38" s="896" t="str">
        <f>IF(C38="","",INDEX(STDHVAC[Base Efficiency 1],MATCH(C38,STDHVAC[Measure Name],0)))</f>
        <v/>
      </c>
      <c r="M38" s="897"/>
      <c r="N38" s="900"/>
      <c r="O38" s="901"/>
      <c r="P38" s="894" t="str">
        <f>IF(C38="","",INDEX(STDHVAC[Eff Unit 2],MATCH(C38,STDHVAC[Measure Name],0)))</f>
        <v/>
      </c>
      <c r="Q38" s="895"/>
      <c r="R38" s="898" t="str">
        <f>IF(C38="","",INDEX(STDHVAC[Base Efficiency 2],MATCH(C38,STDHVAC[Measure Name],0)))</f>
        <v/>
      </c>
      <c r="S38" s="899"/>
      <c r="T38" s="906" t="str">
        <f t="shared" ref="T38" si="49">IF(AND(ISNUMBER(SEARCH("DX",C38)),ISNUMBER(SEARCH("&lt;65 kbtu",C38)),N38&lt;&gt;""),1.12*N38-0.02*N38^2,IF(AND(ISNUMBER(SEARCH("PTAC",C38)),N38&lt;&gt;""),1,""))</f>
        <v/>
      </c>
      <c r="U38" s="907"/>
      <c r="V38" s="910"/>
      <c r="W38" s="911"/>
      <c r="X38" s="713"/>
      <c r="Y38" s="714"/>
      <c r="Z38" s="715"/>
      <c r="AA38" s="932"/>
      <c r="AB38" s="930"/>
      <c r="AC38" s="930"/>
      <c r="AD38" s="931"/>
      <c r="AE38" s="765"/>
      <c r="AF38" s="766"/>
      <c r="AG38" s="766"/>
      <c r="AH38" s="767"/>
      <c r="AI38" s="912" t="str">
        <f>IF(C38="","",INDEX(STDHVAC[Current Unit],MATCH(C38,STDHVAC[Measure Name],0)))</f>
        <v/>
      </c>
      <c r="AJ38" s="912"/>
      <c r="AK38" s="912"/>
      <c r="AL38" s="913"/>
      <c r="AM38" s="914" t="str">
        <f>IFERROR(IF(C38="","",INDEX(IF(AND(ACTIVEBONUS = TRUE,INDEX(STDHVAC[Bonus Incentive],MATCH(C38,STDHVAC[Measure Name],0))&lt;&gt; ""),STDHVAC[Bonus Incentive],STDHVAC[Base Incentive]),MATCH(C38,STDHVAC[Measure Name],0))),"")</f>
        <v/>
      </c>
      <c r="AN38" s="794"/>
      <c r="AO38" s="797" t="str">
        <f t="shared" ref="AO38" si="50">IFERROR(IF(OR(C38="",N38="",V38="",AA38="",T38="",AE38="",AG38=""),"",IF(BQ38="Deemed",AZ38,IF(BQ38="Calculated",BE38,""))),"")</f>
        <v/>
      </c>
      <c r="AP38" s="797"/>
      <c r="AQ38" s="797"/>
      <c r="AR38" s="826" t="str">
        <f t="shared" ref="AR38" si="51">IFERROR(IF(OR(C38="",N38="",V38="",AA38="",T38="",AE38="",AG38=""),"",IF(BJ38&lt;&gt;"",BJ38,IF(BS38&gt;0,BS38,ROUND(IF(AO38&lt;=0,0,MIN(AX38,BG38)), 2)))), "")</f>
        <v/>
      </c>
      <c r="AS38" s="826"/>
      <c r="AT38" s="826"/>
      <c r="AU38" s="826"/>
      <c r="AV38" s="22"/>
      <c r="AX38" s="873" t="str">
        <f t="shared" ref="AX38" si="52">IF(OR(C38="",N38="",V38="",AA38="",T38="",AE38="",AG38="",X38=""),"",IF(AO38=0,"",ROUND(AE38+AG38,2)))</f>
        <v/>
      </c>
      <c r="AY38" s="916" t="str">
        <f>IFERROR(IF(OR(C38="",N38="",V38="",AA38="",T38="",AE38="",AG38="",X38=""),"",INDEX(STDHVAC[Current Unit],MATCH(C38,STDHVAC[Measure Name],0))),"Err")</f>
        <v/>
      </c>
      <c r="AZ38" s="746" t="str">
        <f>IF(
OR(C38="",N38="",V38="",AA38="",T38="",AE38="",AG38="",X38=""),"",
IF(OR(ISNUMBER(SEARCH("PTAC",C38)),ISNUMBER(SEARCH("PTHP",C38))),
ROUND(V38*INDEX(STDHVAC[Electric Energy Savings (Annual kWh/unit)],MATCH(C38,STDHVAC[Measure Name],0)),4),
ROUND(V38*ABS(N38-L38)*INDEX(STDHVAC[Electric Energy Savings (Annual kWh/unit)],MATCH(C38,STDHVAC[Measure Name],0)),4)
))</f>
        <v/>
      </c>
      <c r="BA38" s="746" t="str">
        <f>IF(
OR(C38="",N38="",V38="",AA38="",T38="",AE38="",AG38="",X38=""),"",
IF(OR(ISNUMBER(SEARCH("PTAC",C38)),ISNUMBER(SEARCH("PTHP",C38))),
ROUND(V38*INDEX(STDHVAC[Coincident Peak Demand Savings (kW/unit)],MATCH(C38,STDHVAC[Measure Name],0)),4),
ROUND(V38* ABS(N38-L38)*INDEX(STDHVAC[Coincident Peak Demand Savings (kW/unit)],MATCH(C38,STDHVAC[Measure Name],0)),4)
))</f>
        <v/>
      </c>
      <c r="BB38" s="871"/>
      <c r="BC38" s="871"/>
      <c r="BD38" s="886" t="str">
        <f>IFERROR(IF(OR(C38="",N38="",V38="",AA38="",T38="",AE38="",AG38=""),"",INDEX(STDHVAC[End Use],MATCH(C38,STDHVAC[Measure Name],0))),"Err")</f>
        <v/>
      </c>
      <c r="BE38" s="888" t="str">
        <f>IF(C38&lt;&gt;"", _xlfn.LET(
_xlpm.Tons_Cool, V38, _xlpm.PLC_Base, L38, _xlpm.PLC_Eff, N38, _xlpm.Tons_Heat, BP38, _xlpm.Other_Base, R38, _xlpm.Other_Eff, T38,
_xlpm.EFLH_Cool,
INDEX(STDHVAC[EFLHcool],MATCH(C38,STDHVAC[Measure Name],0)),
_xlpm.EFLH_Heat,
INDEX(STDHVAC[EFLHheat],MATCH(C38,STDHVAC[Measure Name],0)),
_xlpm.ElecHeat,
INDEX(SPACEHEAT[ELECHEAT],MATCH(M02S04F22,SPACEHEAT[Space Conditioning],0)),
_xlpm.kWhCool,
ROUND(
IF(OR(ISNUMBER(SEARCH("DX", C38)),ISNUMBER(SEARCH("ASHP", C38)), ISNUMBER(SEARCH("PTAC", C38)), ISNUMBER(SEARCH("PTHP", C38)), ISNUMBER(SEARCH("Air-Cooled Chiller", C38)), ISNUMBER(SEARCH("VRF", C38))),
_xlpm.Tons_Cool * (12/_xlpm.PLC_Base - 12/_xlpm.PLC_Eff)*_xlpm.EFLH_Cool,
IF(ISNUMBER(SEARCH("Water", C38)),
_xlpm.Tons_Cool * (_xlpm.PLC_Base - _xlpm.PLC_Eff) * _xlpm.EFLH_Cool,
" "
)),4),
_xlpm.kWhHeat,
IF(
_xlpm.ElecHeat=1,
ROUND(
IF(OR(ISNUMBER(SEARCH("DX", C38)),ISNUMBER(SEARCH("PTAC", C38)), ISNUMBER(SEARCH("Air-Cooled Chiller", C38)), ISNUMBER(SEARCH("Water", C38)),
ISNUMBER(SEARCH("VRF", C38))),
0,
IF(
OR(ISNUMBER(SEARCH("ASHP", C38)), ISNUMBER(SEARCH("PTHP", C38))),
_xlpm.Tons_Heat * (1/_xlpm.Other_Base - 1/_xlpm.Other_Eff) * _xlpm.EFLH_Heat,
" "
)),4),
0
),
_xlpm.kWhCool + _xlpm.kWhHeat
), "")</f>
        <v/>
      </c>
      <c r="BF38" s="888" t="str">
        <f>IF(C38&lt;&gt;"", _xlfn.LET(
_xlpm.Tons, V38, _xlpm.PCF, 0.913,
IF(AND(ISNUMBER(SEARCH("DX",C38)),ISNUMBER(SEARCH("&lt;65 kbtu",C38))),
_xlpm.Tons * (12/11.42-12/MAX(11.42,T38))*_xlpm.PCF,
IF(OR(ISNUMBER(SEARCH("DX", C38)), ISNUMBER(SEARCH("Air-Cooled Chiller", C38)), ISNUMBER(SEARCH("VRF", C38))),
_xlpm.Tons * (12/R38 - 12/T38) * _xlpm.PCF,
IF(ISNUMBER(SEARCH("Water", C38)),
_xlpm.Tons * (R38-T38) * _xlpm.PCF,
IF(ISNUMBER(SEARCH("ASHP", C38)),
_xlpm.Tons * (12/BN38 - 12/BO38) * _xlpm.PCF,
IF(OR(ISNUMBER(SEARCH("PTAC", C38)), ISNUMBER(SEARCH("PTHP", C38))),
_xlpm.Tons * (12/L38 - 12/N38) * _xlpm.PCF,#REF!)))))), "")</f>
        <v/>
      </c>
      <c r="BG38" s="838" t="str">
        <f t="shared" si="1"/>
        <v/>
      </c>
      <c r="BH38" s="882" t="str">
        <f>IFERROR(IF(OR(C38="",N38="",V38="",AA38="",T38="",AE38="",AG38="",ISNUMBER(AR38)=FALSE,AR38=0),"",INDEX(STDHVAC[Measure Number],MATCH(C38,STDHVAC[Measure Name],0))),"Err")</f>
        <v/>
      </c>
      <c r="BI38" s="754" t="str">
        <f t="shared" ref="BI38" si="53">IFERROR(IF(BS38="",IF(AR38 &lt; BG38, "100% Total Cost", ""), ""), "")</f>
        <v/>
      </c>
      <c r="BJ38" s="882" t="str">
        <f>IFERROR(
IF(OR(C38="",N38="",T38="",V38="",AA38="",AE38="",AG38=""),
"",
IF(BS38&gt;0,"",IF(OR(AND(ISNUMBER(SEARCH("kW/ton", J38)),OR(L38&lt;=N38,R38&lt;T38)),AND(NOT(ISNUMBER(SEARCH("kW/ton", J38))),OR(L38&gt;=N38,R38&gt;T38))),
"Must Improve Efficiency",
IF(EXPIRATION&lt;&gt;"",PROJSTATEXP,"")))),
"")</f>
        <v/>
      </c>
      <c r="BK38" s="828" t="str">
        <f>IFERROR(INDEX(STDHVAC[Measure Life (Years)],MATCH(C38,STDHVAC[Measure Name],0)),"")</f>
        <v/>
      </c>
      <c r="BL38" s="884" t="str">
        <f>IFERROR(IF(OR(C38="",N38="",V38="",AA38="",T38="",AE38="",AG38=""),"",
ROUND(((1+ELOSS)*((AZ38*INDEX(ELECCB[NPV AEC $/kWh],MATCH(BK38,ELECCB[Year Number],1)))+(BA38*INDEX(ELECCB[NPV ACC $/kW],MATCH(BK38,ELECCB[Year Number],1))))),2)),0)</f>
        <v/>
      </c>
      <c r="BM38" s="918" t="str">
        <f>IFERROR(IF(INDEX(STDHVAC[Eff Unit 3],MATCH(C38,STDHVAC[Measure Name],0))="","",INDEX(STDHVAC[Eff Unit 3],MATCH(C38,STDHVAC[Measure Name],0))),"")</f>
        <v/>
      </c>
      <c r="BN38" s="880" t="str">
        <f>IFERROR(IF(INDEX(STDHVAC[Base Efficiency 3],MATCH(C38,STDHVAC[Measure Name],0))="","",INDEX(STDHVAC[Base Efficiency 3],MATCH(C38,STDHVAC[Measure Name],0))),"")</f>
        <v/>
      </c>
      <c r="BO38" s="889" t="str">
        <f t="shared" si="3"/>
        <v/>
      </c>
      <c r="BP38" s="920"/>
      <c r="BQ38" s="891" t="str">
        <f>IFERROR(IF(OR(C38="",N38="",V38="",AA38="",T38="",AE38="",AG38=""),"",INDEX(STDHVAC[Reporting Methodology],MATCH(C38,STDHVAC[Measure Name],0))),"Err")</f>
        <v/>
      </c>
      <c r="BR38" s="867" t="str">
        <f>IFERROR(IF(OR(C38="", V38=""),"",INDEX(STDHVAC[Incremental Measure Cost ($/Unit)],MATCH(C38,STDHVAC[Measure Name],0)) * V38),"Err")</f>
        <v/>
      </c>
      <c r="BS38" s="837"/>
      <c r="BT38" s="838" t="str">
        <f>_xlfn.LET(
_xlpm.IPU,
IFERROR(IF(C38="","",INDEX(STDHVAC[Base Incentive],MATCH(C38,STDHVAC[Measure Name],0))),""),
IFERROR(IF(AI38="$/ton", ROUND(V38*_xlpm.IPU, 2),
IF(AND(ISNUMBER(SEARCH("Air-Cooled Chiller",C38)),AI38="$/ton/IPLV"), ROUND((12/L38-12/N38)*V38*_xlpm.IPU, 2),
ROUND(ABS(N38-L38)*V38*_xlpm.IPU, 2))), ""))</f>
        <v/>
      </c>
    </row>
    <row r="39" spans="2:72" ht="15.95" customHeight="1">
      <c r="B39" s="806"/>
      <c r="C39" s="716"/>
      <c r="D39" s="717"/>
      <c r="E39" s="717"/>
      <c r="F39" s="717"/>
      <c r="G39" s="717"/>
      <c r="H39" s="717"/>
      <c r="I39" s="717"/>
      <c r="J39" s="894"/>
      <c r="K39" s="895"/>
      <c r="L39" s="898"/>
      <c r="M39" s="899"/>
      <c r="N39" s="900"/>
      <c r="O39" s="901"/>
      <c r="P39" s="902"/>
      <c r="Q39" s="903"/>
      <c r="R39" s="904"/>
      <c r="S39" s="905"/>
      <c r="T39" s="908"/>
      <c r="U39" s="909"/>
      <c r="V39" s="910"/>
      <c r="W39" s="911"/>
      <c r="X39" s="716"/>
      <c r="Y39" s="717"/>
      <c r="Z39" s="718"/>
      <c r="AA39" s="932"/>
      <c r="AB39" s="930"/>
      <c r="AC39" s="930"/>
      <c r="AD39" s="931"/>
      <c r="AE39" s="765"/>
      <c r="AF39" s="766"/>
      <c r="AG39" s="766"/>
      <c r="AH39" s="767"/>
      <c r="AI39" s="912"/>
      <c r="AJ39" s="912"/>
      <c r="AK39" s="912"/>
      <c r="AL39" s="913"/>
      <c r="AM39" s="915"/>
      <c r="AN39" s="796"/>
      <c r="AO39" s="798"/>
      <c r="AP39" s="798"/>
      <c r="AQ39" s="798"/>
      <c r="AR39" s="827"/>
      <c r="AS39" s="827"/>
      <c r="AT39" s="827"/>
      <c r="AU39" s="827"/>
      <c r="AV39" s="22"/>
      <c r="AX39" s="874"/>
      <c r="AY39" s="917"/>
      <c r="AZ39" s="747"/>
      <c r="BA39" s="747"/>
      <c r="BB39" s="871"/>
      <c r="BC39" s="871"/>
      <c r="BD39" s="887"/>
      <c r="BE39" s="762"/>
      <c r="BF39" s="762"/>
      <c r="BG39" s="839"/>
      <c r="BH39" s="883"/>
      <c r="BI39" s="755"/>
      <c r="BJ39" s="883"/>
      <c r="BK39" s="829"/>
      <c r="BL39" s="885"/>
      <c r="BM39" s="919"/>
      <c r="BN39" s="881"/>
      <c r="BO39" s="890"/>
      <c r="BP39" s="921"/>
      <c r="BQ39" s="891"/>
      <c r="BR39" s="867"/>
      <c r="BS39" s="837"/>
      <c r="BT39" s="839"/>
    </row>
    <row r="40" spans="2:72" ht="15.95" customHeight="1">
      <c r="B40" s="806">
        <v>12</v>
      </c>
      <c r="C40" s="713"/>
      <c r="D40" s="714"/>
      <c r="E40" s="714"/>
      <c r="F40" s="714"/>
      <c r="G40" s="714"/>
      <c r="H40" s="714"/>
      <c r="I40" s="714"/>
      <c r="J40" s="892" t="str">
        <f>IF(C40="","",INDEX(STDHVAC[Eff Unit 1],MATCH(C40,STDHVAC[Measure Name],0)))</f>
        <v/>
      </c>
      <c r="K40" s="893"/>
      <c r="L40" s="896" t="str">
        <f>IF(C40="","",INDEX(STDHVAC[Base Efficiency 1],MATCH(C40,STDHVAC[Measure Name],0)))</f>
        <v/>
      </c>
      <c r="M40" s="897"/>
      <c r="N40" s="900"/>
      <c r="O40" s="901"/>
      <c r="P40" s="894" t="str">
        <f>IF(C40="","",INDEX(STDHVAC[Eff Unit 2],MATCH(C40,STDHVAC[Measure Name],0)))</f>
        <v/>
      </c>
      <c r="Q40" s="895"/>
      <c r="R40" s="898" t="str">
        <f>IF(C40="","",INDEX(STDHVAC[Base Efficiency 2],MATCH(C40,STDHVAC[Measure Name],0)))</f>
        <v/>
      </c>
      <c r="S40" s="899"/>
      <c r="T40" s="906" t="str">
        <f t="shared" ref="T40" si="54">IF(AND(ISNUMBER(SEARCH("DX",C40)),ISNUMBER(SEARCH("&lt;65 kbtu",C40)),N40&lt;&gt;""),1.12*N40-0.02*N40^2,IF(AND(ISNUMBER(SEARCH("PTAC",C40)),N40&lt;&gt;""),1,""))</f>
        <v/>
      </c>
      <c r="U40" s="907"/>
      <c r="V40" s="910"/>
      <c r="W40" s="911"/>
      <c r="X40" s="713"/>
      <c r="Y40" s="714"/>
      <c r="Z40" s="715"/>
      <c r="AA40" s="932"/>
      <c r="AB40" s="930"/>
      <c r="AC40" s="930"/>
      <c r="AD40" s="931"/>
      <c r="AE40" s="765"/>
      <c r="AF40" s="766"/>
      <c r="AG40" s="766"/>
      <c r="AH40" s="767"/>
      <c r="AI40" s="912" t="str">
        <f>IF(C40="","",INDEX(STDHVAC[Current Unit],MATCH(C40,STDHVAC[Measure Name],0)))</f>
        <v/>
      </c>
      <c r="AJ40" s="912"/>
      <c r="AK40" s="912"/>
      <c r="AL40" s="913"/>
      <c r="AM40" s="914" t="str">
        <f>IFERROR(IF(C40="","",INDEX(IF(AND(ACTIVEBONUS = TRUE,INDEX(STDHVAC[Bonus Incentive],MATCH(C40,STDHVAC[Measure Name],0))&lt;&gt; ""),STDHVAC[Bonus Incentive],STDHVAC[Base Incentive]),MATCH(C40,STDHVAC[Measure Name],0))),"")</f>
        <v/>
      </c>
      <c r="AN40" s="794"/>
      <c r="AO40" s="797" t="str">
        <f t="shared" ref="AO40" si="55">IFERROR(IF(OR(C40="",N40="",V40="",AA40="",T40="",AE40="",AG40=""),"",IF(BQ40="Deemed",AZ40,IF(BQ40="Calculated",BE40,""))),"")</f>
        <v/>
      </c>
      <c r="AP40" s="797"/>
      <c r="AQ40" s="797"/>
      <c r="AR40" s="826" t="str">
        <f t="shared" ref="AR40" si="56">IFERROR(IF(OR(C40="",N40="",V40="",AA40="",T40="",AE40="",AG40=""),"",IF(BJ40&lt;&gt;"",BJ40,IF(BS40&gt;0,BS40,ROUND(IF(AO40&lt;=0,0,MIN(AX40,BG40)), 2)))), "")</f>
        <v/>
      </c>
      <c r="AS40" s="826"/>
      <c r="AT40" s="826"/>
      <c r="AU40" s="826"/>
      <c r="AV40" s="22"/>
      <c r="AX40" s="873" t="str">
        <f t="shared" ref="AX40" si="57">IF(OR(C40="",N40="",V40="",AA40="",T40="",AE40="",AG40="",X40=""),"",IF(AO40=0,"",ROUND(AE40+AG40,2)))</f>
        <v/>
      </c>
      <c r="AY40" s="916" t="str">
        <f>IFERROR(IF(OR(C40="",N40="",V40="",AA40="",T40="",AE40="",AG40="",X40=""),"",INDEX(STDHVAC[Current Unit],MATCH(C40,STDHVAC[Measure Name],0))),"Err")</f>
        <v/>
      </c>
      <c r="AZ40" s="746" t="str">
        <f>IF(
OR(C40="",N40="",V40="",AA40="",T40="",AE40="",AG40="",X40=""),"",
IF(OR(ISNUMBER(SEARCH("PTAC",C40)),ISNUMBER(SEARCH("PTHP",C40))),
ROUND(V40*INDEX(STDHVAC[Electric Energy Savings (Annual kWh/unit)],MATCH(C40,STDHVAC[Measure Name],0)),4),
ROUND(V40*ABS(N40-L40)*INDEX(STDHVAC[Electric Energy Savings (Annual kWh/unit)],MATCH(C40,STDHVAC[Measure Name],0)),4)
))</f>
        <v/>
      </c>
      <c r="BA40" s="746" t="str">
        <f>IF(
OR(C40="",N40="",V40="",AA40="",T40="",AE40="",AG40="",X40=""),"",
IF(OR(ISNUMBER(SEARCH("PTAC",C40)),ISNUMBER(SEARCH("PTHP",C40))),
ROUND(V40*INDEX(STDHVAC[Coincident Peak Demand Savings (kW/unit)],MATCH(C40,STDHVAC[Measure Name],0)),4),
ROUND(V40* ABS(N40-L40)*INDEX(STDHVAC[Coincident Peak Demand Savings (kW/unit)],MATCH(C40,STDHVAC[Measure Name],0)),4)
))</f>
        <v/>
      </c>
      <c r="BB40" s="871"/>
      <c r="BC40" s="871"/>
      <c r="BD40" s="886" t="str">
        <f>IFERROR(IF(OR(C40="",N40="",V40="",AA40="",T40="",AE40="",AG40=""),"",INDEX(STDHVAC[End Use],MATCH(C40,STDHVAC[Measure Name],0))),"Err")</f>
        <v/>
      </c>
      <c r="BE40" s="888" t="str">
        <f>IF(C40&lt;&gt;"", _xlfn.LET(
_xlpm.Tons_Cool, V40, _xlpm.PLC_Base, L40, _xlpm.PLC_Eff, N40, _xlpm.Tons_Heat, BP40, _xlpm.Other_Base, R40, _xlpm.Other_Eff, T40,
_xlpm.EFLH_Cool,
INDEX(STDHVAC[EFLHcool],MATCH(C40,STDHVAC[Measure Name],0)),
_xlpm.EFLH_Heat,
INDEX(STDHVAC[EFLHheat],MATCH(C40,STDHVAC[Measure Name],0)),
_xlpm.ElecHeat,
INDEX(SPACEHEAT[ELECHEAT],MATCH(M02S04F22,SPACEHEAT[Space Conditioning],0)),
_xlpm.kWhCool,
ROUND(
IF(OR(ISNUMBER(SEARCH("DX", C40)),ISNUMBER(SEARCH("ASHP", C40)), ISNUMBER(SEARCH("PTAC", C40)), ISNUMBER(SEARCH("PTHP", C40)), ISNUMBER(SEARCH("Air-Cooled Chiller", C40)), ISNUMBER(SEARCH("VRF", C40))),
_xlpm.Tons_Cool * (12/_xlpm.PLC_Base - 12/_xlpm.PLC_Eff)*_xlpm.EFLH_Cool,
IF(ISNUMBER(SEARCH("Water", C40)),
_xlpm.Tons_Cool * (_xlpm.PLC_Base - _xlpm.PLC_Eff) * _xlpm.EFLH_Cool,
" "
)),4),
_xlpm.kWhHeat,
IF(
_xlpm.ElecHeat=1,
ROUND(
IF(OR(ISNUMBER(SEARCH("DX", C40)),ISNUMBER(SEARCH("PTAC", C40)), ISNUMBER(SEARCH("Air-Cooled Chiller", C40)), ISNUMBER(SEARCH("Water", C40)),
ISNUMBER(SEARCH("VRF", C40))),
0,
IF(
OR(ISNUMBER(SEARCH("ASHP", C40)), ISNUMBER(SEARCH("PTHP", C40))),
_xlpm.Tons_Heat * (1/_xlpm.Other_Base - 1/_xlpm.Other_Eff) * _xlpm.EFLH_Heat,
" "
)),4),
0
),
_xlpm.kWhCool + _xlpm.kWhHeat
), "")</f>
        <v/>
      </c>
      <c r="BF40" s="888" t="str">
        <f>IF(C40&lt;&gt;"", _xlfn.LET(
_xlpm.Tons, V40, _xlpm.PCF, 0.913,
IF(AND(ISNUMBER(SEARCH("DX",C40)),ISNUMBER(SEARCH("&lt;65 kbtu",C40))),
_xlpm.Tons * (12/11.42-12/MAX(11.42,T40))*_xlpm.PCF,
IF(OR(ISNUMBER(SEARCH("DX", C40)), ISNUMBER(SEARCH("Air-Cooled Chiller", C40)), ISNUMBER(SEARCH("VRF", C40))),
_xlpm.Tons * (12/R40 - 12/T40) * _xlpm.PCF,
IF(ISNUMBER(SEARCH("Water", C40)),
_xlpm.Tons * (R40-T40) * _xlpm.PCF,
IF(ISNUMBER(SEARCH("ASHP", C40)),
_xlpm.Tons * (12/BN40 - 12/BO40) * _xlpm.PCF,
IF(OR(ISNUMBER(SEARCH("PTAC", C40)), ISNUMBER(SEARCH("PTHP", C40))),
_xlpm.Tons * (12/L40 - 12/N40) * _xlpm.PCF,#REF!)))))), "")</f>
        <v/>
      </c>
      <c r="BG40" s="838" t="str">
        <f t="shared" si="1"/>
        <v/>
      </c>
      <c r="BH40" s="882" t="str">
        <f>IFERROR(IF(OR(C40="",N40="",V40="",AA40="",T40="",AE40="",AG40="",ISNUMBER(AR40)=FALSE,AR40=0),"",INDEX(STDHVAC[Measure Number],MATCH(C40,STDHVAC[Measure Name],0))),"Err")</f>
        <v/>
      </c>
      <c r="BI40" s="754" t="str">
        <f t="shared" ref="BI40" si="58">IFERROR(IF(BS40="",IF(AR40 &lt; BG40, "100% Total Cost", ""), ""), "")</f>
        <v/>
      </c>
      <c r="BJ40" s="882" t="str">
        <f>IFERROR(
IF(OR(C40="",N40="",T40="",V40="",AA40="",AE40="",AG40=""),
"",
IF(BS40&gt;0,"",IF(OR(AND(ISNUMBER(SEARCH("kW/ton", J40)),OR(L40&lt;=N40,R40&lt;T40)),AND(NOT(ISNUMBER(SEARCH("kW/ton", J40))),OR(L40&gt;=N40,R40&gt;T40))),
"Must Improve Efficiency",
IF(EXPIRATION&lt;&gt;"",PROJSTATEXP,"")))),
"")</f>
        <v/>
      </c>
      <c r="BK40" s="828" t="str">
        <f>IFERROR(INDEX(STDHVAC[Measure Life (Years)],MATCH(C40,STDHVAC[Measure Name],0)),"")</f>
        <v/>
      </c>
      <c r="BL40" s="884" t="str">
        <f>IFERROR(IF(OR(C40="",N40="",V40="",AA40="",T40="",AE40="",AG40=""),"",
ROUND(((1+ELOSS)*((AZ40*INDEX(ELECCB[NPV AEC $/kWh],MATCH(BK40,ELECCB[Year Number],1)))+(BA40*INDEX(ELECCB[NPV ACC $/kW],MATCH(BK40,ELECCB[Year Number],1))))),2)),0)</f>
        <v/>
      </c>
      <c r="BM40" s="918" t="str">
        <f>IFERROR(IF(INDEX(STDHVAC[Eff Unit 3],MATCH(C40,STDHVAC[Measure Name],0))="","",INDEX(STDHVAC[Eff Unit 3],MATCH(C40,STDHVAC[Measure Name],0))),"")</f>
        <v/>
      </c>
      <c r="BN40" s="880" t="str">
        <f>IFERROR(IF(INDEX(STDHVAC[Base Efficiency 3],MATCH(C40,STDHVAC[Measure Name],0))="","",INDEX(STDHVAC[Base Efficiency 3],MATCH(C40,STDHVAC[Measure Name],0))),"")</f>
        <v/>
      </c>
      <c r="BO40" s="889" t="str">
        <f t="shared" si="3"/>
        <v/>
      </c>
      <c r="BP40" s="920"/>
      <c r="BQ40" s="891" t="str">
        <f>IFERROR(IF(OR(C40="",N40="",V40="",AA40="",T40="",AE40="",AG40=""),"",INDEX(STDHVAC[Reporting Methodology],MATCH(C40,STDHVAC[Measure Name],0))),"Err")</f>
        <v/>
      </c>
      <c r="BR40" s="867" t="str">
        <f>IFERROR(IF(OR(C40="", V40=""),"",INDEX(STDHVAC[Incremental Measure Cost ($/Unit)],MATCH(C40,STDHVAC[Measure Name],0)) * V40),"Err")</f>
        <v/>
      </c>
      <c r="BS40" s="837"/>
      <c r="BT40" s="838" t="str">
        <f>_xlfn.LET(
_xlpm.IPU,
IFERROR(IF(C40="","",INDEX(STDHVAC[Base Incentive],MATCH(C40,STDHVAC[Measure Name],0))),""),
IFERROR(IF(AI40="$/ton", ROUND(V40*_xlpm.IPU, 2),
IF(AND(ISNUMBER(SEARCH("Air-Cooled Chiller",C40)),AI40="$/ton/IPLV"), ROUND((12/L40-12/N40)*V40*_xlpm.IPU, 2),
ROUND(ABS(N40-L40)*V40*_xlpm.IPU, 2))), ""))</f>
        <v/>
      </c>
    </row>
    <row r="41" spans="2:72" ht="15.95" customHeight="1">
      <c r="B41" s="806"/>
      <c r="C41" s="716"/>
      <c r="D41" s="717"/>
      <c r="E41" s="717"/>
      <c r="F41" s="717"/>
      <c r="G41" s="717"/>
      <c r="H41" s="717"/>
      <c r="I41" s="717"/>
      <c r="J41" s="894"/>
      <c r="K41" s="895"/>
      <c r="L41" s="898"/>
      <c r="M41" s="899"/>
      <c r="N41" s="900"/>
      <c r="O41" s="901"/>
      <c r="P41" s="902"/>
      <c r="Q41" s="903"/>
      <c r="R41" s="904"/>
      <c r="S41" s="905"/>
      <c r="T41" s="908"/>
      <c r="U41" s="909"/>
      <c r="V41" s="910"/>
      <c r="W41" s="911"/>
      <c r="X41" s="716"/>
      <c r="Y41" s="717"/>
      <c r="Z41" s="718"/>
      <c r="AA41" s="932"/>
      <c r="AB41" s="930"/>
      <c r="AC41" s="930"/>
      <c r="AD41" s="931"/>
      <c r="AE41" s="765"/>
      <c r="AF41" s="766"/>
      <c r="AG41" s="766"/>
      <c r="AH41" s="767"/>
      <c r="AI41" s="912"/>
      <c r="AJ41" s="912"/>
      <c r="AK41" s="912"/>
      <c r="AL41" s="913"/>
      <c r="AM41" s="915"/>
      <c r="AN41" s="796"/>
      <c r="AO41" s="798"/>
      <c r="AP41" s="798"/>
      <c r="AQ41" s="798"/>
      <c r="AR41" s="827"/>
      <c r="AS41" s="827"/>
      <c r="AT41" s="827"/>
      <c r="AU41" s="827"/>
      <c r="AV41" s="22"/>
      <c r="AX41" s="874"/>
      <c r="AY41" s="917"/>
      <c r="AZ41" s="747"/>
      <c r="BA41" s="747"/>
      <c r="BB41" s="871"/>
      <c r="BC41" s="871"/>
      <c r="BD41" s="887"/>
      <c r="BE41" s="762"/>
      <c r="BF41" s="762"/>
      <c r="BG41" s="839"/>
      <c r="BH41" s="883"/>
      <c r="BI41" s="755"/>
      <c r="BJ41" s="883"/>
      <c r="BK41" s="829"/>
      <c r="BL41" s="885"/>
      <c r="BM41" s="919"/>
      <c r="BN41" s="881"/>
      <c r="BO41" s="890"/>
      <c r="BP41" s="921"/>
      <c r="BQ41" s="891"/>
      <c r="BR41" s="867"/>
      <c r="BS41" s="837"/>
      <c r="BT41" s="839"/>
    </row>
    <row r="42" spans="2:72" ht="15.95" customHeight="1">
      <c r="B42" s="806">
        <v>13</v>
      </c>
      <c r="C42" s="713"/>
      <c r="D42" s="714"/>
      <c r="E42" s="714"/>
      <c r="F42" s="714"/>
      <c r="G42" s="714"/>
      <c r="H42" s="714"/>
      <c r="I42" s="714"/>
      <c r="J42" s="892" t="str">
        <f>IF(C42="","",INDEX(STDHVAC[Eff Unit 1],MATCH(C42,STDHVAC[Measure Name],0)))</f>
        <v/>
      </c>
      <c r="K42" s="893"/>
      <c r="L42" s="896" t="str">
        <f>IF(C42="","",INDEX(STDHVAC[Base Efficiency 1],MATCH(C42,STDHVAC[Measure Name],0)))</f>
        <v/>
      </c>
      <c r="M42" s="897"/>
      <c r="N42" s="900"/>
      <c r="O42" s="901"/>
      <c r="P42" s="894" t="str">
        <f>IF(C42="","",INDEX(STDHVAC[Eff Unit 2],MATCH(C42,STDHVAC[Measure Name],0)))</f>
        <v/>
      </c>
      <c r="Q42" s="895"/>
      <c r="R42" s="898" t="str">
        <f>IF(C42="","",INDEX(STDHVAC[Base Efficiency 2],MATCH(C42,STDHVAC[Measure Name],0)))</f>
        <v/>
      </c>
      <c r="S42" s="899"/>
      <c r="T42" s="906" t="str">
        <f t="shared" ref="T42" si="59">IF(AND(ISNUMBER(SEARCH("DX",C42)),ISNUMBER(SEARCH("&lt;65 kbtu",C42)),N42&lt;&gt;""),1.12*N42-0.02*N42^2,IF(AND(ISNUMBER(SEARCH("PTAC",C42)),N42&lt;&gt;""),1,""))</f>
        <v/>
      </c>
      <c r="U42" s="907"/>
      <c r="V42" s="910"/>
      <c r="W42" s="911"/>
      <c r="X42" s="713"/>
      <c r="Y42" s="714"/>
      <c r="Z42" s="715"/>
      <c r="AA42" s="932"/>
      <c r="AB42" s="930"/>
      <c r="AC42" s="930"/>
      <c r="AD42" s="931"/>
      <c r="AE42" s="765"/>
      <c r="AF42" s="766"/>
      <c r="AG42" s="766"/>
      <c r="AH42" s="767"/>
      <c r="AI42" s="912" t="str">
        <f>IF(C42="","",INDEX(STDHVAC[Current Unit],MATCH(C42,STDHVAC[Measure Name],0)))</f>
        <v/>
      </c>
      <c r="AJ42" s="912"/>
      <c r="AK42" s="912"/>
      <c r="AL42" s="913"/>
      <c r="AM42" s="914" t="str">
        <f>IFERROR(IF(C42="","",INDEX(IF(AND(ACTIVEBONUS = TRUE,INDEX(STDHVAC[Bonus Incentive],MATCH(C42,STDHVAC[Measure Name],0))&lt;&gt; ""),STDHVAC[Bonus Incentive],STDHVAC[Base Incentive]),MATCH(C42,STDHVAC[Measure Name],0))),"")</f>
        <v/>
      </c>
      <c r="AN42" s="794"/>
      <c r="AO42" s="797" t="str">
        <f t="shared" ref="AO42" si="60">IFERROR(IF(OR(C42="",N42="",V42="",AA42="",T42="",AE42="",AG42=""),"",IF(BQ42="Deemed",AZ42,IF(BQ42="Calculated",BE42,""))),"")</f>
        <v/>
      </c>
      <c r="AP42" s="797"/>
      <c r="AQ42" s="797"/>
      <c r="AR42" s="826" t="str">
        <f t="shared" ref="AR42" si="61">IFERROR(IF(OR(C42="",N42="",V42="",AA42="",T42="",AE42="",AG42=""),"",IF(BJ42&lt;&gt;"",BJ42,IF(BS42&gt;0,BS42,ROUND(IF(AO42&lt;=0,0,MIN(AX42,BG42)), 2)))), "")</f>
        <v/>
      </c>
      <c r="AS42" s="826"/>
      <c r="AT42" s="826"/>
      <c r="AU42" s="826"/>
      <c r="AV42" s="22"/>
      <c r="AX42" s="873" t="str">
        <f t="shared" ref="AX42" si="62">IF(OR(C42="",N42="",V42="",AA42="",T42="",AE42="",AG42="",X42=""),"",IF(AO42=0,"",ROUND(AE42+AG42,2)))</f>
        <v/>
      </c>
      <c r="AY42" s="916" t="str">
        <f>IFERROR(IF(OR(C42="",N42="",V42="",AA42="",T42="",AE42="",AG42="",X42=""),"",INDEX(STDHVAC[Current Unit],MATCH(C42,STDHVAC[Measure Name],0))),"Err")</f>
        <v/>
      </c>
      <c r="AZ42" s="746" t="str">
        <f>IF(
OR(C42="",N42="",V42="",AA42="",T42="",AE42="",AG42="",X42=""),"",
IF(OR(ISNUMBER(SEARCH("PTAC",C42)),ISNUMBER(SEARCH("PTHP",C42))),
ROUND(V42*INDEX(STDHVAC[Electric Energy Savings (Annual kWh/unit)],MATCH(C42,STDHVAC[Measure Name],0)),4),
ROUND(V42*ABS(N42-L42)*INDEX(STDHVAC[Electric Energy Savings (Annual kWh/unit)],MATCH(C42,STDHVAC[Measure Name],0)),4)
))</f>
        <v/>
      </c>
      <c r="BA42" s="746" t="str">
        <f>IF(
OR(C42="",N42="",V42="",AA42="",T42="",AE42="",AG42="",X42=""),"",
IF(OR(ISNUMBER(SEARCH("PTAC",C42)),ISNUMBER(SEARCH("PTHP",C42))),
ROUND(V42*INDEX(STDHVAC[Coincident Peak Demand Savings (kW/unit)],MATCH(C42,STDHVAC[Measure Name],0)),4),
ROUND(V42* ABS(N42-L42)*INDEX(STDHVAC[Coincident Peak Demand Savings (kW/unit)],MATCH(C42,STDHVAC[Measure Name],0)),4)
))</f>
        <v/>
      </c>
      <c r="BB42" s="871"/>
      <c r="BC42" s="871"/>
      <c r="BD42" s="886" t="str">
        <f>IFERROR(IF(OR(C42="",N42="",V42="",AA42="",T42="",AE42="",AG42=""),"",INDEX(STDHVAC[End Use],MATCH(C42,STDHVAC[Measure Name],0))),"Err")</f>
        <v/>
      </c>
      <c r="BE42" s="888" t="str">
        <f>IF(C42&lt;&gt;"", _xlfn.LET(
_xlpm.Tons_Cool, V42, _xlpm.PLC_Base, L42, _xlpm.PLC_Eff, N42, _xlpm.Tons_Heat, BP42, _xlpm.Other_Base, R42, _xlpm.Other_Eff, T42,
_xlpm.EFLH_Cool,
INDEX(STDHVAC[EFLHcool],MATCH(C42,STDHVAC[Measure Name],0)),
_xlpm.EFLH_Heat,
INDEX(STDHVAC[EFLHheat],MATCH(C42,STDHVAC[Measure Name],0)),
_xlpm.ElecHeat,
INDEX(SPACEHEAT[ELECHEAT],MATCH(M02S04F22,SPACEHEAT[Space Conditioning],0)),
_xlpm.kWhCool,
ROUND(
IF(OR(ISNUMBER(SEARCH("DX", C42)),ISNUMBER(SEARCH("ASHP", C42)), ISNUMBER(SEARCH("PTAC", C42)), ISNUMBER(SEARCH("PTHP", C42)), ISNUMBER(SEARCH("Air-Cooled Chiller", C42)), ISNUMBER(SEARCH("VRF", C42))),
_xlpm.Tons_Cool * (12/_xlpm.PLC_Base - 12/_xlpm.PLC_Eff)*_xlpm.EFLH_Cool,
IF(ISNUMBER(SEARCH("Water", C42)),
_xlpm.Tons_Cool * (_xlpm.PLC_Base - _xlpm.PLC_Eff) * _xlpm.EFLH_Cool,
" "
)),4),
_xlpm.kWhHeat,
IF(
_xlpm.ElecHeat=1,
ROUND(
IF(OR(ISNUMBER(SEARCH("DX", C42)),ISNUMBER(SEARCH("PTAC", C42)), ISNUMBER(SEARCH("Air-Cooled Chiller", C42)), ISNUMBER(SEARCH("Water", C42)),
ISNUMBER(SEARCH("VRF", C42))),
0,
IF(
OR(ISNUMBER(SEARCH("ASHP", C42)), ISNUMBER(SEARCH("PTHP", C42))),
_xlpm.Tons_Heat * (1/_xlpm.Other_Base - 1/_xlpm.Other_Eff) * _xlpm.EFLH_Heat,
" "
)),4),
0
),
_xlpm.kWhCool + _xlpm.kWhHeat
), "")</f>
        <v/>
      </c>
      <c r="BF42" s="888" t="str">
        <f>IF(C42&lt;&gt;"", _xlfn.LET(
_xlpm.Tons, V42, _xlpm.PCF, 0.913,
IF(AND(ISNUMBER(SEARCH("DX",C42)),ISNUMBER(SEARCH("&lt;65 kbtu",C42))),
_xlpm.Tons * (12/11.42-12/MAX(11.42,T42))*_xlpm.PCF,
IF(OR(ISNUMBER(SEARCH("DX", C42)), ISNUMBER(SEARCH("Air-Cooled Chiller", C42)), ISNUMBER(SEARCH("VRF", C42))),
_xlpm.Tons * (12/R42 - 12/T42) * _xlpm.PCF,
IF(ISNUMBER(SEARCH("Water", C42)),
_xlpm.Tons * (R42-T42) * _xlpm.PCF,
IF(ISNUMBER(SEARCH("ASHP", C42)),
_xlpm.Tons * (12/BN42 - 12/BO42) * _xlpm.PCF,
IF(OR(ISNUMBER(SEARCH("PTAC", C42)), ISNUMBER(SEARCH("PTHP", C42))),
_xlpm.Tons * (12/L42 - 12/N42) * _xlpm.PCF,#REF!)))))), "")</f>
        <v/>
      </c>
      <c r="BG42" s="838" t="str">
        <f t="shared" si="1"/>
        <v/>
      </c>
      <c r="BH42" s="882" t="str">
        <f>IFERROR(IF(OR(C42="",N42="",V42="",AA42="",T42="",AE42="",AG42="",ISNUMBER(AR42)=FALSE,AR42=0),"",INDEX(STDHVAC[Measure Number],MATCH(C42,STDHVAC[Measure Name],0))),"Err")</f>
        <v/>
      </c>
      <c r="BI42" s="754" t="str">
        <f t="shared" ref="BI42" si="63">IFERROR(IF(BS42="",IF(AR42 &lt; BG42, "100% Total Cost", ""), ""), "")</f>
        <v/>
      </c>
      <c r="BJ42" s="882" t="str">
        <f>IFERROR(
IF(OR(C42="",N42="",T42="",V42="",AA42="",AE42="",AG42=""),
"",
IF(BS42&gt;0,"",IF(OR(AND(ISNUMBER(SEARCH("kW/ton", J42)),OR(L42&lt;=N42,R42&lt;T42)),AND(NOT(ISNUMBER(SEARCH("kW/ton", J42))),OR(L42&gt;=N42,R42&gt;T42))),
"Must Improve Efficiency",
IF(EXPIRATION&lt;&gt;"",PROJSTATEXP,"")))),
"")</f>
        <v/>
      </c>
      <c r="BK42" s="828" t="str">
        <f>IFERROR(INDEX(STDHVAC[Measure Life (Years)],MATCH(C42,STDHVAC[Measure Name],0)),"")</f>
        <v/>
      </c>
      <c r="BL42" s="884" t="str">
        <f>IFERROR(IF(OR(C42="",N42="",V42="",AA42="",T42="",AE42="",AG42=""),"",
ROUND(((1+ELOSS)*((AZ42*INDEX(ELECCB[NPV AEC $/kWh],MATCH(BK42,ELECCB[Year Number],1)))+(BA42*INDEX(ELECCB[NPV ACC $/kW],MATCH(BK42,ELECCB[Year Number],1))))),2)),0)</f>
        <v/>
      </c>
      <c r="BM42" s="918" t="str">
        <f>IFERROR(IF(INDEX(STDHVAC[Eff Unit 3],MATCH(C42,STDHVAC[Measure Name],0))="","",INDEX(STDHVAC[Eff Unit 3],MATCH(C42,STDHVAC[Measure Name],0))),"")</f>
        <v/>
      </c>
      <c r="BN42" s="880" t="str">
        <f>IFERROR(IF(INDEX(STDHVAC[Base Efficiency 3],MATCH(C42,STDHVAC[Measure Name],0))="","",INDEX(STDHVAC[Base Efficiency 3],MATCH(C42,STDHVAC[Measure Name],0))),"")</f>
        <v/>
      </c>
      <c r="BO42" s="889" t="str">
        <f t="shared" si="3"/>
        <v/>
      </c>
      <c r="BP42" s="920"/>
      <c r="BQ42" s="891" t="str">
        <f>IFERROR(IF(OR(C42="",N42="",V42="",AA42="",T42="",AE42="",AG42=""),"",INDEX(STDHVAC[Reporting Methodology],MATCH(C42,STDHVAC[Measure Name],0))),"Err")</f>
        <v/>
      </c>
      <c r="BR42" s="867" t="str">
        <f>IFERROR(IF(OR(C42="", V42=""),"",INDEX(STDHVAC[Incremental Measure Cost ($/Unit)],MATCH(C42,STDHVAC[Measure Name],0)) * V42),"Err")</f>
        <v/>
      </c>
      <c r="BS42" s="837"/>
      <c r="BT42" s="838" t="str">
        <f>_xlfn.LET(
_xlpm.IPU,
IFERROR(IF(C42="","",INDEX(STDHVAC[Base Incentive],MATCH(C42,STDHVAC[Measure Name],0))),""),
IFERROR(IF(AI42="$/ton", ROUND(V42*_xlpm.IPU, 2),
IF(AND(ISNUMBER(SEARCH("Air-Cooled Chiller",C42)),AI42="$/ton/IPLV"), ROUND((12/L42-12/N42)*V42*_xlpm.IPU, 2),
ROUND(ABS(N42-L42)*V42*_xlpm.IPU, 2))), ""))</f>
        <v/>
      </c>
    </row>
    <row r="43" spans="2:72" ht="15.95" customHeight="1">
      <c r="B43" s="806"/>
      <c r="C43" s="716"/>
      <c r="D43" s="717"/>
      <c r="E43" s="717"/>
      <c r="F43" s="717"/>
      <c r="G43" s="717"/>
      <c r="H43" s="717"/>
      <c r="I43" s="717"/>
      <c r="J43" s="894"/>
      <c r="K43" s="895"/>
      <c r="L43" s="898"/>
      <c r="M43" s="899"/>
      <c r="N43" s="900"/>
      <c r="O43" s="901"/>
      <c r="P43" s="902"/>
      <c r="Q43" s="903"/>
      <c r="R43" s="904"/>
      <c r="S43" s="905"/>
      <c r="T43" s="908"/>
      <c r="U43" s="909"/>
      <c r="V43" s="910"/>
      <c r="W43" s="911"/>
      <c r="X43" s="716"/>
      <c r="Y43" s="717"/>
      <c r="Z43" s="718"/>
      <c r="AA43" s="932"/>
      <c r="AB43" s="930"/>
      <c r="AC43" s="930"/>
      <c r="AD43" s="931"/>
      <c r="AE43" s="765"/>
      <c r="AF43" s="766"/>
      <c r="AG43" s="766"/>
      <c r="AH43" s="767"/>
      <c r="AI43" s="912"/>
      <c r="AJ43" s="912"/>
      <c r="AK43" s="912"/>
      <c r="AL43" s="913"/>
      <c r="AM43" s="915"/>
      <c r="AN43" s="796"/>
      <c r="AO43" s="798"/>
      <c r="AP43" s="798"/>
      <c r="AQ43" s="798"/>
      <c r="AR43" s="827"/>
      <c r="AS43" s="827"/>
      <c r="AT43" s="827"/>
      <c r="AU43" s="827"/>
      <c r="AV43" s="22"/>
      <c r="AX43" s="874"/>
      <c r="AY43" s="917"/>
      <c r="AZ43" s="747"/>
      <c r="BA43" s="747"/>
      <c r="BB43" s="871"/>
      <c r="BC43" s="871"/>
      <c r="BD43" s="887"/>
      <c r="BE43" s="762"/>
      <c r="BF43" s="762"/>
      <c r="BG43" s="839"/>
      <c r="BH43" s="883"/>
      <c r="BI43" s="755"/>
      <c r="BJ43" s="883"/>
      <c r="BK43" s="829"/>
      <c r="BL43" s="885"/>
      <c r="BM43" s="919"/>
      <c r="BN43" s="881"/>
      <c r="BO43" s="890"/>
      <c r="BP43" s="921"/>
      <c r="BQ43" s="891"/>
      <c r="BR43" s="867"/>
      <c r="BS43" s="837"/>
      <c r="BT43" s="839"/>
    </row>
    <row r="44" spans="2:72" ht="15.95" customHeight="1">
      <c r="B44" s="806">
        <v>14</v>
      </c>
      <c r="C44" s="713"/>
      <c r="D44" s="714"/>
      <c r="E44" s="714"/>
      <c r="F44" s="714"/>
      <c r="G44" s="714"/>
      <c r="H44" s="714"/>
      <c r="I44" s="714"/>
      <c r="J44" s="892" t="str">
        <f>IF(C44="","",INDEX(STDHVAC[Eff Unit 1],MATCH(C44,STDHVAC[Measure Name],0)))</f>
        <v/>
      </c>
      <c r="K44" s="893"/>
      <c r="L44" s="896" t="str">
        <f>IF(C44="","",INDEX(STDHVAC[Base Efficiency 1],MATCH(C44,STDHVAC[Measure Name],0)))</f>
        <v/>
      </c>
      <c r="M44" s="897"/>
      <c r="N44" s="900"/>
      <c r="O44" s="901"/>
      <c r="P44" s="894" t="str">
        <f>IF(C44="","",INDEX(STDHVAC[Eff Unit 2],MATCH(C44,STDHVAC[Measure Name],0)))</f>
        <v/>
      </c>
      <c r="Q44" s="895"/>
      <c r="R44" s="898" t="str">
        <f>IF(C44="","",INDEX(STDHVAC[Base Efficiency 2],MATCH(C44,STDHVAC[Measure Name],0)))</f>
        <v/>
      </c>
      <c r="S44" s="899"/>
      <c r="T44" s="906" t="str">
        <f t="shared" ref="T44" si="64">IF(AND(ISNUMBER(SEARCH("DX",C44)),ISNUMBER(SEARCH("&lt;65 kbtu",C44)),N44&lt;&gt;""),1.12*N44-0.02*N44^2,IF(AND(ISNUMBER(SEARCH("PTAC",C44)),N44&lt;&gt;""),1,""))</f>
        <v/>
      </c>
      <c r="U44" s="907"/>
      <c r="V44" s="910"/>
      <c r="W44" s="911"/>
      <c r="X44" s="713"/>
      <c r="Y44" s="714"/>
      <c r="Z44" s="715"/>
      <c r="AA44" s="932"/>
      <c r="AB44" s="930"/>
      <c r="AC44" s="930"/>
      <c r="AD44" s="931"/>
      <c r="AE44" s="765"/>
      <c r="AF44" s="766"/>
      <c r="AG44" s="766"/>
      <c r="AH44" s="767"/>
      <c r="AI44" s="912" t="str">
        <f>IF(C44="","",INDEX(STDHVAC[Current Unit],MATCH(C44,STDHVAC[Measure Name],0)))</f>
        <v/>
      </c>
      <c r="AJ44" s="912"/>
      <c r="AK44" s="912"/>
      <c r="AL44" s="913"/>
      <c r="AM44" s="914" t="str">
        <f>IFERROR(IF(C44="","",INDEX(IF(AND(ACTIVEBONUS = TRUE,INDEX(STDHVAC[Bonus Incentive],MATCH(C44,STDHVAC[Measure Name],0))&lt;&gt; ""),STDHVAC[Bonus Incentive],STDHVAC[Base Incentive]),MATCH(C44,STDHVAC[Measure Name],0))),"")</f>
        <v/>
      </c>
      <c r="AN44" s="794"/>
      <c r="AO44" s="797" t="str">
        <f t="shared" ref="AO44" si="65">IFERROR(IF(OR(C44="",N44="",V44="",AA44="",T44="",AE44="",AG44=""),"",IF(BQ44="Deemed",AZ44,IF(BQ44="Calculated",BE44,""))),"")</f>
        <v/>
      </c>
      <c r="AP44" s="797"/>
      <c r="AQ44" s="797"/>
      <c r="AR44" s="826" t="str">
        <f t="shared" ref="AR44" si="66">IFERROR(IF(OR(C44="",N44="",V44="",AA44="",T44="",AE44="",AG44=""),"",IF(BJ44&lt;&gt;"",BJ44,IF(BS44&gt;0,BS44,ROUND(IF(AO44&lt;=0,0,MIN(AX44,BG44)), 2)))), "")</f>
        <v/>
      </c>
      <c r="AS44" s="826"/>
      <c r="AT44" s="826"/>
      <c r="AU44" s="826"/>
      <c r="AV44" s="22"/>
      <c r="AX44" s="873" t="str">
        <f t="shared" ref="AX44" si="67">IF(OR(C44="",N44="",V44="",AA44="",T44="",AE44="",AG44="",X44=""),"",IF(AO44=0,"",ROUND(AE44+AG44,2)))</f>
        <v/>
      </c>
      <c r="AY44" s="916" t="str">
        <f>IFERROR(IF(OR(C44="",N44="",V44="",AA44="",T44="",AE44="",AG44="",X44=""),"",INDEX(STDHVAC[Current Unit],MATCH(C44,STDHVAC[Measure Name],0))),"Err")</f>
        <v/>
      </c>
      <c r="AZ44" s="746" t="str">
        <f>IF(
OR(C44="",N44="",V44="",AA44="",T44="",AE44="",AG44="",X44=""),"",
IF(OR(ISNUMBER(SEARCH("PTAC",C44)),ISNUMBER(SEARCH("PTHP",C44))),
ROUND(V44*INDEX(STDHVAC[Electric Energy Savings (Annual kWh/unit)],MATCH(C44,STDHVAC[Measure Name],0)),4),
ROUND(V44*ABS(N44-L44)*INDEX(STDHVAC[Electric Energy Savings (Annual kWh/unit)],MATCH(C44,STDHVAC[Measure Name],0)),4)
))</f>
        <v/>
      </c>
      <c r="BA44" s="746" t="str">
        <f>IF(
OR(C44="",N44="",V44="",AA44="",T44="",AE44="",AG44="",X44=""),"",
IF(OR(ISNUMBER(SEARCH("PTAC",C44)),ISNUMBER(SEARCH("PTHP",C44))),
ROUND(V44*INDEX(STDHVAC[Coincident Peak Demand Savings (kW/unit)],MATCH(C44,STDHVAC[Measure Name],0)),4),
ROUND(V44* ABS(N44-L44)*INDEX(STDHVAC[Coincident Peak Demand Savings (kW/unit)],MATCH(C44,STDHVAC[Measure Name],0)),4)
))</f>
        <v/>
      </c>
      <c r="BB44" s="871"/>
      <c r="BC44" s="871"/>
      <c r="BD44" s="886" t="str">
        <f>IFERROR(IF(OR(C44="",N44="",V44="",AA44="",T44="",AE44="",AG44=""),"",INDEX(STDHVAC[End Use],MATCH(C44,STDHVAC[Measure Name],0))),"Err")</f>
        <v/>
      </c>
      <c r="BE44" s="888" t="str">
        <f>IF(C44&lt;&gt;"", _xlfn.LET(
_xlpm.Tons_Cool, V44, _xlpm.PLC_Base, L44, _xlpm.PLC_Eff, N44, _xlpm.Tons_Heat, BP44, _xlpm.Other_Base, R44, _xlpm.Other_Eff, T44,
_xlpm.EFLH_Cool,
INDEX(STDHVAC[EFLHcool],MATCH(C44,STDHVAC[Measure Name],0)),
_xlpm.EFLH_Heat,
INDEX(STDHVAC[EFLHheat],MATCH(C44,STDHVAC[Measure Name],0)),
_xlpm.ElecHeat,
INDEX(SPACEHEAT[ELECHEAT],MATCH(M02S04F22,SPACEHEAT[Space Conditioning],0)),
_xlpm.kWhCool,
ROUND(
IF(OR(ISNUMBER(SEARCH("DX", C44)),ISNUMBER(SEARCH("ASHP", C44)), ISNUMBER(SEARCH("PTAC", C44)), ISNUMBER(SEARCH("PTHP", C44)), ISNUMBER(SEARCH("Air-Cooled Chiller", C44)), ISNUMBER(SEARCH("VRF", C44))),
_xlpm.Tons_Cool * (12/_xlpm.PLC_Base - 12/_xlpm.PLC_Eff)*_xlpm.EFLH_Cool,
IF(ISNUMBER(SEARCH("Water", C44)),
_xlpm.Tons_Cool * (_xlpm.PLC_Base - _xlpm.PLC_Eff) * _xlpm.EFLH_Cool,
" "
)),4),
_xlpm.kWhHeat,
IF(
_xlpm.ElecHeat=1,
ROUND(
IF(OR(ISNUMBER(SEARCH("DX", C44)),ISNUMBER(SEARCH("PTAC", C44)), ISNUMBER(SEARCH("Air-Cooled Chiller", C44)), ISNUMBER(SEARCH("Water", C44)),
ISNUMBER(SEARCH("VRF", C44))),
0,
IF(
OR(ISNUMBER(SEARCH("ASHP", C44)), ISNUMBER(SEARCH("PTHP", C44))),
_xlpm.Tons_Heat * (1/_xlpm.Other_Base - 1/_xlpm.Other_Eff) * _xlpm.EFLH_Heat,
" "
)),4),
0
),
_xlpm.kWhCool + _xlpm.kWhHeat
), "")</f>
        <v/>
      </c>
      <c r="BF44" s="888" t="str">
        <f>IF(C44&lt;&gt;"", _xlfn.LET(
_xlpm.Tons, V44, _xlpm.PCF, 0.913,
IF(AND(ISNUMBER(SEARCH("DX",C44)),ISNUMBER(SEARCH("&lt;65 kbtu",C44))),
_xlpm.Tons * (12/11.42-12/MAX(11.42,T44))*_xlpm.PCF,
IF(OR(ISNUMBER(SEARCH("DX", C44)), ISNUMBER(SEARCH("Air-Cooled Chiller", C44)), ISNUMBER(SEARCH("VRF", C44))),
_xlpm.Tons * (12/R44 - 12/T44) * _xlpm.PCF,
IF(ISNUMBER(SEARCH("Water", C44)),
_xlpm.Tons * (R44-T44) * _xlpm.PCF,
IF(ISNUMBER(SEARCH("ASHP", C44)),
_xlpm.Tons * (12/BN44 - 12/BO44) * _xlpm.PCF,
IF(OR(ISNUMBER(SEARCH("PTAC", C44)), ISNUMBER(SEARCH("PTHP", C44))),
_xlpm.Tons * (12/L44 - 12/N44) * _xlpm.PCF,#REF!)))))), "")</f>
        <v/>
      </c>
      <c r="BG44" s="838" t="str">
        <f t="shared" si="1"/>
        <v/>
      </c>
      <c r="BH44" s="882" t="str">
        <f>IFERROR(IF(OR(C44="",N44="",V44="",AA44="",T44="",AE44="",AG44="",ISNUMBER(AR44)=FALSE,AR44=0),"",INDEX(STDHVAC[Measure Number],MATCH(C44,STDHVAC[Measure Name],0))),"Err")</f>
        <v/>
      </c>
      <c r="BI44" s="754" t="str">
        <f t="shared" ref="BI44" si="68">IFERROR(IF(BS44="",IF(AR44 &lt; BG44, "100% Total Cost", ""), ""), "")</f>
        <v/>
      </c>
      <c r="BJ44" s="882" t="str">
        <f>IFERROR(
IF(OR(C44="",N44="",T44="",V44="",AA44="",AE44="",AG44=""),
"",
IF(BS44&gt;0,"",IF(OR(AND(ISNUMBER(SEARCH("kW/ton", J44)),OR(L44&lt;=N44,R44&lt;T44)),AND(NOT(ISNUMBER(SEARCH("kW/ton", J44))),OR(L44&gt;=N44,R44&gt;T44))),
"Must Improve Efficiency",
IF(EXPIRATION&lt;&gt;"",PROJSTATEXP,"")))),
"")</f>
        <v/>
      </c>
      <c r="BK44" s="828" t="str">
        <f>IFERROR(INDEX(STDHVAC[Measure Life (Years)],MATCH(C44,STDHVAC[Measure Name],0)),"")</f>
        <v/>
      </c>
      <c r="BL44" s="884" t="str">
        <f>IFERROR(IF(OR(C44="",N44="",V44="",AA44="",T44="",AE44="",AG44=""),"",
ROUND(((1+ELOSS)*((AZ44*INDEX(ELECCB[NPV AEC $/kWh],MATCH(BK44,ELECCB[Year Number],1)))+(BA44*INDEX(ELECCB[NPV ACC $/kW],MATCH(BK44,ELECCB[Year Number],1))))),2)),0)</f>
        <v/>
      </c>
      <c r="BM44" s="918" t="str">
        <f>IFERROR(IF(INDEX(STDHVAC[Eff Unit 3],MATCH(C44,STDHVAC[Measure Name],0))="","",INDEX(STDHVAC[Eff Unit 3],MATCH(C44,STDHVAC[Measure Name],0))),"")</f>
        <v/>
      </c>
      <c r="BN44" s="880" t="str">
        <f>IFERROR(IF(INDEX(STDHVAC[Base Efficiency 3],MATCH(C44,STDHVAC[Measure Name],0))="","",INDEX(STDHVAC[Base Efficiency 3],MATCH(C44,STDHVAC[Measure Name],0))),"")</f>
        <v/>
      </c>
      <c r="BO44" s="889" t="str">
        <f t="shared" si="3"/>
        <v/>
      </c>
      <c r="BP44" s="920"/>
      <c r="BQ44" s="891" t="str">
        <f>IFERROR(IF(OR(C44="",N44="",V44="",AA44="",T44="",AE44="",AG44=""),"",INDEX(STDHVAC[Reporting Methodology],MATCH(C44,STDHVAC[Measure Name],0))),"Err")</f>
        <v/>
      </c>
      <c r="BR44" s="867" t="str">
        <f>IFERROR(IF(OR(C44="", V44=""),"",INDEX(STDHVAC[Incremental Measure Cost ($/Unit)],MATCH(C44,STDHVAC[Measure Name],0)) * V44),"Err")</f>
        <v/>
      </c>
      <c r="BS44" s="837"/>
      <c r="BT44" s="838" t="str">
        <f>_xlfn.LET(
_xlpm.IPU,
IFERROR(IF(C44="","",INDEX(STDHVAC[Base Incentive],MATCH(C44,STDHVAC[Measure Name],0))),""),
IFERROR(IF(AI44="$/ton", ROUND(V44*_xlpm.IPU, 2),
IF(AND(ISNUMBER(SEARCH("Air-Cooled Chiller",C44)),AI44="$/ton/IPLV"), ROUND((12/L44-12/N44)*V44*_xlpm.IPU, 2),
ROUND(ABS(N44-L44)*V44*_xlpm.IPU, 2))), ""))</f>
        <v/>
      </c>
    </row>
    <row r="45" spans="2:72" ht="15.95" customHeight="1">
      <c r="B45" s="806"/>
      <c r="C45" s="716"/>
      <c r="D45" s="717"/>
      <c r="E45" s="717"/>
      <c r="F45" s="717"/>
      <c r="G45" s="717"/>
      <c r="H45" s="717"/>
      <c r="I45" s="717"/>
      <c r="J45" s="894"/>
      <c r="K45" s="895"/>
      <c r="L45" s="898"/>
      <c r="M45" s="899"/>
      <c r="N45" s="900"/>
      <c r="O45" s="901"/>
      <c r="P45" s="902"/>
      <c r="Q45" s="903"/>
      <c r="R45" s="904"/>
      <c r="S45" s="905"/>
      <c r="T45" s="908"/>
      <c r="U45" s="909"/>
      <c r="V45" s="910"/>
      <c r="W45" s="911"/>
      <c r="X45" s="716"/>
      <c r="Y45" s="717"/>
      <c r="Z45" s="718"/>
      <c r="AA45" s="932"/>
      <c r="AB45" s="930"/>
      <c r="AC45" s="930"/>
      <c r="AD45" s="931"/>
      <c r="AE45" s="765"/>
      <c r="AF45" s="766"/>
      <c r="AG45" s="766"/>
      <c r="AH45" s="767"/>
      <c r="AI45" s="912"/>
      <c r="AJ45" s="912"/>
      <c r="AK45" s="912"/>
      <c r="AL45" s="913"/>
      <c r="AM45" s="915"/>
      <c r="AN45" s="796"/>
      <c r="AO45" s="798"/>
      <c r="AP45" s="798"/>
      <c r="AQ45" s="798"/>
      <c r="AR45" s="827"/>
      <c r="AS45" s="827"/>
      <c r="AT45" s="827"/>
      <c r="AU45" s="827"/>
      <c r="AV45" s="22"/>
      <c r="AX45" s="874"/>
      <c r="AY45" s="917"/>
      <c r="AZ45" s="747"/>
      <c r="BA45" s="747"/>
      <c r="BB45" s="871"/>
      <c r="BC45" s="871"/>
      <c r="BD45" s="887"/>
      <c r="BE45" s="762"/>
      <c r="BF45" s="762"/>
      <c r="BG45" s="839"/>
      <c r="BH45" s="883"/>
      <c r="BI45" s="755"/>
      <c r="BJ45" s="883"/>
      <c r="BK45" s="829"/>
      <c r="BL45" s="885"/>
      <c r="BM45" s="919"/>
      <c r="BN45" s="881"/>
      <c r="BO45" s="890"/>
      <c r="BP45" s="921"/>
      <c r="BQ45" s="891"/>
      <c r="BR45" s="867"/>
      <c r="BS45" s="837"/>
      <c r="BT45" s="839"/>
    </row>
    <row r="46" spans="2:72" ht="15.95" customHeight="1">
      <c r="B46" s="806">
        <v>15</v>
      </c>
      <c r="C46" s="713"/>
      <c r="D46" s="714"/>
      <c r="E46" s="714"/>
      <c r="F46" s="714"/>
      <c r="G46" s="714"/>
      <c r="H46" s="714"/>
      <c r="I46" s="714"/>
      <c r="J46" s="892" t="str">
        <f>IF(C46="","",INDEX(STDHVAC[Eff Unit 1],MATCH(C46,STDHVAC[Measure Name],0)))</f>
        <v/>
      </c>
      <c r="K46" s="893"/>
      <c r="L46" s="896" t="str">
        <f>IF(C46="","",INDEX(STDHVAC[Base Efficiency 1],MATCH(C46,STDHVAC[Measure Name],0)))</f>
        <v/>
      </c>
      <c r="M46" s="897"/>
      <c r="N46" s="900"/>
      <c r="O46" s="901"/>
      <c r="P46" s="894" t="str">
        <f>IF(C46="","",INDEX(STDHVAC[Eff Unit 2],MATCH(C46,STDHVAC[Measure Name],0)))</f>
        <v/>
      </c>
      <c r="Q46" s="895"/>
      <c r="R46" s="898" t="str">
        <f>IF(C46="","",INDEX(STDHVAC[Base Efficiency 2],MATCH(C46,STDHVAC[Measure Name],0)))</f>
        <v/>
      </c>
      <c r="S46" s="899"/>
      <c r="T46" s="906" t="str">
        <f t="shared" ref="T46" si="69">IF(AND(ISNUMBER(SEARCH("DX",C46)),ISNUMBER(SEARCH("&lt;65 kbtu",C46)),N46&lt;&gt;""),1.12*N46-0.02*N46^2,IF(AND(ISNUMBER(SEARCH("PTAC",C46)),N46&lt;&gt;""),1,""))</f>
        <v/>
      </c>
      <c r="U46" s="907"/>
      <c r="V46" s="910"/>
      <c r="W46" s="911"/>
      <c r="X46" s="713"/>
      <c r="Y46" s="714"/>
      <c r="Z46" s="715"/>
      <c r="AA46" s="932"/>
      <c r="AB46" s="930"/>
      <c r="AC46" s="930"/>
      <c r="AD46" s="931"/>
      <c r="AE46" s="765"/>
      <c r="AF46" s="766"/>
      <c r="AG46" s="766"/>
      <c r="AH46" s="767"/>
      <c r="AI46" s="912" t="str">
        <f>IF(C46="","",INDEX(STDHVAC[Current Unit],MATCH(C46,STDHVAC[Measure Name],0)))</f>
        <v/>
      </c>
      <c r="AJ46" s="912"/>
      <c r="AK46" s="912"/>
      <c r="AL46" s="913"/>
      <c r="AM46" s="914" t="str">
        <f>IFERROR(IF(C46="","",INDEX(IF(AND(ACTIVEBONUS = TRUE,INDEX(STDHVAC[Bonus Incentive],MATCH(C46,STDHVAC[Measure Name],0))&lt;&gt; ""),STDHVAC[Bonus Incentive],STDHVAC[Base Incentive]),MATCH(C46,STDHVAC[Measure Name],0))),"")</f>
        <v/>
      </c>
      <c r="AN46" s="794"/>
      <c r="AO46" s="797" t="str">
        <f t="shared" ref="AO46" si="70">IFERROR(IF(OR(C46="",N46="",V46="",AA46="",T46="",AE46="",AG46=""),"",IF(BQ46="Deemed",AZ46,IF(BQ46="Calculated",BE46,""))),"")</f>
        <v/>
      </c>
      <c r="AP46" s="797"/>
      <c r="AQ46" s="797"/>
      <c r="AR46" s="826" t="str">
        <f t="shared" ref="AR46" si="71">IFERROR(IF(OR(C46="",N46="",V46="",AA46="",T46="",AE46="",AG46=""),"",IF(BJ46&lt;&gt;"",BJ46,IF(BS46&gt;0,BS46,ROUND(IF(AO46&lt;=0,0,MIN(AX46,BG46)), 2)))), "")</f>
        <v/>
      </c>
      <c r="AS46" s="826"/>
      <c r="AT46" s="826"/>
      <c r="AU46" s="826"/>
      <c r="AV46" s="22"/>
      <c r="AX46" s="873" t="str">
        <f t="shared" ref="AX46" si="72">IF(OR(C46="",N46="",V46="",AA46="",T46="",AE46="",AG46="",X46=""),"",IF(AO46=0,"",ROUND(AE46+AG46,2)))</f>
        <v/>
      </c>
      <c r="AY46" s="916" t="str">
        <f>IFERROR(IF(OR(C46="",N46="",V46="",AA46="",T46="",AE46="",AG46="",X46=""),"",INDEX(STDHVAC[Current Unit],MATCH(C46,STDHVAC[Measure Name],0))),"Err")</f>
        <v/>
      </c>
      <c r="AZ46" s="746" t="str">
        <f>IF(
OR(C46="",N46="",V46="",AA46="",T46="",AE46="",AG46="",X46=""),"",
IF(OR(ISNUMBER(SEARCH("PTAC",C46)),ISNUMBER(SEARCH("PTHP",C46))),
ROUND(V46*INDEX(STDHVAC[Electric Energy Savings (Annual kWh/unit)],MATCH(C46,STDHVAC[Measure Name],0)),4),
ROUND(V46*ABS(N46-L46)*INDEX(STDHVAC[Electric Energy Savings (Annual kWh/unit)],MATCH(C46,STDHVAC[Measure Name],0)),4)
))</f>
        <v/>
      </c>
      <c r="BA46" s="746" t="str">
        <f>IF(
OR(C46="",N46="",V46="",AA46="",T46="",AE46="",AG46="",X46=""),"",
IF(OR(ISNUMBER(SEARCH("PTAC",C46)),ISNUMBER(SEARCH("PTHP",C46))),
ROUND(V46*INDEX(STDHVAC[Coincident Peak Demand Savings (kW/unit)],MATCH(C46,STDHVAC[Measure Name],0)),4),
ROUND(V46* ABS(N46-L46)*INDEX(STDHVAC[Coincident Peak Demand Savings (kW/unit)],MATCH(C46,STDHVAC[Measure Name],0)),4)
))</f>
        <v/>
      </c>
      <c r="BB46" s="871"/>
      <c r="BC46" s="871"/>
      <c r="BD46" s="886" t="str">
        <f>IFERROR(IF(OR(C46="",N46="",V46="",AA46="",T46="",AE46="",AG46=""),"",INDEX(STDHVAC[End Use],MATCH(C46,STDHVAC[Measure Name],0))),"Err")</f>
        <v/>
      </c>
      <c r="BE46" s="888" t="str">
        <f>IF(C46&lt;&gt;"", _xlfn.LET(
_xlpm.Tons_Cool, V46, _xlpm.PLC_Base, L46, _xlpm.PLC_Eff, N46, _xlpm.Tons_Heat, BP46, _xlpm.Other_Base, R46, _xlpm.Other_Eff, T46,
_xlpm.EFLH_Cool,
INDEX(STDHVAC[EFLHcool],MATCH(C46,STDHVAC[Measure Name],0)),
_xlpm.EFLH_Heat,
INDEX(STDHVAC[EFLHheat],MATCH(C46,STDHVAC[Measure Name],0)),
_xlpm.ElecHeat,
INDEX(SPACEHEAT[ELECHEAT],MATCH(M02S04F22,SPACEHEAT[Space Conditioning],0)),
_xlpm.kWhCool,
ROUND(
IF(OR(ISNUMBER(SEARCH("DX", C46)),ISNUMBER(SEARCH("ASHP", C46)), ISNUMBER(SEARCH("PTAC", C46)), ISNUMBER(SEARCH("PTHP", C46)), ISNUMBER(SEARCH("Air-Cooled Chiller", C46)), ISNUMBER(SEARCH("VRF", C46))),
_xlpm.Tons_Cool * (12/_xlpm.PLC_Base - 12/_xlpm.PLC_Eff)*_xlpm.EFLH_Cool,
IF(ISNUMBER(SEARCH("Water", C46)),
_xlpm.Tons_Cool * (_xlpm.PLC_Base - _xlpm.PLC_Eff) * _xlpm.EFLH_Cool,
" "
)),4),
_xlpm.kWhHeat,
IF(
_xlpm.ElecHeat=1,
ROUND(
IF(OR(ISNUMBER(SEARCH("DX", C46)),ISNUMBER(SEARCH("PTAC", C46)), ISNUMBER(SEARCH("Air-Cooled Chiller", C46)), ISNUMBER(SEARCH("Water", C46)),
ISNUMBER(SEARCH("VRF", C46))),
0,
IF(
OR(ISNUMBER(SEARCH("ASHP", C46)), ISNUMBER(SEARCH("PTHP", C46))),
_xlpm.Tons_Heat * (1/_xlpm.Other_Base - 1/_xlpm.Other_Eff) * _xlpm.EFLH_Heat,
" "
)),4),
0
),
_xlpm.kWhCool + _xlpm.kWhHeat
), "")</f>
        <v/>
      </c>
      <c r="BF46" s="888" t="str">
        <f>IF(C46&lt;&gt;"", _xlfn.LET(
_xlpm.Tons, V46, _xlpm.PCF, 0.913,
IF(AND(ISNUMBER(SEARCH("DX",C46)),ISNUMBER(SEARCH("&lt;65 kbtu",C46))),
_xlpm.Tons * (12/11.42-12/MAX(11.42,T46))*_xlpm.PCF,
IF(OR(ISNUMBER(SEARCH("DX", C46)), ISNUMBER(SEARCH("Air-Cooled Chiller", C46)), ISNUMBER(SEARCH("VRF", C46))),
_xlpm.Tons * (12/R46 - 12/T46) * _xlpm.PCF,
IF(ISNUMBER(SEARCH("Water", C46)),
_xlpm.Tons * (R46-T46) * _xlpm.PCF,
IF(ISNUMBER(SEARCH("ASHP", C46)),
_xlpm.Tons * (12/BN46 - 12/BO46) * _xlpm.PCF,
IF(OR(ISNUMBER(SEARCH("PTAC", C46)), ISNUMBER(SEARCH("PTHP", C46))),
_xlpm.Tons * (12/L46 - 12/N46) * _xlpm.PCF,#REF!)))))), "")</f>
        <v/>
      </c>
      <c r="BG46" s="838" t="str">
        <f t="shared" si="1"/>
        <v/>
      </c>
      <c r="BH46" s="882" t="str">
        <f>IFERROR(IF(OR(C46="",N46="",V46="",AA46="",T46="",AE46="",AG46="",ISNUMBER(AR46)=FALSE,AR46=0),"",INDEX(STDHVAC[Measure Number],MATCH(C46,STDHVAC[Measure Name],0))),"Err")</f>
        <v/>
      </c>
      <c r="BI46" s="754" t="str">
        <f t="shared" ref="BI46" si="73">IFERROR(IF(BS46="",IF(AR46 &lt; BG46, "100% Total Cost", ""), ""), "")</f>
        <v/>
      </c>
      <c r="BJ46" s="882" t="str">
        <f>IFERROR(
IF(OR(C46="",N46="",T46="",V46="",AA46="",AE46="",AG46=""),
"",
IF(BS46&gt;0,"",IF(OR(AND(ISNUMBER(SEARCH("kW/ton", J46)),OR(L46&lt;=N46,R46&lt;T46)),AND(NOT(ISNUMBER(SEARCH("kW/ton", J46))),OR(L46&gt;=N46,R46&gt;T46))),
"Must Improve Efficiency",
IF(EXPIRATION&lt;&gt;"",PROJSTATEXP,"")))),
"")</f>
        <v/>
      </c>
      <c r="BK46" s="828" t="str">
        <f>IFERROR(INDEX(STDHVAC[Measure Life (Years)],MATCH(C46,STDHVAC[Measure Name],0)),"")</f>
        <v/>
      </c>
      <c r="BL46" s="884" t="str">
        <f>IFERROR(IF(OR(C46="",N46="",V46="",AA46="",T46="",AE46="",AG46=""),"",
ROUND(((1+ELOSS)*((AZ46*INDEX(ELECCB[NPV AEC $/kWh],MATCH(BK46,ELECCB[Year Number],1)))+(BA46*INDEX(ELECCB[NPV ACC $/kW],MATCH(BK46,ELECCB[Year Number],1))))),2)),0)</f>
        <v/>
      </c>
      <c r="BM46" s="918" t="str">
        <f>IFERROR(IF(INDEX(STDHVAC[Eff Unit 3],MATCH(C46,STDHVAC[Measure Name],0))="","",INDEX(STDHVAC[Eff Unit 3],MATCH(C46,STDHVAC[Measure Name],0))),"")</f>
        <v/>
      </c>
      <c r="BN46" s="880" t="str">
        <f>IFERROR(IF(INDEX(STDHVAC[Base Efficiency 3],MATCH(C46,STDHVAC[Measure Name],0))="","",INDEX(STDHVAC[Base Efficiency 3],MATCH(C46,STDHVAC[Measure Name],0))),"")</f>
        <v/>
      </c>
      <c r="BO46" s="889" t="str">
        <f t="shared" si="3"/>
        <v/>
      </c>
      <c r="BP46" s="920"/>
      <c r="BQ46" s="891" t="str">
        <f>IFERROR(IF(OR(C46="",N46="",V46="",AA46="",T46="",AE46="",AG46=""),"",INDEX(STDHVAC[Reporting Methodology],MATCH(C46,STDHVAC[Measure Name],0))),"Err")</f>
        <v/>
      </c>
      <c r="BR46" s="867" t="str">
        <f>IFERROR(IF(OR(C46="", V46=""),"",INDEX(STDHVAC[Incremental Measure Cost ($/Unit)],MATCH(C46,STDHVAC[Measure Name],0)) * V46),"Err")</f>
        <v/>
      </c>
      <c r="BS46" s="837"/>
      <c r="BT46" s="838" t="str">
        <f>_xlfn.LET(
_xlpm.IPU,
IFERROR(IF(C46="","",INDEX(STDHVAC[Base Incentive],MATCH(C46,STDHVAC[Measure Name],0))),""),
IFERROR(IF(AI46="$/ton", ROUND(V46*_xlpm.IPU, 2),
IF(AND(ISNUMBER(SEARCH("Air-Cooled Chiller",C46)),AI46="$/ton/IPLV"), ROUND((12/L46-12/N46)*V46*_xlpm.IPU, 2),
ROUND(ABS(N46-L46)*V46*_xlpm.IPU, 2))), ""))</f>
        <v/>
      </c>
    </row>
    <row r="47" spans="2:72" ht="15.95" customHeight="1">
      <c r="B47" s="806"/>
      <c r="C47" s="716"/>
      <c r="D47" s="717"/>
      <c r="E47" s="717"/>
      <c r="F47" s="717"/>
      <c r="G47" s="717"/>
      <c r="H47" s="717"/>
      <c r="I47" s="717"/>
      <c r="J47" s="894"/>
      <c r="K47" s="895"/>
      <c r="L47" s="898"/>
      <c r="M47" s="899"/>
      <c r="N47" s="900"/>
      <c r="O47" s="901"/>
      <c r="P47" s="902"/>
      <c r="Q47" s="903"/>
      <c r="R47" s="904"/>
      <c r="S47" s="905"/>
      <c r="T47" s="908"/>
      <c r="U47" s="909"/>
      <c r="V47" s="910"/>
      <c r="W47" s="911"/>
      <c r="X47" s="716"/>
      <c r="Y47" s="717"/>
      <c r="Z47" s="718"/>
      <c r="AA47" s="932"/>
      <c r="AB47" s="930"/>
      <c r="AC47" s="930"/>
      <c r="AD47" s="931"/>
      <c r="AE47" s="765"/>
      <c r="AF47" s="766"/>
      <c r="AG47" s="766"/>
      <c r="AH47" s="767"/>
      <c r="AI47" s="912"/>
      <c r="AJ47" s="912"/>
      <c r="AK47" s="912"/>
      <c r="AL47" s="913"/>
      <c r="AM47" s="915"/>
      <c r="AN47" s="796"/>
      <c r="AO47" s="798"/>
      <c r="AP47" s="798"/>
      <c r="AQ47" s="798"/>
      <c r="AR47" s="827"/>
      <c r="AS47" s="827"/>
      <c r="AT47" s="827"/>
      <c r="AU47" s="827"/>
      <c r="AV47" s="22"/>
      <c r="AX47" s="874"/>
      <c r="AY47" s="917"/>
      <c r="AZ47" s="747"/>
      <c r="BA47" s="747"/>
      <c r="BB47" s="871"/>
      <c r="BC47" s="871"/>
      <c r="BD47" s="887"/>
      <c r="BE47" s="762"/>
      <c r="BF47" s="762"/>
      <c r="BG47" s="839"/>
      <c r="BH47" s="883"/>
      <c r="BI47" s="755"/>
      <c r="BJ47" s="883"/>
      <c r="BK47" s="829"/>
      <c r="BL47" s="885"/>
      <c r="BM47" s="919"/>
      <c r="BN47" s="881"/>
      <c r="BO47" s="890"/>
      <c r="BP47" s="921"/>
      <c r="BQ47" s="891"/>
      <c r="BR47" s="867"/>
      <c r="BS47" s="837"/>
      <c r="BT47" s="839"/>
    </row>
    <row r="48" spans="2:72" ht="15.95" customHeight="1">
      <c r="B48" s="806">
        <v>16</v>
      </c>
      <c r="C48" s="713"/>
      <c r="D48" s="714"/>
      <c r="E48" s="714"/>
      <c r="F48" s="714"/>
      <c r="G48" s="714"/>
      <c r="H48" s="714"/>
      <c r="I48" s="714"/>
      <c r="J48" s="892" t="str">
        <f>IF(C48="","",INDEX(STDHVAC[Eff Unit 1],MATCH(C48,STDHVAC[Measure Name],0)))</f>
        <v/>
      </c>
      <c r="K48" s="893"/>
      <c r="L48" s="896" t="str">
        <f>IF(C48="","",INDEX(STDHVAC[Base Efficiency 1],MATCH(C48,STDHVAC[Measure Name],0)))</f>
        <v/>
      </c>
      <c r="M48" s="897"/>
      <c r="N48" s="900"/>
      <c r="O48" s="901"/>
      <c r="P48" s="894" t="str">
        <f>IF(C48="","",INDEX(STDHVAC[Eff Unit 2],MATCH(C48,STDHVAC[Measure Name],0)))</f>
        <v/>
      </c>
      <c r="Q48" s="895"/>
      <c r="R48" s="898" t="str">
        <f>IF(C48="","",INDEX(STDHVAC[Base Efficiency 2],MATCH(C48,STDHVAC[Measure Name],0)))</f>
        <v/>
      </c>
      <c r="S48" s="899"/>
      <c r="T48" s="906" t="str">
        <f t="shared" ref="T48" si="74">IF(AND(ISNUMBER(SEARCH("DX",C48)),ISNUMBER(SEARCH("&lt;65 kbtu",C48)),N48&lt;&gt;""),1.12*N48-0.02*N48^2,IF(AND(ISNUMBER(SEARCH("PTAC",C48)),N48&lt;&gt;""),1,""))</f>
        <v/>
      </c>
      <c r="U48" s="907"/>
      <c r="V48" s="910"/>
      <c r="W48" s="911"/>
      <c r="X48" s="713"/>
      <c r="Y48" s="714"/>
      <c r="Z48" s="715"/>
      <c r="AA48" s="932"/>
      <c r="AB48" s="930"/>
      <c r="AC48" s="930"/>
      <c r="AD48" s="931"/>
      <c r="AE48" s="765"/>
      <c r="AF48" s="766"/>
      <c r="AG48" s="766"/>
      <c r="AH48" s="767"/>
      <c r="AI48" s="912" t="str">
        <f>IF(C48="","",INDEX(STDHVAC[Current Unit],MATCH(C48,STDHVAC[Measure Name],0)))</f>
        <v/>
      </c>
      <c r="AJ48" s="912"/>
      <c r="AK48" s="912"/>
      <c r="AL48" s="913"/>
      <c r="AM48" s="914" t="str">
        <f>IFERROR(IF(C48="","",INDEX(IF(AND(ACTIVEBONUS = TRUE,INDEX(STDHVAC[Bonus Incentive],MATCH(C48,STDHVAC[Measure Name],0))&lt;&gt; ""),STDHVAC[Bonus Incentive],STDHVAC[Base Incentive]),MATCH(C48,STDHVAC[Measure Name],0))),"")</f>
        <v/>
      </c>
      <c r="AN48" s="794"/>
      <c r="AO48" s="797" t="str">
        <f t="shared" ref="AO48" si="75">IFERROR(IF(OR(C48="",N48="",V48="",AA48="",T48="",AE48="",AG48=""),"",IF(BQ48="Deemed",AZ48,IF(BQ48="Calculated",BE48,""))),"")</f>
        <v/>
      </c>
      <c r="AP48" s="797"/>
      <c r="AQ48" s="797"/>
      <c r="AR48" s="826" t="str">
        <f t="shared" ref="AR48" si="76">IFERROR(IF(OR(C48="",N48="",V48="",AA48="",T48="",AE48="",AG48=""),"",IF(BJ48&lt;&gt;"",BJ48,IF(BS48&gt;0,BS48,ROUND(IF(AO48&lt;=0,0,MIN(AX48,BG48)), 2)))), "")</f>
        <v/>
      </c>
      <c r="AS48" s="826"/>
      <c r="AT48" s="826"/>
      <c r="AU48" s="826"/>
      <c r="AV48" s="22"/>
      <c r="AX48" s="873" t="str">
        <f t="shared" ref="AX48" si="77">IF(OR(C48="",N48="",V48="",AA48="",T48="",AE48="",AG48="",X48=""),"",IF(AO48=0,"",ROUND(AE48+AG48,2)))</f>
        <v/>
      </c>
      <c r="AY48" s="916" t="str">
        <f>IFERROR(IF(OR(C48="",N48="",V48="",AA48="",T48="",AE48="",AG48="",X48=""),"",INDEX(STDHVAC[Current Unit],MATCH(C48,STDHVAC[Measure Name],0))),"Err")</f>
        <v/>
      </c>
      <c r="AZ48" s="746" t="str">
        <f>IF(
OR(C48="",N48="",V48="",AA48="",T48="",AE48="",AG48="",X48=""),"",
IF(OR(ISNUMBER(SEARCH("PTAC",C48)),ISNUMBER(SEARCH("PTHP",C48))),
ROUND(V48*INDEX(STDHVAC[Electric Energy Savings (Annual kWh/unit)],MATCH(C48,STDHVAC[Measure Name],0)),4),
ROUND(V48*ABS(N48-L48)*INDEX(STDHVAC[Electric Energy Savings (Annual kWh/unit)],MATCH(C48,STDHVAC[Measure Name],0)),4)
))</f>
        <v/>
      </c>
      <c r="BA48" s="746" t="str">
        <f>IF(
OR(C48="",N48="",V48="",AA48="",T48="",AE48="",AG48="",X48=""),"",
IF(OR(ISNUMBER(SEARCH("PTAC",C48)),ISNUMBER(SEARCH("PTHP",C48))),
ROUND(V48*INDEX(STDHVAC[Coincident Peak Demand Savings (kW/unit)],MATCH(C48,STDHVAC[Measure Name],0)),4),
ROUND(V48* ABS(N48-L48)*INDEX(STDHVAC[Coincident Peak Demand Savings (kW/unit)],MATCH(C48,STDHVAC[Measure Name],0)),4)
))</f>
        <v/>
      </c>
      <c r="BB48" s="871"/>
      <c r="BC48" s="871"/>
      <c r="BD48" s="886" t="str">
        <f>IFERROR(IF(OR(C48="",N48="",V48="",AA48="",T48="",AE48="",AG48=""),"",INDEX(STDHVAC[End Use],MATCH(C48,STDHVAC[Measure Name],0))),"Err")</f>
        <v/>
      </c>
      <c r="BE48" s="888" t="str">
        <f>IF(C48&lt;&gt;"", _xlfn.LET(
_xlpm.Tons_Cool, V48, _xlpm.PLC_Base, L48, _xlpm.PLC_Eff, N48, _xlpm.Tons_Heat, BP48, _xlpm.Other_Base, R48, _xlpm.Other_Eff, T48,
_xlpm.EFLH_Cool,
INDEX(STDHVAC[EFLHcool],MATCH(C48,STDHVAC[Measure Name],0)),
_xlpm.EFLH_Heat,
INDEX(STDHVAC[EFLHheat],MATCH(C48,STDHVAC[Measure Name],0)),
_xlpm.ElecHeat,
INDEX(SPACEHEAT[ELECHEAT],MATCH(M02S04F22,SPACEHEAT[Space Conditioning],0)),
_xlpm.kWhCool,
ROUND(
IF(OR(ISNUMBER(SEARCH("DX", C48)),ISNUMBER(SEARCH("ASHP", C48)), ISNUMBER(SEARCH("PTAC", C48)), ISNUMBER(SEARCH("PTHP", C48)), ISNUMBER(SEARCH("Air-Cooled Chiller", C48)), ISNUMBER(SEARCH("VRF", C48))),
_xlpm.Tons_Cool * (12/_xlpm.PLC_Base - 12/_xlpm.PLC_Eff)*_xlpm.EFLH_Cool,
IF(ISNUMBER(SEARCH("Water", C48)),
_xlpm.Tons_Cool * (_xlpm.PLC_Base - _xlpm.PLC_Eff) * _xlpm.EFLH_Cool,
" "
)),4),
_xlpm.kWhHeat,
IF(
_xlpm.ElecHeat=1,
ROUND(
IF(OR(ISNUMBER(SEARCH("DX", C48)),ISNUMBER(SEARCH("PTAC", C48)), ISNUMBER(SEARCH("Air-Cooled Chiller", C48)), ISNUMBER(SEARCH("Water", C48)),
ISNUMBER(SEARCH("VRF", C48))),
0,
IF(
OR(ISNUMBER(SEARCH("ASHP", C48)), ISNUMBER(SEARCH("PTHP", C48))),
_xlpm.Tons_Heat * (1/_xlpm.Other_Base - 1/_xlpm.Other_Eff) * _xlpm.EFLH_Heat,
" "
)),4),
0
),
_xlpm.kWhCool + _xlpm.kWhHeat
), "")</f>
        <v/>
      </c>
      <c r="BF48" s="888" t="str">
        <f>IF(C48&lt;&gt;"", _xlfn.LET(
_xlpm.Tons, V48, _xlpm.PCF, 0.913,
IF(AND(ISNUMBER(SEARCH("DX",C48)),ISNUMBER(SEARCH("&lt;65 kbtu",C48))),
_xlpm.Tons * (12/11.42-12/MAX(11.42,T48))*_xlpm.PCF,
IF(OR(ISNUMBER(SEARCH("DX", C48)), ISNUMBER(SEARCH("Air-Cooled Chiller", C48)), ISNUMBER(SEARCH("VRF", C48))),
_xlpm.Tons * (12/R48 - 12/T48) * _xlpm.PCF,
IF(ISNUMBER(SEARCH("Water", C48)),
_xlpm.Tons * (R48-T48) * _xlpm.PCF,
IF(ISNUMBER(SEARCH("ASHP", C48)),
_xlpm.Tons * (12/BN48 - 12/BO48) * _xlpm.PCF,
IF(OR(ISNUMBER(SEARCH("PTAC", C48)), ISNUMBER(SEARCH("PTHP", C48))),
_xlpm.Tons * (12/L48 - 12/N48) * _xlpm.PCF,#REF!)))))), "")</f>
        <v/>
      </c>
      <c r="BG48" s="838" t="str">
        <f t="shared" si="1"/>
        <v/>
      </c>
      <c r="BH48" s="882" t="str">
        <f>IFERROR(IF(OR(C48="",N48="",V48="",AA48="",T48="",AE48="",AG48="",ISNUMBER(AR48)=FALSE,AR48=0),"",INDEX(STDHVAC[Measure Number],MATCH(C48,STDHVAC[Measure Name],0))),"Err")</f>
        <v/>
      </c>
      <c r="BI48" s="754" t="str">
        <f t="shared" ref="BI48" si="78">IFERROR(IF(BS48="",IF(AR48 &lt; BG48, "100% Total Cost", ""), ""), "")</f>
        <v/>
      </c>
      <c r="BJ48" s="882" t="str">
        <f>IFERROR(
IF(OR(C48="",N48="",T48="",V48="",AA48="",AE48="",AG48=""),
"",
IF(BS48&gt;0,"",IF(OR(AND(ISNUMBER(SEARCH("kW/ton", J48)),OR(L48&lt;=N48,R48&lt;T48)),AND(NOT(ISNUMBER(SEARCH("kW/ton", J48))),OR(L48&gt;=N48,R48&gt;T48))),
"Must Improve Efficiency",
IF(EXPIRATION&lt;&gt;"",PROJSTATEXP,"")))),
"")</f>
        <v/>
      </c>
      <c r="BK48" s="828" t="str">
        <f>IFERROR(INDEX(STDHVAC[Measure Life (Years)],MATCH(C48,STDHVAC[Measure Name],0)),"")</f>
        <v/>
      </c>
      <c r="BL48" s="884" t="str">
        <f>IFERROR(IF(OR(C48="",N48="",V48="",AA48="",T48="",AE48="",AG48=""),"",
ROUND(((1+ELOSS)*((AZ48*INDEX(ELECCB[NPV AEC $/kWh],MATCH(BK48,ELECCB[Year Number],1)))+(BA48*INDEX(ELECCB[NPV ACC $/kW],MATCH(BK48,ELECCB[Year Number],1))))),2)),0)</f>
        <v/>
      </c>
      <c r="BM48" s="918" t="str">
        <f>IFERROR(IF(INDEX(STDHVAC[Eff Unit 3],MATCH(C48,STDHVAC[Measure Name],0))="","",INDEX(STDHVAC[Eff Unit 3],MATCH(C48,STDHVAC[Measure Name],0))),"")</f>
        <v/>
      </c>
      <c r="BN48" s="880" t="str">
        <f>IFERROR(IF(INDEX(STDHVAC[Base Efficiency 3],MATCH(C48,STDHVAC[Measure Name],0))="","",INDEX(STDHVAC[Base Efficiency 3],MATCH(C48,STDHVAC[Measure Name],0))),"")</f>
        <v/>
      </c>
      <c r="BO48" s="889" t="str">
        <f t="shared" si="3"/>
        <v/>
      </c>
      <c r="BP48" s="920"/>
      <c r="BQ48" s="891" t="str">
        <f>IFERROR(IF(OR(C48="",N48="",V48="",AA48="",T48="",AE48="",AG48=""),"",INDEX(STDHVAC[Reporting Methodology],MATCH(C48,STDHVAC[Measure Name],0))),"Err")</f>
        <v/>
      </c>
      <c r="BR48" s="867" t="str">
        <f>IFERROR(IF(OR(C48="", V48=""),"",INDEX(STDHVAC[Incremental Measure Cost ($/Unit)],MATCH(C48,STDHVAC[Measure Name],0)) * V48),"Err")</f>
        <v/>
      </c>
      <c r="BS48" s="837"/>
      <c r="BT48" s="838" t="str">
        <f>_xlfn.LET(
_xlpm.IPU,
IFERROR(IF(C48="","",INDEX(STDHVAC[Base Incentive],MATCH(C48,STDHVAC[Measure Name],0))),""),
IFERROR(IF(AI48="$/ton", ROUND(V48*_xlpm.IPU, 2),
IF(AND(ISNUMBER(SEARCH("Air-Cooled Chiller",C48)),AI48="$/ton/IPLV"), ROUND((12/L48-12/N48)*V48*_xlpm.IPU, 2),
ROUND(ABS(N48-L48)*V48*_xlpm.IPU, 2))), ""))</f>
        <v/>
      </c>
    </row>
    <row r="49" spans="2:72" ht="15.95" customHeight="1">
      <c r="B49" s="806"/>
      <c r="C49" s="716"/>
      <c r="D49" s="717"/>
      <c r="E49" s="717"/>
      <c r="F49" s="717"/>
      <c r="G49" s="717"/>
      <c r="H49" s="717"/>
      <c r="I49" s="717"/>
      <c r="J49" s="894"/>
      <c r="K49" s="895"/>
      <c r="L49" s="898"/>
      <c r="M49" s="899"/>
      <c r="N49" s="900"/>
      <c r="O49" s="901"/>
      <c r="P49" s="902"/>
      <c r="Q49" s="903"/>
      <c r="R49" s="904"/>
      <c r="S49" s="905"/>
      <c r="T49" s="908"/>
      <c r="U49" s="909"/>
      <c r="V49" s="910"/>
      <c r="W49" s="911"/>
      <c r="X49" s="716"/>
      <c r="Y49" s="717"/>
      <c r="Z49" s="718"/>
      <c r="AA49" s="932"/>
      <c r="AB49" s="930"/>
      <c r="AC49" s="930"/>
      <c r="AD49" s="931"/>
      <c r="AE49" s="765"/>
      <c r="AF49" s="766"/>
      <c r="AG49" s="766"/>
      <c r="AH49" s="767"/>
      <c r="AI49" s="912"/>
      <c r="AJ49" s="912"/>
      <c r="AK49" s="912"/>
      <c r="AL49" s="913"/>
      <c r="AM49" s="915"/>
      <c r="AN49" s="796"/>
      <c r="AO49" s="798"/>
      <c r="AP49" s="798"/>
      <c r="AQ49" s="798"/>
      <c r="AR49" s="827"/>
      <c r="AS49" s="827"/>
      <c r="AT49" s="827"/>
      <c r="AU49" s="827"/>
      <c r="AV49" s="22"/>
      <c r="AX49" s="874"/>
      <c r="AY49" s="917"/>
      <c r="AZ49" s="747"/>
      <c r="BA49" s="747"/>
      <c r="BB49" s="871"/>
      <c r="BC49" s="871"/>
      <c r="BD49" s="887"/>
      <c r="BE49" s="762"/>
      <c r="BF49" s="762"/>
      <c r="BG49" s="839"/>
      <c r="BH49" s="883"/>
      <c r="BI49" s="755"/>
      <c r="BJ49" s="883"/>
      <c r="BK49" s="829"/>
      <c r="BL49" s="885"/>
      <c r="BM49" s="919"/>
      <c r="BN49" s="881"/>
      <c r="BO49" s="890"/>
      <c r="BP49" s="921"/>
      <c r="BQ49" s="891"/>
      <c r="BR49" s="867"/>
      <c r="BS49" s="837"/>
      <c r="BT49" s="839"/>
    </row>
    <row r="50" spans="2:72" ht="15.95" customHeight="1">
      <c r="B50" s="806">
        <v>17</v>
      </c>
      <c r="C50" s="713"/>
      <c r="D50" s="714"/>
      <c r="E50" s="714"/>
      <c r="F50" s="714"/>
      <c r="G50" s="714"/>
      <c r="H50" s="714"/>
      <c r="I50" s="714"/>
      <c r="J50" s="892" t="str">
        <f>IF(C50="","",INDEX(STDHVAC[Eff Unit 1],MATCH(C50,STDHVAC[Measure Name],0)))</f>
        <v/>
      </c>
      <c r="K50" s="893"/>
      <c r="L50" s="896" t="str">
        <f>IF(C50="","",INDEX(STDHVAC[Base Efficiency 1],MATCH(C50,STDHVAC[Measure Name],0)))</f>
        <v/>
      </c>
      <c r="M50" s="897"/>
      <c r="N50" s="900"/>
      <c r="O50" s="901"/>
      <c r="P50" s="894" t="str">
        <f>IF(C50="","",INDEX(STDHVAC[Eff Unit 2],MATCH(C50,STDHVAC[Measure Name],0)))</f>
        <v/>
      </c>
      <c r="Q50" s="895"/>
      <c r="R50" s="898" t="str">
        <f>IF(C50="","",INDEX(STDHVAC[Base Efficiency 2],MATCH(C50,STDHVAC[Measure Name],0)))</f>
        <v/>
      </c>
      <c r="S50" s="899"/>
      <c r="T50" s="906" t="str">
        <f t="shared" ref="T50" si="79">IF(AND(ISNUMBER(SEARCH("DX",C50)),ISNUMBER(SEARCH("&lt;65 kbtu",C50)),N50&lt;&gt;""),1.12*N50-0.02*N50^2,IF(AND(ISNUMBER(SEARCH("PTAC",C50)),N50&lt;&gt;""),1,""))</f>
        <v/>
      </c>
      <c r="U50" s="907"/>
      <c r="V50" s="910"/>
      <c r="W50" s="911"/>
      <c r="X50" s="713"/>
      <c r="Y50" s="714"/>
      <c r="Z50" s="715"/>
      <c r="AA50" s="932"/>
      <c r="AB50" s="930"/>
      <c r="AC50" s="930"/>
      <c r="AD50" s="931"/>
      <c r="AE50" s="765"/>
      <c r="AF50" s="766"/>
      <c r="AG50" s="766"/>
      <c r="AH50" s="767"/>
      <c r="AI50" s="912" t="str">
        <f>IF(C50="","",INDEX(STDHVAC[Current Unit],MATCH(C50,STDHVAC[Measure Name],0)))</f>
        <v/>
      </c>
      <c r="AJ50" s="912"/>
      <c r="AK50" s="912"/>
      <c r="AL50" s="913"/>
      <c r="AM50" s="914" t="str">
        <f>IFERROR(IF(C50="","",INDEX(IF(AND(ACTIVEBONUS = TRUE,INDEX(STDHVAC[Bonus Incentive],MATCH(C50,STDHVAC[Measure Name],0))&lt;&gt; ""),STDHVAC[Bonus Incentive],STDHVAC[Base Incentive]),MATCH(C50,STDHVAC[Measure Name],0))),"")</f>
        <v/>
      </c>
      <c r="AN50" s="794"/>
      <c r="AO50" s="797" t="str">
        <f t="shared" ref="AO50" si="80">IFERROR(IF(OR(C50="",N50="",V50="",AA50="",T50="",AE50="",AG50=""),"",IF(BQ50="Deemed",AZ50,IF(BQ50="Calculated",BE50,""))),"")</f>
        <v/>
      </c>
      <c r="AP50" s="797"/>
      <c r="AQ50" s="797"/>
      <c r="AR50" s="826" t="str">
        <f t="shared" ref="AR50" si="81">IFERROR(IF(OR(C50="",N50="",V50="",AA50="",T50="",AE50="",AG50=""),"",IF(BJ50&lt;&gt;"",BJ50,IF(BS50&gt;0,BS50,ROUND(IF(AO50&lt;=0,0,MIN(AX50,BG50)), 2)))), "")</f>
        <v/>
      </c>
      <c r="AS50" s="826"/>
      <c r="AT50" s="826"/>
      <c r="AU50" s="826"/>
      <c r="AV50" s="22"/>
      <c r="AX50" s="873" t="str">
        <f t="shared" ref="AX50" si="82">IF(OR(C50="",N50="",V50="",AA50="",T50="",AE50="",AG50="",X50=""),"",IF(AO50=0,"",ROUND(AE50+AG50,2)))</f>
        <v/>
      </c>
      <c r="AY50" s="916" t="str">
        <f>IFERROR(IF(OR(C50="",N50="",V50="",AA50="",T50="",AE50="",AG50="",X50=""),"",INDEX(STDHVAC[Current Unit],MATCH(C50,STDHVAC[Measure Name],0))),"Err")</f>
        <v/>
      </c>
      <c r="AZ50" s="746" t="str">
        <f>IF(
OR(C50="",N50="",V50="",AA50="",T50="",AE50="",AG50="",X50=""),"",
IF(OR(ISNUMBER(SEARCH("PTAC",C50)),ISNUMBER(SEARCH("PTHP",C50))),
ROUND(V50*INDEX(STDHVAC[Electric Energy Savings (Annual kWh/unit)],MATCH(C50,STDHVAC[Measure Name],0)),4),
ROUND(V50*ABS(N50-L50)*INDEX(STDHVAC[Electric Energy Savings (Annual kWh/unit)],MATCH(C50,STDHVAC[Measure Name],0)),4)
))</f>
        <v/>
      </c>
      <c r="BA50" s="746" t="str">
        <f>IF(
OR(C50="",N50="",V50="",AA50="",T50="",AE50="",AG50="",X50=""),"",
IF(OR(ISNUMBER(SEARCH("PTAC",C50)),ISNUMBER(SEARCH("PTHP",C50))),
ROUND(V50*INDEX(STDHVAC[Coincident Peak Demand Savings (kW/unit)],MATCH(C50,STDHVAC[Measure Name],0)),4),
ROUND(V50* ABS(N50-L50)*INDEX(STDHVAC[Coincident Peak Demand Savings (kW/unit)],MATCH(C50,STDHVAC[Measure Name],0)),4)
))</f>
        <v/>
      </c>
      <c r="BB50" s="871"/>
      <c r="BC50" s="871"/>
      <c r="BD50" s="886" t="str">
        <f>IFERROR(IF(OR(C50="",N50="",V50="",AA50="",T50="",AE50="",AG50=""),"",INDEX(STDHVAC[End Use],MATCH(C50,STDHVAC[Measure Name],0))),"Err")</f>
        <v/>
      </c>
      <c r="BE50" s="888" t="str">
        <f>IF(C50&lt;&gt;"", _xlfn.LET(
_xlpm.Tons_Cool, V50, _xlpm.PLC_Base, L50, _xlpm.PLC_Eff, N50, _xlpm.Tons_Heat, BP50, _xlpm.Other_Base, R50, _xlpm.Other_Eff, T50,
_xlpm.EFLH_Cool,
INDEX(STDHVAC[EFLHcool],MATCH(C50,STDHVAC[Measure Name],0)),
_xlpm.EFLH_Heat,
INDEX(STDHVAC[EFLHheat],MATCH(C50,STDHVAC[Measure Name],0)),
_xlpm.ElecHeat,
INDEX(SPACEHEAT[ELECHEAT],MATCH(M02S04F22,SPACEHEAT[Space Conditioning],0)),
_xlpm.kWhCool,
ROUND(
IF(OR(ISNUMBER(SEARCH("DX", C50)),ISNUMBER(SEARCH("ASHP", C50)), ISNUMBER(SEARCH("PTAC", C50)), ISNUMBER(SEARCH("PTHP", C50)), ISNUMBER(SEARCH("Air-Cooled Chiller", C50)), ISNUMBER(SEARCH("VRF", C50))),
_xlpm.Tons_Cool * (12/_xlpm.PLC_Base - 12/_xlpm.PLC_Eff)*_xlpm.EFLH_Cool,
IF(ISNUMBER(SEARCH("Water", C50)),
_xlpm.Tons_Cool * (_xlpm.PLC_Base - _xlpm.PLC_Eff) * _xlpm.EFLH_Cool,
" "
)),4),
_xlpm.kWhHeat,
IF(
_xlpm.ElecHeat=1,
ROUND(
IF(OR(ISNUMBER(SEARCH("DX", C50)),ISNUMBER(SEARCH("PTAC", C50)), ISNUMBER(SEARCH("Air-Cooled Chiller", C50)), ISNUMBER(SEARCH("Water", C50)),
ISNUMBER(SEARCH("VRF", C50))),
0,
IF(
OR(ISNUMBER(SEARCH("ASHP", C50)), ISNUMBER(SEARCH("PTHP", C50))),
_xlpm.Tons_Heat * (1/_xlpm.Other_Base - 1/_xlpm.Other_Eff) * _xlpm.EFLH_Heat,
" "
)),4),
0
),
_xlpm.kWhCool + _xlpm.kWhHeat
), "")</f>
        <v/>
      </c>
      <c r="BF50" s="888" t="str">
        <f>IF(C50&lt;&gt;"", _xlfn.LET(
_xlpm.Tons, V50, _xlpm.PCF, 0.913,
IF(AND(ISNUMBER(SEARCH("DX",C50)),ISNUMBER(SEARCH("&lt;65 kbtu",C50))),
_xlpm.Tons * (12/11.42-12/MAX(11.42,T50))*_xlpm.PCF,
IF(OR(ISNUMBER(SEARCH("DX", C50)), ISNUMBER(SEARCH("Air-Cooled Chiller", C50)), ISNUMBER(SEARCH("VRF", C50))),
_xlpm.Tons * (12/R50 - 12/T50) * _xlpm.PCF,
IF(ISNUMBER(SEARCH("Water", C50)),
_xlpm.Tons * (R50-T50) * _xlpm.PCF,
IF(ISNUMBER(SEARCH("ASHP", C50)),
_xlpm.Tons * (12/BN50 - 12/BO50) * _xlpm.PCF,
IF(OR(ISNUMBER(SEARCH("PTAC", C50)), ISNUMBER(SEARCH("PTHP", C50))),
_xlpm.Tons * (12/L50 - 12/N50) * _xlpm.PCF,#REF!)))))), "")</f>
        <v/>
      </c>
      <c r="BG50" s="838" t="str">
        <f t="shared" si="1"/>
        <v/>
      </c>
      <c r="BH50" s="882" t="str">
        <f>IFERROR(IF(OR(C50="",N50="",V50="",AA50="",T50="",AE50="",AG50="",ISNUMBER(AR50)=FALSE,AR50=0),"",INDEX(STDHVAC[Measure Number],MATCH(C50,STDHVAC[Measure Name],0))),"Err")</f>
        <v/>
      </c>
      <c r="BI50" s="754" t="str">
        <f t="shared" ref="BI50" si="83">IFERROR(IF(BS50="",IF(AR50 &lt; BG50, "100% Total Cost", ""), ""), "")</f>
        <v/>
      </c>
      <c r="BJ50" s="882" t="str">
        <f>IFERROR(
IF(OR(C50="",N50="",T50="",V50="",AA50="",AE50="",AG50=""),
"",
IF(BS50&gt;0,"",IF(OR(AND(ISNUMBER(SEARCH("kW/ton", J50)),OR(L50&lt;=N50,R50&lt;T50)),AND(NOT(ISNUMBER(SEARCH("kW/ton", J50))),OR(L50&gt;=N50,R50&gt;T50))),
"Must Improve Efficiency",
IF(EXPIRATION&lt;&gt;"",PROJSTATEXP,"")))),
"")</f>
        <v/>
      </c>
      <c r="BK50" s="828" t="str">
        <f>IFERROR(INDEX(STDHVAC[Measure Life (Years)],MATCH(C50,STDHVAC[Measure Name],0)),"")</f>
        <v/>
      </c>
      <c r="BL50" s="884" t="str">
        <f>IFERROR(IF(OR(C50="",N50="",V50="",AA50="",T50="",AE50="",AG50=""),"",
ROUND(((1+ELOSS)*((AZ50*INDEX(ELECCB[NPV AEC $/kWh],MATCH(BK50,ELECCB[Year Number],1)))+(BA50*INDEX(ELECCB[NPV ACC $/kW],MATCH(BK50,ELECCB[Year Number],1))))),2)),0)</f>
        <v/>
      </c>
      <c r="BM50" s="918" t="str">
        <f>IFERROR(IF(INDEX(STDHVAC[Eff Unit 3],MATCH(C50,STDHVAC[Measure Name],0))="","",INDEX(STDHVAC[Eff Unit 3],MATCH(C50,STDHVAC[Measure Name],0))),"")</f>
        <v/>
      </c>
      <c r="BN50" s="880" t="str">
        <f>IFERROR(IF(INDEX(STDHVAC[Base Efficiency 3],MATCH(C50,STDHVAC[Measure Name],0))="","",INDEX(STDHVAC[Base Efficiency 3],MATCH(C50,STDHVAC[Measure Name],0))),"")</f>
        <v/>
      </c>
      <c r="BO50" s="889" t="str">
        <f t="shared" si="3"/>
        <v/>
      </c>
      <c r="BP50" s="920"/>
      <c r="BQ50" s="891" t="str">
        <f>IFERROR(IF(OR(C50="",N50="",V50="",AA50="",T50="",AE50="",AG50=""),"",INDEX(STDHVAC[Reporting Methodology],MATCH(C50,STDHVAC[Measure Name],0))),"Err")</f>
        <v/>
      </c>
      <c r="BR50" s="867" t="str">
        <f>IFERROR(IF(OR(C50="", V50=""),"",INDEX(STDHVAC[Incremental Measure Cost ($/Unit)],MATCH(C50,STDHVAC[Measure Name],0)) * V50),"Err")</f>
        <v/>
      </c>
      <c r="BS50" s="837"/>
      <c r="BT50" s="838" t="str">
        <f>_xlfn.LET(
_xlpm.IPU,
IFERROR(IF(C50="","",INDEX(STDHVAC[Base Incentive],MATCH(C50,STDHVAC[Measure Name],0))),""),
IFERROR(IF(AI50="$/ton", ROUND(V50*_xlpm.IPU, 2),
IF(AND(ISNUMBER(SEARCH("Air-Cooled Chiller",C50)),AI50="$/ton/IPLV"), ROUND((12/L50-12/N50)*V50*_xlpm.IPU, 2),
ROUND(ABS(N50-L50)*V50*_xlpm.IPU, 2))), ""))</f>
        <v/>
      </c>
    </row>
    <row r="51" spans="2:72" ht="15.95" customHeight="1">
      <c r="B51" s="806"/>
      <c r="C51" s="716"/>
      <c r="D51" s="717"/>
      <c r="E51" s="717"/>
      <c r="F51" s="717"/>
      <c r="G51" s="717"/>
      <c r="H51" s="717"/>
      <c r="I51" s="717"/>
      <c r="J51" s="894"/>
      <c r="K51" s="895"/>
      <c r="L51" s="898"/>
      <c r="M51" s="899"/>
      <c r="N51" s="900"/>
      <c r="O51" s="901"/>
      <c r="P51" s="902"/>
      <c r="Q51" s="903"/>
      <c r="R51" s="904"/>
      <c r="S51" s="905"/>
      <c r="T51" s="908"/>
      <c r="U51" s="909"/>
      <c r="V51" s="910"/>
      <c r="W51" s="911"/>
      <c r="X51" s="716"/>
      <c r="Y51" s="717"/>
      <c r="Z51" s="718"/>
      <c r="AA51" s="932"/>
      <c r="AB51" s="930"/>
      <c r="AC51" s="930"/>
      <c r="AD51" s="931"/>
      <c r="AE51" s="765"/>
      <c r="AF51" s="766"/>
      <c r="AG51" s="766"/>
      <c r="AH51" s="767"/>
      <c r="AI51" s="912"/>
      <c r="AJ51" s="912"/>
      <c r="AK51" s="912"/>
      <c r="AL51" s="913"/>
      <c r="AM51" s="915"/>
      <c r="AN51" s="796"/>
      <c r="AO51" s="798"/>
      <c r="AP51" s="798"/>
      <c r="AQ51" s="798"/>
      <c r="AR51" s="827"/>
      <c r="AS51" s="827"/>
      <c r="AT51" s="827"/>
      <c r="AU51" s="827"/>
      <c r="AV51" s="22"/>
      <c r="AX51" s="874"/>
      <c r="AY51" s="917"/>
      <c r="AZ51" s="747"/>
      <c r="BA51" s="747"/>
      <c r="BB51" s="871"/>
      <c r="BC51" s="871"/>
      <c r="BD51" s="887"/>
      <c r="BE51" s="762"/>
      <c r="BF51" s="762"/>
      <c r="BG51" s="839"/>
      <c r="BH51" s="883"/>
      <c r="BI51" s="755"/>
      <c r="BJ51" s="883"/>
      <c r="BK51" s="829"/>
      <c r="BL51" s="885"/>
      <c r="BM51" s="919"/>
      <c r="BN51" s="881"/>
      <c r="BO51" s="890"/>
      <c r="BP51" s="921"/>
      <c r="BQ51" s="891"/>
      <c r="BR51" s="867"/>
      <c r="BS51" s="837"/>
      <c r="BT51" s="839"/>
    </row>
    <row r="52" spans="2:72" ht="15.95" customHeight="1">
      <c r="B52" s="806">
        <v>18</v>
      </c>
      <c r="C52" s="713"/>
      <c r="D52" s="714"/>
      <c r="E52" s="714"/>
      <c r="F52" s="714"/>
      <c r="G52" s="714"/>
      <c r="H52" s="714"/>
      <c r="I52" s="714"/>
      <c r="J52" s="892" t="str">
        <f>IF(C52="","",INDEX(STDHVAC[Eff Unit 1],MATCH(C52,STDHVAC[Measure Name],0)))</f>
        <v/>
      </c>
      <c r="K52" s="893"/>
      <c r="L52" s="896" t="str">
        <f>IF(C52="","",INDEX(STDHVAC[Base Efficiency 1],MATCH(C52,STDHVAC[Measure Name],0)))</f>
        <v/>
      </c>
      <c r="M52" s="897"/>
      <c r="N52" s="900"/>
      <c r="O52" s="901"/>
      <c r="P52" s="894" t="str">
        <f>IF(C52="","",INDEX(STDHVAC[Eff Unit 2],MATCH(C52,STDHVAC[Measure Name],0)))</f>
        <v/>
      </c>
      <c r="Q52" s="895"/>
      <c r="R52" s="898" t="str">
        <f>IF(C52="","",INDEX(STDHVAC[Base Efficiency 2],MATCH(C52,STDHVAC[Measure Name],0)))</f>
        <v/>
      </c>
      <c r="S52" s="899"/>
      <c r="T52" s="906" t="str">
        <f t="shared" ref="T52" si="84">IF(AND(ISNUMBER(SEARCH("DX",C52)),ISNUMBER(SEARCH("&lt;65 kbtu",C52)),N52&lt;&gt;""),1.12*N52-0.02*N52^2,IF(AND(ISNUMBER(SEARCH("PTAC",C52)),N52&lt;&gt;""),1,""))</f>
        <v/>
      </c>
      <c r="U52" s="907"/>
      <c r="V52" s="910"/>
      <c r="W52" s="911"/>
      <c r="X52" s="713"/>
      <c r="Y52" s="714"/>
      <c r="Z52" s="715"/>
      <c r="AA52" s="932"/>
      <c r="AB52" s="930"/>
      <c r="AC52" s="930"/>
      <c r="AD52" s="931"/>
      <c r="AE52" s="765"/>
      <c r="AF52" s="766"/>
      <c r="AG52" s="766"/>
      <c r="AH52" s="767"/>
      <c r="AI52" s="912" t="str">
        <f>IF(C52="","",INDEX(STDHVAC[Current Unit],MATCH(C52,STDHVAC[Measure Name],0)))</f>
        <v/>
      </c>
      <c r="AJ52" s="912"/>
      <c r="AK52" s="912"/>
      <c r="AL52" s="913"/>
      <c r="AM52" s="914" t="str">
        <f>IFERROR(IF(C52="","",INDEX(IF(AND(ACTIVEBONUS = TRUE,INDEX(STDHVAC[Bonus Incentive],MATCH(C52,STDHVAC[Measure Name],0))&lt;&gt; ""),STDHVAC[Bonus Incentive],STDHVAC[Base Incentive]),MATCH(C52,STDHVAC[Measure Name],0))),"")</f>
        <v/>
      </c>
      <c r="AN52" s="794"/>
      <c r="AO52" s="797" t="str">
        <f t="shared" ref="AO52" si="85">IFERROR(IF(OR(C52="",N52="",V52="",AA52="",T52="",AE52="",AG52=""),"",IF(BQ52="Deemed",AZ52,IF(BQ52="Calculated",BE52,""))),"")</f>
        <v/>
      </c>
      <c r="AP52" s="797"/>
      <c r="AQ52" s="797"/>
      <c r="AR52" s="826" t="str">
        <f t="shared" ref="AR52" si="86">IFERROR(IF(OR(C52="",N52="",V52="",AA52="",T52="",AE52="",AG52=""),"",IF(BJ52&lt;&gt;"",BJ52,IF(BS52&gt;0,BS52,ROUND(IF(AO52&lt;=0,0,MIN(AX52,BG52)), 2)))), "")</f>
        <v/>
      </c>
      <c r="AS52" s="826"/>
      <c r="AT52" s="826"/>
      <c r="AU52" s="826"/>
      <c r="AV52" s="22"/>
      <c r="AX52" s="873" t="str">
        <f t="shared" ref="AX52" si="87">IF(OR(C52="",N52="",V52="",AA52="",T52="",AE52="",AG52="",X52=""),"",IF(AO52=0,"",ROUND(AE52+AG52,2)))</f>
        <v/>
      </c>
      <c r="AY52" s="916" t="str">
        <f>IFERROR(IF(OR(C52="",N52="",V52="",AA52="",T52="",AE52="",AG52="",X52=""),"",INDEX(STDHVAC[Current Unit],MATCH(C52,STDHVAC[Measure Name],0))),"Err")</f>
        <v/>
      </c>
      <c r="AZ52" s="746" t="str">
        <f>IF(
OR(C52="",N52="",V52="",AA52="",T52="",AE52="",AG52="",X52=""),"",
IF(OR(ISNUMBER(SEARCH("PTAC",C52)),ISNUMBER(SEARCH("PTHP",C52))),
ROUND(V52*INDEX(STDHVAC[Electric Energy Savings (Annual kWh/unit)],MATCH(C52,STDHVAC[Measure Name],0)),4),
ROUND(V52*ABS(N52-L52)*INDEX(STDHVAC[Electric Energy Savings (Annual kWh/unit)],MATCH(C52,STDHVAC[Measure Name],0)),4)
))</f>
        <v/>
      </c>
      <c r="BA52" s="746" t="str">
        <f>IF(
OR(C52="",N52="",V52="",AA52="",T52="",AE52="",AG52="",X52=""),"",
IF(OR(ISNUMBER(SEARCH("PTAC",C52)),ISNUMBER(SEARCH("PTHP",C52))),
ROUND(V52*INDEX(STDHVAC[Coincident Peak Demand Savings (kW/unit)],MATCH(C52,STDHVAC[Measure Name],0)),4),
ROUND(V52* ABS(N52-L52)*INDEX(STDHVAC[Coincident Peak Demand Savings (kW/unit)],MATCH(C52,STDHVAC[Measure Name],0)),4)
))</f>
        <v/>
      </c>
      <c r="BB52" s="871"/>
      <c r="BC52" s="871"/>
      <c r="BD52" s="886" t="str">
        <f>IFERROR(IF(OR(C52="",N52="",V52="",AA52="",T52="",AE52="",AG52=""),"",INDEX(STDHVAC[End Use],MATCH(C52,STDHVAC[Measure Name],0))),"Err")</f>
        <v/>
      </c>
      <c r="BE52" s="888" t="str">
        <f>IF(C52&lt;&gt;"", _xlfn.LET(
_xlpm.Tons_Cool, V52, _xlpm.PLC_Base, L52, _xlpm.PLC_Eff, N52, _xlpm.Tons_Heat, BP52, _xlpm.Other_Base, R52, _xlpm.Other_Eff, T52,
_xlpm.EFLH_Cool,
INDEX(STDHVAC[EFLHcool],MATCH(C52,STDHVAC[Measure Name],0)),
_xlpm.EFLH_Heat,
INDEX(STDHVAC[EFLHheat],MATCH(C52,STDHVAC[Measure Name],0)),
_xlpm.ElecHeat,
INDEX(SPACEHEAT[ELECHEAT],MATCH(M02S04F22,SPACEHEAT[Space Conditioning],0)),
_xlpm.kWhCool,
ROUND(
IF(OR(ISNUMBER(SEARCH("DX", C52)),ISNUMBER(SEARCH("ASHP", C52)), ISNUMBER(SEARCH("PTAC", C52)), ISNUMBER(SEARCH("PTHP", C52)), ISNUMBER(SEARCH("Air-Cooled Chiller", C52)), ISNUMBER(SEARCH("VRF", C52))),
_xlpm.Tons_Cool * (12/_xlpm.PLC_Base - 12/_xlpm.PLC_Eff)*_xlpm.EFLH_Cool,
IF(ISNUMBER(SEARCH("Water", C52)),
_xlpm.Tons_Cool * (_xlpm.PLC_Base - _xlpm.PLC_Eff) * _xlpm.EFLH_Cool,
" "
)),4),
_xlpm.kWhHeat,
IF(
_xlpm.ElecHeat=1,
ROUND(
IF(OR(ISNUMBER(SEARCH("DX", C52)),ISNUMBER(SEARCH("PTAC", C52)), ISNUMBER(SEARCH("Air-Cooled Chiller", C52)), ISNUMBER(SEARCH("Water", C52)),
ISNUMBER(SEARCH("VRF", C52))),
0,
IF(
OR(ISNUMBER(SEARCH("ASHP", C52)), ISNUMBER(SEARCH("PTHP", C52))),
_xlpm.Tons_Heat * (1/_xlpm.Other_Base - 1/_xlpm.Other_Eff) * _xlpm.EFLH_Heat,
" "
)),4),
0
),
_xlpm.kWhCool + _xlpm.kWhHeat
), "")</f>
        <v/>
      </c>
      <c r="BF52" s="888" t="str">
        <f>IF(C52&lt;&gt;"", _xlfn.LET(
_xlpm.Tons, V52, _xlpm.PCF, 0.913,
IF(AND(ISNUMBER(SEARCH("DX",C52)),ISNUMBER(SEARCH("&lt;65 kbtu",C52))),
_xlpm.Tons * (12/11.42-12/MAX(11.42,T52))*_xlpm.PCF,
IF(OR(ISNUMBER(SEARCH("DX", C52)), ISNUMBER(SEARCH("Air-Cooled Chiller", C52)), ISNUMBER(SEARCH("VRF", C52))),
_xlpm.Tons * (12/R52 - 12/T52) * _xlpm.PCF,
IF(ISNUMBER(SEARCH("Water", C52)),
_xlpm.Tons * (R52-T52) * _xlpm.PCF,
IF(ISNUMBER(SEARCH("ASHP", C52)),
_xlpm.Tons * (12/BN52 - 12/BO52) * _xlpm.PCF,
IF(OR(ISNUMBER(SEARCH("PTAC", C52)), ISNUMBER(SEARCH("PTHP", C52))),
_xlpm.Tons * (12/L52 - 12/N52) * _xlpm.PCF,#REF!)))))), "")</f>
        <v/>
      </c>
      <c r="BG52" s="838" t="str">
        <f t="shared" si="1"/>
        <v/>
      </c>
      <c r="BH52" s="882" t="str">
        <f>IFERROR(IF(OR(C52="",N52="",V52="",AA52="",T52="",AE52="",AG52="",ISNUMBER(AR52)=FALSE,AR52=0),"",INDEX(STDHVAC[Measure Number],MATCH(C52,STDHVAC[Measure Name],0))),"Err")</f>
        <v/>
      </c>
      <c r="BI52" s="754" t="str">
        <f t="shared" ref="BI52" si="88">IFERROR(IF(BS52="",IF(AR52 &lt; BG52, "100% Total Cost", ""), ""), "")</f>
        <v/>
      </c>
      <c r="BJ52" s="882" t="str">
        <f>IFERROR(
IF(OR(C52="",N52="",T52="",V52="",AA52="",AE52="",AG52=""),
"",
IF(BS52&gt;0,"",IF(OR(AND(ISNUMBER(SEARCH("kW/ton", J52)),OR(L52&lt;=N52,R52&lt;T52)),AND(NOT(ISNUMBER(SEARCH("kW/ton", J52))),OR(L52&gt;=N52,R52&gt;T52))),
"Must Improve Efficiency",
IF(EXPIRATION&lt;&gt;"",PROJSTATEXP,"")))),
"")</f>
        <v/>
      </c>
      <c r="BK52" s="828" t="str">
        <f>IFERROR(INDEX(STDHVAC[Measure Life (Years)],MATCH(C52,STDHVAC[Measure Name],0)),"")</f>
        <v/>
      </c>
      <c r="BL52" s="884" t="str">
        <f>IFERROR(IF(OR(C52="",N52="",V52="",AA52="",T52="",AE52="",AG52=""),"",
ROUND(((1+ELOSS)*((AZ52*INDEX(ELECCB[NPV AEC $/kWh],MATCH(BK52,ELECCB[Year Number],1)))+(BA52*INDEX(ELECCB[NPV ACC $/kW],MATCH(BK52,ELECCB[Year Number],1))))),2)),0)</f>
        <v/>
      </c>
      <c r="BM52" s="918" t="str">
        <f>IFERROR(IF(INDEX(STDHVAC[Eff Unit 3],MATCH(C52,STDHVAC[Measure Name],0))="","",INDEX(STDHVAC[Eff Unit 3],MATCH(C52,STDHVAC[Measure Name],0))),"")</f>
        <v/>
      </c>
      <c r="BN52" s="880" t="str">
        <f>IFERROR(IF(INDEX(STDHVAC[Base Efficiency 3],MATCH(C52,STDHVAC[Measure Name],0))="","",INDEX(STDHVAC[Base Efficiency 3],MATCH(C52,STDHVAC[Measure Name],0))),"")</f>
        <v/>
      </c>
      <c r="BO52" s="889" t="str">
        <f t="shared" si="3"/>
        <v/>
      </c>
      <c r="BP52" s="920"/>
      <c r="BQ52" s="891" t="str">
        <f>IFERROR(IF(OR(C52="",N52="",V52="",AA52="",T52="",AE52="",AG52=""),"",INDEX(STDHVAC[Reporting Methodology],MATCH(C52,STDHVAC[Measure Name],0))),"Err")</f>
        <v/>
      </c>
      <c r="BR52" s="867" t="str">
        <f>IFERROR(IF(OR(C52="", V52=""),"",INDEX(STDHVAC[Incremental Measure Cost ($/Unit)],MATCH(C52,STDHVAC[Measure Name],0)) * V52),"Err")</f>
        <v/>
      </c>
      <c r="BS52" s="837"/>
      <c r="BT52" s="838" t="str">
        <f>_xlfn.LET(
_xlpm.IPU,
IFERROR(IF(C52="","",INDEX(STDHVAC[Base Incentive],MATCH(C52,STDHVAC[Measure Name],0))),""),
IFERROR(IF(AI52="$/ton", ROUND(V52*_xlpm.IPU, 2),
IF(AND(ISNUMBER(SEARCH("Air-Cooled Chiller",C52)),AI52="$/ton/IPLV"), ROUND((12/L52-12/N52)*V52*_xlpm.IPU, 2),
ROUND(ABS(N52-L52)*V52*_xlpm.IPU, 2))), ""))</f>
        <v/>
      </c>
    </row>
    <row r="53" spans="2:72" ht="15.95" customHeight="1">
      <c r="B53" s="806"/>
      <c r="C53" s="716"/>
      <c r="D53" s="717"/>
      <c r="E53" s="717"/>
      <c r="F53" s="717"/>
      <c r="G53" s="717"/>
      <c r="H53" s="717"/>
      <c r="I53" s="717"/>
      <c r="J53" s="894"/>
      <c r="K53" s="895"/>
      <c r="L53" s="898"/>
      <c r="M53" s="899"/>
      <c r="N53" s="900"/>
      <c r="O53" s="901"/>
      <c r="P53" s="902"/>
      <c r="Q53" s="903"/>
      <c r="R53" s="904"/>
      <c r="S53" s="905"/>
      <c r="T53" s="908"/>
      <c r="U53" s="909"/>
      <c r="V53" s="910"/>
      <c r="W53" s="911"/>
      <c r="X53" s="716"/>
      <c r="Y53" s="717"/>
      <c r="Z53" s="718"/>
      <c r="AA53" s="932"/>
      <c r="AB53" s="930"/>
      <c r="AC53" s="930"/>
      <c r="AD53" s="931"/>
      <c r="AE53" s="765"/>
      <c r="AF53" s="766"/>
      <c r="AG53" s="766"/>
      <c r="AH53" s="767"/>
      <c r="AI53" s="912"/>
      <c r="AJ53" s="912"/>
      <c r="AK53" s="912"/>
      <c r="AL53" s="913"/>
      <c r="AM53" s="915"/>
      <c r="AN53" s="796"/>
      <c r="AO53" s="798"/>
      <c r="AP53" s="798"/>
      <c r="AQ53" s="798"/>
      <c r="AR53" s="827"/>
      <c r="AS53" s="827"/>
      <c r="AT53" s="827"/>
      <c r="AU53" s="827"/>
      <c r="AV53" s="22"/>
      <c r="AX53" s="874"/>
      <c r="AY53" s="917"/>
      <c r="AZ53" s="747"/>
      <c r="BA53" s="747"/>
      <c r="BB53" s="871"/>
      <c r="BC53" s="871"/>
      <c r="BD53" s="887"/>
      <c r="BE53" s="762"/>
      <c r="BF53" s="762"/>
      <c r="BG53" s="839"/>
      <c r="BH53" s="883"/>
      <c r="BI53" s="755"/>
      <c r="BJ53" s="883"/>
      <c r="BK53" s="829"/>
      <c r="BL53" s="885"/>
      <c r="BM53" s="919"/>
      <c r="BN53" s="881"/>
      <c r="BO53" s="890"/>
      <c r="BP53" s="921"/>
      <c r="BQ53" s="891"/>
      <c r="BR53" s="867"/>
      <c r="BS53" s="837"/>
      <c r="BT53" s="839"/>
    </row>
    <row r="54" spans="2:72" ht="15.95" customHeight="1">
      <c r="B54" s="806">
        <v>19</v>
      </c>
      <c r="C54" s="713"/>
      <c r="D54" s="714"/>
      <c r="E54" s="714"/>
      <c r="F54" s="714"/>
      <c r="G54" s="714"/>
      <c r="H54" s="714"/>
      <c r="I54" s="714"/>
      <c r="J54" s="892" t="str">
        <f>IF(C54="","",INDEX(STDHVAC[Eff Unit 1],MATCH(C54,STDHVAC[Measure Name],0)))</f>
        <v/>
      </c>
      <c r="K54" s="893"/>
      <c r="L54" s="896" t="str">
        <f>IF(C54="","",INDEX(STDHVAC[Base Efficiency 1],MATCH(C54,STDHVAC[Measure Name],0)))</f>
        <v/>
      </c>
      <c r="M54" s="897"/>
      <c r="N54" s="900"/>
      <c r="O54" s="901"/>
      <c r="P54" s="894" t="str">
        <f>IF(C54="","",INDEX(STDHVAC[Eff Unit 2],MATCH(C54,STDHVAC[Measure Name],0)))</f>
        <v/>
      </c>
      <c r="Q54" s="895"/>
      <c r="R54" s="898" t="str">
        <f>IF(C54="","",INDEX(STDHVAC[Base Efficiency 2],MATCH(C54,STDHVAC[Measure Name],0)))</f>
        <v/>
      </c>
      <c r="S54" s="899"/>
      <c r="T54" s="906" t="str">
        <f t="shared" ref="T54" si="89">IF(AND(ISNUMBER(SEARCH("DX",C54)),ISNUMBER(SEARCH("&lt;65 kbtu",C54)),N54&lt;&gt;""),1.12*N54-0.02*N54^2,IF(AND(ISNUMBER(SEARCH("PTAC",C54)),N54&lt;&gt;""),1,""))</f>
        <v/>
      </c>
      <c r="U54" s="907"/>
      <c r="V54" s="910"/>
      <c r="W54" s="911"/>
      <c r="X54" s="713"/>
      <c r="Y54" s="714"/>
      <c r="Z54" s="715"/>
      <c r="AA54" s="932"/>
      <c r="AB54" s="930"/>
      <c r="AC54" s="930"/>
      <c r="AD54" s="931"/>
      <c r="AE54" s="765"/>
      <c r="AF54" s="766"/>
      <c r="AG54" s="766"/>
      <c r="AH54" s="767"/>
      <c r="AI54" s="912" t="str">
        <f>IF(C54="","",INDEX(STDHVAC[Current Unit],MATCH(C54,STDHVAC[Measure Name],0)))</f>
        <v/>
      </c>
      <c r="AJ54" s="912"/>
      <c r="AK54" s="912"/>
      <c r="AL54" s="913"/>
      <c r="AM54" s="914" t="str">
        <f>IFERROR(IF(C54="","",INDEX(IF(AND(ACTIVEBONUS = TRUE,INDEX(STDHVAC[Bonus Incentive],MATCH(C54,STDHVAC[Measure Name],0))&lt;&gt; ""),STDHVAC[Bonus Incentive],STDHVAC[Base Incentive]),MATCH(C54,STDHVAC[Measure Name],0))),"")</f>
        <v/>
      </c>
      <c r="AN54" s="794"/>
      <c r="AO54" s="797" t="str">
        <f t="shared" ref="AO54" si="90">IFERROR(IF(OR(C54="",N54="",V54="",AA54="",T54="",AE54="",AG54=""),"",IF(BQ54="Deemed",AZ54,IF(BQ54="Calculated",BE54,""))),"")</f>
        <v/>
      </c>
      <c r="AP54" s="797"/>
      <c r="AQ54" s="797"/>
      <c r="AR54" s="826" t="str">
        <f t="shared" ref="AR54" si="91">IFERROR(IF(OR(C54="",N54="",V54="",AA54="",T54="",AE54="",AG54=""),"",IF(BJ54&lt;&gt;"",BJ54,IF(BS54&gt;0,BS54,ROUND(IF(AO54&lt;=0,0,MIN(AX54,BG54)), 2)))), "")</f>
        <v/>
      </c>
      <c r="AS54" s="826"/>
      <c r="AT54" s="826"/>
      <c r="AU54" s="826"/>
      <c r="AV54" s="22"/>
      <c r="AX54" s="873" t="str">
        <f t="shared" ref="AX54" si="92">IF(OR(C54="",N54="",V54="",AA54="",T54="",AE54="",AG54="",X54=""),"",IF(AO54=0,"",ROUND(AE54+AG54,2)))</f>
        <v/>
      </c>
      <c r="AY54" s="916" t="str">
        <f>IFERROR(IF(OR(C54="",N54="",V54="",AA54="",T54="",AE54="",AG54="",X54=""),"",INDEX(STDHVAC[Current Unit],MATCH(C54,STDHVAC[Measure Name],0))),"Err")</f>
        <v/>
      </c>
      <c r="AZ54" s="746" t="str">
        <f>IF(
OR(C54="",N54="",V54="",AA54="",T54="",AE54="",AG54="",X54=""),"",
IF(OR(ISNUMBER(SEARCH("PTAC",C54)),ISNUMBER(SEARCH("PTHP",C54))),
ROUND(V54*INDEX(STDHVAC[Electric Energy Savings (Annual kWh/unit)],MATCH(C54,STDHVAC[Measure Name],0)),4),
ROUND(V54*ABS(N54-L54)*INDEX(STDHVAC[Electric Energy Savings (Annual kWh/unit)],MATCH(C54,STDHVAC[Measure Name],0)),4)
))</f>
        <v/>
      </c>
      <c r="BA54" s="746" t="str">
        <f>IF(
OR(C54="",N54="",V54="",AA54="",T54="",AE54="",AG54="",X54=""),"",
IF(OR(ISNUMBER(SEARCH("PTAC",C54)),ISNUMBER(SEARCH("PTHP",C54))),
ROUND(V54*INDEX(STDHVAC[Coincident Peak Demand Savings (kW/unit)],MATCH(C54,STDHVAC[Measure Name],0)),4),
ROUND(V54* ABS(N54-L54)*INDEX(STDHVAC[Coincident Peak Demand Savings (kW/unit)],MATCH(C54,STDHVAC[Measure Name],0)),4)
))</f>
        <v/>
      </c>
      <c r="BB54" s="871"/>
      <c r="BC54" s="871"/>
      <c r="BD54" s="886" t="str">
        <f>IFERROR(IF(OR(C54="",N54="",V54="",AA54="",T54="",AE54="",AG54=""),"",INDEX(STDHVAC[End Use],MATCH(C54,STDHVAC[Measure Name],0))),"Err")</f>
        <v/>
      </c>
      <c r="BE54" s="888" t="str">
        <f>IF(C54&lt;&gt;"", _xlfn.LET(
_xlpm.Tons_Cool, V54, _xlpm.PLC_Base, L54, _xlpm.PLC_Eff, N54, _xlpm.Tons_Heat, BP54, _xlpm.Other_Base, R54, _xlpm.Other_Eff, T54,
_xlpm.EFLH_Cool,
INDEX(STDHVAC[EFLHcool],MATCH(C54,STDHVAC[Measure Name],0)),
_xlpm.EFLH_Heat,
INDEX(STDHVAC[EFLHheat],MATCH(C54,STDHVAC[Measure Name],0)),
_xlpm.ElecHeat,
INDEX(SPACEHEAT[ELECHEAT],MATCH(M02S04F22,SPACEHEAT[Space Conditioning],0)),
_xlpm.kWhCool,
ROUND(
IF(OR(ISNUMBER(SEARCH("DX", C54)),ISNUMBER(SEARCH("ASHP", C54)), ISNUMBER(SEARCH("PTAC", C54)), ISNUMBER(SEARCH("PTHP", C54)), ISNUMBER(SEARCH("Air-Cooled Chiller", C54)), ISNUMBER(SEARCH("VRF", C54))),
_xlpm.Tons_Cool * (12/_xlpm.PLC_Base - 12/_xlpm.PLC_Eff)*_xlpm.EFLH_Cool,
IF(ISNUMBER(SEARCH("Water", C54)),
_xlpm.Tons_Cool * (_xlpm.PLC_Base - _xlpm.PLC_Eff) * _xlpm.EFLH_Cool,
" "
)),4),
_xlpm.kWhHeat,
IF(
_xlpm.ElecHeat=1,
ROUND(
IF(OR(ISNUMBER(SEARCH("DX", C54)),ISNUMBER(SEARCH("PTAC", C54)), ISNUMBER(SEARCH("Air-Cooled Chiller", C54)), ISNUMBER(SEARCH("Water", C54)),
ISNUMBER(SEARCH("VRF", C54))),
0,
IF(
OR(ISNUMBER(SEARCH("ASHP", C54)), ISNUMBER(SEARCH("PTHP", C54))),
_xlpm.Tons_Heat * (1/_xlpm.Other_Base - 1/_xlpm.Other_Eff) * _xlpm.EFLH_Heat,
" "
)),4),
0
),
_xlpm.kWhCool + _xlpm.kWhHeat
), "")</f>
        <v/>
      </c>
      <c r="BF54" s="888" t="str">
        <f>IF(C54&lt;&gt;"", _xlfn.LET(
_xlpm.Tons, V54, _xlpm.PCF, 0.913,
IF(AND(ISNUMBER(SEARCH("DX",C54)),ISNUMBER(SEARCH("&lt;65 kbtu",C54))),
_xlpm.Tons * (12/11.42-12/MAX(11.42,T54))*_xlpm.PCF,
IF(OR(ISNUMBER(SEARCH("DX", C54)), ISNUMBER(SEARCH("Air-Cooled Chiller", C54)), ISNUMBER(SEARCH("VRF", C54))),
_xlpm.Tons * (12/R54 - 12/T54) * _xlpm.PCF,
IF(ISNUMBER(SEARCH("Water", C54)),
_xlpm.Tons * (R54-T54) * _xlpm.PCF,
IF(ISNUMBER(SEARCH("ASHP", C54)),
_xlpm.Tons * (12/BN54 - 12/BO54) * _xlpm.PCF,
IF(OR(ISNUMBER(SEARCH("PTAC", C54)), ISNUMBER(SEARCH("PTHP", C54))),
_xlpm.Tons * (12/L54 - 12/N54) * _xlpm.PCF,#REF!)))))), "")</f>
        <v/>
      </c>
      <c r="BG54" s="838" t="str">
        <f t="shared" si="1"/>
        <v/>
      </c>
      <c r="BH54" s="882" t="str">
        <f>IFERROR(IF(OR(C54="",N54="",V54="",AA54="",T54="",AE54="",AG54="",ISNUMBER(AR54)=FALSE,AR54=0),"",INDEX(STDHVAC[Measure Number],MATCH(C54,STDHVAC[Measure Name],0))),"Err")</f>
        <v/>
      </c>
      <c r="BI54" s="754" t="str">
        <f t="shared" ref="BI54" si="93">IFERROR(IF(BS54="",IF(AR54 &lt; BG54, "100% Total Cost", ""), ""), "")</f>
        <v/>
      </c>
      <c r="BJ54" s="882" t="str">
        <f>IFERROR(
IF(OR(C54="",N54="",T54="",V54="",AA54="",AE54="",AG54=""),
"",
IF(BS54&gt;0,"",IF(OR(AND(ISNUMBER(SEARCH("kW/ton", J54)),OR(L54&lt;=N54,R54&lt;T54)),AND(NOT(ISNUMBER(SEARCH("kW/ton", J54))),OR(L54&gt;=N54,R54&gt;T54))),
"Must Improve Efficiency",
IF(EXPIRATION&lt;&gt;"",PROJSTATEXP,"")))),
"")</f>
        <v/>
      </c>
      <c r="BK54" s="828" t="str">
        <f>IFERROR(INDEX(STDHVAC[Measure Life (Years)],MATCH(C54,STDHVAC[Measure Name],0)),"")</f>
        <v/>
      </c>
      <c r="BL54" s="884" t="str">
        <f>IFERROR(IF(OR(C54="",N54="",V54="",AA54="",T54="",AE54="",AG54=""),"",
ROUND(((1+ELOSS)*((AZ54*INDEX(ELECCB[NPV AEC $/kWh],MATCH(BK54,ELECCB[Year Number],1)))+(BA54*INDEX(ELECCB[NPV ACC $/kW],MATCH(BK54,ELECCB[Year Number],1))))),2)),0)</f>
        <v/>
      </c>
      <c r="BM54" s="918" t="str">
        <f>IFERROR(IF(INDEX(STDHVAC[Eff Unit 3],MATCH(C54,STDHVAC[Measure Name],0))="","",INDEX(STDHVAC[Eff Unit 3],MATCH(C54,STDHVAC[Measure Name],0))),"")</f>
        <v/>
      </c>
      <c r="BN54" s="880" t="str">
        <f>IFERROR(IF(INDEX(STDHVAC[Base Efficiency 3],MATCH(C54,STDHVAC[Measure Name],0))="","",INDEX(STDHVAC[Base Efficiency 3],MATCH(C54,STDHVAC[Measure Name],0))),"")</f>
        <v/>
      </c>
      <c r="BO54" s="889" t="str">
        <f t="shared" si="3"/>
        <v/>
      </c>
      <c r="BP54" s="920"/>
      <c r="BQ54" s="891" t="str">
        <f>IFERROR(IF(OR(C54="",N54="",V54="",AA54="",T54="",AE54="",AG54=""),"",INDEX(STDHVAC[Reporting Methodology],MATCH(C54,STDHVAC[Measure Name],0))),"Err")</f>
        <v/>
      </c>
      <c r="BR54" s="867" t="str">
        <f>IFERROR(IF(OR(C54="", V54=""),"",INDEX(STDHVAC[Incremental Measure Cost ($/Unit)],MATCH(C54,STDHVAC[Measure Name],0)) * V54),"Err")</f>
        <v/>
      </c>
      <c r="BS54" s="837"/>
      <c r="BT54" s="838" t="str">
        <f>_xlfn.LET(
_xlpm.IPU,
IFERROR(IF(C54="","",INDEX(STDHVAC[Base Incentive],MATCH(C54,STDHVAC[Measure Name],0))),""),
IFERROR(IF(AI54="$/ton", ROUND(V54*_xlpm.IPU, 2),
IF(AND(ISNUMBER(SEARCH("Air-Cooled Chiller",C54)),AI54="$/ton/IPLV"), ROUND((12/L54-12/N54)*V54*_xlpm.IPU, 2),
ROUND(ABS(N54-L54)*V54*_xlpm.IPU, 2))), ""))</f>
        <v/>
      </c>
    </row>
    <row r="55" spans="2:72" ht="15.95" customHeight="1">
      <c r="B55" s="806"/>
      <c r="C55" s="716"/>
      <c r="D55" s="717"/>
      <c r="E55" s="717"/>
      <c r="F55" s="717"/>
      <c r="G55" s="717"/>
      <c r="H55" s="717"/>
      <c r="I55" s="717"/>
      <c r="J55" s="894"/>
      <c r="K55" s="895"/>
      <c r="L55" s="898"/>
      <c r="M55" s="899"/>
      <c r="N55" s="900"/>
      <c r="O55" s="901"/>
      <c r="P55" s="902"/>
      <c r="Q55" s="903"/>
      <c r="R55" s="904"/>
      <c r="S55" s="905"/>
      <c r="T55" s="908"/>
      <c r="U55" s="909"/>
      <c r="V55" s="910"/>
      <c r="W55" s="911"/>
      <c r="X55" s="716"/>
      <c r="Y55" s="717"/>
      <c r="Z55" s="718"/>
      <c r="AA55" s="932"/>
      <c r="AB55" s="930"/>
      <c r="AC55" s="930"/>
      <c r="AD55" s="931"/>
      <c r="AE55" s="765"/>
      <c r="AF55" s="766"/>
      <c r="AG55" s="766"/>
      <c r="AH55" s="767"/>
      <c r="AI55" s="912"/>
      <c r="AJ55" s="912"/>
      <c r="AK55" s="912"/>
      <c r="AL55" s="913"/>
      <c r="AM55" s="915"/>
      <c r="AN55" s="796"/>
      <c r="AO55" s="798"/>
      <c r="AP55" s="798"/>
      <c r="AQ55" s="798"/>
      <c r="AR55" s="827"/>
      <c r="AS55" s="827"/>
      <c r="AT55" s="827"/>
      <c r="AU55" s="827"/>
      <c r="AV55" s="22"/>
      <c r="AX55" s="874"/>
      <c r="AY55" s="917"/>
      <c r="AZ55" s="747"/>
      <c r="BA55" s="747"/>
      <c r="BB55" s="871"/>
      <c r="BC55" s="871"/>
      <c r="BD55" s="887"/>
      <c r="BE55" s="762"/>
      <c r="BF55" s="762"/>
      <c r="BG55" s="839"/>
      <c r="BH55" s="883"/>
      <c r="BI55" s="755"/>
      <c r="BJ55" s="883"/>
      <c r="BK55" s="829"/>
      <c r="BL55" s="885"/>
      <c r="BM55" s="919"/>
      <c r="BN55" s="881"/>
      <c r="BO55" s="890"/>
      <c r="BP55" s="921"/>
      <c r="BQ55" s="891"/>
      <c r="BR55" s="867"/>
      <c r="BS55" s="837"/>
      <c r="BT55" s="839"/>
    </row>
    <row r="56" spans="2:72" ht="15.95" customHeight="1">
      <c r="B56" s="806">
        <v>20</v>
      </c>
      <c r="C56" s="713"/>
      <c r="D56" s="714"/>
      <c r="E56" s="714"/>
      <c r="F56" s="714"/>
      <c r="G56" s="714"/>
      <c r="H56" s="714"/>
      <c r="I56" s="714"/>
      <c r="J56" s="892" t="str">
        <f>IF(C56="","",INDEX(STDHVAC[Eff Unit 1],MATCH(C56,STDHVAC[Measure Name],0)))</f>
        <v/>
      </c>
      <c r="K56" s="893"/>
      <c r="L56" s="896" t="str">
        <f>IF(C56="","",INDEX(STDHVAC[Base Efficiency 1],MATCH(C56,STDHVAC[Measure Name],0)))</f>
        <v/>
      </c>
      <c r="M56" s="897"/>
      <c r="N56" s="900"/>
      <c r="O56" s="901"/>
      <c r="P56" s="894" t="str">
        <f>IF(C56="","",INDEX(STDHVAC[Eff Unit 2],MATCH(C56,STDHVAC[Measure Name],0)))</f>
        <v/>
      </c>
      <c r="Q56" s="895"/>
      <c r="R56" s="898" t="str">
        <f>IF(C56="","",INDEX(STDHVAC[Base Efficiency 2],MATCH(C56,STDHVAC[Measure Name],0)))</f>
        <v/>
      </c>
      <c r="S56" s="899"/>
      <c r="T56" s="906" t="str">
        <f t="shared" ref="T56" si="94">IF(AND(ISNUMBER(SEARCH("DX",C56)),ISNUMBER(SEARCH("&lt;65 kbtu",C56)),N56&lt;&gt;""),1.12*N56-0.02*N56^2,IF(AND(ISNUMBER(SEARCH("PTAC",C56)),N56&lt;&gt;""),1,""))</f>
        <v/>
      </c>
      <c r="U56" s="907"/>
      <c r="V56" s="910"/>
      <c r="W56" s="911"/>
      <c r="X56" s="713"/>
      <c r="Y56" s="714"/>
      <c r="Z56" s="715"/>
      <c r="AA56" s="932"/>
      <c r="AB56" s="930"/>
      <c r="AC56" s="930"/>
      <c r="AD56" s="931"/>
      <c r="AE56" s="765"/>
      <c r="AF56" s="766"/>
      <c r="AG56" s="766"/>
      <c r="AH56" s="767"/>
      <c r="AI56" s="912" t="str">
        <f>IF(C56="","",INDEX(STDHVAC[Current Unit],MATCH(C56,STDHVAC[Measure Name],0)))</f>
        <v/>
      </c>
      <c r="AJ56" s="912"/>
      <c r="AK56" s="912"/>
      <c r="AL56" s="913"/>
      <c r="AM56" s="914" t="str">
        <f>IFERROR(IF(C56="","",INDEX(IF(AND(ACTIVEBONUS = TRUE,INDEX(STDHVAC[Bonus Incentive],MATCH(C56,STDHVAC[Measure Name],0))&lt;&gt; ""),STDHVAC[Bonus Incentive],STDHVAC[Base Incentive]),MATCH(C56,STDHVAC[Measure Name],0))),"")</f>
        <v/>
      </c>
      <c r="AN56" s="794"/>
      <c r="AO56" s="797" t="str">
        <f t="shared" ref="AO56" si="95">IFERROR(IF(OR(C56="",N56="",V56="",AA56="",T56="",AE56="",AG56=""),"",IF(BQ56="Deemed",AZ56,IF(BQ56="Calculated",BE56,""))),"")</f>
        <v/>
      </c>
      <c r="AP56" s="797"/>
      <c r="AQ56" s="797"/>
      <c r="AR56" s="826" t="str">
        <f t="shared" ref="AR56" si="96">IFERROR(IF(OR(C56="",N56="",V56="",AA56="",T56="",AE56="",AG56=""),"",IF(BJ56&lt;&gt;"",BJ56,IF(BS56&gt;0,BS56,ROUND(IF(AO56&lt;=0,0,MIN(AX56,BG56)), 2)))), "")</f>
        <v/>
      </c>
      <c r="AS56" s="826"/>
      <c r="AT56" s="826"/>
      <c r="AU56" s="826"/>
      <c r="AV56" s="22"/>
      <c r="AX56" s="873" t="str">
        <f t="shared" ref="AX56" si="97">IF(OR(C56="",N56="",V56="",AA56="",T56="",AE56="",AG56="",X56=""),"",IF(AO56=0,"",ROUND(AE56+AG56,2)))</f>
        <v/>
      </c>
      <c r="AY56" s="916" t="str">
        <f>IFERROR(IF(OR(C56="",N56="",V56="",AA56="",T56="",AE56="",AG56="",X56=""),"",INDEX(STDHVAC[Current Unit],MATCH(C56,STDHVAC[Measure Name],0))),"Err")</f>
        <v/>
      </c>
      <c r="AZ56" s="746" t="str">
        <f>IF(
OR(C56="",N56="",V56="",AA56="",T56="",AE56="",AG56="",X56=""),"",
IF(OR(ISNUMBER(SEARCH("PTAC",C56)),ISNUMBER(SEARCH("PTHP",C56))),
ROUND(V56*INDEX(STDHVAC[Electric Energy Savings (Annual kWh/unit)],MATCH(C56,STDHVAC[Measure Name],0)),4),
ROUND(V56*ABS(N56-L56)*INDEX(STDHVAC[Electric Energy Savings (Annual kWh/unit)],MATCH(C56,STDHVAC[Measure Name],0)),4)
))</f>
        <v/>
      </c>
      <c r="BA56" s="746" t="str">
        <f>IF(
OR(C56="",N56="",V56="",AA56="",T56="",AE56="",AG56="",X56=""),"",
IF(OR(ISNUMBER(SEARCH("PTAC",C56)),ISNUMBER(SEARCH("PTHP",C56))),
ROUND(V56*INDEX(STDHVAC[Coincident Peak Demand Savings (kW/unit)],MATCH(C56,STDHVAC[Measure Name],0)),4),
ROUND(V56* ABS(N56-L56)*INDEX(STDHVAC[Coincident Peak Demand Savings (kW/unit)],MATCH(C56,STDHVAC[Measure Name],0)),4)
))</f>
        <v/>
      </c>
      <c r="BB56" s="871"/>
      <c r="BC56" s="871"/>
      <c r="BD56" s="886" t="str">
        <f>IFERROR(IF(OR(C56="",N56="",V56="",AA56="",T56="",AE56="",AG56=""),"",INDEX(STDHVAC[End Use],MATCH(C56,STDHVAC[Measure Name],0))),"Err")</f>
        <v/>
      </c>
      <c r="BE56" s="888" t="str">
        <f>IF(C56&lt;&gt;"", _xlfn.LET(
_xlpm.Tons_Cool, V56, _xlpm.PLC_Base, L56, _xlpm.PLC_Eff, N56, _xlpm.Tons_Heat, BP56, _xlpm.Other_Base, R56, _xlpm.Other_Eff, T56,
_xlpm.EFLH_Cool,
INDEX(STDHVAC[EFLHcool],MATCH(C56,STDHVAC[Measure Name],0)),
_xlpm.EFLH_Heat,
INDEX(STDHVAC[EFLHheat],MATCH(C56,STDHVAC[Measure Name],0)),
_xlpm.ElecHeat,
INDEX(SPACEHEAT[ELECHEAT],MATCH(M02S04F22,SPACEHEAT[Space Conditioning],0)),
_xlpm.kWhCool,
ROUND(
IF(OR(ISNUMBER(SEARCH("DX", C56)),ISNUMBER(SEARCH("ASHP", C56)), ISNUMBER(SEARCH("PTAC", C56)), ISNUMBER(SEARCH("PTHP", C56)), ISNUMBER(SEARCH("Air-Cooled Chiller", C56)), ISNUMBER(SEARCH("VRF", C56))),
_xlpm.Tons_Cool * (12/_xlpm.PLC_Base - 12/_xlpm.PLC_Eff)*_xlpm.EFLH_Cool,
IF(ISNUMBER(SEARCH("Water", C56)),
_xlpm.Tons_Cool * (_xlpm.PLC_Base - _xlpm.PLC_Eff) * _xlpm.EFLH_Cool,
" "
)),4),
_xlpm.kWhHeat,
IF(
_xlpm.ElecHeat=1,
ROUND(
IF(OR(ISNUMBER(SEARCH("DX", C56)),ISNUMBER(SEARCH("PTAC", C56)), ISNUMBER(SEARCH("Air-Cooled Chiller", C56)), ISNUMBER(SEARCH("Water", C56)),
ISNUMBER(SEARCH("VRF", C56))),
0,
IF(
OR(ISNUMBER(SEARCH("ASHP", C56)), ISNUMBER(SEARCH("PTHP", C56))),
_xlpm.Tons_Heat * (1/_xlpm.Other_Base - 1/_xlpm.Other_Eff) * _xlpm.EFLH_Heat,
" "
)),4),
0
),
_xlpm.kWhCool + _xlpm.kWhHeat
), "")</f>
        <v/>
      </c>
      <c r="BF56" s="888" t="str">
        <f>IF(C56&lt;&gt;"", _xlfn.LET(
_xlpm.Tons, V56, _xlpm.PCF, 0.913,
IF(AND(ISNUMBER(SEARCH("DX",C56)),ISNUMBER(SEARCH("&lt;65 kbtu",C56))),
_xlpm.Tons * (12/11.42-12/MAX(11.42,T56))*_xlpm.PCF,
IF(OR(ISNUMBER(SEARCH("DX", C56)), ISNUMBER(SEARCH("Air-Cooled Chiller", C56)), ISNUMBER(SEARCH("VRF", C56))),
_xlpm.Tons * (12/R56 - 12/T56) * _xlpm.PCF,
IF(ISNUMBER(SEARCH("Water", C56)),
_xlpm.Tons * (R56-T56) * _xlpm.PCF,
IF(ISNUMBER(SEARCH("ASHP", C56)),
_xlpm.Tons * (12/BN56 - 12/BO56) * _xlpm.PCF,
IF(OR(ISNUMBER(SEARCH("PTAC", C56)), ISNUMBER(SEARCH("PTHP", C56))),
_xlpm.Tons * (12/L56 - 12/N56) * _xlpm.PCF,#REF!)))))), "")</f>
        <v/>
      </c>
      <c r="BG56" s="838" t="str">
        <f t="shared" si="1"/>
        <v/>
      </c>
      <c r="BH56" s="882" t="str">
        <f>IFERROR(IF(OR(C56="",N56="",V56="",AA56="",T56="",AE56="",AG56="",ISNUMBER(AR56)=FALSE,AR56=0),"",INDEX(STDHVAC[Measure Number],MATCH(C56,STDHVAC[Measure Name],0))),"Err")</f>
        <v/>
      </c>
      <c r="BI56" s="754" t="str">
        <f t="shared" ref="BI56" si="98">IFERROR(IF(BS56="",IF(AR56 &lt; BG56, "100% Total Cost", ""), ""), "")</f>
        <v/>
      </c>
      <c r="BJ56" s="882" t="str">
        <f>IFERROR(
IF(OR(C56="",N56="",T56="",V56="",AA56="",AE56="",AG56=""),
"",
IF(BS56&gt;0,"",IF(OR(AND(ISNUMBER(SEARCH("kW/ton", J56)),OR(L56&lt;=N56,R56&lt;T56)),AND(NOT(ISNUMBER(SEARCH("kW/ton", J56))),OR(L56&gt;=N56,R56&gt;T56))),
"Must Improve Efficiency",
IF(EXPIRATION&lt;&gt;"",PROJSTATEXP,"")))),
"")</f>
        <v/>
      </c>
      <c r="BK56" s="828" t="str">
        <f>IFERROR(INDEX(STDHVAC[Measure Life (Years)],MATCH(C56,STDHVAC[Measure Name],0)),"")</f>
        <v/>
      </c>
      <c r="BL56" s="884" t="str">
        <f>IFERROR(IF(OR(C56="",N56="",V56="",AA56="",T56="",AE56="",AG56=""),"",
ROUND(((1+ELOSS)*((AZ56*INDEX(ELECCB[NPV AEC $/kWh],MATCH(BK56,ELECCB[Year Number],1)))+(BA56*INDEX(ELECCB[NPV ACC $/kW],MATCH(BK56,ELECCB[Year Number],1))))),2)),0)</f>
        <v/>
      </c>
      <c r="BM56" s="918" t="str">
        <f>IFERROR(IF(INDEX(STDHVAC[Eff Unit 3],MATCH(C56,STDHVAC[Measure Name],0))="","",INDEX(STDHVAC[Eff Unit 3],MATCH(C56,STDHVAC[Measure Name],0))),"")</f>
        <v/>
      </c>
      <c r="BN56" s="880" t="str">
        <f>IFERROR(IF(INDEX(STDHVAC[Base Efficiency 3],MATCH(C56,STDHVAC[Measure Name],0))="","",INDEX(STDHVAC[Base Efficiency 3],MATCH(C56,STDHVAC[Measure Name],0))),"")</f>
        <v/>
      </c>
      <c r="BO56" s="889" t="str">
        <f t="shared" si="3"/>
        <v/>
      </c>
      <c r="BP56" s="920"/>
      <c r="BQ56" s="891" t="str">
        <f>IFERROR(IF(OR(C56="",N56="",V56="",AA56="",T56="",AE56="",AG56=""),"",INDEX(STDHVAC[Reporting Methodology],MATCH(C56,STDHVAC[Measure Name],0))),"Err")</f>
        <v/>
      </c>
      <c r="BR56" s="867" t="str">
        <f>IFERROR(IF(OR(C56="", V56=""),"",INDEX(STDHVAC[Incremental Measure Cost ($/Unit)],MATCH(C56,STDHVAC[Measure Name],0)) * V56),"Err")</f>
        <v/>
      </c>
      <c r="BS56" s="837"/>
      <c r="BT56" s="838" t="str">
        <f>_xlfn.LET(
_xlpm.IPU,
IFERROR(IF(C56="","",INDEX(STDHVAC[Base Incentive],MATCH(C56,STDHVAC[Measure Name],0))),""),
IFERROR(IF(AI56="$/ton", ROUND(V56*_xlpm.IPU, 2),
IF(AND(ISNUMBER(SEARCH("Air-Cooled Chiller",C56)),AI56="$/ton/IPLV"), ROUND((12/L56-12/N56)*V56*_xlpm.IPU, 2),
ROUND(ABS(N56-L56)*V56*_xlpm.IPU, 2))), ""))</f>
        <v/>
      </c>
    </row>
    <row r="57" spans="2:72" ht="15.95" customHeight="1">
      <c r="B57" s="806"/>
      <c r="C57" s="716"/>
      <c r="D57" s="717"/>
      <c r="E57" s="717"/>
      <c r="F57" s="717"/>
      <c r="G57" s="717"/>
      <c r="H57" s="717"/>
      <c r="I57" s="717"/>
      <c r="J57" s="894"/>
      <c r="K57" s="895"/>
      <c r="L57" s="898"/>
      <c r="M57" s="899"/>
      <c r="N57" s="900"/>
      <c r="O57" s="901"/>
      <c r="P57" s="902"/>
      <c r="Q57" s="903"/>
      <c r="R57" s="904"/>
      <c r="S57" s="905"/>
      <c r="T57" s="908"/>
      <c r="U57" s="909"/>
      <c r="V57" s="910"/>
      <c r="W57" s="911"/>
      <c r="X57" s="716"/>
      <c r="Y57" s="717"/>
      <c r="Z57" s="718"/>
      <c r="AA57" s="932"/>
      <c r="AB57" s="930"/>
      <c r="AC57" s="930"/>
      <c r="AD57" s="931"/>
      <c r="AE57" s="765"/>
      <c r="AF57" s="766"/>
      <c r="AG57" s="766"/>
      <c r="AH57" s="767"/>
      <c r="AI57" s="912"/>
      <c r="AJ57" s="912"/>
      <c r="AK57" s="912"/>
      <c r="AL57" s="913"/>
      <c r="AM57" s="915"/>
      <c r="AN57" s="796"/>
      <c r="AO57" s="798"/>
      <c r="AP57" s="798"/>
      <c r="AQ57" s="798"/>
      <c r="AR57" s="827"/>
      <c r="AS57" s="827"/>
      <c r="AT57" s="827"/>
      <c r="AU57" s="827"/>
      <c r="AV57" s="22"/>
      <c r="AX57" s="874"/>
      <c r="AY57" s="917"/>
      <c r="AZ57" s="747"/>
      <c r="BA57" s="747"/>
      <c r="BB57" s="871"/>
      <c r="BC57" s="871"/>
      <c r="BD57" s="887"/>
      <c r="BE57" s="762"/>
      <c r="BF57" s="762"/>
      <c r="BG57" s="839"/>
      <c r="BH57" s="883"/>
      <c r="BI57" s="755"/>
      <c r="BJ57" s="883"/>
      <c r="BK57" s="829"/>
      <c r="BL57" s="885"/>
      <c r="BM57" s="919"/>
      <c r="BN57" s="881"/>
      <c r="BO57" s="890"/>
      <c r="BP57" s="921"/>
      <c r="BQ57" s="891"/>
      <c r="BR57" s="867"/>
      <c r="BS57" s="837"/>
      <c r="BT57" s="839"/>
    </row>
    <row r="58" spans="2:72" ht="15.95" customHeight="1">
      <c r="B58" s="806">
        <v>21</v>
      </c>
      <c r="C58" s="713"/>
      <c r="D58" s="714"/>
      <c r="E58" s="714"/>
      <c r="F58" s="714"/>
      <c r="G58" s="714"/>
      <c r="H58" s="714"/>
      <c r="I58" s="714"/>
      <c r="J58" s="892" t="str">
        <f>IF(C58="","",INDEX(STDHVAC[Eff Unit 1],MATCH(C58,STDHVAC[Measure Name],0)))</f>
        <v/>
      </c>
      <c r="K58" s="893"/>
      <c r="L58" s="896" t="str">
        <f>IF(C58="","",INDEX(STDHVAC[Base Efficiency 1],MATCH(C58,STDHVAC[Measure Name],0)))</f>
        <v/>
      </c>
      <c r="M58" s="897"/>
      <c r="N58" s="900"/>
      <c r="O58" s="901"/>
      <c r="P58" s="894" t="str">
        <f>IF(C58="","",INDEX(STDHVAC[Eff Unit 2],MATCH(C58,STDHVAC[Measure Name],0)))</f>
        <v/>
      </c>
      <c r="Q58" s="895"/>
      <c r="R58" s="898" t="str">
        <f>IF(C58="","",INDEX(STDHVAC[Base Efficiency 2],MATCH(C58,STDHVAC[Measure Name],0)))</f>
        <v/>
      </c>
      <c r="S58" s="899"/>
      <c r="T58" s="906" t="str">
        <f t="shared" ref="T58" si="99">IF(AND(ISNUMBER(SEARCH("DX",C58)),ISNUMBER(SEARCH("&lt;65 kbtu",C58)),N58&lt;&gt;""),1.12*N58-0.02*N58^2,IF(AND(ISNUMBER(SEARCH("PTAC",C58)),N58&lt;&gt;""),1,""))</f>
        <v/>
      </c>
      <c r="U58" s="907"/>
      <c r="V58" s="910"/>
      <c r="W58" s="911"/>
      <c r="X58" s="713"/>
      <c r="Y58" s="714"/>
      <c r="Z58" s="715"/>
      <c r="AA58" s="932"/>
      <c r="AB58" s="930"/>
      <c r="AC58" s="930"/>
      <c r="AD58" s="931"/>
      <c r="AE58" s="765"/>
      <c r="AF58" s="766"/>
      <c r="AG58" s="766"/>
      <c r="AH58" s="767"/>
      <c r="AI58" s="912" t="str">
        <f>IF(C58="","",INDEX(STDHVAC[Current Unit],MATCH(C58,STDHVAC[Measure Name],0)))</f>
        <v/>
      </c>
      <c r="AJ58" s="912"/>
      <c r="AK58" s="912"/>
      <c r="AL58" s="913"/>
      <c r="AM58" s="914" t="str">
        <f>IFERROR(IF(C58="","",INDEX(IF(AND(ACTIVEBONUS = TRUE,INDEX(STDHVAC[Bonus Incentive],MATCH(C58,STDHVAC[Measure Name],0))&lt;&gt; ""),STDHVAC[Bonus Incentive],STDHVAC[Base Incentive]),MATCH(C58,STDHVAC[Measure Name],0))),"")</f>
        <v/>
      </c>
      <c r="AN58" s="794"/>
      <c r="AO58" s="797" t="str">
        <f t="shared" ref="AO58" si="100">IFERROR(IF(OR(C58="",N58="",V58="",AA58="",T58="",AE58="",AG58=""),"",IF(BQ58="Deemed",AZ58,IF(BQ58="Calculated",BE58,""))),"")</f>
        <v/>
      </c>
      <c r="AP58" s="797"/>
      <c r="AQ58" s="797"/>
      <c r="AR58" s="826" t="str">
        <f t="shared" ref="AR58" si="101">IFERROR(IF(OR(C58="",N58="",V58="",AA58="",T58="",AE58="",AG58=""),"",IF(BJ58&lt;&gt;"",BJ58,IF(BS58&gt;0,BS58,ROUND(IF(AO58&lt;=0,0,MIN(AX58,BG58)), 2)))), "")</f>
        <v/>
      </c>
      <c r="AS58" s="826"/>
      <c r="AT58" s="826"/>
      <c r="AU58" s="826"/>
      <c r="AV58" s="22"/>
      <c r="AX58" s="873" t="str">
        <f t="shared" ref="AX58" si="102">IF(OR(C58="",N58="",V58="",AA58="",T58="",AE58="",AG58="",X58=""),"",IF(AO58=0,"",ROUND(AE58+AG58,2)))</f>
        <v/>
      </c>
      <c r="AY58" s="916" t="str">
        <f>IFERROR(IF(OR(C58="",N58="",V58="",AA58="",T58="",AE58="",AG58="",X58=""),"",INDEX(STDHVAC[Current Unit],MATCH(C58,STDHVAC[Measure Name],0))),"Err")</f>
        <v/>
      </c>
      <c r="AZ58" s="746" t="str">
        <f>IF(
OR(C58="",N58="",V58="",AA58="",T58="",AE58="",AG58="",X58=""),"",
IF(OR(ISNUMBER(SEARCH("PTAC",C58)),ISNUMBER(SEARCH("PTHP",C58))),
ROUND(V58*INDEX(STDHVAC[Electric Energy Savings (Annual kWh/unit)],MATCH(C58,STDHVAC[Measure Name],0)),4),
ROUND(V58*ABS(N58-L58)*INDEX(STDHVAC[Electric Energy Savings (Annual kWh/unit)],MATCH(C58,STDHVAC[Measure Name],0)),4)
))</f>
        <v/>
      </c>
      <c r="BA58" s="746" t="str">
        <f>IF(
OR(C58="",N58="",V58="",AA58="",T58="",AE58="",AG58="",X58=""),"",
IF(OR(ISNUMBER(SEARCH("PTAC",C58)),ISNUMBER(SEARCH("PTHP",C58))),
ROUND(V58*INDEX(STDHVAC[Coincident Peak Demand Savings (kW/unit)],MATCH(C58,STDHVAC[Measure Name],0)),4),
ROUND(V58* ABS(N58-L58)*INDEX(STDHVAC[Coincident Peak Demand Savings (kW/unit)],MATCH(C58,STDHVAC[Measure Name],0)),4)
))</f>
        <v/>
      </c>
      <c r="BB58" s="871"/>
      <c r="BC58" s="871"/>
      <c r="BD58" s="886" t="str">
        <f>IFERROR(IF(OR(C58="",N58="",V58="",AA58="",T58="",AE58="",AG58=""),"",INDEX(STDHVAC[End Use],MATCH(C58,STDHVAC[Measure Name],0))),"Err")</f>
        <v/>
      </c>
      <c r="BE58" s="888" t="str">
        <f>IF(C58&lt;&gt;"", _xlfn.LET(
_xlpm.Tons_Cool, V58, _xlpm.PLC_Base, L58, _xlpm.PLC_Eff, N58, _xlpm.Tons_Heat, BP58, _xlpm.Other_Base, R58, _xlpm.Other_Eff, T58,
_xlpm.EFLH_Cool,
INDEX(STDHVAC[EFLHcool],MATCH(C58,STDHVAC[Measure Name],0)),
_xlpm.EFLH_Heat,
INDEX(STDHVAC[EFLHheat],MATCH(C58,STDHVAC[Measure Name],0)),
_xlpm.ElecHeat,
INDEX(SPACEHEAT[ELECHEAT],MATCH(M02S04F22,SPACEHEAT[Space Conditioning],0)),
_xlpm.kWhCool,
ROUND(
IF(OR(ISNUMBER(SEARCH("DX", C58)),ISNUMBER(SEARCH("ASHP", C58)), ISNUMBER(SEARCH("PTAC", C58)), ISNUMBER(SEARCH("PTHP", C58)), ISNUMBER(SEARCH("Air-Cooled Chiller", C58)), ISNUMBER(SEARCH("VRF", C58))),
_xlpm.Tons_Cool * (12/_xlpm.PLC_Base - 12/_xlpm.PLC_Eff)*_xlpm.EFLH_Cool,
IF(ISNUMBER(SEARCH("Water", C58)),
_xlpm.Tons_Cool * (_xlpm.PLC_Base - _xlpm.PLC_Eff) * _xlpm.EFLH_Cool,
" "
)),4),
_xlpm.kWhHeat,
IF(
_xlpm.ElecHeat=1,
ROUND(
IF(OR(ISNUMBER(SEARCH("DX", C58)),ISNUMBER(SEARCH("PTAC", C58)), ISNUMBER(SEARCH("Air-Cooled Chiller", C58)), ISNUMBER(SEARCH("Water", C58)),
ISNUMBER(SEARCH("VRF", C58))),
0,
IF(
OR(ISNUMBER(SEARCH("ASHP", C58)), ISNUMBER(SEARCH("PTHP", C58))),
_xlpm.Tons_Heat * (1/_xlpm.Other_Base - 1/_xlpm.Other_Eff) * _xlpm.EFLH_Heat,
" "
)),4),
0
),
_xlpm.kWhCool + _xlpm.kWhHeat
), "")</f>
        <v/>
      </c>
      <c r="BF58" s="888" t="str">
        <f>IF(C58&lt;&gt;"", _xlfn.LET(
_xlpm.Tons, V58, _xlpm.PCF, 0.913,
IF(AND(ISNUMBER(SEARCH("DX",C58)),ISNUMBER(SEARCH("&lt;65 kbtu",C58))),
_xlpm.Tons * (12/11.42-12/MAX(11.42,T58))*_xlpm.PCF,
IF(OR(ISNUMBER(SEARCH("DX", C58)), ISNUMBER(SEARCH("Air-Cooled Chiller", C58)), ISNUMBER(SEARCH("VRF", C58))),
_xlpm.Tons * (12/R58 - 12/T58) * _xlpm.PCF,
IF(ISNUMBER(SEARCH("Water", C58)),
_xlpm.Tons * (R58-T58) * _xlpm.PCF,
IF(ISNUMBER(SEARCH("ASHP", C58)),
_xlpm.Tons * (12/BN58 - 12/BO58) * _xlpm.PCF,
IF(OR(ISNUMBER(SEARCH("PTAC", C58)), ISNUMBER(SEARCH("PTHP", C58))),
_xlpm.Tons * (12/L58 - 12/N58) * _xlpm.PCF,#REF!)))))), "")</f>
        <v/>
      </c>
      <c r="BG58" s="838" t="str">
        <f t="shared" si="1"/>
        <v/>
      </c>
      <c r="BH58" s="882" t="str">
        <f>IFERROR(IF(OR(C58="",N58="",V58="",AA58="",T58="",AE58="",AG58="",ISNUMBER(AR58)=FALSE,AR58=0),"",INDEX(STDHVAC[Measure Number],MATCH(C58,STDHVAC[Measure Name],0))),"Err")</f>
        <v/>
      </c>
      <c r="BI58" s="754" t="str">
        <f t="shared" ref="BI58" si="103">IFERROR(IF(BS58="",IF(AR58 &lt; BG58, "100% Total Cost", ""), ""), "")</f>
        <v/>
      </c>
      <c r="BJ58" s="882" t="str">
        <f>IFERROR(
IF(OR(C58="",N58="",T58="",V58="",AA58="",AE58="",AG58=""),
"",
IF(BS58&gt;0,"",IF(OR(AND(ISNUMBER(SEARCH("kW/ton", J58)),OR(L58&lt;=N58,R58&lt;T58)),AND(NOT(ISNUMBER(SEARCH("kW/ton", J58))),OR(L58&gt;=N58,R58&gt;T58))),
"Must Improve Efficiency",
IF(EXPIRATION&lt;&gt;"",PROJSTATEXP,"")))),
"")</f>
        <v/>
      </c>
      <c r="BK58" s="828" t="str">
        <f>IFERROR(INDEX(STDHVAC[Measure Life (Years)],MATCH(C58,STDHVAC[Measure Name],0)),"")</f>
        <v/>
      </c>
      <c r="BL58" s="884" t="str">
        <f>IFERROR(IF(OR(C58="",N58="",V58="",AA58="",T58="",AE58="",AG58=""),"",
ROUND(((1+ELOSS)*((AZ58*INDEX(ELECCB[NPV AEC $/kWh],MATCH(BK58,ELECCB[Year Number],1)))+(BA58*INDEX(ELECCB[NPV ACC $/kW],MATCH(BK58,ELECCB[Year Number],1))))),2)),0)</f>
        <v/>
      </c>
      <c r="BM58" s="918" t="str">
        <f>IFERROR(IF(INDEX(STDHVAC[Eff Unit 3],MATCH(C58,STDHVAC[Measure Name],0))="","",INDEX(STDHVAC[Eff Unit 3],MATCH(C58,STDHVAC[Measure Name],0))),"")</f>
        <v/>
      </c>
      <c r="BN58" s="880" t="str">
        <f>IFERROR(IF(INDEX(STDHVAC[Base Efficiency 3],MATCH(C58,STDHVAC[Measure Name],0))="","",INDEX(STDHVAC[Base Efficiency 3],MATCH(C58,STDHVAC[Measure Name],0))),"")</f>
        <v/>
      </c>
      <c r="BO58" s="889" t="str">
        <f t="shared" si="3"/>
        <v/>
      </c>
      <c r="BP58" s="920"/>
      <c r="BQ58" s="891" t="str">
        <f>IFERROR(IF(OR(C58="",N58="",V58="",AA58="",T58="",AE58="",AG58=""),"",INDEX(STDHVAC[Reporting Methodology],MATCH(C58,STDHVAC[Measure Name],0))),"Err")</f>
        <v/>
      </c>
      <c r="BR58" s="867" t="str">
        <f>IFERROR(IF(OR(C58="", V58=""),"",INDEX(STDHVAC[Incremental Measure Cost ($/Unit)],MATCH(C58,STDHVAC[Measure Name],0)) * V58),"Err")</f>
        <v/>
      </c>
      <c r="BS58" s="837"/>
      <c r="BT58" s="838" t="str">
        <f>_xlfn.LET(
_xlpm.IPU,
IFERROR(IF(C58="","",INDEX(STDHVAC[Base Incentive],MATCH(C58,STDHVAC[Measure Name],0))),""),
IFERROR(IF(AI58="$/ton", ROUND(V58*_xlpm.IPU, 2),
IF(AND(ISNUMBER(SEARCH("Air-Cooled Chiller",C58)),AI58="$/ton/IPLV"), ROUND((12/L58-12/N58)*V58*_xlpm.IPU, 2),
ROUND(ABS(N58-L58)*V58*_xlpm.IPU, 2))), ""))</f>
        <v/>
      </c>
    </row>
    <row r="59" spans="2:72" ht="15.95" customHeight="1">
      <c r="B59" s="806"/>
      <c r="C59" s="716"/>
      <c r="D59" s="717"/>
      <c r="E59" s="717"/>
      <c r="F59" s="717"/>
      <c r="G59" s="717"/>
      <c r="H59" s="717"/>
      <c r="I59" s="717"/>
      <c r="J59" s="894"/>
      <c r="K59" s="895"/>
      <c r="L59" s="898"/>
      <c r="M59" s="899"/>
      <c r="N59" s="900"/>
      <c r="O59" s="901"/>
      <c r="P59" s="902"/>
      <c r="Q59" s="903"/>
      <c r="R59" s="904"/>
      <c r="S59" s="905"/>
      <c r="T59" s="908"/>
      <c r="U59" s="909"/>
      <c r="V59" s="910"/>
      <c r="W59" s="911"/>
      <c r="X59" s="716"/>
      <c r="Y59" s="717"/>
      <c r="Z59" s="718"/>
      <c r="AA59" s="932"/>
      <c r="AB59" s="930"/>
      <c r="AC59" s="930"/>
      <c r="AD59" s="931"/>
      <c r="AE59" s="765"/>
      <c r="AF59" s="766"/>
      <c r="AG59" s="766"/>
      <c r="AH59" s="767"/>
      <c r="AI59" s="912"/>
      <c r="AJ59" s="912"/>
      <c r="AK59" s="912"/>
      <c r="AL59" s="913"/>
      <c r="AM59" s="915"/>
      <c r="AN59" s="796"/>
      <c r="AO59" s="798"/>
      <c r="AP59" s="798"/>
      <c r="AQ59" s="798"/>
      <c r="AR59" s="827"/>
      <c r="AS59" s="827"/>
      <c r="AT59" s="827"/>
      <c r="AU59" s="827"/>
      <c r="AV59" s="22"/>
      <c r="AX59" s="874"/>
      <c r="AY59" s="917"/>
      <c r="AZ59" s="747"/>
      <c r="BA59" s="747"/>
      <c r="BB59" s="871"/>
      <c r="BC59" s="871"/>
      <c r="BD59" s="887"/>
      <c r="BE59" s="762"/>
      <c r="BF59" s="762"/>
      <c r="BG59" s="839"/>
      <c r="BH59" s="883"/>
      <c r="BI59" s="755"/>
      <c r="BJ59" s="883"/>
      <c r="BK59" s="829"/>
      <c r="BL59" s="885"/>
      <c r="BM59" s="919"/>
      <c r="BN59" s="881"/>
      <c r="BO59" s="890"/>
      <c r="BP59" s="921"/>
      <c r="BQ59" s="891"/>
      <c r="BR59" s="867"/>
      <c r="BS59" s="837"/>
      <c r="BT59" s="839"/>
    </row>
    <row r="60" spans="2:72" ht="15.95" customHeight="1">
      <c r="B60" s="806">
        <v>22</v>
      </c>
      <c r="C60" s="713"/>
      <c r="D60" s="714"/>
      <c r="E60" s="714"/>
      <c r="F60" s="714"/>
      <c r="G60" s="714"/>
      <c r="H60" s="714"/>
      <c r="I60" s="714"/>
      <c r="J60" s="892" t="str">
        <f>IF(C60="","",INDEX(STDHVAC[Eff Unit 1],MATCH(C60,STDHVAC[Measure Name],0)))</f>
        <v/>
      </c>
      <c r="K60" s="893"/>
      <c r="L60" s="896" t="str">
        <f>IF(C60="","",INDEX(STDHVAC[Base Efficiency 1],MATCH(C60,STDHVAC[Measure Name],0)))</f>
        <v/>
      </c>
      <c r="M60" s="897"/>
      <c r="N60" s="900"/>
      <c r="O60" s="901"/>
      <c r="P60" s="894" t="str">
        <f>IF(C60="","",INDEX(STDHVAC[Eff Unit 2],MATCH(C60,STDHVAC[Measure Name],0)))</f>
        <v/>
      </c>
      <c r="Q60" s="895"/>
      <c r="R60" s="898" t="str">
        <f>IF(C60="","",INDEX(STDHVAC[Base Efficiency 2],MATCH(C60,STDHVAC[Measure Name],0)))</f>
        <v/>
      </c>
      <c r="S60" s="899"/>
      <c r="T60" s="906" t="str">
        <f t="shared" ref="T60" si="104">IF(AND(ISNUMBER(SEARCH("DX",C60)),ISNUMBER(SEARCH("&lt;65 kbtu",C60)),N60&lt;&gt;""),1.12*N60-0.02*N60^2,IF(AND(ISNUMBER(SEARCH("PTAC",C60)),N60&lt;&gt;""),1,""))</f>
        <v/>
      </c>
      <c r="U60" s="907"/>
      <c r="V60" s="910"/>
      <c r="W60" s="911"/>
      <c r="X60" s="713"/>
      <c r="Y60" s="714"/>
      <c r="Z60" s="715"/>
      <c r="AA60" s="932"/>
      <c r="AB60" s="930"/>
      <c r="AC60" s="930"/>
      <c r="AD60" s="931"/>
      <c r="AE60" s="765"/>
      <c r="AF60" s="766"/>
      <c r="AG60" s="766"/>
      <c r="AH60" s="767"/>
      <c r="AI60" s="912" t="str">
        <f>IF(C60="","",INDEX(STDHVAC[Current Unit],MATCH(C60,STDHVAC[Measure Name],0)))</f>
        <v/>
      </c>
      <c r="AJ60" s="912"/>
      <c r="AK60" s="912"/>
      <c r="AL60" s="913"/>
      <c r="AM60" s="914" t="str">
        <f>IFERROR(IF(C60="","",INDEX(IF(AND(ACTIVEBONUS = TRUE,INDEX(STDHVAC[Bonus Incentive],MATCH(C60,STDHVAC[Measure Name],0))&lt;&gt; ""),STDHVAC[Bonus Incentive],STDHVAC[Base Incentive]),MATCH(C60,STDHVAC[Measure Name],0))),"")</f>
        <v/>
      </c>
      <c r="AN60" s="794"/>
      <c r="AO60" s="797" t="str">
        <f t="shared" ref="AO60" si="105">IFERROR(IF(OR(C60="",N60="",V60="",AA60="",T60="",AE60="",AG60=""),"",IF(BQ60="Deemed",AZ60,IF(BQ60="Calculated",BE60,""))),"")</f>
        <v/>
      </c>
      <c r="AP60" s="797"/>
      <c r="AQ60" s="797"/>
      <c r="AR60" s="826" t="str">
        <f t="shared" ref="AR60" si="106">IFERROR(IF(OR(C60="",N60="",V60="",AA60="",T60="",AE60="",AG60=""),"",IF(BJ60&lt;&gt;"",BJ60,IF(BS60&gt;0,BS60,ROUND(IF(AO60&lt;=0,0,MIN(AX60,BG60)), 2)))), "")</f>
        <v/>
      </c>
      <c r="AS60" s="826"/>
      <c r="AT60" s="826"/>
      <c r="AU60" s="826"/>
      <c r="AV60" s="22"/>
      <c r="AX60" s="873" t="str">
        <f t="shared" ref="AX60" si="107">IF(OR(C60="",N60="",V60="",AA60="",T60="",AE60="",AG60="",X60=""),"",IF(AO60=0,"",ROUND(AE60+AG60,2)))</f>
        <v/>
      </c>
      <c r="AY60" s="916" t="str">
        <f>IFERROR(IF(OR(C60="",N60="",V60="",AA60="",T60="",AE60="",AG60="",X60=""),"",INDEX(STDHVAC[Current Unit],MATCH(C60,STDHVAC[Measure Name],0))),"Err")</f>
        <v/>
      </c>
      <c r="AZ60" s="746" t="str">
        <f>IF(
OR(C60="",N60="",V60="",AA60="",T60="",AE60="",AG60="",X60=""),"",
IF(OR(ISNUMBER(SEARCH("PTAC",C60)),ISNUMBER(SEARCH("PTHP",C60))),
ROUND(V60*INDEX(STDHVAC[Electric Energy Savings (Annual kWh/unit)],MATCH(C60,STDHVAC[Measure Name],0)),4),
ROUND(V60*ABS(N60-L60)*INDEX(STDHVAC[Electric Energy Savings (Annual kWh/unit)],MATCH(C60,STDHVAC[Measure Name],0)),4)
))</f>
        <v/>
      </c>
      <c r="BA60" s="746" t="str">
        <f>IF(
OR(C60="",N60="",V60="",AA60="",T60="",AE60="",AG60="",X60=""),"",
IF(OR(ISNUMBER(SEARCH("PTAC",C60)),ISNUMBER(SEARCH("PTHP",C60))),
ROUND(V60*INDEX(STDHVAC[Coincident Peak Demand Savings (kW/unit)],MATCH(C60,STDHVAC[Measure Name],0)),4),
ROUND(V60* ABS(N60-L60)*INDEX(STDHVAC[Coincident Peak Demand Savings (kW/unit)],MATCH(C60,STDHVAC[Measure Name],0)),4)
))</f>
        <v/>
      </c>
      <c r="BB60" s="871"/>
      <c r="BC60" s="871"/>
      <c r="BD60" s="886" t="str">
        <f>IFERROR(IF(OR(C60="",N60="",V60="",AA60="",T60="",AE60="",AG60=""),"",INDEX(STDHVAC[End Use],MATCH(C60,STDHVAC[Measure Name],0))),"Err")</f>
        <v/>
      </c>
      <c r="BE60" s="888" t="str">
        <f>IF(C60&lt;&gt;"", _xlfn.LET(
_xlpm.Tons_Cool, V60, _xlpm.PLC_Base, L60, _xlpm.PLC_Eff, N60, _xlpm.Tons_Heat, BP60, _xlpm.Other_Base, R60, _xlpm.Other_Eff, T60,
_xlpm.EFLH_Cool,
INDEX(STDHVAC[EFLHcool],MATCH(C60,STDHVAC[Measure Name],0)),
_xlpm.EFLH_Heat,
INDEX(STDHVAC[EFLHheat],MATCH(C60,STDHVAC[Measure Name],0)),
_xlpm.ElecHeat,
INDEX(SPACEHEAT[ELECHEAT],MATCH(M02S04F22,SPACEHEAT[Space Conditioning],0)),
_xlpm.kWhCool,
ROUND(
IF(OR(ISNUMBER(SEARCH("DX", C60)),ISNUMBER(SEARCH("ASHP", C60)), ISNUMBER(SEARCH("PTAC", C60)), ISNUMBER(SEARCH("PTHP", C60)), ISNUMBER(SEARCH("Air-Cooled Chiller", C60)), ISNUMBER(SEARCH("VRF", C60))),
_xlpm.Tons_Cool * (12/_xlpm.PLC_Base - 12/_xlpm.PLC_Eff)*_xlpm.EFLH_Cool,
IF(ISNUMBER(SEARCH("Water", C60)),
_xlpm.Tons_Cool * (_xlpm.PLC_Base - _xlpm.PLC_Eff) * _xlpm.EFLH_Cool,
" "
)),4),
_xlpm.kWhHeat,
IF(
_xlpm.ElecHeat=1,
ROUND(
IF(OR(ISNUMBER(SEARCH("DX", C60)),ISNUMBER(SEARCH("PTAC", C60)), ISNUMBER(SEARCH("Air-Cooled Chiller", C60)), ISNUMBER(SEARCH("Water", C60)),
ISNUMBER(SEARCH("VRF", C60))),
0,
IF(
OR(ISNUMBER(SEARCH("ASHP", C60)), ISNUMBER(SEARCH("PTHP", C60))),
_xlpm.Tons_Heat * (1/_xlpm.Other_Base - 1/_xlpm.Other_Eff) * _xlpm.EFLH_Heat,
" "
)),4),
0
),
_xlpm.kWhCool + _xlpm.kWhHeat
), "")</f>
        <v/>
      </c>
      <c r="BF60" s="888" t="str">
        <f>IF(C60&lt;&gt;"", _xlfn.LET(
_xlpm.Tons, V60, _xlpm.PCF, 0.913,
IF(AND(ISNUMBER(SEARCH("DX",C60)),ISNUMBER(SEARCH("&lt;65 kbtu",C60))),
_xlpm.Tons * (12/11.42-12/MAX(11.42,T60))*_xlpm.PCF,
IF(OR(ISNUMBER(SEARCH("DX", C60)), ISNUMBER(SEARCH("Air-Cooled Chiller", C60)), ISNUMBER(SEARCH("VRF", C60))),
_xlpm.Tons * (12/R60 - 12/T60) * _xlpm.PCF,
IF(ISNUMBER(SEARCH("Water", C60)),
_xlpm.Tons * (R60-T60) * _xlpm.PCF,
IF(ISNUMBER(SEARCH("ASHP", C60)),
_xlpm.Tons * (12/BN60 - 12/BO60) * _xlpm.PCF,
IF(OR(ISNUMBER(SEARCH("PTAC", C60)), ISNUMBER(SEARCH("PTHP", C60))),
_xlpm.Tons * (12/L60 - 12/N60) * _xlpm.PCF,#REF!)))))), "")</f>
        <v/>
      </c>
      <c r="BG60" s="838" t="str">
        <f t="shared" si="1"/>
        <v/>
      </c>
      <c r="BH60" s="882" t="str">
        <f>IFERROR(IF(OR(C60="",N60="",V60="",AA60="",T60="",AE60="",AG60="",ISNUMBER(AR60)=FALSE,AR60=0),"",INDEX(STDHVAC[Measure Number],MATCH(C60,STDHVAC[Measure Name],0))),"Err")</f>
        <v/>
      </c>
      <c r="BI60" s="754" t="str">
        <f t="shared" ref="BI60" si="108">IFERROR(IF(BS60="",IF(AR60 &lt; BG60, "100% Total Cost", ""), ""), "")</f>
        <v/>
      </c>
      <c r="BJ60" s="882" t="str">
        <f>IFERROR(
IF(OR(C60="",N60="",T60="",V60="",AA60="",AE60="",AG60=""),
"",
IF(BS60&gt;0,"",IF(OR(AND(ISNUMBER(SEARCH("kW/ton", J60)),OR(L60&lt;=N60,R60&lt;T60)),AND(NOT(ISNUMBER(SEARCH("kW/ton", J60))),OR(L60&gt;=N60,R60&gt;T60))),
"Must Improve Efficiency",
IF(EXPIRATION&lt;&gt;"",PROJSTATEXP,"")))),
"")</f>
        <v/>
      </c>
      <c r="BK60" s="828" t="str">
        <f>IFERROR(INDEX(STDHVAC[Measure Life (Years)],MATCH(C60,STDHVAC[Measure Name],0)),"")</f>
        <v/>
      </c>
      <c r="BL60" s="884" t="str">
        <f>IFERROR(IF(OR(C60="",N60="",V60="",AA60="",T60="",AE60="",AG60=""),"",
ROUND(((1+ELOSS)*((AZ60*INDEX(ELECCB[NPV AEC $/kWh],MATCH(BK60,ELECCB[Year Number],1)))+(BA60*INDEX(ELECCB[NPV ACC $/kW],MATCH(BK60,ELECCB[Year Number],1))))),2)),0)</f>
        <v/>
      </c>
      <c r="BM60" s="918" t="str">
        <f>IFERROR(IF(INDEX(STDHVAC[Eff Unit 3],MATCH(C60,STDHVAC[Measure Name],0))="","",INDEX(STDHVAC[Eff Unit 3],MATCH(C60,STDHVAC[Measure Name],0))),"")</f>
        <v/>
      </c>
      <c r="BN60" s="880" t="str">
        <f>IFERROR(IF(INDEX(STDHVAC[Base Efficiency 3],MATCH(C60,STDHVAC[Measure Name],0))="","",INDEX(STDHVAC[Base Efficiency 3],MATCH(C60,STDHVAC[Measure Name],0))),"")</f>
        <v/>
      </c>
      <c r="BO60" s="889" t="str">
        <f t="shared" si="3"/>
        <v/>
      </c>
      <c r="BP60" s="920"/>
      <c r="BQ60" s="891" t="str">
        <f>IFERROR(IF(OR(C60="",N60="",V60="",AA60="",T60="",AE60="",AG60=""),"",INDEX(STDHVAC[Reporting Methodology],MATCH(C60,STDHVAC[Measure Name],0))),"Err")</f>
        <v/>
      </c>
      <c r="BR60" s="867" t="str">
        <f>IFERROR(IF(OR(C60="", V60=""),"",INDEX(STDHVAC[Incremental Measure Cost ($/Unit)],MATCH(C60,STDHVAC[Measure Name],0)) * V60),"Err")</f>
        <v/>
      </c>
      <c r="BS60" s="837"/>
      <c r="BT60" s="838" t="str">
        <f>_xlfn.LET(
_xlpm.IPU,
IFERROR(IF(C60="","",INDEX(STDHVAC[Base Incentive],MATCH(C60,STDHVAC[Measure Name],0))),""),
IFERROR(IF(AI60="$/ton", ROUND(V60*_xlpm.IPU, 2),
IF(AND(ISNUMBER(SEARCH("Air-Cooled Chiller",C60)),AI60="$/ton/IPLV"), ROUND((12/L60-12/N60)*V60*_xlpm.IPU, 2),
ROUND(ABS(N60-L60)*V60*_xlpm.IPU, 2))), ""))</f>
        <v/>
      </c>
    </row>
    <row r="61" spans="2:72" ht="15.95" customHeight="1">
      <c r="B61" s="806"/>
      <c r="C61" s="716"/>
      <c r="D61" s="717"/>
      <c r="E61" s="717"/>
      <c r="F61" s="717"/>
      <c r="G61" s="717"/>
      <c r="H61" s="717"/>
      <c r="I61" s="717"/>
      <c r="J61" s="894"/>
      <c r="K61" s="895"/>
      <c r="L61" s="898"/>
      <c r="M61" s="899"/>
      <c r="N61" s="900"/>
      <c r="O61" s="901"/>
      <c r="P61" s="902"/>
      <c r="Q61" s="903"/>
      <c r="R61" s="904"/>
      <c r="S61" s="905"/>
      <c r="T61" s="908"/>
      <c r="U61" s="909"/>
      <c r="V61" s="910"/>
      <c r="W61" s="911"/>
      <c r="X61" s="716"/>
      <c r="Y61" s="717"/>
      <c r="Z61" s="718"/>
      <c r="AA61" s="932"/>
      <c r="AB61" s="930"/>
      <c r="AC61" s="930"/>
      <c r="AD61" s="931"/>
      <c r="AE61" s="765"/>
      <c r="AF61" s="766"/>
      <c r="AG61" s="766"/>
      <c r="AH61" s="767"/>
      <c r="AI61" s="912"/>
      <c r="AJ61" s="912"/>
      <c r="AK61" s="912"/>
      <c r="AL61" s="913"/>
      <c r="AM61" s="915"/>
      <c r="AN61" s="796"/>
      <c r="AO61" s="798"/>
      <c r="AP61" s="798"/>
      <c r="AQ61" s="798"/>
      <c r="AR61" s="827"/>
      <c r="AS61" s="827"/>
      <c r="AT61" s="827"/>
      <c r="AU61" s="827"/>
      <c r="AV61" s="22"/>
      <c r="AX61" s="874"/>
      <c r="AY61" s="917"/>
      <c r="AZ61" s="747"/>
      <c r="BA61" s="747"/>
      <c r="BB61" s="871"/>
      <c r="BC61" s="871"/>
      <c r="BD61" s="887"/>
      <c r="BE61" s="762"/>
      <c r="BF61" s="762"/>
      <c r="BG61" s="839"/>
      <c r="BH61" s="883"/>
      <c r="BI61" s="755"/>
      <c r="BJ61" s="883"/>
      <c r="BK61" s="829"/>
      <c r="BL61" s="885"/>
      <c r="BM61" s="919"/>
      <c r="BN61" s="881"/>
      <c r="BO61" s="890"/>
      <c r="BP61" s="921"/>
      <c r="BQ61" s="891"/>
      <c r="BR61" s="867"/>
      <c r="BS61" s="837"/>
      <c r="BT61" s="839"/>
    </row>
    <row r="62" spans="2:72" ht="15.95" customHeight="1">
      <c r="B62" s="806">
        <v>23</v>
      </c>
      <c r="C62" s="713"/>
      <c r="D62" s="714"/>
      <c r="E62" s="714"/>
      <c r="F62" s="714"/>
      <c r="G62" s="714"/>
      <c r="H62" s="714"/>
      <c r="I62" s="714"/>
      <c r="J62" s="892" t="str">
        <f>IF(C62="","",INDEX(STDHVAC[Eff Unit 1],MATCH(C62,STDHVAC[Measure Name],0)))</f>
        <v/>
      </c>
      <c r="K62" s="893"/>
      <c r="L62" s="896" t="str">
        <f>IF(C62="","",INDEX(STDHVAC[Base Efficiency 1],MATCH(C62,STDHVAC[Measure Name],0)))</f>
        <v/>
      </c>
      <c r="M62" s="897"/>
      <c r="N62" s="900"/>
      <c r="O62" s="901"/>
      <c r="P62" s="894" t="str">
        <f>IF(C62="","",INDEX(STDHVAC[Eff Unit 2],MATCH(C62,STDHVAC[Measure Name],0)))</f>
        <v/>
      </c>
      <c r="Q62" s="895"/>
      <c r="R62" s="898" t="str">
        <f>IF(C62="","",INDEX(STDHVAC[Base Efficiency 2],MATCH(C62,STDHVAC[Measure Name],0)))</f>
        <v/>
      </c>
      <c r="S62" s="899"/>
      <c r="T62" s="906" t="str">
        <f t="shared" ref="T62" si="109">IF(AND(ISNUMBER(SEARCH("DX",C62)),ISNUMBER(SEARCH("&lt;65 kbtu",C62)),N62&lt;&gt;""),1.12*N62-0.02*N62^2,IF(AND(ISNUMBER(SEARCH("PTAC",C62)),N62&lt;&gt;""),1,""))</f>
        <v/>
      </c>
      <c r="U62" s="907"/>
      <c r="V62" s="910"/>
      <c r="W62" s="911"/>
      <c r="X62" s="713"/>
      <c r="Y62" s="714"/>
      <c r="Z62" s="715"/>
      <c r="AA62" s="932"/>
      <c r="AB62" s="930"/>
      <c r="AC62" s="930"/>
      <c r="AD62" s="931"/>
      <c r="AE62" s="765"/>
      <c r="AF62" s="766"/>
      <c r="AG62" s="766"/>
      <c r="AH62" s="767"/>
      <c r="AI62" s="912" t="str">
        <f>IF(C62="","",INDEX(STDHVAC[Current Unit],MATCH(C62,STDHVAC[Measure Name],0)))</f>
        <v/>
      </c>
      <c r="AJ62" s="912"/>
      <c r="AK62" s="912"/>
      <c r="AL62" s="913"/>
      <c r="AM62" s="914" t="str">
        <f>IFERROR(IF(C62="","",INDEX(IF(AND(ACTIVEBONUS = TRUE,INDEX(STDHVAC[Bonus Incentive],MATCH(C62,STDHVAC[Measure Name],0))&lt;&gt; ""),STDHVAC[Bonus Incentive],STDHVAC[Base Incentive]),MATCH(C62,STDHVAC[Measure Name],0))),"")</f>
        <v/>
      </c>
      <c r="AN62" s="794"/>
      <c r="AO62" s="797" t="str">
        <f t="shared" ref="AO62" si="110">IFERROR(IF(OR(C62="",N62="",V62="",AA62="",T62="",AE62="",AG62=""),"",IF(BQ62="Deemed",AZ62,IF(BQ62="Calculated",BE62,""))),"")</f>
        <v/>
      </c>
      <c r="AP62" s="797"/>
      <c r="AQ62" s="797"/>
      <c r="AR62" s="826" t="str">
        <f t="shared" ref="AR62" si="111">IFERROR(IF(OR(C62="",N62="",V62="",AA62="",T62="",AE62="",AG62=""),"",IF(BJ62&lt;&gt;"",BJ62,IF(BS62&gt;0,BS62,ROUND(IF(AO62&lt;=0,0,MIN(AX62,BG62)), 2)))), "")</f>
        <v/>
      </c>
      <c r="AS62" s="826"/>
      <c r="AT62" s="826"/>
      <c r="AU62" s="826"/>
      <c r="AV62" s="22"/>
      <c r="AX62" s="873" t="str">
        <f t="shared" ref="AX62" si="112">IF(OR(C62="",N62="",V62="",AA62="",T62="",AE62="",AG62="",X62=""),"",IF(AO62=0,"",ROUND(AE62+AG62,2)))</f>
        <v/>
      </c>
      <c r="AY62" s="916" t="str">
        <f>IFERROR(IF(OR(C62="",N62="",V62="",AA62="",T62="",AE62="",AG62="",X62=""),"",INDEX(STDHVAC[Current Unit],MATCH(C62,STDHVAC[Measure Name],0))),"Err")</f>
        <v/>
      </c>
      <c r="AZ62" s="746" t="str">
        <f>IF(
OR(C62="",N62="",V62="",AA62="",T62="",AE62="",AG62="",X62=""),"",
IF(OR(ISNUMBER(SEARCH("PTAC",C62)),ISNUMBER(SEARCH("PTHP",C62))),
ROUND(V62*INDEX(STDHVAC[Electric Energy Savings (Annual kWh/unit)],MATCH(C62,STDHVAC[Measure Name],0)),4),
ROUND(V62*ABS(N62-L62)*INDEX(STDHVAC[Electric Energy Savings (Annual kWh/unit)],MATCH(C62,STDHVAC[Measure Name],0)),4)
))</f>
        <v/>
      </c>
      <c r="BA62" s="746" t="str">
        <f>IF(
OR(C62="",N62="",V62="",AA62="",T62="",AE62="",AG62="",X62=""),"",
IF(OR(ISNUMBER(SEARCH("PTAC",C62)),ISNUMBER(SEARCH("PTHP",C62))),
ROUND(V62*INDEX(STDHVAC[Coincident Peak Demand Savings (kW/unit)],MATCH(C62,STDHVAC[Measure Name],0)),4),
ROUND(V62* ABS(N62-L62)*INDEX(STDHVAC[Coincident Peak Demand Savings (kW/unit)],MATCH(C62,STDHVAC[Measure Name],0)),4)
))</f>
        <v/>
      </c>
      <c r="BB62" s="871"/>
      <c r="BC62" s="871"/>
      <c r="BD62" s="886" t="str">
        <f>IFERROR(IF(OR(C62="",N62="",V62="",AA62="",T62="",AE62="",AG62=""),"",INDEX(STDHVAC[End Use],MATCH(C62,STDHVAC[Measure Name],0))),"Err")</f>
        <v/>
      </c>
      <c r="BE62" s="888" t="str">
        <f>IF(C62&lt;&gt;"", _xlfn.LET(
_xlpm.Tons_Cool, V62, _xlpm.PLC_Base, L62, _xlpm.PLC_Eff, N62, _xlpm.Tons_Heat, BP62, _xlpm.Other_Base, R62, _xlpm.Other_Eff, T62,
_xlpm.EFLH_Cool,
INDEX(STDHVAC[EFLHcool],MATCH(C62,STDHVAC[Measure Name],0)),
_xlpm.EFLH_Heat,
INDEX(STDHVAC[EFLHheat],MATCH(C62,STDHVAC[Measure Name],0)),
_xlpm.ElecHeat,
INDEX(SPACEHEAT[ELECHEAT],MATCH(M02S04F22,SPACEHEAT[Space Conditioning],0)),
_xlpm.kWhCool,
ROUND(
IF(OR(ISNUMBER(SEARCH("DX", C62)),ISNUMBER(SEARCH("ASHP", C62)), ISNUMBER(SEARCH("PTAC", C62)), ISNUMBER(SEARCH("PTHP", C62)), ISNUMBER(SEARCH("Air-Cooled Chiller", C62)), ISNUMBER(SEARCH("VRF", C62))),
_xlpm.Tons_Cool * (12/_xlpm.PLC_Base - 12/_xlpm.PLC_Eff)*_xlpm.EFLH_Cool,
IF(ISNUMBER(SEARCH("Water", C62)),
_xlpm.Tons_Cool * (_xlpm.PLC_Base - _xlpm.PLC_Eff) * _xlpm.EFLH_Cool,
" "
)),4),
_xlpm.kWhHeat,
IF(
_xlpm.ElecHeat=1,
ROUND(
IF(OR(ISNUMBER(SEARCH("DX", C62)),ISNUMBER(SEARCH("PTAC", C62)), ISNUMBER(SEARCH("Air-Cooled Chiller", C62)), ISNUMBER(SEARCH("Water", C62)),
ISNUMBER(SEARCH("VRF", C62))),
0,
IF(
OR(ISNUMBER(SEARCH("ASHP", C62)), ISNUMBER(SEARCH("PTHP", C62))),
_xlpm.Tons_Heat * (1/_xlpm.Other_Base - 1/_xlpm.Other_Eff) * _xlpm.EFLH_Heat,
" "
)),4),
0
),
_xlpm.kWhCool + _xlpm.kWhHeat
), "")</f>
        <v/>
      </c>
      <c r="BF62" s="888" t="str">
        <f>IF(C62&lt;&gt;"", _xlfn.LET(
_xlpm.Tons, V62, _xlpm.PCF, 0.913,
IF(AND(ISNUMBER(SEARCH("DX",C62)),ISNUMBER(SEARCH("&lt;65 kbtu",C62))),
_xlpm.Tons * (12/11.42-12/MAX(11.42,T62))*_xlpm.PCF,
IF(OR(ISNUMBER(SEARCH("DX", C62)), ISNUMBER(SEARCH("Air-Cooled Chiller", C62)), ISNUMBER(SEARCH("VRF", C62))),
_xlpm.Tons * (12/R62 - 12/T62) * _xlpm.PCF,
IF(ISNUMBER(SEARCH("Water", C62)),
_xlpm.Tons * (R62-T62) * _xlpm.PCF,
IF(ISNUMBER(SEARCH("ASHP", C62)),
_xlpm.Tons * (12/BN62 - 12/BO62) * _xlpm.PCF,
IF(OR(ISNUMBER(SEARCH("PTAC", C62)), ISNUMBER(SEARCH("PTHP", C62))),
_xlpm.Tons * (12/L62 - 12/N62) * _xlpm.PCF,#REF!)))))), "")</f>
        <v/>
      </c>
      <c r="BG62" s="838" t="str">
        <f t="shared" si="1"/>
        <v/>
      </c>
      <c r="BH62" s="882" t="str">
        <f>IFERROR(IF(OR(C62="",N62="",V62="",AA62="",T62="",AE62="",AG62="",ISNUMBER(AR62)=FALSE,AR62=0),"",INDEX(STDHVAC[Measure Number],MATCH(C62,STDHVAC[Measure Name],0))),"Err")</f>
        <v/>
      </c>
      <c r="BI62" s="754" t="str">
        <f t="shared" ref="BI62" si="113">IFERROR(IF(BS62="",IF(AR62 &lt; BG62, "100% Total Cost", ""), ""), "")</f>
        <v/>
      </c>
      <c r="BJ62" s="882" t="str">
        <f>IFERROR(
IF(OR(C62="",N62="",T62="",V62="",AA62="",AE62="",AG62=""),
"",
IF(BS62&gt;0,"",IF(OR(AND(ISNUMBER(SEARCH("kW/ton", J62)),OR(L62&lt;=N62,R62&lt;T62)),AND(NOT(ISNUMBER(SEARCH("kW/ton", J62))),OR(L62&gt;=N62,R62&gt;T62))),
"Must Improve Efficiency",
IF(EXPIRATION&lt;&gt;"",PROJSTATEXP,"")))),
"")</f>
        <v/>
      </c>
      <c r="BK62" s="828" t="str">
        <f>IFERROR(INDEX(STDHVAC[Measure Life (Years)],MATCH(C62,STDHVAC[Measure Name],0)),"")</f>
        <v/>
      </c>
      <c r="BL62" s="884" t="str">
        <f>IFERROR(IF(OR(C62="",N62="",V62="",AA62="",T62="",AE62="",AG62=""),"",
ROUND(((1+ELOSS)*((AZ62*INDEX(ELECCB[NPV AEC $/kWh],MATCH(BK62,ELECCB[Year Number],1)))+(BA62*INDEX(ELECCB[NPV ACC $/kW],MATCH(BK62,ELECCB[Year Number],1))))),2)),0)</f>
        <v/>
      </c>
      <c r="BM62" s="918" t="str">
        <f>IFERROR(IF(INDEX(STDHVAC[Eff Unit 3],MATCH(C62,STDHVAC[Measure Name],0))="","",INDEX(STDHVAC[Eff Unit 3],MATCH(C62,STDHVAC[Measure Name],0))),"")</f>
        <v/>
      </c>
      <c r="BN62" s="880" t="str">
        <f>IFERROR(IF(INDEX(STDHVAC[Base Efficiency 3],MATCH(C62,STDHVAC[Measure Name],0))="","",INDEX(STDHVAC[Base Efficiency 3],MATCH(C62,STDHVAC[Measure Name],0))),"")</f>
        <v/>
      </c>
      <c r="BO62" s="889" t="str">
        <f t="shared" si="3"/>
        <v/>
      </c>
      <c r="BP62" s="920"/>
      <c r="BQ62" s="891" t="str">
        <f>IFERROR(IF(OR(C62="",N62="",V62="",AA62="",T62="",AE62="",AG62=""),"",INDEX(STDHVAC[Reporting Methodology],MATCH(C62,STDHVAC[Measure Name],0))),"Err")</f>
        <v/>
      </c>
      <c r="BR62" s="867" t="str">
        <f>IFERROR(IF(OR(C62="", V62=""),"",INDEX(STDHVAC[Incremental Measure Cost ($/Unit)],MATCH(C62,STDHVAC[Measure Name],0)) * V62),"Err")</f>
        <v/>
      </c>
      <c r="BS62" s="837"/>
      <c r="BT62" s="838" t="str">
        <f>_xlfn.LET(
_xlpm.IPU,
IFERROR(IF(C62="","",INDEX(STDHVAC[Base Incentive],MATCH(C62,STDHVAC[Measure Name],0))),""),
IFERROR(IF(AI62="$/ton", ROUND(V62*_xlpm.IPU, 2),
IF(AND(ISNUMBER(SEARCH("Air-Cooled Chiller",C62)),AI62="$/ton/IPLV"), ROUND((12/L62-12/N62)*V62*_xlpm.IPU, 2),
ROUND(ABS(N62-L62)*V62*_xlpm.IPU, 2))), ""))</f>
        <v/>
      </c>
    </row>
    <row r="63" spans="2:72" ht="15.95" customHeight="1">
      <c r="B63" s="806"/>
      <c r="C63" s="716"/>
      <c r="D63" s="717"/>
      <c r="E63" s="717"/>
      <c r="F63" s="717"/>
      <c r="G63" s="717"/>
      <c r="H63" s="717"/>
      <c r="I63" s="717"/>
      <c r="J63" s="894"/>
      <c r="K63" s="895"/>
      <c r="L63" s="898"/>
      <c r="M63" s="899"/>
      <c r="N63" s="900"/>
      <c r="O63" s="901"/>
      <c r="P63" s="902"/>
      <c r="Q63" s="903"/>
      <c r="R63" s="904"/>
      <c r="S63" s="905"/>
      <c r="T63" s="908"/>
      <c r="U63" s="909"/>
      <c r="V63" s="910"/>
      <c r="W63" s="911"/>
      <c r="X63" s="716"/>
      <c r="Y63" s="717"/>
      <c r="Z63" s="718"/>
      <c r="AA63" s="932"/>
      <c r="AB63" s="930"/>
      <c r="AC63" s="930"/>
      <c r="AD63" s="931"/>
      <c r="AE63" s="765"/>
      <c r="AF63" s="766"/>
      <c r="AG63" s="766"/>
      <c r="AH63" s="767"/>
      <c r="AI63" s="912"/>
      <c r="AJ63" s="912"/>
      <c r="AK63" s="912"/>
      <c r="AL63" s="913"/>
      <c r="AM63" s="915"/>
      <c r="AN63" s="796"/>
      <c r="AO63" s="798"/>
      <c r="AP63" s="798"/>
      <c r="AQ63" s="798"/>
      <c r="AR63" s="827"/>
      <c r="AS63" s="827"/>
      <c r="AT63" s="827"/>
      <c r="AU63" s="827"/>
      <c r="AV63" s="22"/>
      <c r="AX63" s="874"/>
      <c r="AY63" s="917"/>
      <c r="AZ63" s="747"/>
      <c r="BA63" s="747"/>
      <c r="BB63" s="871"/>
      <c r="BC63" s="871"/>
      <c r="BD63" s="887"/>
      <c r="BE63" s="762"/>
      <c r="BF63" s="762"/>
      <c r="BG63" s="839"/>
      <c r="BH63" s="883"/>
      <c r="BI63" s="755"/>
      <c r="BJ63" s="883"/>
      <c r="BK63" s="829"/>
      <c r="BL63" s="885"/>
      <c r="BM63" s="919"/>
      <c r="BN63" s="881"/>
      <c r="BO63" s="890"/>
      <c r="BP63" s="921"/>
      <c r="BQ63" s="891"/>
      <c r="BR63" s="867"/>
      <c r="BS63" s="837"/>
      <c r="BT63" s="839"/>
    </row>
    <row r="64" spans="2:72" ht="15.95" customHeight="1">
      <c r="B64" s="806">
        <v>24</v>
      </c>
      <c r="C64" s="713"/>
      <c r="D64" s="714"/>
      <c r="E64" s="714"/>
      <c r="F64" s="714"/>
      <c r="G64" s="714"/>
      <c r="H64" s="714"/>
      <c r="I64" s="714"/>
      <c r="J64" s="892" t="str">
        <f>IF(C64="","",INDEX(STDHVAC[Eff Unit 1],MATCH(C64,STDHVAC[Measure Name],0)))</f>
        <v/>
      </c>
      <c r="K64" s="893"/>
      <c r="L64" s="896" t="str">
        <f>IF(C64="","",INDEX(STDHVAC[Base Efficiency 1],MATCH(C64,STDHVAC[Measure Name],0)))</f>
        <v/>
      </c>
      <c r="M64" s="897"/>
      <c r="N64" s="900"/>
      <c r="O64" s="901"/>
      <c r="P64" s="894" t="str">
        <f>IF(C64="","",INDEX(STDHVAC[Eff Unit 2],MATCH(C64,STDHVAC[Measure Name],0)))</f>
        <v/>
      </c>
      <c r="Q64" s="895"/>
      <c r="R64" s="898" t="str">
        <f>IF(C64="","",INDEX(STDHVAC[Base Efficiency 2],MATCH(C64,STDHVAC[Measure Name],0)))</f>
        <v/>
      </c>
      <c r="S64" s="899"/>
      <c r="T64" s="906" t="str">
        <f t="shared" ref="T64" si="114">IF(AND(ISNUMBER(SEARCH("DX",C64)),ISNUMBER(SEARCH("&lt;65 kbtu",C64)),N64&lt;&gt;""),1.12*N64-0.02*N64^2,IF(AND(ISNUMBER(SEARCH("PTAC",C64)),N64&lt;&gt;""),1,""))</f>
        <v/>
      </c>
      <c r="U64" s="907"/>
      <c r="V64" s="910"/>
      <c r="W64" s="911"/>
      <c r="X64" s="713"/>
      <c r="Y64" s="714"/>
      <c r="Z64" s="715"/>
      <c r="AA64" s="932"/>
      <c r="AB64" s="930"/>
      <c r="AC64" s="930"/>
      <c r="AD64" s="931"/>
      <c r="AE64" s="765"/>
      <c r="AF64" s="766"/>
      <c r="AG64" s="766"/>
      <c r="AH64" s="767"/>
      <c r="AI64" s="912" t="str">
        <f>IF(C64="","",INDEX(STDHVAC[Current Unit],MATCH(C64,STDHVAC[Measure Name],0)))</f>
        <v/>
      </c>
      <c r="AJ64" s="912"/>
      <c r="AK64" s="912"/>
      <c r="AL64" s="913"/>
      <c r="AM64" s="914" t="str">
        <f>IFERROR(IF(C64="","",INDEX(IF(AND(ACTIVEBONUS = TRUE,INDEX(STDHVAC[Bonus Incentive],MATCH(C64,STDHVAC[Measure Name],0))&lt;&gt; ""),STDHVAC[Bonus Incentive],STDHVAC[Base Incentive]),MATCH(C64,STDHVAC[Measure Name],0))),"")</f>
        <v/>
      </c>
      <c r="AN64" s="794"/>
      <c r="AO64" s="797" t="str">
        <f t="shared" ref="AO64" si="115">IFERROR(IF(OR(C64="",N64="",V64="",AA64="",T64="",AE64="",AG64=""),"",IF(BQ64="Deemed",AZ64,IF(BQ64="Calculated",BE64,""))),"")</f>
        <v/>
      </c>
      <c r="AP64" s="797"/>
      <c r="AQ64" s="797"/>
      <c r="AR64" s="826" t="str">
        <f t="shared" ref="AR64" si="116">IFERROR(IF(OR(C64="",N64="",V64="",AA64="",T64="",AE64="",AG64=""),"",IF(BJ64&lt;&gt;"",BJ64,IF(BS64&gt;0,BS64,ROUND(IF(AO64&lt;=0,0,MIN(AX64,BG64)), 2)))), "")</f>
        <v/>
      </c>
      <c r="AS64" s="826"/>
      <c r="AT64" s="826"/>
      <c r="AU64" s="826"/>
      <c r="AV64" s="22"/>
      <c r="AX64" s="873" t="str">
        <f t="shared" ref="AX64" si="117">IF(OR(C64="",N64="",V64="",AA64="",T64="",AE64="",AG64="",X64=""),"",IF(AO64=0,"",ROUND(AE64+AG64,2)))</f>
        <v/>
      </c>
      <c r="AY64" s="916" t="str">
        <f>IFERROR(IF(OR(C64="",N64="",V64="",AA64="",T64="",AE64="",AG64="",X64=""),"",INDEX(STDHVAC[Current Unit],MATCH(C64,STDHVAC[Measure Name],0))),"Err")</f>
        <v/>
      </c>
      <c r="AZ64" s="746" t="str">
        <f>IF(
OR(C64="",N64="",V64="",AA64="",T64="",AE64="",AG64="",X64=""),"",
IF(OR(ISNUMBER(SEARCH("PTAC",C64)),ISNUMBER(SEARCH("PTHP",C64))),
ROUND(V64*INDEX(STDHVAC[Electric Energy Savings (Annual kWh/unit)],MATCH(C64,STDHVAC[Measure Name],0)),4),
ROUND(V64*ABS(N64-L64)*INDEX(STDHVAC[Electric Energy Savings (Annual kWh/unit)],MATCH(C64,STDHVAC[Measure Name],0)),4)
))</f>
        <v/>
      </c>
      <c r="BA64" s="746" t="str">
        <f>IF(
OR(C64="",N64="",V64="",AA64="",T64="",AE64="",AG64="",X64=""),"",
IF(OR(ISNUMBER(SEARCH("PTAC",C64)),ISNUMBER(SEARCH("PTHP",C64))),
ROUND(V64*INDEX(STDHVAC[Coincident Peak Demand Savings (kW/unit)],MATCH(C64,STDHVAC[Measure Name],0)),4),
ROUND(V64* ABS(N64-L64)*INDEX(STDHVAC[Coincident Peak Demand Savings (kW/unit)],MATCH(C64,STDHVAC[Measure Name],0)),4)
))</f>
        <v/>
      </c>
      <c r="BB64" s="871"/>
      <c r="BC64" s="871"/>
      <c r="BD64" s="886" t="str">
        <f>IFERROR(IF(OR(C64="",N64="",V64="",AA64="",T64="",AE64="",AG64=""),"",INDEX(STDHVAC[End Use],MATCH(C64,STDHVAC[Measure Name],0))),"Err")</f>
        <v/>
      </c>
      <c r="BE64" s="888" t="str">
        <f>IF(C64&lt;&gt;"", _xlfn.LET(
_xlpm.Tons_Cool, V64, _xlpm.PLC_Base, L64, _xlpm.PLC_Eff, N64, _xlpm.Tons_Heat, BP64, _xlpm.Other_Base, R64, _xlpm.Other_Eff, T64,
_xlpm.EFLH_Cool,
INDEX(STDHVAC[EFLHcool],MATCH(C64,STDHVAC[Measure Name],0)),
_xlpm.EFLH_Heat,
INDEX(STDHVAC[EFLHheat],MATCH(C64,STDHVAC[Measure Name],0)),
_xlpm.ElecHeat,
INDEX(SPACEHEAT[ELECHEAT],MATCH(M02S04F22,SPACEHEAT[Space Conditioning],0)),
_xlpm.kWhCool,
ROUND(
IF(OR(ISNUMBER(SEARCH("DX", C64)),ISNUMBER(SEARCH("ASHP", C64)), ISNUMBER(SEARCH("PTAC", C64)), ISNUMBER(SEARCH("PTHP", C64)), ISNUMBER(SEARCH("Air-Cooled Chiller", C64)), ISNUMBER(SEARCH("VRF", C64))),
_xlpm.Tons_Cool * (12/_xlpm.PLC_Base - 12/_xlpm.PLC_Eff)*_xlpm.EFLH_Cool,
IF(ISNUMBER(SEARCH("Water", C64)),
_xlpm.Tons_Cool * (_xlpm.PLC_Base - _xlpm.PLC_Eff) * _xlpm.EFLH_Cool,
" "
)),4),
_xlpm.kWhHeat,
IF(
_xlpm.ElecHeat=1,
ROUND(
IF(OR(ISNUMBER(SEARCH("DX", C64)),ISNUMBER(SEARCH("PTAC", C64)), ISNUMBER(SEARCH("Air-Cooled Chiller", C64)), ISNUMBER(SEARCH("Water", C64)),
ISNUMBER(SEARCH("VRF", C64))),
0,
IF(
OR(ISNUMBER(SEARCH("ASHP", C64)), ISNUMBER(SEARCH("PTHP", C64))),
_xlpm.Tons_Heat * (1/_xlpm.Other_Base - 1/_xlpm.Other_Eff) * _xlpm.EFLH_Heat,
" "
)),4),
0
),
_xlpm.kWhCool + _xlpm.kWhHeat
), "")</f>
        <v/>
      </c>
      <c r="BF64" s="888" t="str">
        <f>IF(C64&lt;&gt;"", _xlfn.LET(
_xlpm.Tons, V64, _xlpm.PCF, 0.913,
IF(AND(ISNUMBER(SEARCH("DX",C64)),ISNUMBER(SEARCH("&lt;65 kbtu",C64))),
_xlpm.Tons * (12/11.42-12/MAX(11.42,T64))*_xlpm.PCF,
IF(OR(ISNUMBER(SEARCH("DX", C64)), ISNUMBER(SEARCH("Air-Cooled Chiller", C64)), ISNUMBER(SEARCH("VRF", C64))),
_xlpm.Tons * (12/R64 - 12/T64) * _xlpm.PCF,
IF(ISNUMBER(SEARCH("Water", C64)),
_xlpm.Tons * (R64-T64) * _xlpm.PCF,
IF(ISNUMBER(SEARCH("ASHP", C64)),
_xlpm.Tons * (12/BN64 - 12/BO64) * _xlpm.PCF,
IF(OR(ISNUMBER(SEARCH("PTAC", C64)), ISNUMBER(SEARCH("PTHP", C64))),
_xlpm.Tons * (12/L64 - 12/N64) * _xlpm.PCF,#REF!)))))), "")</f>
        <v/>
      </c>
      <c r="BG64" s="838" t="str">
        <f t="shared" si="1"/>
        <v/>
      </c>
      <c r="BH64" s="882" t="str">
        <f>IFERROR(IF(OR(C64="",N64="",V64="",AA64="",T64="",AE64="",AG64="",ISNUMBER(AR64)=FALSE,AR64=0),"",INDEX(STDHVAC[Measure Number],MATCH(C64,STDHVAC[Measure Name],0))),"Err")</f>
        <v/>
      </c>
      <c r="BI64" s="754" t="str">
        <f t="shared" ref="BI64" si="118">IFERROR(IF(BS64="",IF(AR64 &lt; BG64, "100% Total Cost", ""), ""), "")</f>
        <v/>
      </c>
      <c r="BJ64" s="882" t="str">
        <f>IFERROR(
IF(OR(C64="",N64="",T64="",V64="",AA64="",AE64="",AG64=""),
"",
IF(BS64&gt;0,"",IF(OR(AND(ISNUMBER(SEARCH("kW/ton", J64)),OR(L64&lt;=N64,R64&lt;T64)),AND(NOT(ISNUMBER(SEARCH("kW/ton", J64))),OR(L64&gt;=N64,R64&gt;T64))),
"Must Improve Efficiency",
IF(EXPIRATION&lt;&gt;"",PROJSTATEXP,"")))),
"")</f>
        <v/>
      </c>
      <c r="BK64" s="828" t="str">
        <f>IFERROR(INDEX(STDHVAC[Measure Life (Years)],MATCH(C64,STDHVAC[Measure Name],0)),"")</f>
        <v/>
      </c>
      <c r="BL64" s="884" t="str">
        <f>IFERROR(IF(OR(C64="",N64="",V64="",AA64="",T64="",AE64="",AG64=""),"",
ROUND(((1+ELOSS)*((AZ64*INDEX(ELECCB[NPV AEC $/kWh],MATCH(BK64,ELECCB[Year Number],1)))+(BA64*INDEX(ELECCB[NPV ACC $/kW],MATCH(BK64,ELECCB[Year Number],1))))),2)),0)</f>
        <v/>
      </c>
      <c r="BM64" s="918" t="str">
        <f>IFERROR(IF(INDEX(STDHVAC[Eff Unit 3],MATCH(C64,STDHVAC[Measure Name],0))="","",INDEX(STDHVAC[Eff Unit 3],MATCH(C64,STDHVAC[Measure Name],0))),"")</f>
        <v/>
      </c>
      <c r="BN64" s="880" t="str">
        <f>IFERROR(IF(INDEX(STDHVAC[Base Efficiency 3],MATCH(C64,STDHVAC[Measure Name],0))="","",INDEX(STDHVAC[Base Efficiency 3],MATCH(C64,STDHVAC[Measure Name],0))),"")</f>
        <v/>
      </c>
      <c r="BO64" s="889" t="str">
        <f t="shared" si="3"/>
        <v/>
      </c>
      <c r="BP64" s="920"/>
      <c r="BQ64" s="891" t="str">
        <f>IFERROR(IF(OR(C64="",N64="",V64="",AA64="",T64="",AE64="",AG64=""),"",INDEX(STDHVAC[Reporting Methodology],MATCH(C64,STDHVAC[Measure Name],0))),"Err")</f>
        <v/>
      </c>
      <c r="BR64" s="867" t="str">
        <f>IFERROR(IF(OR(C64="", V64=""),"",INDEX(STDHVAC[Incremental Measure Cost ($/Unit)],MATCH(C64,STDHVAC[Measure Name],0)) * V64),"Err")</f>
        <v/>
      </c>
      <c r="BS64" s="837"/>
      <c r="BT64" s="838" t="str">
        <f>_xlfn.LET(
_xlpm.IPU,
IFERROR(IF(C64="","",INDEX(STDHVAC[Base Incentive],MATCH(C64,STDHVAC[Measure Name],0))),""),
IFERROR(IF(AI64="$/ton", ROUND(V64*_xlpm.IPU, 2),
IF(AND(ISNUMBER(SEARCH("Air-Cooled Chiller",C64)),AI64="$/ton/IPLV"), ROUND((12/L64-12/N64)*V64*_xlpm.IPU, 2),
ROUND(ABS(N64-L64)*V64*_xlpm.IPU, 2))), ""))</f>
        <v/>
      </c>
    </row>
    <row r="65" spans="2:72" ht="15.95" customHeight="1">
      <c r="B65" s="806"/>
      <c r="C65" s="716"/>
      <c r="D65" s="717"/>
      <c r="E65" s="717"/>
      <c r="F65" s="717"/>
      <c r="G65" s="717"/>
      <c r="H65" s="717"/>
      <c r="I65" s="717"/>
      <c r="J65" s="894"/>
      <c r="K65" s="895"/>
      <c r="L65" s="898"/>
      <c r="M65" s="899"/>
      <c r="N65" s="900"/>
      <c r="O65" s="901"/>
      <c r="P65" s="902"/>
      <c r="Q65" s="903"/>
      <c r="R65" s="904"/>
      <c r="S65" s="905"/>
      <c r="T65" s="908"/>
      <c r="U65" s="909"/>
      <c r="V65" s="910"/>
      <c r="W65" s="911"/>
      <c r="X65" s="716"/>
      <c r="Y65" s="717"/>
      <c r="Z65" s="718"/>
      <c r="AA65" s="932"/>
      <c r="AB65" s="930"/>
      <c r="AC65" s="930"/>
      <c r="AD65" s="931"/>
      <c r="AE65" s="765"/>
      <c r="AF65" s="766"/>
      <c r="AG65" s="766"/>
      <c r="AH65" s="767"/>
      <c r="AI65" s="912"/>
      <c r="AJ65" s="912"/>
      <c r="AK65" s="912"/>
      <c r="AL65" s="913"/>
      <c r="AM65" s="915"/>
      <c r="AN65" s="796"/>
      <c r="AO65" s="798"/>
      <c r="AP65" s="798"/>
      <c r="AQ65" s="798"/>
      <c r="AR65" s="827"/>
      <c r="AS65" s="827"/>
      <c r="AT65" s="827"/>
      <c r="AU65" s="827"/>
      <c r="AV65" s="22"/>
      <c r="AX65" s="874"/>
      <c r="AY65" s="917"/>
      <c r="AZ65" s="747"/>
      <c r="BA65" s="747"/>
      <c r="BB65" s="871"/>
      <c r="BC65" s="871"/>
      <c r="BD65" s="887"/>
      <c r="BE65" s="762"/>
      <c r="BF65" s="762"/>
      <c r="BG65" s="839"/>
      <c r="BH65" s="883"/>
      <c r="BI65" s="755"/>
      <c r="BJ65" s="883"/>
      <c r="BK65" s="829"/>
      <c r="BL65" s="885"/>
      <c r="BM65" s="919"/>
      <c r="BN65" s="881"/>
      <c r="BO65" s="890"/>
      <c r="BP65" s="921"/>
      <c r="BQ65" s="891"/>
      <c r="BR65" s="867"/>
      <c r="BS65" s="837"/>
      <c r="BT65" s="839"/>
    </row>
    <row r="66" spans="2:72" ht="15.95" customHeight="1">
      <c r="B66" s="806">
        <v>25</v>
      </c>
      <c r="C66" s="713"/>
      <c r="D66" s="714"/>
      <c r="E66" s="714"/>
      <c r="F66" s="714"/>
      <c r="G66" s="714"/>
      <c r="H66" s="714"/>
      <c r="I66" s="714"/>
      <c r="J66" s="892" t="str">
        <f>IF(C66="","",INDEX(STDHVAC[Eff Unit 1],MATCH(C66,STDHVAC[Measure Name],0)))</f>
        <v/>
      </c>
      <c r="K66" s="893"/>
      <c r="L66" s="896" t="str">
        <f>IF(C66="","",INDEX(STDHVAC[Base Efficiency 1],MATCH(C66,STDHVAC[Measure Name],0)))</f>
        <v/>
      </c>
      <c r="M66" s="897"/>
      <c r="N66" s="900"/>
      <c r="O66" s="901"/>
      <c r="P66" s="894" t="str">
        <f>IF(C66="","",INDEX(STDHVAC[Eff Unit 2],MATCH(C66,STDHVAC[Measure Name],0)))</f>
        <v/>
      </c>
      <c r="Q66" s="895"/>
      <c r="R66" s="898" t="str">
        <f>IF(C66="","",INDEX(STDHVAC[Base Efficiency 2],MATCH(C66,STDHVAC[Measure Name],0)))</f>
        <v/>
      </c>
      <c r="S66" s="899"/>
      <c r="T66" s="906" t="str">
        <f t="shared" ref="T66" si="119">IF(AND(ISNUMBER(SEARCH("DX",C66)),ISNUMBER(SEARCH("&lt;65 kbtu",C66)),N66&lt;&gt;""),1.12*N66-0.02*N66^2,IF(AND(ISNUMBER(SEARCH("PTAC",C66)),N66&lt;&gt;""),1,""))</f>
        <v/>
      </c>
      <c r="U66" s="907"/>
      <c r="V66" s="910"/>
      <c r="W66" s="911"/>
      <c r="X66" s="713"/>
      <c r="Y66" s="714"/>
      <c r="Z66" s="715"/>
      <c r="AA66" s="932"/>
      <c r="AB66" s="930"/>
      <c r="AC66" s="930"/>
      <c r="AD66" s="931"/>
      <c r="AE66" s="765"/>
      <c r="AF66" s="766"/>
      <c r="AG66" s="766"/>
      <c r="AH66" s="767"/>
      <c r="AI66" s="912" t="str">
        <f>IF(C66="","",INDEX(STDHVAC[Current Unit],MATCH(C66,STDHVAC[Measure Name],0)))</f>
        <v/>
      </c>
      <c r="AJ66" s="912"/>
      <c r="AK66" s="912"/>
      <c r="AL66" s="913"/>
      <c r="AM66" s="914" t="str">
        <f>IFERROR(IF(C66="","",INDEX(IF(AND(ACTIVEBONUS = TRUE,INDEX(STDHVAC[Bonus Incentive],MATCH(C66,STDHVAC[Measure Name],0))&lt;&gt; ""),STDHVAC[Bonus Incentive],STDHVAC[Base Incentive]),MATCH(C66,STDHVAC[Measure Name],0))),"")</f>
        <v/>
      </c>
      <c r="AN66" s="794"/>
      <c r="AO66" s="797" t="str">
        <f t="shared" ref="AO66" si="120">IFERROR(IF(OR(C66="",N66="",V66="",AA66="",T66="",AE66="",AG66=""),"",IF(BQ66="Deemed",AZ66,IF(BQ66="Calculated",BE66,""))),"")</f>
        <v/>
      </c>
      <c r="AP66" s="797"/>
      <c r="AQ66" s="797"/>
      <c r="AR66" s="826" t="str">
        <f t="shared" ref="AR66" si="121">IFERROR(IF(OR(C66="",N66="",V66="",AA66="",T66="",AE66="",AG66=""),"",IF(BJ66&lt;&gt;"",BJ66,IF(BS66&gt;0,BS66,ROUND(IF(AO66&lt;=0,0,MIN(AX66,BG66)), 2)))), "")</f>
        <v/>
      </c>
      <c r="AS66" s="826"/>
      <c r="AT66" s="826"/>
      <c r="AU66" s="826"/>
      <c r="AV66" s="22"/>
      <c r="AX66" s="873" t="str">
        <f t="shared" ref="AX66" si="122">IF(OR(C66="",N66="",V66="",AA66="",T66="",AE66="",AG66="",X66=""),"",IF(AO66=0,"",ROUND(AE66+AG66,2)))</f>
        <v/>
      </c>
      <c r="AY66" s="916" t="str">
        <f>IFERROR(IF(OR(C66="",N66="",V66="",AA66="",T66="",AE66="",AG66="",X66=""),"",INDEX(STDHVAC[Current Unit],MATCH(C66,STDHVAC[Measure Name],0))),"Err")</f>
        <v/>
      </c>
      <c r="AZ66" s="746" t="str">
        <f>IF(
OR(C66="",N66="",V66="",AA66="",T66="",AE66="",AG66="",X66=""),"",
IF(OR(ISNUMBER(SEARCH("PTAC",C66)),ISNUMBER(SEARCH("PTHP",C66))),
ROUND(V66*INDEX(STDHVAC[Electric Energy Savings (Annual kWh/unit)],MATCH(C66,STDHVAC[Measure Name],0)),4),
ROUND(V66*ABS(N66-L66)*INDEX(STDHVAC[Electric Energy Savings (Annual kWh/unit)],MATCH(C66,STDHVAC[Measure Name],0)),4)
))</f>
        <v/>
      </c>
      <c r="BA66" s="746" t="str">
        <f>IF(
OR(C66="",N66="",V66="",AA66="",T66="",AE66="",AG66="",X66=""),"",
IF(OR(ISNUMBER(SEARCH("PTAC",C66)),ISNUMBER(SEARCH("PTHP",C66))),
ROUND(V66*INDEX(STDHVAC[Coincident Peak Demand Savings (kW/unit)],MATCH(C66,STDHVAC[Measure Name],0)),4),
ROUND(V66* ABS(N66-L66)*INDEX(STDHVAC[Coincident Peak Demand Savings (kW/unit)],MATCH(C66,STDHVAC[Measure Name],0)),4)
))</f>
        <v/>
      </c>
      <c r="BB66" s="871"/>
      <c r="BC66" s="871"/>
      <c r="BD66" s="886" t="str">
        <f>IFERROR(IF(OR(C66="",N66="",V66="",AA66="",T66="",AE66="",AG66=""),"",INDEX(STDHVAC[End Use],MATCH(C66,STDHVAC[Measure Name],0))),"Err")</f>
        <v/>
      </c>
      <c r="BE66" s="888" t="str">
        <f>IF(C66&lt;&gt;"", _xlfn.LET(
_xlpm.Tons_Cool, V66, _xlpm.PLC_Base, L66, _xlpm.PLC_Eff, N66, _xlpm.Tons_Heat, BP66, _xlpm.Other_Base, R66, _xlpm.Other_Eff, T66,
_xlpm.EFLH_Cool,
INDEX(STDHVAC[EFLHcool],MATCH(C66,STDHVAC[Measure Name],0)),
_xlpm.EFLH_Heat,
INDEX(STDHVAC[EFLHheat],MATCH(C66,STDHVAC[Measure Name],0)),
_xlpm.ElecHeat,
INDEX(SPACEHEAT[ELECHEAT],MATCH(M02S04F22,SPACEHEAT[Space Conditioning],0)),
_xlpm.kWhCool,
ROUND(
IF(OR(ISNUMBER(SEARCH("DX", C66)),ISNUMBER(SEARCH("ASHP", C66)), ISNUMBER(SEARCH("PTAC", C66)), ISNUMBER(SEARCH("PTHP", C66)), ISNUMBER(SEARCH("Air-Cooled Chiller", C66)), ISNUMBER(SEARCH("VRF", C66))),
_xlpm.Tons_Cool * (12/_xlpm.PLC_Base - 12/_xlpm.PLC_Eff)*_xlpm.EFLH_Cool,
IF(ISNUMBER(SEARCH("Water", C66)),
_xlpm.Tons_Cool * (_xlpm.PLC_Base - _xlpm.PLC_Eff) * _xlpm.EFLH_Cool,
" "
)),4),
_xlpm.kWhHeat,
IF(
_xlpm.ElecHeat=1,
ROUND(
IF(OR(ISNUMBER(SEARCH("DX", C66)),ISNUMBER(SEARCH("PTAC", C66)), ISNUMBER(SEARCH("Air-Cooled Chiller", C66)), ISNUMBER(SEARCH("Water", C66)),
ISNUMBER(SEARCH("VRF", C66))),
0,
IF(
OR(ISNUMBER(SEARCH("ASHP", C66)), ISNUMBER(SEARCH("PTHP", C66))),
_xlpm.Tons_Heat * (1/_xlpm.Other_Base - 1/_xlpm.Other_Eff) * _xlpm.EFLH_Heat,
" "
)),4),
0
),
_xlpm.kWhCool + _xlpm.kWhHeat
), "")</f>
        <v/>
      </c>
      <c r="BF66" s="888" t="str">
        <f>IF(C66&lt;&gt;"", _xlfn.LET(
_xlpm.Tons, V66, _xlpm.PCF, 0.913,
IF(AND(ISNUMBER(SEARCH("DX",C66)),ISNUMBER(SEARCH("&lt;65 kbtu",C66))),
_xlpm.Tons * (12/11.42-12/MAX(11.42,T66))*_xlpm.PCF,
IF(OR(ISNUMBER(SEARCH("DX", C66)), ISNUMBER(SEARCH("Air-Cooled Chiller", C66)), ISNUMBER(SEARCH("VRF", C66))),
_xlpm.Tons * (12/R66 - 12/T66) * _xlpm.PCF,
IF(ISNUMBER(SEARCH("Water", C66)),
_xlpm.Tons * (R66-T66) * _xlpm.PCF,
IF(ISNUMBER(SEARCH("ASHP", C66)),
_xlpm.Tons * (12/BN66 - 12/BO66) * _xlpm.PCF,
IF(OR(ISNUMBER(SEARCH("PTAC", C66)), ISNUMBER(SEARCH("PTHP", C66))),
_xlpm.Tons * (12/L66 - 12/N66) * _xlpm.PCF,#REF!)))))), "")</f>
        <v/>
      </c>
      <c r="BG66" s="838" t="str">
        <f t="shared" si="1"/>
        <v/>
      </c>
      <c r="BH66" s="882" t="str">
        <f>IFERROR(IF(OR(C66="",N66="",V66="",AA66="",T66="",AE66="",AG66="",ISNUMBER(AR66)=FALSE,AR66=0),"",INDEX(STDHVAC[Measure Number],MATCH(C66,STDHVAC[Measure Name],0))),"Err")</f>
        <v/>
      </c>
      <c r="BI66" s="754" t="str">
        <f t="shared" ref="BI66" si="123">IFERROR(IF(BS66="",IF(AR66 &lt; BG66, "100% Total Cost", ""), ""), "")</f>
        <v/>
      </c>
      <c r="BJ66" s="882" t="str">
        <f>IFERROR(
IF(OR(C66="",N66="",T66="",V66="",AA66="",AE66="",AG66=""),
"",
IF(BS66&gt;0,"",IF(OR(AND(ISNUMBER(SEARCH("kW/ton", J66)),OR(L66&lt;=N66,R66&lt;T66)),AND(NOT(ISNUMBER(SEARCH("kW/ton", J66))),OR(L66&gt;=N66,R66&gt;T66))),
"Must Improve Efficiency",
IF(EXPIRATION&lt;&gt;"",PROJSTATEXP,"")))),
"")</f>
        <v/>
      </c>
      <c r="BK66" s="828" t="str">
        <f>IFERROR(INDEX(STDHVAC[Measure Life (Years)],MATCH(C66,STDHVAC[Measure Name],0)),"")</f>
        <v/>
      </c>
      <c r="BL66" s="884" t="str">
        <f>IFERROR(IF(OR(C66="",N66="",V66="",AA66="",T66="",AE66="",AG66=""),"",
ROUND(((1+ELOSS)*((AZ66*INDEX(ELECCB[NPV AEC $/kWh],MATCH(BK66,ELECCB[Year Number],1)))+(BA66*INDEX(ELECCB[NPV ACC $/kW],MATCH(BK66,ELECCB[Year Number],1))))),2)),0)</f>
        <v/>
      </c>
      <c r="BM66" s="918" t="str">
        <f>IFERROR(IF(INDEX(STDHVAC[Eff Unit 3],MATCH(C66,STDHVAC[Measure Name],0))="","",INDEX(STDHVAC[Eff Unit 3],MATCH(C66,STDHVAC[Measure Name],0))),"")</f>
        <v/>
      </c>
      <c r="BN66" s="880" t="str">
        <f>IFERROR(IF(INDEX(STDHVAC[Base Efficiency 3],MATCH(C66,STDHVAC[Measure Name],0))="","",INDEX(STDHVAC[Base Efficiency 3],MATCH(C66,STDHVAC[Measure Name],0))),"")</f>
        <v/>
      </c>
      <c r="BO66" s="889" t="str">
        <f t="shared" si="3"/>
        <v/>
      </c>
      <c r="BP66" s="920"/>
      <c r="BQ66" s="891" t="str">
        <f>IFERROR(IF(OR(C66="",N66="",V66="",AA66="",T66="",AE66="",AG66=""),"",INDEX(STDHVAC[Reporting Methodology],MATCH(C66,STDHVAC[Measure Name],0))),"Err")</f>
        <v/>
      </c>
      <c r="BR66" s="867" t="str">
        <f>IFERROR(IF(OR(C66="", V66=""),"",INDEX(STDHVAC[Incremental Measure Cost ($/Unit)],MATCH(C66,STDHVAC[Measure Name],0)) * V66),"Err")</f>
        <v/>
      </c>
      <c r="BS66" s="837"/>
      <c r="BT66" s="838" t="str">
        <f>_xlfn.LET(
_xlpm.IPU,
IFERROR(IF(C66="","",INDEX(STDHVAC[Base Incentive],MATCH(C66,STDHVAC[Measure Name],0))),""),
IFERROR(IF(AI66="$/ton", ROUND(V66*_xlpm.IPU, 2),
IF(AND(ISNUMBER(SEARCH("Air-Cooled Chiller",C66)),AI66="$/ton/IPLV"), ROUND((12/L66-12/N66)*V66*_xlpm.IPU, 2),
ROUND(ABS(N66-L66)*V66*_xlpm.IPU, 2))), ""))</f>
        <v/>
      </c>
    </row>
    <row r="67" spans="2:72" ht="15.95" customHeight="1">
      <c r="B67" s="806"/>
      <c r="C67" s="716"/>
      <c r="D67" s="717"/>
      <c r="E67" s="717"/>
      <c r="F67" s="717"/>
      <c r="G67" s="717"/>
      <c r="H67" s="717"/>
      <c r="I67" s="717"/>
      <c r="J67" s="894"/>
      <c r="K67" s="895"/>
      <c r="L67" s="898"/>
      <c r="M67" s="899"/>
      <c r="N67" s="900"/>
      <c r="O67" s="901"/>
      <c r="P67" s="902"/>
      <c r="Q67" s="903"/>
      <c r="R67" s="904"/>
      <c r="S67" s="905"/>
      <c r="T67" s="908"/>
      <c r="U67" s="909"/>
      <c r="V67" s="910"/>
      <c r="W67" s="911"/>
      <c r="X67" s="716"/>
      <c r="Y67" s="717"/>
      <c r="Z67" s="718"/>
      <c r="AA67" s="932"/>
      <c r="AB67" s="930"/>
      <c r="AC67" s="930"/>
      <c r="AD67" s="931"/>
      <c r="AE67" s="765"/>
      <c r="AF67" s="766"/>
      <c r="AG67" s="766"/>
      <c r="AH67" s="767"/>
      <c r="AI67" s="912"/>
      <c r="AJ67" s="912"/>
      <c r="AK67" s="912"/>
      <c r="AL67" s="913"/>
      <c r="AM67" s="915"/>
      <c r="AN67" s="796"/>
      <c r="AO67" s="798"/>
      <c r="AP67" s="798"/>
      <c r="AQ67" s="798"/>
      <c r="AR67" s="827"/>
      <c r="AS67" s="827"/>
      <c r="AT67" s="827"/>
      <c r="AU67" s="827"/>
      <c r="AV67" s="22"/>
      <c r="AX67" s="874"/>
      <c r="AY67" s="917"/>
      <c r="AZ67" s="747"/>
      <c r="BA67" s="747"/>
      <c r="BB67" s="871"/>
      <c r="BC67" s="871"/>
      <c r="BD67" s="887"/>
      <c r="BE67" s="762"/>
      <c r="BF67" s="762"/>
      <c r="BG67" s="839"/>
      <c r="BH67" s="883"/>
      <c r="BI67" s="755"/>
      <c r="BJ67" s="883"/>
      <c r="BK67" s="829"/>
      <c r="BL67" s="885"/>
      <c r="BM67" s="919"/>
      <c r="BN67" s="881"/>
      <c r="BO67" s="890"/>
      <c r="BP67" s="921"/>
      <c r="BQ67" s="891"/>
      <c r="BR67" s="867"/>
      <c r="BS67" s="837"/>
      <c r="BT67" s="839"/>
    </row>
    <row r="68" spans="2:72" ht="15.95" customHeight="1">
      <c r="B68" s="806">
        <v>26</v>
      </c>
      <c r="C68" s="713"/>
      <c r="D68" s="714"/>
      <c r="E68" s="714"/>
      <c r="F68" s="714"/>
      <c r="G68" s="714"/>
      <c r="H68" s="714"/>
      <c r="I68" s="714"/>
      <c r="J68" s="892" t="str">
        <f>IF(C68="","",INDEX(STDHVAC[Eff Unit 1],MATCH(C68,STDHVAC[Measure Name],0)))</f>
        <v/>
      </c>
      <c r="K68" s="893"/>
      <c r="L68" s="896" t="str">
        <f>IF(C68="","",INDEX(STDHVAC[Base Efficiency 1],MATCH(C68,STDHVAC[Measure Name],0)))</f>
        <v/>
      </c>
      <c r="M68" s="897"/>
      <c r="N68" s="900"/>
      <c r="O68" s="901"/>
      <c r="P68" s="894" t="str">
        <f>IF(C68="","",INDEX(STDHVAC[Eff Unit 2],MATCH(C68,STDHVAC[Measure Name],0)))</f>
        <v/>
      </c>
      <c r="Q68" s="895"/>
      <c r="R68" s="898" t="str">
        <f>IF(C68="","",INDEX(STDHVAC[Base Efficiency 2],MATCH(C68,STDHVAC[Measure Name],0)))</f>
        <v/>
      </c>
      <c r="S68" s="899"/>
      <c r="T68" s="906" t="str">
        <f t="shared" ref="T68" si="124">IF(AND(ISNUMBER(SEARCH("DX",C68)),ISNUMBER(SEARCH("&lt;65 kbtu",C68)),N68&lt;&gt;""),1.12*N68-0.02*N68^2,IF(AND(ISNUMBER(SEARCH("PTAC",C68)),N68&lt;&gt;""),1,""))</f>
        <v/>
      </c>
      <c r="U68" s="907"/>
      <c r="V68" s="910"/>
      <c r="W68" s="911"/>
      <c r="X68" s="713"/>
      <c r="Y68" s="714"/>
      <c r="Z68" s="715"/>
      <c r="AA68" s="932"/>
      <c r="AB68" s="930"/>
      <c r="AC68" s="930"/>
      <c r="AD68" s="931"/>
      <c r="AE68" s="765"/>
      <c r="AF68" s="766"/>
      <c r="AG68" s="766"/>
      <c r="AH68" s="767"/>
      <c r="AI68" s="912" t="str">
        <f>IF(C68="","",INDEX(STDHVAC[Current Unit],MATCH(C68,STDHVAC[Measure Name],0)))</f>
        <v/>
      </c>
      <c r="AJ68" s="912"/>
      <c r="AK68" s="912"/>
      <c r="AL68" s="913"/>
      <c r="AM68" s="914" t="str">
        <f>IFERROR(IF(C68="","",INDEX(IF(AND(ACTIVEBONUS = TRUE,INDEX(STDHVAC[Bonus Incentive],MATCH(C68,STDHVAC[Measure Name],0))&lt;&gt; ""),STDHVAC[Bonus Incentive],STDHVAC[Base Incentive]),MATCH(C68,STDHVAC[Measure Name],0))),"")</f>
        <v/>
      </c>
      <c r="AN68" s="794"/>
      <c r="AO68" s="797" t="str">
        <f t="shared" ref="AO68" si="125">IFERROR(IF(OR(C68="",N68="",V68="",AA68="",T68="",AE68="",AG68=""),"",IF(BQ68="Deemed",AZ68,IF(BQ68="Calculated",BE68,""))),"")</f>
        <v/>
      </c>
      <c r="AP68" s="797"/>
      <c r="AQ68" s="797"/>
      <c r="AR68" s="826" t="str">
        <f t="shared" ref="AR68" si="126">IFERROR(IF(OR(C68="",N68="",V68="",AA68="",T68="",AE68="",AG68=""),"",IF(BJ68&lt;&gt;"",BJ68,IF(BS68&gt;0,BS68,ROUND(IF(AO68&lt;=0,0,MIN(AX68,BG68)), 2)))), "")</f>
        <v/>
      </c>
      <c r="AS68" s="826"/>
      <c r="AT68" s="826"/>
      <c r="AU68" s="826"/>
      <c r="AV68" s="22"/>
      <c r="AX68" s="873" t="str">
        <f t="shared" ref="AX68" si="127">IF(OR(C68="",N68="",V68="",AA68="",T68="",AE68="",AG68="",X68=""),"",IF(AO68=0,"",ROUND(AE68+AG68,2)))</f>
        <v/>
      </c>
      <c r="AY68" s="916" t="str">
        <f>IFERROR(IF(OR(C68="",N68="",V68="",AA68="",T68="",AE68="",AG68="",X68=""),"",INDEX(STDHVAC[Current Unit],MATCH(C68,STDHVAC[Measure Name],0))),"Err")</f>
        <v/>
      </c>
      <c r="AZ68" s="746" t="str">
        <f>IF(
OR(C68="",N68="",V68="",AA68="",T68="",AE68="",AG68="",X68=""),"",
IF(OR(ISNUMBER(SEARCH("PTAC",C68)),ISNUMBER(SEARCH("PTHP",C68))),
ROUND(V68*INDEX(STDHVAC[Electric Energy Savings (Annual kWh/unit)],MATCH(C68,STDHVAC[Measure Name],0)),4),
ROUND(V68*ABS(N68-L68)*INDEX(STDHVAC[Electric Energy Savings (Annual kWh/unit)],MATCH(C68,STDHVAC[Measure Name],0)),4)
))</f>
        <v/>
      </c>
      <c r="BA68" s="746" t="str">
        <f>IF(
OR(C68="",N68="",V68="",AA68="",T68="",AE68="",AG68="",X68=""),"",
IF(OR(ISNUMBER(SEARCH("PTAC",C68)),ISNUMBER(SEARCH("PTHP",C68))),
ROUND(V68*INDEX(STDHVAC[Coincident Peak Demand Savings (kW/unit)],MATCH(C68,STDHVAC[Measure Name],0)),4),
ROUND(V68* ABS(N68-L68)*INDEX(STDHVAC[Coincident Peak Demand Savings (kW/unit)],MATCH(C68,STDHVAC[Measure Name],0)),4)
))</f>
        <v/>
      </c>
      <c r="BB68" s="871"/>
      <c r="BC68" s="871"/>
      <c r="BD68" s="886" t="str">
        <f>IFERROR(IF(OR(C68="",N68="",V68="",AA68="",T68="",AE68="",AG68=""),"",INDEX(STDHVAC[End Use],MATCH(C68,STDHVAC[Measure Name],0))),"Err")</f>
        <v/>
      </c>
      <c r="BE68" s="888" t="str">
        <f>IF(C68&lt;&gt;"", _xlfn.LET(
_xlpm.Tons_Cool, V68, _xlpm.PLC_Base, L68, _xlpm.PLC_Eff, N68, _xlpm.Tons_Heat, BP68, _xlpm.Other_Base, R68, _xlpm.Other_Eff, T68,
_xlpm.EFLH_Cool,
INDEX(STDHVAC[EFLHcool],MATCH(C68,STDHVAC[Measure Name],0)),
_xlpm.EFLH_Heat,
INDEX(STDHVAC[EFLHheat],MATCH(C68,STDHVAC[Measure Name],0)),
_xlpm.ElecHeat,
INDEX(SPACEHEAT[ELECHEAT],MATCH(M02S04F22,SPACEHEAT[Space Conditioning],0)),
_xlpm.kWhCool,
ROUND(
IF(OR(ISNUMBER(SEARCH("DX", C68)),ISNUMBER(SEARCH("ASHP", C68)), ISNUMBER(SEARCH("PTAC", C68)), ISNUMBER(SEARCH("PTHP", C68)), ISNUMBER(SEARCH("Air-Cooled Chiller", C68)), ISNUMBER(SEARCH("VRF", C68))),
_xlpm.Tons_Cool * (12/_xlpm.PLC_Base - 12/_xlpm.PLC_Eff)*_xlpm.EFLH_Cool,
IF(ISNUMBER(SEARCH("Water", C68)),
_xlpm.Tons_Cool * (_xlpm.PLC_Base - _xlpm.PLC_Eff) * _xlpm.EFLH_Cool,
" "
)),4),
_xlpm.kWhHeat,
IF(
_xlpm.ElecHeat=1,
ROUND(
IF(OR(ISNUMBER(SEARCH("DX", C68)),ISNUMBER(SEARCH("PTAC", C68)), ISNUMBER(SEARCH("Air-Cooled Chiller", C68)), ISNUMBER(SEARCH("Water", C68)),
ISNUMBER(SEARCH("VRF", C68))),
0,
IF(
OR(ISNUMBER(SEARCH("ASHP", C68)), ISNUMBER(SEARCH("PTHP", C68))),
_xlpm.Tons_Heat * (1/_xlpm.Other_Base - 1/_xlpm.Other_Eff) * _xlpm.EFLH_Heat,
" "
)),4),
0
),
_xlpm.kWhCool + _xlpm.kWhHeat
), "")</f>
        <v/>
      </c>
      <c r="BF68" s="888" t="str">
        <f>IF(C68&lt;&gt;"", _xlfn.LET(
_xlpm.Tons, V68, _xlpm.PCF, 0.913,
IF(AND(ISNUMBER(SEARCH("DX",C68)),ISNUMBER(SEARCH("&lt;65 kbtu",C68))),
_xlpm.Tons * (12/11.42-12/MAX(11.42,T68))*_xlpm.PCF,
IF(OR(ISNUMBER(SEARCH("DX", C68)), ISNUMBER(SEARCH("Air-Cooled Chiller", C68)), ISNUMBER(SEARCH("VRF", C68))),
_xlpm.Tons * (12/R68 - 12/T68) * _xlpm.PCF,
IF(ISNUMBER(SEARCH("Water", C68)),
_xlpm.Tons * (R68-T68) * _xlpm.PCF,
IF(ISNUMBER(SEARCH("ASHP", C68)),
_xlpm.Tons * (12/BN68 - 12/BO68) * _xlpm.PCF,
IF(OR(ISNUMBER(SEARCH("PTAC", C68)), ISNUMBER(SEARCH("PTHP", C68))),
_xlpm.Tons * (12/L68 - 12/N68) * _xlpm.PCF,#REF!)))))), "")</f>
        <v/>
      </c>
      <c r="BG68" s="838" t="str">
        <f t="shared" si="1"/>
        <v/>
      </c>
      <c r="BH68" s="882" t="str">
        <f>IFERROR(IF(OR(C68="",N68="",V68="",AA68="",T68="",AE68="",AG68="",ISNUMBER(AR68)=FALSE,AR68=0),"",INDEX(STDHVAC[Measure Number],MATCH(C68,STDHVAC[Measure Name],0))),"Err")</f>
        <v/>
      </c>
      <c r="BI68" s="754" t="str">
        <f t="shared" ref="BI68" si="128">IFERROR(IF(BS68="",IF(AR68 &lt; BG68, "100% Total Cost", ""), ""), "")</f>
        <v/>
      </c>
      <c r="BJ68" s="882" t="str">
        <f>IFERROR(
IF(OR(C68="",N68="",T68="",V68="",AA68="",AE68="",AG68=""),
"",
IF(BS68&gt;0,"",IF(OR(AND(ISNUMBER(SEARCH("kW/ton", J68)),OR(L68&lt;=N68,R68&lt;T68)),AND(NOT(ISNUMBER(SEARCH("kW/ton", J68))),OR(L68&gt;=N68,R68&gt;T68))),
"Must Improve Efficiency",
IF(EXPIRATION&lt;&gt;"",PROJSTATEXP,"")))),
"")</f>
        <v/>
      </c>
      <c r="BK68" s="828" t="str">
        <f>IFERROR(INDEX(STDHVAC[Measure Life (Years)],MATCH(C68,STDHVAC[Measure Name],0)),"")</f>
        <v/>
      </c>
      <c r="BL68" s="884" t="str">
        <f>IFERROR(IF(OR(C68="",N68="",V68="",AA68="",T68="",AE68="",AG68=""),"",
ROUND(((1+ELOSS)*((AZ68*INDEX(ELECCB[NPV AEC $/kWh],MATCH(BK68,ELECCB[Year Number],1)))+(BA68*INDEX(ELECCB[NPV ACC $/kW],MATCH(BK68,ELECCB[Year Number],1))))),2)),0)</f>
        <v/>
      </c>
      <c r="BM68" s="918" t="str">
        <f>IFERROR(IF(INDEX(STDHVAC[Eff Unit 3],MATCH(C68,STDHVAC[Measure Name],0))="","",INDEX(STDHVAC[Eff Unit 3],MATCH(C68,STDHVAC[Measure Name],0))),"")</f>
        <v/>
      </c>
      <c r="BN68" s="880" t="str">
        <f>IFERROR(IF(INDEX(STDHVAC[Base Efficiency 3],MATCH(C68,STDHVAC[Measure Name],0))="","",INDEX(STDHVAC[Base Efficiency 3],MATCH(C68,STDHVAC[Measure Name],0))),"")</f>
        <v/>
      </c>
      <c r="BO68" s="889" t="str">
        <f t="shared" si="3"/>
        <v/>
      </c>
      <c r="BP68" s="920"/>
      <c r="BQ68" s="891" t="str">
        <f>IFERROR(IF(OR(C68="",N68="",V68="",AA68="",T68="",AE68="",AG68=""),"",INDEX(STDHVAC[Reporting Methodology],MATCH(C68,STDHVAC[Measure Name],0))),"Err")</f>
        <v/>
      </c>
      <c r="BR68" s="867" t="str">
        <f>IFERROR(IF(OR(C68="", V68=""),"",INDEX(STDHVAC[Incremental Measure Cost ($/Unit)],MATCH(C68,STDHVAC[Measure Name],0)) * V68),"Err")</f>
        <v/>
      </c>
      <c r="BS68" s="837"/>
      <c r="BT68" s="838" t="str">
        <f>_xlfn.LET(
_xlpm.IPU,
IFERROR(IF(C68="","",INDEX(STDHVAC[Base Incentive],MATCH(C68,STDHVAC[Measure Name],0))),""),
IFERROR(IF(AI68="$/ton", ROUND(V68*_xlpm.IPU, 2),
IF(AND(ISNUMBER(SEARCH("Air-Cooled Chiller",C68)),AI68="$/ton/IPLV"), ROUND((12/L68-12/N68)*V68*_xlpm.IPU, 2),
ROUND(ABS(N68-L68)*V68*_xlpm.IPU, 2))), ""))</f>
        <v/>
      </c>
    </row>
    <row r="69" spans="2:72" ht="15.95" customHeight="1">
      <c r="B69" s="806"/>
      <c r="C69" s="716"/>
      <c r="D69" s="717"/>
      <c r="E69" s="717"/>
      <c r="F69" s="717"/>
      <c r="G69" s="717"/>
      <c r="H69" s="717"/>
      <c r="I69" s="717"/>
      <c r="J69" s="894"/>
      <c r="K69" s="895"/>
      <c r="L69" s="898"/>
      <c r="M69" s="899"/>
      <c r="N69" s="900"/>
      <c r="O69" s="901"/>
      <c r="P69" s="902"/>
      <c r="Q69" s="903"/>
      <c r="R69" s="904"/>
      <c r="S69" s="905"/>
      <c r="T69" s="908"/>
      <c r="U69" s="909"/>
      <c r="V69" s="910"/>
      <c r="W69" s="911"/>
      <c r="X69" s="716"/>
      <c r="Y69" s="717"/>
      <c r="Z69" s="718"/>
      <c r="AA69" s="932"/>
      <c r="AB69" s="930"/>
      <c r="AC69" s="930"/>
      <c r="AD69" s="931"/>
      <c r="AE69" s="765"/>
      <c r="AF69" s="766"/>
      <c r="AG69" s="766"/>
      <c r="AH69" s="767"/>
      <c r="AI69" s="912"/>
      <c r="AJ69" s="912"/>
      <c r="AK69" s="912"/>
      <c r="AL69" s="913"/>
      <c r="AM69" s="915"/>
      <c r="AN69" s="796"/>
      <c r="AO69" s="798"/>
      <c r="AP69" s="798"/>
      <c r="AQ69" s="798"/>
      <c r="AR69" s="827"/>
      <c r="AS69" s="827"/>
      <c r="AT69" s="827"/>
      <c r="AU69" s="827"/>
      <c r="AV69" s="22"/>
      <c r="AX69" s="874"/>
      <c r="AY69" s="917"/>
      <c r="AZ69" s="747"/>
      <c r="BA69" s="747"/>
      <c r="BB69" s="871"/>
      <c r="BC69" s="871"/>
      <c r="BD69" s="887"/>
      <c r="BE69" s="762"/>
      <c r="BF69" s="762"/>
      <c r="BG69" s="839"/>
      <c r="BH69" s="883"/>
      <c r="BI69" s="755"/>
      <c r="BJ69" s="883"/>
      <c r="BK69" s="829"/>
      <c r="BL69" s="885"/>
      <c r="BM69" s="919"/>
      <c r="BN69" s="881"/>
      <c r="BO69" s="890"/>
      <c r="BP69" s="921"/>
      <c r="BQ69" s="891"/>
      <c r="BR69" s="867"/>
      <c r="BS69" s="837"/>
      <c r="BT69" s="839"/>
    </row>
    <row r="70" spans="2:72" ht="15.95" customHeight="1">
      <c r="B70" s="806">
        <v>27</v>
      </c>
      <c r="C70" s="713"/>
      <c r="D70" s="714"/>
      <c r="E70" s="714"/>
      <c r="F70" s="714"/>
      <c r="G70" s="714"/>
      <c r="H70" s="714"/>
      <c r="I70" s="714"/>
      <c r="J70" s="892" t="str">
        <f>IF(C70="","",INDEX(STDHVAC[Eff Unit 1],MATCH(C70,STDHVAC[Measure Name],0)))</f>
        <v/>
      </c>
      <c r="K70" s="893"/>
      <c r="L70" s="896" t="str">
        <f>IF(C70="","",INDEX(STDHVAC[Base Efficiency 1],MATCH(C70,STDHVAC[Measure Name],0)))</f>
        <v/>
      </c>
      <c r="M70" s="897"/>
      <c r="N70" s="900"/>
      <c r="O70" s="901"/>
      <c r="P70" s="894" t="str">
        <f>IF(C70="","",INDEX(STDHVAC[Eff Unit 2],MATCH(C70,STDHVAC[Measure Name],0)))</f>
        <v/>
      </c>
      <c r="Q70" s="895"/>
      <c r="R70" s="898" t="str">
        <f>IF(C70="","",INDEX(STDHVAC[Base Efficiency 2],MATCH(C70,STDHVAC[Measure Name],0)))</f>
        <v/>
      </c>
      <c r="S70" s="899"/>
      <c r="T70" s="906" t="str">
        <f t="shared" ref="T70" si="129">IF(AND(ISNUMBER(SEARCH("DX",C70)),ISNUMBER(SEARCH("&lt;65 kbtu",C70)),N70&lt;&gt;""),1.12*N70-0.02*N70^2,IF(AND(ISNUMBER(SEARCH("PTAC",C70)),N70&lt;&gt;""),1,""))</f>
        <v/>
      </c>
      <c r="U70" s="907"/>
      <c r="V70" s="910"/>
      <c r="W70" s="911"/>
      <c r="X70" s="713"/>
      <c r="Y70" s="714"/>
      <c r="Z70" s="715"/>
      <c r="AA70" s="932"/>
      <c r="AB70" s="930"/>
      <c r="AC70" s="930"/>
      <c r="AD70" s="931"/>
      <c r="AE70" s="765"/>
      <c r="AF70" s="766"/>
      <c r="AG70" s="766"/>
      <c r="AH70" s="767"/>
      <c r="AI70" s="912" t="str">
        <f>IF(C70="","",INDEX(STDHVAC[Current Unit],MATCH(C70,STDHVAC[Measure Name],0)))</f>
        <v/>
      </c>
      <c r="AJ70" s="912"/>
      <c r="AK70" s="912"/>
      <c r="AL70" s="913"/>
      <c r="AM70" s="914" t="str">
        <f>IFERROR(IF(C70="","",INDEX(IF(AND(ACTIVEBONUS = TRUE,INDEX(STDHVAC[Bonus Incentive],MATCH(C70,STDHVAC[Measure Name],0))&lt;&gt; ""),STDHVAC[Bonus Incentive],STDHVAC[Base Incentive]),MATCH(C70,STDHVAC[Measure Name],0))),"")</f>
        <v/>
      </c>
      <c r="AN70" s="794"/>
      <c r="AO70" s="797" t="str">
        <f t="shared" ref="AO70" si="130">IFERROR(IF(OR(C70="",N70="",V70="",AA70="",T70="",AE70="",AG70=""),"",IF(BQ70="Deemed",AZ70,IF(BQ70="Calculated",BE70,""))),"")</f>
        <v/>
      </c>
      <c r="AP70" s="797"/>
      <c r="AQ70" s="797"/>
      <c r="AR70" s="826" t="str">
        <f t="shared" ref="AR70" si="131">IFERROR(IF(OR(C70="",N70="",V70="",AA70="",T70="",AE70="",AG70=""),"",IF(BJ70&lt;&gt;"",BJ70,IF(BS70&gt;0,BS70,ROUND(IF(AO70&lt;=0,0,MIN(AX70,BG70)), 2)))), "")</f>
        <v/>
      </c>
      <c r="AS70" s="826"/>
      <c r="AT70" s="826"/>
      <c r="AU70" s="826"/>
      <c r="AV70" s="22"/>
      <c r="AX70" s="873" t="str">
        <f t="shared" ref="AX70" si="132">IF(OR(C70="",N70="",V70="",AA70="",T70="",AE70="",AG70="",X70=""),"",IF(AO70=0,"",ROUND(AE70+AG70,2)))</f>
        <v/>
      </c>
      <c r="AY70" s="916" t="str">
        <f>IFERROR(IF(OR(C70="",N70="",V70="",AA70="",T70="",AE70="",AG70="",X70=""),"",INDEX(STDHVAC[Current Unit],MATCH(C70,STDHVAC[Measure Name],0))),"Err")</f>
        <v/>
      </c>
      <c r="AZ70" s="746" t="str">
        <f>IF(
OR(C70="",N70="",V70="",AA70="",T70="",AE70="",AG70="",X70=""),"",
IF(OR(ISNUMBER(SEARCH("PTAC",C70)),ISNUMBER(SEARCH("PTHP",C70))),
ROUND(V70*INDEX(STDHVAC[Electric Energy Savings (Annual kWh/unit)],MATCH(C70,STDHVAC[Measure Name],0)),4),
ROUND(V70*ABS(N70-L70)*INDEX(STDHVAC[Electric Energy Savings (Annual kWh/unit)],MATCH(C70,STDHVAC[Measure Name],0)),4)
))</f>
        <v/>
      </c>
      <c r="BA70" s="746" t="str">
        <f>IF(
OR(C70="",N70="",V70="",AA70="",T70="",AE70="",AG70="",X70=""),"",
IF(OR(ISNUMBER(SEARCH("PTAC",C70)),ISNUMBER(SEARCH("PTHP",C70))),
ROUND(V70*INDEX(STDHVAC[Coincident Peak Demand Savings (kW/unit)],MATCH(C70,STDHVAC[Measure Name],0)),4),
ROUND(V70* ABS(N70-L70)*INDEX(STDHVAC[Coincident Peak Demand Savings (kW/unit)],MATCH(C70,STDHVAC[Measure Name],0)),4)
))</f>
        <v/>
      </c>
      <c r="BB70" s="871"/>
      <c r="BC70" s="871"/>
      <c r="BD70" s="886" t="str">
        <f>IFERROR(IF(OR(C70="",N70="",V70="",AA70="",T70="",AE70="",AG70=""),"",INDEX(STDHVAC[End Use],MATCH(C70,STDHVAC[Measure Name],0))),"Err")</f>
        <v/>
      </c>
      <c r="BE70" s="888" t="str">
        <f>IF(C70&lt;&gt;"", _xlfn.LET(
_xlpm.Tons_Cool, V70, _xlpm.PLC_Base, L70, _xlpm.PLC_Eff, N70, _xlpm.Tons_Heat, BP70, _xlpm.Other_Base, R70, _xlpm.Other_Eff, T70,
_xlpm.EFLH_Cool,
INDEX(STDHVAC[EFLHcool],MATCH(C70,STDHVAC[Measure Name],0)),
_xlpm.EFLH_Heat,
INDEX(STDHVAC[EFLHheat],MATCH(C70,STDHVAC[Measure Name],0)),
_xlpm.ElecHeat,
INDEX(SPACEHEAT[ELECHEAT],MATCH(M02S04F22,SPACEHEAT[Space Conditioning],0)),
_xlpm.kWhCool,
ROUND(
IF(OR(ISNUMBER(SEARCH("DX", C70)),ISNUMBER(SEARCH("ASHP", C70)), ISNUMBER(SEARCH("PTAC", C70)), ISNUMBER(SEARCH("PTHP", C70)), ISNUMBER(SEARCH("Air-Cooled Chiller", C70)), ISNUMBER(SEARCH("VRF", C70))),
_xlpm.Tons_Cool * (12/_xlpm.PLC_Base - 12/_xlpm.PLC_Eff)*_xlpm.EFLH_Cool,
IF(ISNUMBER(SEARCH("Water", C70)),
_xlpm.Tons_Cool * (_xlpm.PLC_Base - _xlpm.PLC_Eff) * _xlpm.EFLH_Cool,
" "
)),4),
_xlpm.kWhHeat,
IF(
_xlpm.ElecHeat=1,
ROUND(
IF(OR(ISNUMBER(SEARCH("DX", C70)),ISNUMBER(SEARCH("PTAC", C70)), ISNUMBER(SEARCH("Air-Cooled Chiller", C70)), ISNUMBER(SEARCH("Water", C70)),
ISNUMBER(SEARCH("VRF", C70))),
0,
IF(
OR(ISNUMBER(SEARCH("ASHP", C70)), ISNUMBER(SEARCH("PTHP", C70))),
_xlpm.Tons_Heat * (1/_xlpm.Other_Base - 1/_xlpm.Other_Eff) * _xlpm.EFLH_Heat,
" "
)),4),
0
),
_xlpm.kWhCool + _xlpm.kWhHeat
), "")</f>
        <v/>
      </c>
      <c r="BF70" s="888" t="str">
        <f>IF(C70&lt;&gt;"", _xlfn.LET(
_xlpm.Tons, V70, _xlpm.PCF, 0.913,
IF(AND(ISNUMBER(SEARCH("DX",C70)),ISNUMBER(SEARCH("&lt;65 kbtu",C70))),
_xlpm.Tons * (12/11.42-12/MAX(11.42,T70))*_xlpm.PCF,
IF(OR(ISNUMBER(SEARCH("DX", C70)), ISNUMBER(SEARCH("Air-Cooled Chiller", C70)), ISNUMBER(SEARCH("VRF", C70))),
_xlpm.Tons * (12/R70 - 12/T70) * _xlpm.PCF,
IF(ISNUMBER(SEARCH("Water", C70)),
_xlpm.Tons * (R70-T70) * _xlpm.PCF,
IF(ISNUMBER(SEARCH("ASHP", C70)),
_xlpm.Tons * (12/BN70 - 12/BO70) * _xlpm.PCF,
IF(OR(ISNUMBER(SEARCH("PTAC", C70)), ISNUMBER(SEARCH("PTHP", C70))),
_xlpm.Tons * (12/L70 - 12/N70) * _xlpm.PCF,#REF!)))))), "")</f>
        <v/>
      </c>
      <c r="BG70" s="838" t="str">
        <f t="shared" si="1"/>
        <v/>
      </c>
      <c r="BH70" s="882" t="str">
        <f>IFERROR(IF(OR(C70="",N70="",V70="",AA70="",T70="",AE70="",AG70="",ISNUMBER(AR70)=FALSE,AR70=0),"",INDEX(STDHVAC[Measure Number],MATCH(C70,STDHVAC[Measure Name],0))),"Err")</f>
        <v/>
      </c>
      <c r="BI70" s="754" t="str">
        <f t="shared" ref="BI70" si="133">IFERROR(IF(BS70="",IF(AR70 &lt; BG70, "100% Total Cost", ""), ""), "")</f>
        <v/>
      </c>
      <c r="BJ70" s="882" t="str">
        <f>IFERROR(
IF(OR(C70="",N70="",T70="",V70="",AA70="",AE70="",AG70=""),
"",
IF(BS70&gt;0,"",IF(OR(AND(ISNUMBER(SEARCH("kW/ton", J70)),OR(L70&lt;=N70,R70&lt;T70)),AND(NOT(ISNUMBER(SEARCH("kW/ton", J70))),OR(L70&gt;=N70,R70&gt;T70))),
"Must Improve Efficiency",
IF(EXPIRATION&lt;&gt;"",PROJSTATEXP,"")))),
"")</f>
        <v/>
      </c>
      <c r="BK70" s="828" t="str">
        <f>IFERROR(INDEX(STDHVAC[Measure Life (Years)],MATCH(C70,STDHVAC[Measure Name],0)),"")</f>
        <v/>
      </c>
      <c r="BL70" s="884" t="str">
        <f>IFERROR(IF(OR(C70="",N70="",V70="",AA70="",T70="",AE70="",AG70=""),"",
ROUND(((1+ELOSS)*((AZ70*INDEX(ELECCB[NPV AEC $/kWh],MATCH(BK70,ELECCB[Year Number],1)))+(BA70*INDEX(ELECCB[NPV ACC $/kW],MATCH(BK70,ELECCB[Year Number],1))))),2)),0)</f>
        <v/>
      </c>
      <c r="BM70" s="918" t="str">
        <f>IFERROR(IF(INDEX(STDHVAC[Eff Unit 3],MATCH(C70,STDHVAC[Measure Name],0))="","",INDEX(STDHVAC[Eff Unit 3],MATCH(C70,STDHVAC[Measure Name],0))),"")</f>
        <v/>
      </c>
      <c r="BN70" s="880" t="str">
        <f>IFERROR(IF(INDEX(STDHVAC[Base Efficiency 3],MATCH(C70,STDHVAC[Measure Name],0))="","",INDEX(STDHVAC[Base Efficiency 3],MATCH(C70,STDHVAC[Measure Name],0))),"")</f>
        <v/>
      </c>
      <c r="BO70" s="889" t="str">
        <f t="shared" si="3"/>
        <v/>
      </c>
      <c r="BP70" s="920"/>
      <c r="BQ70" s="891" t="str">
        <f>IFERROR(IF(OR(C70="",N70="",V70="",AA70="",T70="",AE70="",AG70=""),"",INDEX(STDHVAC[Reporting Methodology],MATCH(C70,STDHVAC[Measure Name],0))),"Err")</f>
        <v/>
      </c>
      <c r="BR70" s="867" t="str">
        <f>IFERROR(IF(OR(C70="", V70=""),"",INDEX(STDHVAC[Incremental Measure Cost ($/Unit)],MATCH(C70,STDHVAC[Measure Name],0)) * V70),"Err")</f>
        <v/>
      </c>
      <c r="BS70" s="837"/>
      <c r="BT70" s="838" t="str">
        <f>_xlfn.LET(
_xlpm.IPU,
IFERROR(IF(C70="","",INDEX(STDHVAC[Base Incentive],MATCH(C70,STDHVAC[Measure Name],0))),""),
IFERROR(IF(AI70="$/ton", ROUND(V70*_xlpm.IPU, 2),
IF(AND(ISNUMBER(SEARCH("Air-Cooled Chiller",C70)),AI70="$/ton/IPLV"), ROUND((12/L70-12/N70)*V70*_xlpm.IPU, 2),
ROUND(ABS(N70-L70)*V70*_xlpm.IPU, 2))), ""))</f>
        <v/>
      </c>
    </row>
    <row r="71" spans="2:72" ht="15.95" customHeight="1">
      <c r="B71" s="806"/>
      <c r="C71" s="716"/>
      <c r="D71" s="717"/>
      <c r="E71" s="717"/>
      <c r="F71" s="717"/>
      <c r="G71" s="717"/>
      <c r="H71" s="717"/>
      <c r="I71" s="717"/>
      <c r="J71" s="894"/>
      <c r="K71" s="895"/>
      <c r="L71" s="898"/>
      <c r="M71" s="899"/>
      <c r="N71" s="900"/>
      <c r="O71" s="901"/>
      <c r="P71" s="902"/>
      <c r="Q71" s="903"/>
      <c r="R71" s="904"/>
      <c r="S71" s="905"/>
      <c r="T71" s="908"/>
      <c r="U71" s="909"/>
      <c r="V71" s="910"/>
      <c r="W71" s="911"/>
      <c r="X71" s="716"/>
      <c r="Y71" s="717"/>
      <c r="Z71" s="718"/>
      <c r="AA71" s="932"/>
      <c r="AB71" s="930"/>
      <c r="AC71" s="930"/>
      <c r="AD71" s="931"/>
      <c r="AE71" s="765"/>
      <c r="AF71" s="766"/>
      <c r="AG71" s="766"/>
      <c r="AH71" s="767"/>
      <c r="AI71" s="912"/>
      <c r="AJ71" s="912"/>
      <c r="AK71" s="912"/>
      <c r="AL71" s="913"/>
      <c r="AM71" s="915"/>
      <c r="AN71" s="796"/>
      <c r="AO71" s="798"/>
      <c r="AP71" s="798"/>
      <c r="AQ71" s="798"/>
      <c r="AR71" s="827"/>
      <c r="AS71" s="827"/>
      <c r="AT71" s="827"/>
      <c r="AU71" s="827"/>
      <c r="AV71" s="22"/>
      <c r="AX71" s="874"/>
      <c r="AY71" s="917"/>
      <c r="AZ71" s="747"/>
      <c r="BA71" s="747"/>
      <c r="BB71" s="871"/>
      <c r="BC71" s="871"/>
      <c r="BD71" s="887"/>
      <c r="BE71" s="762"/>
      <c r="BF71" s="762"/>
      <c r="BG71" s="839"/>
      <c r="BH71" s="883"/>
      <c r="BI71" s="755"/>
      <c r="BJ71" s="883"/>
      <c r="BK71" s="829"/>
      <c r="BL71" s="885"/>
      <c r="BM71" s="919"/>
      <c r="BN71" s="881"/>
      <c r="BO71" s="890"/>
      <c r="BP71" s="921"/>
      <c r="BQ71" s="891"/>
      <c r="BR71" s="867"/>
      <c r="BS71" s="837"/>
      <c r="BT71" s="839"/>
    </row>
    <row r="72" spans="2:72" ht="15.95" customHeight="1">
      <c r="B72" s="806">
        <v>28</v>
      </c>
      <c r="C72" s="713"/>
      <c r="D72" s="714"/>
      <c r="E72" s="714"/>
      <c r="F72" s="714"/>
      <c r="G72" s="714"/>
      <c r="H72" s="714"/>
      <c r="I72" s="714"/>
      <c r="J72" s="892" t="str">
        <f>IF(C72="","",INDEX(STDHVAC[Eff Unit 1],MATCH(C72,STDHVAC[Measure Name],0)))</f>
        <v/>
      </c>
      <c r="K72" s="893"/>
      <c r="L72" s="896" t="str">
        <f>IF(C72="","",INDEX(STDHVAC[Base Efficiency 1],MATCH(C72,STDHVAC[Measure Name],0)))</f>
        <v/>
      </c>
      <c r="M72" s="897"/>
      <c r="N72" s="900"/>
      <c r="O72" s="901"/>
      <c r="P72" s="894" t="str">
        <f>IF(C72="","",INDEX(STDHVAC[Eff Unit 2],MATCH(C72,STDHVAC[Measure Name],0)))</f>
        <v/>
      </c>
      <c r="Q72" s="895"/>
      <c r="R72" s="898" t="str">
        <f>IF(C72="","",INDEX(STDHVAC[Base Efficiency 2],MATCH(C72,STDHVAC[Measure Name],0)))</f>
        <v/>
      </c>
      <c r="S72" s="899"/>
      <c r="T72" s="906" t="str">
        <f t="shared" ref="T72" si="134">IF(AND(ISNUMBER(SEARCH("DX",C72)),ISNUMBER(SEARCH("&lt;65 kbtu",C72)),N72&lt;&gt;""),1.12*N72-0.02*N72^2,IF(AND(ISNUMBER(SEARCH("PTAC",C72)),N72&lt;&gt;""),1,""))</f>
        <v/>
      </c>
      <c r="U72" s="907"/>
      <c r="V72" s="910"/>
      <c r="W72" s="911"/>
      <c r="X72" s="713"/>
      <c r="Y72" s="714"/>
      <c r="Z72" s="715"/>
      <c r="AA72" s="932"/>
      <c r="AB72" s="930"/>
      <c r="AC72" s="930"/>
      <c r="AD72" s="931"/>
      <c r="AE72" s="765"/>
      <c r="AF72" s="766"/>
      <c r="AG72" s="766"/>
      <c r="AH72" s="767"/>
      <c r="AI72" s="912" t="str">
        <f>IF(C72="","",INDEX(STDHVAC[Current Unit],MATCH(C72,STDHVAC[Measure Name],0)))</f>
        <v/>
      </c>
      <c r="AJ72" s="912"/>
      <c r="AK72" s="912"/>
      <c r="AL72" s="913"/>
      <c r="AM72" s="914" t="str">
        <f>IFERROR(IF(C72="","",INDEX(IF(AND(ACTIVEBONUS = TRUE,INDEX(STDHVAC[Bonus Incentive],MATCH(C72,STDHVAC[Measure Name],0))&lt;&gt; ""),STDHVAC[Bonus Incentive],STDHVAC[Base Incentive]),MATCH(C72,STDHVAC[Measure Name],0))),"")</f>
        <v/>
      </c>
      <c r="AN72" s="794"/>
      <c r="AO72" s="797" t="str">
        <f t="shared" ref="AO72" si="135">IFERROR(IF(OR(C72="",N72="",V72="",AA72="",T72="",AE72="",AG72=""),"",IF(BQ72="Deemed",AZ72,IF(BQ72="Calculated",BE72,""))),"")</f>
        <v/>
      </c>
      <c r="AP72" s="797"/>
      <c r="AQ72" s="797"/>
      <c r="AR72" s="826" t="str">
        <f t="shared" ref="AR72" si="136">IFERROR(IF(OR(C72="",N72="",V72="",AA72="",T72="",AE72="",AG72=""),"",IF(BJ72&lt;&gt;"",BJ72,IF(BS72&gt;0,BS72,ROUND(IF(AO72&lt;=0,0,MIN(AX72,BG72)), 2)))), "")</f>
        <v/>
      </c>
      <c r="AS72" s="826"/>
      <c r="AT72" s="826"/>
      <c r="AU72" s="826"/>
      <c r="AV72" s="22"/>
      <c r="AX72" s="873" t="str">
        <f t="shared" ref="AX72" si="137">IF(OR(C72="",N72="",V72="",AA72="",T72="",AE72="",AG72="",X72=""),"",IF(AO72=0,"",ROUND(AE72+AG72,2)))</f>
        <v/>
      </c>
      <c r="AY72" s="916" t="str">
        <f>IFERROR(IF(OR(C72="",N72="",V72="",AA72="",T72="",AE72="",AG72="",X72=""),"",INDEX(STDHVAC[Current Unit],MATCH(C72,STDHVAC[Measure Name],0))),"Err")</f>
        <v/>
      </c>
      <c r="AZ72" s="746" t="str">
        <f>IF(
OR(C72="",N72="",V72="",AA72="",T72="",AE72="",AG72="",X72=""),"",
IF(OR(ISNUMBER(SEARCH("PTAC",C72)),ISNUMBER(SEARCH("PTHP",C72))),
ROUND(V72*INDEX(STDHVAC[Electric Energy Savings (Annual kWh/unit)],MATCH(C72,STDHVAC[Measure Name],0)),4),
ROUND(V72*ABS(N72-L72)*INDEX(STDHVAC[Electric Energy Savings (Annual kWh/unit)],MATCH(C72,STDHVAC[Measure Name],0)),4)
))</f>
        <v/>
      </c>
      <c r="BA72" s="746" t="str">
        <f>IF(
OR(C72="",N72="",V72="",AA72="",T72="",AE72="",AG72="",X72=""),"",
IF(OR(ISNUMBER(SEARCH("PTAC",C72)),ISNUMBER(SEARCH("PTHP",C72))),
ROUND(V72*INDEX(STDHVAC[Coincident Peak Demand Savings (kW/unit)],MATCH(C72,STDHVAC[Measure Name],0)),4),
ROUND(V72* ABS(N72-L72)*INDEX(STDHVAC[Coincident Peak Demand Savings (kW/unit)],MATCH(C72,STDHVAC[Measure Name],0)),4)
))</f>
        <v/>
      </c>
      <c r="BB72" s="871"/>
      <c r="BC72" s="871"/>
      <c r="BD72" s="886" t="str">
        <f>IFERROR(IF(OR(C72="",N72="",V72="",AA72="",T72="",AE72="",AG72=""),"",INDEX(STDHVAC[End Use],MATCH(C72,STDHVAC[Measure Name],0))),"Err")</f>
        <v/>
      </c>
      <c r="BE72" s="888" t="str">
        <f>IF(C72&lt;&gt;"", _xlfn.LET(
_xlpm.Tons_Cool, V72, _xlpm.PLC_Base, L72, _xlpm.PLC_Eff, N72, _xlpm.Tons_Heat, BP72, _xlpm.Other_Base, R72, _xlpm.Other_Eff, T72,
_xlpm.EFLH_Cool,
INDEX(STDHVAC[EFLHcool],MATCH(C72,STDHVAC[Measure Name],0)),
_xlpm.EFLH_Heat,
INDEX(STDHVAC[EFLHheat],MATCH(C72,STDHVAC[Measure Name],0)),
_xlpm.ElecHeat,
INDEX(SPACEHEAT[ELECHEAT],MATCH(M02S04F22,SPACEHEAT[Space Conditioning],0)),
_xlpm.kWhCool,
ROUND(
IF(OR(ISNUMBER(SEARCH("DX", C72)),ISNUMBER(SEARCH("ASHP", C72)), ISNUMBER(SEARCH("PTAC", C72)), ISNUMBER(SEARCH("PTHP", C72)), ISNUMBER(SEARCH("Air-Cooled Chiller", C72)), ISNUMBER(SEARCH("VRF", C72))),
_xlpm.Tons_Cool * (12/_xlpm.PLC_Base - 12/_xlpm.PLC_Eff)*_xlpm.EFLH_Cool,
IF(ISNUMBER(SEARCH("Water", C72)),
_xlpm.Tons_Cool * (_xlpm.PLC_Base - _xlpm.PLC_Eff) * _xlpm.EFLH_Cool,
" "
)),4),
_xlpm.kWhHeat,
IF(
_xlpm.ElecHeat=1,
ROUND(
IF(OR(ISNUMBER(SEARCH("DX", C72)),ISNUMBER(SEARCH("PTAC", C72)), ISNUMBER(SEARCH("Air-Cooled Chiller", C72)), ISNUMBER(SEARCH("Water", C72)),
ISNUMBER(SEARCH("VRF", C72))),
0,
IF(
OR(ISNUMBER(SEARCH("ASHP", C72)), ISNUMBER(SEARCH("PTHP", C72))),
_xlpm.Tons_Heat * (1/_xlpm.Other_Base - 1/_xlpm.Other_Eff) * _xlpm.EFLH_Heat,
" "
)),4),
0
),
_xlpm.kWhCool + _xlpm.kWhHeat
), "")</f>
        <v/>
      </c>
      <c r="BF72" s="888" t="str">
        <f>IF(C72&lt;&gt;"", _xlfn.LET(
_xlpm.Tons, V72, _xlpm.PCF, 0.913,
IF(AND(ISNUMBER(SEARCH("DX",C72)),ISNUMBER(SEARCH("&lt;65 kbtu",C72))),
_xlpm.Tons * (12/11.42-12/MAX(11.42,T72))*_xlpm.PCF,
IF(OR(ISNUMBER(SEARCH("DX", C72)), ISNUMBER(SEARCH("Air-Cooled Chiller", C72)), ISNUMBER(SEARCH("VRF", C72))),
_xlpm.Tons * (12/R72 - 12/T72) * _xlpm.PCF,
IF(ISNUMBER(SEARCH("Water", C72)),
_xlpm.Tons * (R72-T72) * _xlpm.PCF,
IF(ISNUMBER(SEARCH("ASHP", C72)),
_xlpm.Tons * (12/BN72 - 12/BO72) * _xlpm.PCF,
IF(OR(ISNUMBER(SEARCH("PTAC", C72)), ISNUMBER(SEARCH("PTHP", C72))),
_xlpm.Tons * (12/L72 - 12/N72) * _xlpm.PCF,#REF!)))))), "")</f>
        <v/>
      </c>
      <c r="BG72" s="838" t="str">
        <f t="shared" si="1"/>
        <v/>
      </c>
      <c r="BH72" s="882" t="str">
        <f>IFERROR(IF(OR(C72="",N72="",V72="",AA72="",T72="",AE72="",AG72="",ISNUMBER(AR72)=FALSE,AR72=0),"",INDEX(STDHVAC[Measure Number],MATCH(C72,STDHVAC[Measure Name],0))),"Err")</f>
        <v/>
      </c>
      <c r="BI72" s="754" t="str">
        <f t="shared" ref="BI72" si="138">IFERROR(IF(BS72="",IF(AR72 &lt; BG72, "100% Total Cost", ""), ""), "")</f>
        <v/>
      </c>
      <c r="BJ72" s="882" t="str">
        <f>IFERROR(
IF(OR(C72="",N72="",T72="",V72="",AA72="",AE72="",AG72=""),
"",
IF(BS72&gt;0,"",IF(OR(AND(ISNUMBER(SEARCH("kW/ton", J72)),OR(L72&lt;=N72,R72&lt;T72)),AND(NOT(ISNUMBER(SEARCH("kW/ton", J72))),OR(L72&gt;=N72,R72&gt;T72))),
"Must Improve Efficiency",
IF(EXPIRATION&lt;&gt;"",PROJSTATEXP,"")))),
"")</f>
        <v/>
      </c>
      <c r="BK72" s="828" t="str">
        <f>IFERROR(INDEX(STDHVAC[Measure Life (Years)],MATCH(C72,STDHVAC[Measure Name],0)),"")</f>
        <v/>
      </c>
      <c r="BL72" s="884" t="str">
        <f>IFERROR(IF(OR(C72="",N72="",V72="",AA72="",T72="",AE72="",AG72=""),"",
ROUND(((1+ELOSS)*((AZ72*INDEX(ELECCB[NPV AEC $/kWh],MATCH(BK72,ELECCB[Year Number],1)))+(BA72*INDEX(ELECCB[NPV ACC $/kW],MATCH(BK72,ELECCB[Year Number],1))))),2)),0)</f>
        <v/>
      </c>
      <c r="BM72" s="918" t="str">
        <f>IFERROR(IF(INDEX(STDHVAC[Eff Unit 3],MATCH(C72,STDHVAC[Measure Name],0))="","",INDEX(STDHVAC[Eff Unit 3],MATCH(C72,STDHVAC[Measure Name],0))),"")</f>
        <v/>
      </c>
      <c r="BN72" s="880" t="str">
        <f>IFERROR(IF(INDEX(STDHVAC[Base Efficiency 3],MATCH(C72,STDHVAC[Measure Name],0))="","",INDEX(STDHVAC[Base Efficiency 3],MATCH(C72,STDHVAC[Measure Name],0))),"")</f>
        <v/>
      </c>
      <c r="BO72" s="889" t="str">
        <f t="shared" si="3"/>
        <v/>
      </c>
      <c r="BP72" s="920"/>
      <c r="BQ72" s="891" t="str">
        <f>IFERROR(IF(OR(C72="",N72="",V72="",AA72="",T72="",AE72="",AG72=""),"",INDEX(STDHVAC[Reporting Methodology],MATCH(C72,STDHVAC[Measure Name],0))),"Err")</f>
        <v/>
      </c>
      <c r="BR72" s="867" t="str">
        <f>IFERROR(IF(OR(C72="", V72=""),"",INDEX(STDHVAC[Incremental Measure Cost ($/Unit)],MATCH(C72,STDHVAC[Measure Name],0)) * V72),"Err")</f>
        <v/>
      </c>
      <c r="BS72" s="837"/>
      <c r="BT72" s="838" t="str">
        <f>_xlfn.LET(
_xlpm.IPU,
IFERROR(IF(C72="","",INDEX(STDHVAC[Base Incentive],MATCH(C72,STDHVAC[Measure Name],0))),""),
IFERROR(IF(AI72="$/ton", ROUND(V72*_xlpm.IPU, 2),
IF(AND(ISNUMBER(SEARCH("Air-Cooled Chiller",C72)),AI72="$/ton/IPLV"), ROUND((12/L72-12/N72)*V72*_xlpm.IPU, 2),
ROUND(ABS(N72-L72)*V72*_xlpm.IPU, 2))), ""))</f>
        <v/>
      </c>
    </row>
    <row r="73" spans="2:72" ht="15.95" customHeight="1">
      <c r="B73" s="806"/>
      <c r="C73" s="716"/>
      <c r="D73" s="717"/>
      <c r="E73" s="717"/>
      <c r="F73" s="717"/>
      <c r="G73" s="717"/>
      <c r="H73" s="717"/>
      <c r="I73" s="717"/>
      <c r="J73" s="894"/>
      <c r="K73" s="895"/>
      <c r="L73" s="898"/>
      <c r="M73" s="899"/>
      <c r="N73" s="900"/>
      <c r="O73" s="901"/>
      <c r="P73" s="902"/>
      <c r="Q73" s="903"/>
      <c r="R73" s="904"/>
      <c r="S73" s="905"/>
      <c r="T73" s="908"/>
      <c r="U73" s="909"/>
      <c r="V73" s="910"/>
      <c r="W73" s="911"/>
      <c r="X73" s="716"/>
      <c r="Y73" s="717"/>
      <c r="Z73" s="718"/>
      <c r="AA73" s="932"/>
      <c r="AB73" s="930"/>
      <c r="AC73" s="930"/>
      <c r="AD73" s="931"/>
      <c r="AE73" s="765"/>
      <c r="AF73" s="766"/>
      <c r="AG73" s="766"/>
      <c r="AH73" s="767"/>
      <c r="AI73" s="912"/>
      <c r="AJ73" s="912"/>
      <c r="AK73" s="912"/>
      <c r="AL73" s="913"/>
      <c r="AM73" s="915"/>
      <c r="AN73" s="796"/>
      <c r="AO73" s="798"/>
      <c r="AP73" s="798"/>
      <c r="AQ73" s="798"/>
      <c r="AR73" s="827"/>
      <c r="AS73" s="827"/>
      <c r="AT73" s="827"/>
      <c r="AU73" s="827"/>
      <c r="AV73" s="22"/>
      <c r="AX73" s="874"/>
      <c r="AY73" s="917"/>
      <c r="AZ73" s="747"/>
      <c r="BA73" s="747"/>
      <c r="BB73" s="871"/>
      <c r="BC73" s="871"/>
      <c r="BD73" s="887"/>
      <c r="BE73" s="762"/>
      <c r="BF73" s="762"/>
      <c r="BG73" s="839"/>
      <c r="BH73" s="883"/>
      <c r="BI73" s="755"/>
      <c r="BJ73" s="883"/>
      <c r="BK73" s="829"/>
      <c r="BL73" s="885"/>
      <c r="BM73" s="919"/>
      <c r="BN73" s="881"/>
      <c r="BO73" s="890"/>
      <c r="BP73" s="921"/>
      <c r="BQ73" s="891"/>
      <c r="BR73" s="867"/>
      <c r="BS73" s="837"/>
      <c r="BT73" s="839"/>
    </row>
    <row r="74" spans="2:72" ht="15.95" customHeight="1">
      <c r="B74" s="806">
        <v>29</v>
      </c>
      <c r="C74" s="713"/>
      <c r="D74" s="714"/>
      <c r="E74" s="714"/>
      <c r="F74" s="714"/>
      <c r="G74" s="714"/>
      <c r="H74" s="714"/>
      <c r="I74" s="714"/>
      <c r="J74" s="892" t="str">
        <f>IF(C74="","",INDEX(STDHVAC[Eff Unit 1],MATCH(C74,STDHVAC[Measure Name],0)))</f>
        <v/>
      </c>
      <c r="K74" s="893"/>
      <c r="L74" s="896" t="str">
        <f>IF(C74="","",INDEX(STDHVAC[Base Efficiency 1],MATCH(C74,STDHVAC[Measure Name],0)))</f>
        <v/>
      </c>
      <c r="M74" s="897"/>
      <c r="N74" s="900"/>
      <c r="O74" s="901"/>
      <c r="P74" s="894" t="str">
        <f>IF(C74="","",INDEX(STDHVAC[Eff Unit 2],MATCH(C74,STDHVAC[Measure Name],0)))</f>
        <v/>
      </c>
      <c r="Q74" s="895"/>
      <c r="R74" s="898" t="str">
        <f>IF(C74="","",INDEX(STDHVAC[Base Efficiency 2],MATCH(C74,STDHVAC[Measure Name],0)))</f>
        <v/>
      </c>
      <c r="S74" s="899"/>
      <c r="T74" s="906" t="str">
        <f t="shared" ref="T74" si="139">IF(AND(ISNUMBER(SEARCH("DX",C74)),ISNUMBER(SEARCH("&lt;65 kbtu",C74)),N74&lt;&gt;""),1.12*N74-0.02*N74^2,IF(AND(ISNUMBER(SEARCH("PTAC",C74)),N74&lt;&gt;""),1,""))</f>
        <v/>
      </c>
      <c r="U74" s="907"/>
      <c r="V74" s="910"/>
      <c r="W74" s="911"/>
      <c r="X74" s="713"/>
      <c r="Y74" s="714"/>
      <c r="Z74" s="715"/>
      <c r="AA74" s="932"/>
      <c r="AB74" s="930"/>
      <c r="AC74" s="930"/>
      <c r="AD74" s="931"/>
      <c r="AE74" s="765"/>
      <c r="AF74" s="766"/>
      <c r="AG74" s="766"/>
      <c r="AH74" s="767"/>
      <c r="AI74" s="912" t="str">
        <f>IF(C74="","",INDEX(STDHVAC[Current Unit],MATCH(C74,STDHVAC[Measure Name],0)))</f>
        <v/>
      </c>
      <c r="AJ74" s="912"/>
      <c r="AK74" s="912"/>
      <c r="AL74" s="913"/>
      <c r="AM74" s="914" t="str">
        <f>IFERROR(IF(C74="","",INDEX(IF(AND(ACTIVEBONUS = TRUE,INDEX(STDHVAC[Bonus Incentive],MATCH(C74,STDHVAC[Measure Name],0))&lt;&gt; ""),STDHVAC[Bonus Incentive],STDHVAC[Base Incentive]),MATCH(C74,STDHVAC[Measure Name],0))),"")</f>
        <v/>
      </c>
      <c r="AN74" s="794"/>
      <c r="AO74" s="797" t="str">
        <f t="shared" ref="AO74" si="140">IFERROR(IF(OR(C74="",N74="",V74="",AA74="",T74="",AE74="",AG74=""),"",IF(BQ74="Deemed",AZ74,IF(BQ74="Calculated",BE74,""))),"")</f>
        <v/>
      </c>
      <c r="AP74" s="797"/>
      <c r="AQ74" s="797"/>
      <c r="AR74" s="826" t="str">
        <f t="shared" ref="AR74" si="141">IFERROR(IF(OR(C74="",N74="",V74="",AA74="",T74="",AE74="",AG74=""),"",IF(BJ74&lt;&gt;"",BJ74,IF(BS74&gt;0,BS74,ROUND(IF(AO74&lt;=0,0,MIN(AX74,BG74)), 2)))), "")</f>
        <v/>
      </c>
      <c r="AS74" s="826"/>
      <c r="AT74" s="826"/>
      <c r="AU74" s="826"/>
      <c r="AV74" s="22"/>
      <c r="AX74" s="873" t="str">
        <f t="shared" ref="AX74" si="142">IF(OR(C74="",N74="",V74="",AA74="",T74="",AE74="",AG74="",X74=""),"",IF(AO74=0,"",ROUND(AE74+AG74,2)))</f>
        <v/>
      </c>
      <c r="AY74" s="916" t="str">
        <f>IFERROR(IF(OR(C74="",N74="",V74="",AA74="",T74="",AE74="",AG74="",X74=""),"",INDEX(STDHVAC[Current Unit],MATCH(C74,STDHVAC[Measure Name],0))),"Err")</f>
        <v/>
      </c>
      <c r="AZ74" s="746" t="str">
        <f>IF(
OR(C74="",N74="",V74="",AA74="",T74="",AE74="",AG74="",X74=""),"",
IF(OR(ISNUMBER(SEARCH("PTAC",C74)),ISNUMBER(SEARCH("PTHP",C74))),
ROUND(V74*INDEX(STDHVAC[Electric Energy Savings (Annual kWh/unit)],MATCH(C74,STDHVAC[Measure Name],0)),4),
ROUND(V74*ABS(N74-L74)*INDEX(STDHVAC[Electric Energy Savings (Annual kWh/unit)],MATCH(C74,STDHVAC[Measure Name],0)),4)
))</f>
        <v/>
      </c>
      <c r="BA74" s="746" t="str">
        <f>IF(
OR(C74="",N74="",V74="",AA74="",T74="",AE74="",AG74="",X74=""),"",
IF(OR(ISNUMBER(SEARCH("PTAC",C74)),ISNUMBER(SEARCH("PTHP",C74))),
ROUND(V74*INDEX(STDHVAC[Coincident Peak Demand Savings (kW/unit)],MATCH(C74,STDHVAC[Measure Name],0)),4),
ROUND(V74* ABS(N74-L74)*INDEX(STDHVAC[Coincident Peak Demand Savings (kW/unit)],MATCH(C74,STDHVAC[Measure Name],0)),4)
))</f>
        <v/>
      </c>
      <c r="BB74" s="871"/>
      <c r="BC74" s="871"/>
      <c r="BD74" s="886" t="str">
        <f>IFERROR(IF(OR(C74="",N74="",V74="",AA74="",T74="",AE74="",AG74=""),"",INDEX(STDHVAC[End Use],MATCH(C74,STDHVAC[Measure Name],0))),"Err")</f>
        <v/>
      </c>
      <c r="BE74" s="888" t="str">
        <f>IF(C74&lt;&gt;"", _xlfn.LET(
_xlpm.Tons_Cool, V74, _xlpm.PLC_Base, L74, _xlpm.PLC_Eff, N74, _xlpm.Tons_Heat, BP74, _xlpm.Other_Base, R74, _xlpm.Other_Eff, T74,
_xlpm.EFLH_Cool,
INDEX(STDHVAC[EFLHcool],MATCH(C74,STDHVAC[Measure Name],0)),
_xlpm.EFLH_Heat,
INDEX(STDHVAC[EFLHheat],MATCH(C74,STDHVAC[Measure Name],0)),
_xlpm.ElecHeat,
INDEX(SPACEHEAT[ELECHEAT],MATCH(M02S04F22,SPACEHEAT[Space Conditioning],0)),
_xlpm.kWhCool,
ROUND(
IF(OR(ISNUMBER(SEARCH("DX", C74)),ISNUMBER(SEARCH("ASHP", C74)), ISNUMBER(SEARCH("PTAC", C74)), ISNUMBER(SEARCH("PTHP", C74)), ISNUMBER(SEARCH("Air-Cooled Chiller", C74)), ISNUMBER(SEARCH("VRF", C74))),
_xlpm.Tons_Cool * (12/_xlpm.PLC_Base - 12/_xlpm.PLC_Eff)*_xlpm.EFLH_Cool,
IF(ISNUMBER(SEARCH("Water", C74)),
_xlpm.Tons_Cool * (_xlpm.PLC_Base - _xlpm.PLC_Eff) * _xlpm.EFLH_Cool,
" "
)),4),
_xlpm.kWhHeat,
IF(
_xlpm.ElecHeat=1,
ROUND(
IF(OR(ISNUMBER(SEARCH("DX", C74)),ISNUMBER(SEARCH("PTAC", C74)), ISNUMBER(SEARCH("Air-Cooled Chiller", C74)), ISNUMBER(SEARCH("Water", C74)),
ISNUMBER(SEARCH("VRF", C74))),
0,
IF(
OR(ISNUMBER(SEARCH("ASHP", C74)), ISNUMBER(SEARCH("PTHP", C74))),
_xlpm.Tons_Heat * (1/_xlpm.Other_Base - 1/_xlpm.Other_Eff) * _xlpm.EFLH_Heat,
" "
)),4),
0
),
_xlpm.kWhCool + _xlpm.kWhHeat
), "")</f>
        <v/>
      </c>
      <c r="BF74" s="888" t="str">
        <f>IF(C74&lt;&gt;"", _xlfn.LET(
_xlpm.Tons, V74, _xlpm.PCF, 0.913,
IF(AND(ISNUMBER(SEARCH("DX",C74)),ISNUMBER(SEARCH("&lt;65 kbtu",C74))),
_xlpm.Tons * (12/11.42-12/MAX(11.42,T74))*_xlpm.PCF,
IF(OR(ISNUMBER(SEARCH("DX", C74)), ISNUMBER(SEARCH("Air-Cooled Chiller", C74)), ISNUMBER(SEARCH("VRF", C74))),
_xlpm.Tons * (12/R74 - 12/T74) * _xlpm.PCF,
IF(ISNUMBER(SEARCH("Water", C74)),
_xlpm.Tons * (R74-T74) * _xlpm.PCF,
IF(ISNUMBER(SEARCH("ASHP", C74)),
_xlpm.Tons * (12/BN74 - 12/BO74) * _xlpm.PCF,
IF(OR(ISNUMBER(SEARCH("PTAC", C74)), ISNUMBER(SEARCH("PTHP", C74))),
_xlpm.Tons * (12/L74 - 12/N74) * _xlpm.PCF,#REF!)))))), "")</f>
        <v/>
      </c>
      <c r="BG74" s="838" t="str">
        <f t="shared" si="1"/>
        <v/>
      </c>
      <c r="BH74" s="882" t="str">
        <f>IFERROR(IF(OR(C74="",N74="",V74="",AA74="",T74="",AE74="",AG74="",ISNUMBER(AR74)=FALSE,AR74=0),"",INDEX(STDHVAC[Measure Number],MATCH(C74,STDHVAC[Measure Name],0))),"Err")</f>
        <v/>
      </c>
      <c r="BI74" s="754" t="str">
        <f t="shared" ref="BI74" si="143">IFERROR(IF(BS74="",IF(AR74 &lt; BG74, "100% Total Cost", ""), ""), "")</f>
        <v/>
      </c>
      <c r="BJ74" s="882" t="str">
        <f>IFERROR(
IF(OR(C74="",N74="",T74="",V74="",AA74="",AE74="",AG74=""),
"",
IF(BS74&gt;0,"",IF(OR(AND(ISNUMBER(SEARCH("kW/ton", J74)),OR(L74&lt;=N74,R74&lt;T74)),AND(NOT(ISNUMBER(SEARCH("kW/ton", J74))),OR(L74&gt;=N74,R74&gt;T74))),
"Must Improve Efficiency",
IF(EXPIRATION&lt;&gt;"",PROJSTATEXP,"")))),
"")</f>
        <v/>
      </c>
      <c r="BK74" s="828" t="str">
        <f>IFERROR(INDEX(STDHVAC[Measure Life (Years)],MATCH(C74,STDHVAC[Measure Name],0)),"")</f>
        <v/>
      </c>
      <c r="BL74" s="884" t="str">
        <f>IFERROR(IF(OR(C74="",N74="",V74="",AA74="",T74="",AE74="",AG74=""),"",
ROUND(((1+ELOSS)*((AZ74*INDEX(ELECCB[NPV AEC $/kWh],MATCH(BK74,ELECCB[Year Number],1)))+(BA74*INDEX(ELECCB[NPV ACC $/kW],MATCH(BK74,ELECCB[Year Number],1))))),2)),0)</f>
        <v/>
      </c>
      <c r="BM74" s="918" t="str">
        <f>IFERROR(IF(INDEX(STDHVAC[Eff Unit 3],MATCH(C74,STDHVAC[Measure Name],0))="","",INDEX(STDHVAC[Eff Unit 3],MATCH(C74,STDHVAC[Measure Name],0))),"")</f>
        <v/>
      </c>
      <c r="BN74" s="880" t="str">
        <f>IFERROR(IF(INDEX(STDHVAC[Base Efficiency 3],MATCH(C74,STDHVAC[Measure Name],0))="","",INDEX(STDHVAC[Base Efficiency 3],MATCH(C74,STDHVAC[Measure Name],0))),"")</f>
        <v/>
      </c>
      <c r="BO74" s="889" t="str">
        <f t="shared" si="3"/>
        <v/>
      </c>
      <c r="BP74" s="920"/>
      <c r="BQ74" s="891" t="str">
        <f>IFERROR(IF(OR(C74="",N74="",V74="",AA74="",T74="",AE74="",AG74=""),"",INDEX(STDHVAC[Reporting Methodology],MATCH(C74,STDHVAC[Measure Name],0))),"Err")</f>
        <v/>
      </c>
      <c r="BR74" s="867" t="str">
        <f>IFERROR(IF(OR(C74="", V74=""),"",INDEX(STDHVAC[Incremental Measure Cost ($/Unit)],MATCH(C74,STDHVAC[Measure Name],0)) * V74),"Err")</f>
        <v/>
      </c>
      <c r="BS74" s="837"/>
      <c r="BT74" s="838" t="str">
        <f>_xlfn.LET(
_xlpm.IPU,
IFERROR(IF(C74="","",INDEX(STDHVAC[Base Incentive],MATCH(C74,STDHVAC[Measure Name],0))),""),
IFERROR(IF(AI74="$/ton", ROUND(V74*_xlpm.IPU, 2),
IF(AND(ISNUMBER(SEARCH("Air-Cooled Chiller",C74)),AI74="$/ton/IPLV"), ROUND((12/L74-12/N74)*V74*_xlpm.IPU, 2),
ROUND(ABS(N74-L74)*V74*_xlpm.IPU, 2))), ""))</f>
        <v/>
      </c>
    </row>
    <row r="75" spans="2:72" ht="15.95" customHeight="1">
      <c r="B75" s="806"/>
      <c r="C75" s="716"/>
      <c r="D75" s="717"/>
      <c r="E75" s="717"/>
      <c r="F75" s="717"/>
      <c r="G75" s="717"/>
      <c r="H75" s="717"/>
      <c r="I75" s="717"/>
      <c r="J75" s="894"/>
      <c r="K75" s="895"/>
      <c r="L75" s="898"/>
      <c r="M75" s="899"/>
      <c r="N75" s="900"/>
      <c r="O75" s="901"/>
      <c r="P75" s="902"/>
      <c r="Q75" s="903"/>
      <c r="R75" s="904"/>
      <c r="S75" s="905"/>
      <c r="T75" s="908"/>
      <c r="U75" s="909"/>
      <c r="V75" s="910"/>
      <c r="W75" s="911"/>
      <c r="X75" s="716"/>
      <c r="Y75" s="717"/>
      <c r="Z75" s="718"/>
      <c r="AA75" s="932"/>
      <c r="AB75" s="930"/>
      <c r="AC75" s="930"/>
      <c r="AD75" s="931"/>
      <c r="AE75" s="765"/>
      <c r="AF75" s="766"/>
      <c r="AG75" s="766"/>
      <c r="AH75" s="767"/>
      <c r="AI75" s="912"/>
      <c r="AJ75" s="912"/>
      <c r="AK75" s="912"/>
      <c r="AL75" s="913"/>
      <c r="AM75" s="915"/>
      <c r="AN75" s="796"/>
      <c r="AO75" s="798"/>
      <c r="AP75" s="798"/>
      <c r="AQ75" s="798"/>
      <c r="AR75" s="827"/>
      <c r="AS75" s="827"/>
      <c r="AT75" s="827"/>
      <c r="AU75" s="827"/>
      <c r="AV75" s="22"/>
      <c r="AX75" s="874"/>
      <c r="AY75" s="917"/>
      <c r="AZ75" s="747"/>
      <c r="BA75" s="747"/>
      <c r="BB75" s="871"/>
      <c r="BC75" s="871"/>
      <c r="BD75" s="887"/>
      <c r="BE75" s="762"/>
      <c r="BF75" s="762"/>
      <c r="BG75" s="839"/>
      <c r="BH75" s="883"/>
      <c r="BI75" s="755"/>
      <c r="BJ75" s="883"/>
      <c r="BK75" s="829"/>
      <c r="BL75" s="885"/>
      <c r="BM75" s="919"/>
      <c r="BN75" s="881"/>
      <c r="BO75" s="890"/>
      <c r="BP75" s="921"/>
      <c r="BQ75" s="891"/>
      <c r="BR75" s="867"/>
      <c r="BS75" s="837"/>
      <c r="BT75" s="839"/>
    </row>
    <row r="76" spans="2:72" ht="15.95" customHeight="1">
      <c r="B76" s="806">
        <v>30</v>
      </c>
      <c r="C76" s="713"/>
      <c r="D76" s="714"/>
      <c r="E76" s="714"/>
      <c r="F76" s="714"/>
      <c r="G76" s="714"/>
      <c r="H76" s="714"/>
      <c r="I76" s="714"/>
      <c r="J76" s="892" t="str">
        <f>IF(C76="","",INDEX(STDHVAC[Eff Unit 1],MATCH(C76,STDHVAC[Measure Name],0)))</f>
        <v/>
      </c>
      <c r="K76" s="893"/>
      <c r="L76" s="896" t="str">
        <f>IF(C76="","",INDEX(STDHVAC[Base Efficiency 1],MATCH(C76,STDHVAC[Measure Name],0)))</f>
        <v/>
      </c>
      <c r="M76" s="897"/>
      <c r="N76" s="900"/>
      <c r="O76" s="901"/>
      <c r="P76" s="894" t="str">
        <f>IF(C76="","",INDEX(STDHVAC[Eff Unit 2],MATCH(C76,STDHVAC[Measure Name],0)))</f>
        <v/>
      </c>
      <c r="Q76" s="895"/>
      <c r="R76" s="898" t="str">
        <f>IF(C76="","",INDEX(STDHVAC[Base Efficiency 2],MATCH(C76,STDHVAC[Measure Name],0)))</f>
        <v/>
      </c>
      <c r="S76" s="899"/>
      <c r="T76" s="906" t="str">
        <f t="shared" ref="T76" si="144">IF(AND(ISNUMBER(SEARCH("DX",C76)),ISNUMBER(SEARCH("&lt;65 kbtu",C76)),N76&lt;&gt;""),1.12*N76-0.02*N76^2,IF(AND(ISNUMBER(SEARCH("PTAC",C76)),N76&lt;&gt;""),1,""))</f>
        <v/>
      </c>
      <c r="U76" s="907"/>
      <c r="V76" s="910"/>
      <c r="W76" s="911"/>
      <c r="X76" s="713"/>
      <c r="Y76" s="714"/>
      <c r="Z76" s="715"/>
      <c r="AA76" s="932"/>
      <c r="AB76" s="930"/>
      <c r="AC76" s="930"/>
      <c r="AD76" s="931"/>
      <c r="AE76" s="765"/>
      <c r="AF76" s="766"/>
      <c r="AG76" s="766"/>
      <c r="AH76" s="767"/>
      <c r="AI76" s="912" t="str">
        <f>IF(C76="","",INDEX(STDHVAC[Current Unit],MATCH(C76,STDHVAC[Measure Name],0)))</f>
        <v/>
      </c>
      <c r="AJ76" s="912"/>
      <c r="AK76" s="912"/>
      <c r="AL76" s="913"/>
      <c r="AM76" s="914" t="str">
        <f>IFERROR(IF(C76="","",INDEX(IF(AND(ACTIVEBONUS = TRUE,INDEX(STDHVAC[Bonus Incentive],MATCH(C76,STDHVAC[Measure Name],0))&lt;&gt; ""),STDHVAC[Bonus Incentive],STDHVAC[Base Incentive]),MATCH(C76,STDHVAC[Measure Name],0))),"")</f>
        <v/>
      </c>
      <c r="AN76" s="794"/>
      <c r="AO76" s="797" t="str">
        <f t="shared" ref="AO76" si="145">IFERROR(IF(OR(C76="",N76="",V76="",AA76="",T76="",AE76="",AG76=""),"",IF(BQ76="Deemed",AZ76,IF(BQ76="Calculated",BE76,""))),"")</f>
        <v/>
      </c>
      <c r="AP76" s="797"/>
      <c r="AQ76" s="797"/>
      <c r="AR76" s="826" t="str">
        <f t="shared" ref="AR76" si="146">IFERROR(IF(OR(C76="",N76="",V76="",AA76="",T76="",AE76="",AG76=""),"",IF(BJ76&lt;&gt;"",BJ76,IF(BS76&gt;0,BS76,ROUND(IF(AO76&lt;=0,0,MIN(AX76,BG76)), 2)))), "")</f>
        <v/>
      </c>
      <c r="AS76" s="826"/>
      <c r="AT76" s="826"/>
      <c r="AU76" s="826"/>
      <c r="AV76" s="22"/>
      <c r="AX76" s="873" t="str">
        <f t="shared" ref="AX76" si="147">IF(OR(C76="",N76="",V76="",AA76="",T76="",AE76="",AG76="",X76=""),"",IF(AO76=0,"",ROUND(AE76+AG76,2)))</f>
        <v/>
      </c>
      <c r="AY76" s="916" t="str">
        <f>IFERROR(IF(OR(C76="",N76="",V76="",AA76="",T76="",AE76="",AG76="",X76=""),"",INDEX(STDHVAC[Current Unit],MATCH(C76,STDHVAC[Measure Name],0))),"Err")</f>
        <v/>
      </c>
      <c r="AZ76" s="746" t="str">
        <f>IF(
OR(C76="",N76="",V76="",AA76="",T76="",AE76="",AG76="",X76=""),"",
IF(OR(ISNUMBER(SEARCH("PTAC",C76)),ISNUMBER(SEARCH("PTHP",C76))),
ROUND(V76*INDEX(STDHVAC[Electric Energy Savings (Annual kWh/unit)],MATCH(C76,STDHVAC[Measure Name],0)),4),
ROUND(V76*ABS(N76-L76)*INDEX(STDHVAC[Electric Energy Savings (Annual kWh/unit)],MATCH(C76,STDHVAC[Measure Name],0)),4)
))</f>
        <v/>
      </c>
      <c r="BA76" s="746" t="str">
        <f>IF(
OR(C76="",N76="",V76="",AA76="",T76="",AE76="",AG76="",X76=""),"",
IF(OR(ISNUMBER(SEARCH("PTAC",C76)),ISNUMBER(SEARCH("PTHP",C76))),
ROUND(V76*INDEX(STDHVAC[Coincident Peak Demand Savings (kW/unit)],MATCH(C76,STDHVAC[Measure Name],0)),4),
ROUND(V76* ABS(N76-L76)*INDEX(STDHVAC[Coincident Peak Demand Savings (kW/unit)],MATCH(C76,STDHVAC[Measure Name],0)),4)
))</f>
        <v/>
      </c>
      <c r="BB76" s="871"/>
      <c r="BC76" s="871"/>
      <c r="BD76" s="886" t="str">
        <f>IFERROR(IF(OR(C76="",N76="",V76="",AA76="",T76="",AE76="",AG76=""),"",INDEX(STDHVAC[End Use],MATCH(C76,STDHVAC[Measure Name],0))),"Err")</f>
        <v/>
      </c>
      <c r="BE76" s="888" t="str">
        <f>IF(C76&lt;&gt;"", _xlfn.LET(
_xlpm.Tons_Cool, V76, _xlpm.PLC_Base, L76, _xlpm.PLC_Eff, N76, _xlpm.Tons_Heat, BP76, _xlpm.Other_Base, R76, _xlpm.Other_Eff, T76,
_xlpm.EFLH_Cool,
INDEX(STDHVAC[EFLHcool],MATCH(C76,STDHVAC[Measure Name],0)),
_xlpm.EFLH_Heat,
INDEX(STDHVAC[EFLHheat],MATCH(C76,STDHVAC[Measure Name],0)),
_xlpm.ElecHeat,
INDEX(SPACEHEAT[ELECHEAT],MATCH(M02S04F22,SPACEHEAT[Space Conditioning],0)),
_xlpm.kWhCool,
ROUND(
IF(OR(ISNUMBER(SEARCH("DX", C76)),ISNUMBER(SEARCH("ASHP", C76)), ISNUMBER(SEARCH("PTAC", C76)), ISNUMBER(SEARCH("PTHP", C76)), ISNUMBER(SEARCH("Air-Cooled Chiller", C76)), ISNUMBER(SEARCH("VRF", C76))),
_xlpm.Tons_Cool * (12/_xlpm.PLC_Base - 12/_xlpm.PLC_Eff)*_xlpm.EFLH_Cool,
IF(ISNUMBER(SEARCH("Water", C76)),
_xlpm.Tons_Cool * (_xlpm.PLC_Base - _xlpm.PLC_Eff) * _xlpm.EFLH_Cool,
" "
)),4),
_xlpm.kWhHeat,
IF(
_xlpm.ElecHeat=1,
ROUND(
IF(OR(ISNUMBER(SEARCH("DX", C76)),ISNUMBER(SEARCH("PTAC", C76)), ISNUMBER(SEARCH("Air-Cooled Chiller", C76)), ISNUMBER(SEARCH("Water", C76)),
ISNUMBER(SEARCH("VRF", C76))),
0,
IF(
OR(ISNUMBER(SEARCH("ASHP", C76)), ISNUMBER(SEARCH("PTHP", C76))),
_xlpm.Tons_Heat * (1/_xlpm.Other_Base - 1/_xlpm.Other_Eff) * _xlpm.EFLH_Heat,
" "
)),4),
0
),
_xlpm.kWhCool + _xlpm.kWhHeat
), "")</f>
        <v/>
      </c>
      <c r="BF76" s="888" t="str">
        <f>IF(C76&lt;&gt;"", _xlfn.LET(
_xlpm.Tons, V76, _xlpm.PCF, 0.913,
IF(AND(ISNUMBER(SEARCH("DX",C76)),ISNUMBER(SEARCH("&lt;65 kbtu",C76))),
_xlpm.Tons * (12/11.42-12/MAX(11.42,T76))*_xlpm.PCF,
IF(OR(ISNUMBER(SEARCH("DX", C76)), ISNUMBER(SEARCH("Air-Cooled Chiller", C76)), ISNUMBER(SEARCH("VRF", C76))),
_xlpm.Tons * (12/R76 - 12/T76) * _xlpm.PCF,
IF(ISNUMBER(SEARCH("Water", C76)),
_xlpm.Tons * (R76-T76) * _xlpm.PCF,
IF(ISNUMBER(SEARCH("ASHP", C76)),
_xlpm.Tons * (12/BN76 - 12/BO76) * _xlpm.PCF,
IF(OR(ISNUMBER(SEARCH("PTAC", C76)), ISNUMBER(SEARCH("PTHP", C76))),
_xlpm.Tons * (12/L76 - 12/N76) * _xlpm.PCF,#REF!)))))), "")</f>
        <v/>
      </c>
      <c r="BG76" s="838" t="str">
        <f t="shared" si="1"/>
        <v/>
      </c>
      <c r="BH76" s="882" t="str">
        <f>IFERROR(IF(OR(C76="",N76="",V76="",AA76="",T76="",AE76="",AG76="",ISNUMBER(AR76)=FALSE,AR76=0),"",INDEX(STDHVAC[Measure Number],MATCH(C76,STDHVAC[Measure Name],0))),"Err")</f>
        <v/>
      </c>
      <c r="BI76" s="754" t="str">
        <f t="shared" ref="BI76" si="148">IFERROR(IF(BS76="",IF(AR76 &lt; BG76, "100% Total Cost", ""), ""), "")</f>
        <v/>
      </c>
      <c r="BJ76" s="882" t="str">
        <f>IFERROR(
IF(OR(C76="",N76="",T76="",V76="",AA76="",AE76="",AG76=""),
"",
IF(BS76&gt;0,"",IF(OR(AND(ISNUMBER(SEARCH("kW/ton", J76)),OR(L76&lt;=N76,R76&lt;T76)),AND(NOT(ISNUMBER(SEARCH("kW/ton", J76))),OR(L76&gt;=N76,R76&gt;T76))),
"Must Improve Efficiency",
IF(EXPIRATION&lt;&gt;"",PROJSTATEXP,"")))),
"")</f>
        <v/>
      </c>
      <c r="BK76" s="828" t="str">
        <f>IFERROR(INDEX(STDHVAC[Measure Life (Years)],MATCH(C76,STDHVAC[Measure Name],0)),"")</f>
        <v/>
      </c>
      <c r="BL76" s="884" t="str">
        <f>IFERROR(IF(OR(C76="",N76="",V76="",AA76="",T76="",AE76="",AG76=""),"",
ROUND(((1+ELOSS)*((AZ76*INDEX(ELECCB[NPV AEC $/kWh],MATCH(BK76,ELECCB[Year Number],1)))+(BA76*INDEX(ELECCB[NPV ACC $/kW],MATCH(BK76,ELECCB[Year Number],1))))),2)),0)</f>
        <v/>
      </c>
      <c r="BM76" s="918" t="str">
        <f>IFERROR(IF(INDEX(STDHVAC[Eff Unit 3],MATCH(C76,STDHVAC[Measure Name],0))="","",INDEX(STDHVAC[Eff Unit 3],MATCH(C76,STDHVAC[Measure Name],0))),"")</f>
        <v/>
      </c>
      <c r="BN76" s="880" t="str">
        <f>IFERROR(IF(INDEX(STDHVAC[Base Efficiency 3],MATCH(C76,STDHVAC[Measure Name],0))="","",INDEX(STDHVAC[Base Efficiency 3],MATCH(C76,STDHVAC[Measure Name],0))),"")</f>
        <v/>
      </c>
      <c r="BO76" s="889" t="str">
        <f t="shared" si="3"/>
        <v/>
      </c>
      <c r="BP76" s="920"/>
      <c r="BQ76" s="891" t="str">
        <f>IFERROR(IF(OR(C76="",N76="",V76="",AA76="",T76="",AE76="",AG76=""),"",INDEX(STDHVAC[Reporting Methodology],MATCH(C76,STDHVAC[Measure Name],0))),"Err")</f>
        <v/>
      </c>
      <c r="BR76" s="867" t="str">
        <f>IFERROR(IF(OR(C76="", V76=""),"",INDEX(STDHVAC[Incremental Measure Cost ($/Unit)],MATCH(C76,STDHVAC[Measure Name],0)) * V76),"Err")</f>
        <v/>
      </c>
      <c r="BS76" s="837"/>
      <c r="BT76" s="838" t="str">
        <f>_xlfn.LET(
_xlpm.IPU,
IFERROR(IF(C76="","",INDEX(STDHVAC[Base Incentive],MATCH(C76,STDHVAC[Measure Name],0))),""),
IFERROR(IF(AI76="$/ton", ROUND(V76*_xlpm.IPU, 2),
IF(AND(ISNUMBER(SEARCH("Air-Cooled Chiller",C76)),AI76="$/ton/IPLV"), ROUND((12/L76-12/N76)*V76*_xlpm.IPU, 2),
ROUND(ABS(N76-L76)*V76*_xlpm.IPU, 2))), ""))</f>
        <v/>
      </c>
    </row>
    <row r="77" spans="2:72" ht="15.95" customHeight="1">
      <c r="B77" s="806"/>
      <c r="C77" s="716"/>
      <c r="D77" s="717"/>
      <c r="E77" s="717"/>
      <c r="F77" s="717"/>
      <c r="G77" s="717"/>
      <c r="H77" s="717"/>
      <c r="I77" s="717"/>
      <c r="J77" s="894"/>
      <c r="K77" s="895"/>
      <c r="L77" s="898"/>
      <c r="M77" s="899"/>
      <c r="N77" s="900"/>
      <c r="O77" s="901"/>
      <c r="P77" s="902"/>
      <c r="Q77" s="903"/>
      <c r="R77" s="904"/>
      <c r="S77" s="905"/>
      <c r="T77" s="908"/>
      <c r="U77" s="909"/>
      <c r="V77" s="910"/>
      <c r="W77" s="911"/>
      <c r="X77" s="716"/>
      <c r="Y77" s="717"/>
      <c r="Z77" s="718"/>
      <c r="AA77" s="932"/>
      <c r="AB77" s="930"/>
      <c r="AC77" s="930"/>
      <c r="AD77" s="931"/>
      <c r="AE77" s="765"/>
      <c r="AF77" s="766"/>
      <c r="AG77" s="766"/>
      <c r="AH77" s="767"/>
      <c r="AI77" s="912"/>
      <c r="AJ77" s="912"/>
      <c r="AK77" s="912"/>
      <c r="AL77" s="913"/>
      <c r="AM77" s="915"/>
      <c r="AN77" s="796"/>
      <c r="AO77" s="798"/>
      <c r="AP77" s="798"/>
      <c r="AQ77" s="798"/>
      <c r="AR77" s="827"/>
      <c r="AS77" s="827"/>
      <c r="AT77" s="827"/>
      <c r="AU77" s="827"/>
      <c r="AV77" s="22"/>
      <c r="AX77" s="874"/>
      <c r="AY77" s="917"/>
      <c r="AZ77" s="747"/>
      <c r="BA77" s="747"/>
      <c r="BB77" s="871"/>
      <c r="BC77" s="871"/>
      <c r="BD77" s="887"/>
      <c r="BE77" s="762"/>
      <c r="BF77" s="762"/>
      <c r="BG77" s="839"/>
      <c r="BH77" s="883"/>
      <c r="BI77" s="755"/>
      <c r="BJ77" s="883"/>
      <c r="BK77" s="829"/>
      <c r="BL77" s="885"/>
      <c r="BM77" s="919"/>
      <c r="BN77" s="881"/>
      <c r="BO77" s="890"/>
      <c r="BP77" s="921"/>
      <c r="BQ77" s="891"/>
      <c r="BR77" s="867"/>
      <c r="BS77" s="837"/>
      <c r="BT77" s="839"/>
    </row>
    <row r="78" spans="2:72" ht="15.95" customHeight="1">
      <c r="B78" s="806">
        <v>31</v>
      </c>
      <c r="C78" s="713"/>
      <c r="D78" s="714"/>
      <c r="E78" s="714"/>
      <c r="F78" s="714"/>
      <c r="G78" s="714"/>
      <c r="H78" s="714"/>
      <c r="I78" s="714"/>
      <c r="J78" s="892" t="str">
        <f>IF(C78="","",INDEX(STDHVAC[Eff Unit 1],MATCH(C78,STDHVAC[Measure Name],0)))</f>
        <v/>
      </c>
      <c r="K78" s="893"/>
      <c r="L78" s="896" t="str">
        <f>IF(C78="","",INDEX(STDHVAC[Base Efficiency 1],MATCH(C78,STDHVAC[Measure Name],0)))</f>
        <v/>
      </c>
      <c r="M78" s="897"/>
      <c r="N78" s="900"/>
      <c r="O78" s="901"/>
      <c r="P78" s="894" t="str">
        <f>IF(C78="","",INDEX(STDHVAC[Eff Unit 2],MATCH(C78,STDHVAC[Measure Name],0)))</f>
        <v/>
      </c>
      <c r="Q78" s="895"/>
      <c r="R78" s="898" t="str">
        <f>IF(C78="","",INDEX(STDHVAC[Base Efficiency 2],MATCH(C78,STDHVAC[Measure Name],0)))</f>
        <v/>
      </c>
      <c r="S78" s="899"/>
      <c r="T78" s="906" t="str">
        <f t="shared" ref="T78" si="149">IF(AND(ISNUMBER(SEARCH("DX",C78)),ISNUMBER(SEARCH("&lt;65 kbtu",C78)),N78&lt;&gt;""),1.12*N78-0.02*N78^2,IF(AND(ISNUMBER(SEARCH("PTAC",C78)),N78&lt;&gt;""),1,""))</f>
        <v/>
      </c>
      <c r="U78" s="907"/>
      <c r="V78" s="910"/>
      <c r="W78" s="911"/>
      <c r="X78" s="713"/>
      <c r="Y78" s="714"/>
      <c r="Z78" s="715"/>
      <c r="AA78" s="932"/>
      <c r="AB78" s="930"/>
      <c r="AC78" s="930"/>
      <c r="AD78" s="931"/>
      <c r="AE78" s="765"/>
      <c r="AF78" s="766"/>
      <c r="AG78" s="766"/>
      <c r="AH78" s="767"/>
      <c r="AI78" s="912" t="str">
        <f>IF(C78="","",INDEX(STDHVAC[Current Unit],MATCH(C78,STDHVAC[Measure Name],0)))</f>
        <v/>
      </c>
      <c r="AJ78" s="912"/>
      <c r="AK78" s="912"/>
      <c r="AL78" s="913"/>
      <c r="AM78" s="914" t="str">
        <f>IFERROR(IF(C78="","",INDEX(IF(AND(ACTIVEBONUS = TRUE,INDEX(STDHVAC[Bonus Incentive],MATCH(C78,STDHVAC[Measure Name],0))&lt;&gt; ""),STDHVAC[Bonus Incentive],STDHVAC[Base Incentive]),MATCH(C78,STDHVAC[Measure Name],0))),"")</f>
        <v/>
      </c>
      <c r="AN78" s="794"/>
      <c r="AO78" s="797" t="str">
        <f t="shared" ref="AO78" si="150">IFERROR(IF(OR(C78="",N78="",V78="",AA78="",T78="",AE78="",AG78=""),"",IF(BQ78="Deemed",AZ78,IF(BQ78="Calculated",BE78,""))),"")</f>
        <v/>
      </c>
      <c r="AP78" s="797"/>
      <c r="AQ78" s="797"/>
      <c r="AR78" s="826" t="str">
        <f t="shared" ref="AR78" si="151">IFERROR(IF(OR(C78="",N78="",V78="",AA78="",T78="",AE78="",AG78=""),"",IF(BJ78&lt;&gt;"",BJ78,IF(BS78&gt;0,BS78,ROUND(IF(AO78&lt;=0,0,MIN(AX78,BG78)), 2)))), "")</f>
        <v/>
      </c>
      <c r="AS78" s="826"/>
      <c r="AT78" s="826"/>
      <c r="AU78" s="826"/>
      <c r="AV78" s="22"/>
      <c r="AX78" s="873" t="str">
        <f t="shared" ref="AX78" si="152">IF(OR(C78="",N78="",V78="",AA78="",T78="",AE78="",AG78="",X78=""),"",IF(AO78=0,"",ROUND(AE78+AG78,2)))</f>
        <v/>
      </c>
      <c r="AY78" s="916" t="str">
        <f>IFERROR(IF(OR(C78="",N78="",V78="",AA78="",T78="",AE78="",AG78="",X78=""),"",INDEX(STDHVAC[Current Unit],MATCH(C78,STDHVAC[Measure Name],0))),"Err")</f>
        <v/>
      </c>
      <c r="AZ78" s="746" t="str">
        <f>IF(
OR(C78="",N78="",V78="",AA78="",T78="",AE78="",AG78="",X78=""),"",
IF(OR(ISNUMBER(SEARCH("PTAC",C78)),ISNUMBER(SEARCH("PTHP",C78))),
ROUND(V78*INDEX(STDHVAC[Electric Energy Savings (Annual kWh/unit)],MATCH(C78,STDHVAC[Measure Name],0)),4),
ROUND(V78*ABS(N78-L78)*INDEX(STDHVAC[Electric Energy Savings (Annual kWh/unit)],MATCH(C78,STDHVAC[Measure Name],0)),4)
))</f>
        <v/>
      </c>
      <c r="BA78" s="746" t="str">
        <f>IF(
OR(C78="",N78="",V78="",AA78="",T78="",AE78="",AG78="",X78=""),"",
IF(OR(ISNUMBER(SEARCH("PTAC",C78)),ISNUMBER(SEARCH("PTHP",C78))),
ROUND(V78*INDEX(STDHVAC[Coincident Peak Demand Savings (kW/unit)],MATCH(C78,STDHVAC[Measure Name],0)),4),
ROUND(V78* ABS(N78-L78)*INDEX(STDHVAC[Coincident Peak Demand Savings (kW/unit)],MATCH(C78,STDHVAC[Measure Name],0)),4)
))</f>
        <v/>
      </c>
      <c r="BB78" s="871"/>
      <c r="BC78" s="871"/>
      <c r="BD78" s="886" t="str">
        <f>IFERROR(IF(OR(C78="",N78="",V78="",AA78="",T78="",AE78="",AG78=""),"",INDEX(STDHVAC[End Use],MATCH(C78,STDHVAC[Measure Name],0))),"Err")</f>
        <v/>
      </c>
      <c r="BE78" s="888" t="str">
        <f>IF(C78&lt;&gt;"", _xlfn.LET(
_xlpm.Tons_Cool, V78, _xlpm.PLC_Base, L78, _xlpm.PLC_Eff, N78, _xlpm.Tons_Heat, BP78, _xlpm.Other_Base, R78, _xlpm.Other_Eff, T78,
_xlpm.EFLH_Cool,
INDEX(STDHVAC[EFLHcool],MATCH(C78,STDHVAC[Measure Name],0)),
_xlpm.EFLH_Heat,
INDEX(STDHVAC[EFLHheat],MATCH(C78,STDHVAC[Measure Name],0)),
_xlpm.ElecHeat,
INDEX(SPACEHEAT[ELECHEAT],MATCH(M02S04F22,SPACEHEAT[Space Conditioning],0)),
_xlpm.kWhCool,
ROUND(
IF(OR(ISNUMBER(SEARCH("DX", C78)),ISNUMBER(SEARCH("ASHP", C78)), ISNUMBER(SEARCH("PTAC", C78)), ISNUMBER(SEARCH("PTHP", C78)), ISNUMBER(SEARCH("Air-Cooled Chiller", C78)), ISNUMBER(SEARCH("VRF", C78))),
_xlpm.Tons_Cool * (12/_xlpm.PLC_Base - 12/_xlpm.PLC_Eff)*_xlpm.EFLH_Cool,
IF(ISNUMBER(SEARCH("Water", C78)),
_xlpm.Tons_Cool * (_xlpm.PLC_Base - _xlpm.PLC_Eff) * _xlpm.EFLH_Cool,
" "
)),4),
_xlpm.kWhHeat,
IF(
_xlpm.ElecHeat=1,
ROUND(
IF(OR(ISNUMBER(SEARCH("DX", C78)),ISNUMBER(SEARCH("PTAC", C78)), ISNUMBER(SEARCH("Air-Cooled Chiller", C78)), ISNUMBER(SEARCH("Water", C78)),
ISNUMBER(SEARCH("VRF", C78))),
0,
IF(
OR(ISNUMBER(SEARCH("ASHP", C78)), ISNUMBER(SEARCH("PTHP", C78))),
_xlpm.Tons_Heat * (1/_xlpm.Other_Base - 1/_xlpm.Other_Eff) * _xlpm.EFLH_Heat,
" "
)),4),
0
),
_xlpm.kWhCool + _xlpm.kWhHeat
), "")</f>
        <v/>
      </c>
      <c r="BF78" s="888" t="str">
        <f>IF(C78&lt;&gt;"", _xlfn.LET(
_xlpm.Tons, V78, _xlpm.PCF, 0.913,
IF(AND(ISNUMBER(SEARCH("DX",C78)),ISNUMBER(SEARCH("&lt;65 kbtu",C78))),
_xlpm.Tons * (12/11.42-12/MAX(11.42,T78))*_xlpm.PCF,
IF(OR(ISNUMBER(SEARCH("DX", C78)), ISNUMBER(SEARCH("Air-Cooled Chiller", C78)), ISNUMBER(SEARCH("VRF", C78))),
_xlpm.Tons * (12/R78 - 12/T78) * _xlpm.PCF,
IF(ISNUMBER(SEARCH("Water", C78)),
_xlpm.Tons * (R78-T78) * _xlpm.PCF,
IF(ISNUMBER(SEARCH("ASHP", C78)),
_xlpm.Tons * (12/BN78 - 12/BO78) * _xlpm.PCF,
IF(OR(ISNUMBER(SEARCH("PTAC", C78)), ISNUMBER(SEARCH("PTHP", C78))),
_xlpm.Tons * (12/L78 - 12/N78) * _xlpm.PCF,#REF!)))))), "")</f>
        <v/>
      </c>
      <c r="BG78" s="838" t="str">
        <f t="shared" si="1"/>
        <v/>
      </c>
      <c r="BH78" s="882" t="str">
        <f>IFERROR(IF(OR(C78="",N78="",V78="",AA78="",T78="",AE78="",AG78="",ISNUMBER(AR78)=FALSE,AR78=0),"",INDEX(STDHVAC[Measure Number],MATCH(C78,STDHVAC[Measure Name],0))),"Err")</f>
        <v/>
      </c>
      <c r="BI78" s="754" t="str">
        <f t="shared" ref="BI78" si="153">IFERROR(IF(BS78="",IF(AR78 &lt; BG78, "100% Total Cost", ""), ""), "")</f>
        <v/>
      </c>
      <c r="BJ78" s="882" t="str">
        <f>IFERROR(
IF(OR(C78="",N78="",T78="",V78="",AA78="",AE78="",AG78=""),
"",
IF(BS78&gt;0,"",IF(OR(AND(ISNUMBER(SEARCH("kW/ton", J78)),OR(L78&lt;=N78,R78&lt;T78)),AND(NOT(ISNUMBER(SEARCH("kW/ton", J78))),OR(L78&gt;=N78,R78&gt;T78))),
"Must Improve Efficiency",
IF(EXPIRATION&lt;&gt;"",PROJSTATEXP,"")))),
"")</f>
        <v/>
      </c>
      <c r="BK78" s="828" t="str">
        <f>IFERROR(INDEX(STDHVAC[Measure Life (Years)],MATCH(C78,STDHVAC[Measure Name],0)),"")</f>
        <v/>
      </c>
      <c r="BL78" s="884" t="str">
        <f>IFERROR(IF(OR(C78="",N78="",V78="",AA78="",T78="",AE78="",AG78=""),"",
ROUND(((1+ELOSS)*((AZ78*INDEX(ELECCB[NPV AEC $/kWh],MATCH(BK78,ELECCB[Year Number],1)))+(BA78*INDEX(ELECCB[NPV ACC $/kW],MATCH(BK78,ELECCB[Year Number],1))))),2)),0)</f>
        <v/>
      </c>
      <c r="BM78" s="918" t="str">
        <f>IFERROR(IF(INDEX(STDHVAC[Eff Unit 3],MATCH(C78,STDHVAC[Measure Name],0))="","",INDEX(STDHVAC[Eff Unit 3],MATCH(C78,STDHVAC[Measure Name],0))),"")</f>
        <v/>
      </c>
      <c r="BN78" s="880" t="str">
        <f>IFERROR(IF(INDEX(STDHVAC[Base Efficiency 3],MATCH(C78,STDHVAC[Measure Name],0))="","",INDEX(STDHVAC[Base Efficiency 3],MATCH(C78,STDHVAC[Measure Name],0))),"")</f>
        <v/>
      </c>
      <c r="BO78" s="889" t="str">
        <f t="shared" si="3"/>
        <v/>
      </c>
      <c r="BP78" s="920"/>
      <c r="BQ78" s="891" t="str">
        <f>IFERROR(IF(OR(C78="",N78="",V78="",AA78="",T78="",AE78="",AG78=""),"",INDEX(STDHVAC[Reporting Methodology],MATCH(C78,STDHVAC[Measure Name],0))),"Err")</f>
        <v/>
      </c>
      <c r="BR78" s="867" t="str">
        <f>IFERROR(IF(OR(C78="", V78=""),"",INDEX(STDHVAC[Incremental Measure Cost ($/Unit)],MATCH(C78,STDHVAC[Measure Name],0)) * V78),"Err")</f>
        <v/>
      </c>
      <c r="BS78" s="837"/>
      <c r="BT78" s="838" t="str">
        <f>_xlfn.LET(
_xlpm.IPU,
IFERROR(IF(C78="","",INDEX(STDHVAC[Base Incentive],MATCH(C78,STDHVAC[Measure Name],0))),""),
IFERROR(IF(AI78="$/ton", ROUND(V78*_xlpm.IPU, 2),
IF(AND(ISNUMBER(SEARCH("Air-Cooled Chiller",C78)),AI78="$/ton/IPLV"), ROUND((12/L78-12/N78)*V78*_xlpm.IPU, 2),
ROUND(ABS(N78-L78)*V78*_xlpm.IPU, 2))), ""))</f>
        <v/>
      </c>
    </row>
    <row r="79" spans="2:72" ht="15.95" customHeight="1">
      <c r="B79" s="806"/>
      <c r="C79" s="716"/>
      <c r="D79" s="717"/>
      <c r="E79" s="717"/>
      <c r="F79" s="717"/>
      <c r="G79" s="717"/>
      <c r="H79" s="717"/>
      <c r="I79" s="717"/>
      <c r="J79" s="894"/>
      <c r="K79" s="895"/>
      <c r="L79" s="898"/>
      <c r="M79" s="899"/>
      <c r="N79" s="900"/>
      <c r="O79" s="901"/>
      <c r="P79" s="902"/>
      <c r="Q79" s="903"/>
      <c r="R79" s="904"/>
      <c r="S79" s="905"/>
      <c r="T79" s="908"/>
      <c r="U79" s="909"/>
      <c r="V79" s="910"/>
      <c r="W79" s="911"/>
      <c r="X79" s="716"/>
      <c r="Y79" s="717"/>
      <c r="Z79" s="718"/>
      <c r="AA79" s="932"/>
      <c r="AB79" s="930"/>
      <c r="AC79" s="930"/>
      <c r="AD79" s="931"/>
      <c r="AE79" s="765"/>
      <c r="AF79" s="766"/>
      <c r="AG79" s="766"/>
      <c r="AH79" s="767"/>
      <c r="AI79" s="912"/>
      <c r="AJ79" s="912"/>
      <c r="AK79" s="912"/>
      <c r="AL79" s="913"/>
      <c r="AM79" s="915"/>
      <c r="AN79" s="796"/>
      <c r="AO79" s="798"/>
      <c r="AP79" s="798"/>
      <c r="AQ79" s="798"/>
      <c r="AR79" s="827"/>
      <c r="AS79" s="827"/>
      <c r="AT79" s="827"/>
      <c r="AU79" s="827"/>
      <c r="AV79" s="22"/>
      <c r="AX79" s="874"/>
      <c r="AY79" s="917"/>
      <c r="AZ79" s="747"/>
      <c r="BA79" s="747"/>
      <c r="BB79" s="871"/>
      <c r="BC79" s="871"/>
      <c r="BD79" s="887"/>
      <c r="BE79" s="762"/>
      <c r="BF79" s="762"/>
      <c r="BG79" s="839"/>
      <c r="BH79" s="883"/>
      <c r="BI79" s="755"/>
      <c r="BJ79" s="883"/>
      <c r="BK79" s="829"/>
      <c r="BL79" s="885"/>
      <c r="BM79" s="919"/>
      <c r="BN79" s="881"/>
      <c r="BO79" s="890"/>
      <c r="BP79" s="921"/>
      <c r="BQ79" s="891"/>
      <c r="BR79" s="867"/>
      <c r="BS79" s="837"/>
      <c r="BT79" s="839"/>
    </row>
    <row r="80" spans="2:72" ht="15.95" customHeight="1">
      <c r="B80" s="806">
        <v>32</v>
      </c>
      <c r="C80" s="713"/>
      <c r="D80" s="714"/>
      <c r="E80" s="714"/>
      <c r="F80" s="714"/>
      <c r="G80" s="714"/>
      <c r="H80" s="714"/>
      <c r="I80" s="714"/>
      <c r="J80" s="892" t="str">
        <f>IF(C80="","",INDEX(STDHVAC[Eff Unit 1],MATCH(C80,STDHVAC[Measure Name],0)))</f>
        <v/>
      </c>
      <c r="K80" s="893"/>
      <c r="L80" s="896" t="str">
        <f>IF(C80="","",INDEX(STDHVAC[Base Efficiency 1],MATCH(C80,STDHVAC[Measure Name],0)))</f>
        <v/>
      </c>
      <c r="M80" s="897"/>
      <c r="N80" s="900"/>
      <c r="O80" s="901"/>
      <c r="P80" s="894" t="str">
        <f>IF(C80="","",INDEX(STDHVAC[Eff Unit 2],MATCH(C80,STDHVAC[Measure Name],0)))</f>
        <v/>
      </c>
      <c r="Q80" s="895"/>
      <c r="R80" s="898" t="str">
        <f>IF(C80="","",INDEX(STDHVAC[Base Efficiency 2],MATCH(C80,STDHVAC[Measure Name],0)))</f>
        <v/>
      </c>
      <c r="S80" s="899"/>
      <c r="T80" s="906" t="str">
        <f t="shared" ref="T80" si="154">IF(AND(ISNUMBER(SEARCH("DX",C80)),ISNUMBER(SEARCH("&lt;65 kbtu",C80)),N80&lt;&gt;""),1.12*N80-0.02*N80^2,IF(AND(ISNUMBER(SEARCH("PTAC",C80)),N80&lt;&gt;""),1,""))</f>
        <v/>
      </c>
      <c r="U80" s="907"/>
      <c r="V80" s="910"/>
      <c r="W80" s="911"/>
      <c r="X80" s="713"/>
      <c r="Y80" s="714"/>
      <c r="Z80" s="715"/>
      <c r="AA80" s="932"/>
      <c r="AB80" s="930"/>
      <c r="AC80" s="930"/>
      <c r="AD80" s="931"/>
      <c r="AE80" s="765"/>
      <c r="AF80" s="766"/>
      <c r="AG80" s="766"/>
      <c r="AH80" s="767"/>
      <c r="AI80" s="912" t="str">
        <f>IF(C80="","",INDEX(STDHVAC[Current Unit],MATCH(C80,STDHVAC[Measure Name],0)))</f>
        <v/>
      </c>
      <c r="AJ80" s="912"/>
      <c r="AK80" s="912"/>
      <c r="AL80" s="913"/>
      <c r="AM80" s="914" t="str">
        <f>IFERROR(IF(C80="","",INDEX(IF(AND(ACTIVEBONUS = TRUE,INDEX(STDHVAC[Bonus Incentive],MATCH(C80,STDHVAC[Measure Name],0))&lt;&gt; ""),STDHVAC[Bonus Incentive],STDHVAC[Base Incentive]),MATCH(C80,STDHVAC[Measure Name],0))),"")</f>
        <v/>
      </c>
      <c r="AN80" s="794"/>
      <c r="AO80" s="797" t="str">
        <f t="shared" ref="AO80" si="155">IFERROR(IF(OR(C80="",N80="",V80="",AA80="",T80="",AE80="",AG80=""),"",IF(BQ80="Deemed",AZ80,IF(BQ80="Calculated",BE80,""))),"")</f>
        <v/>
      </c>
      <c r="AP80" s="797"/>
      <c r="AQ80" s="797"/>
      <c r="AR80" s="826" t="str">
        <f t="shared" ref="AR80" si="156">IFERROR(IF(OR(C80="",N80="",V80="",AA80="",T80="",AE80="",AG80=""),"",IF(BJ80&lt;&gt;"",BJ80,IF(BS80&gt;0,BS80,ROUND(IF(AO80&lt;=0,0,MIN(AX80,BG80)), 2)))), "")</f>
        <v/>
      </c>
      <c r="AS80" s="826"/>
      <c r="AT80" s="826"/>
      <c r="AU80" s="826"/>
      <c r="AV80" s="22"/>
      <c r="AX80" s="873" t="str">
        <f t="shared" ref="AX80" si="157">IF(OR(C80="",N80="",V80="",AA80="",T80="",AE80="",AG80="",X80=""),"",IF(AO80=0,"",ROUND(AE80+AG80,2)))</f>
        <v/>
      </c>
      <c r="AY80" s="916" t="str">
        <f>IFERROR(IF(OR(C80="",N80="",V80="",AA80="",T80="",AE80="",AG80="",X80=""),"",INDEX(STDHVAC[Current Unit],MATCH(C80,STDHVAC[Measure Name],0))),"Err")</f>
        <v/>
      </c>
      <c r="AZ80" s="746" t="str">
        <f>IF(
OR(C80="",N80="",V80="",AA80="",T80="",AE80="",AG80="",X80=""),"",
IF(OR(ISNUMBER(SEARCH("PTAC",C80)),ISNUMBER(SEARCH("PTHP",C80))),
ROUND(V80*INDEX(STDHVAC[Electric Energy Savings (Annual kWh/unit)],MATCH(C80,STDHVAC[Measure Name],0)),4),
ROUND(V80*ABS(N80-L80)*INDEX(STDHVAC[Electric Energy Savings (Annual kWh/unit)],MATCH(C80,STDHVAC[Measure Name],0)),4)
))</f>
        <v/>
      </c>
      <c r="BA80" s="746" t="str">
        <f>IF(
OR(C80="",N80="",V80="",AA80="",T80="",AE80="",AG80="",X80=""),"",
IF(OR(ISNUMBER(SEARCH("PTAC",C80)),ISNUMBER(SEARCH("PTHP",C80))),
ROUND(V80*INDEX(STDHVAC[Coincident Peak Demand Savings (kW/unit)],MATCH(C80,STDHVAC[Measure Name],0)),4),
ROUND(V80* ABS(N80-L80)*INDEX(STDHVAC[Coincident Peak Demand Savings (kW/unit)],MATCH(C80,STDHVAC[Measure Name],0)),4)
))</f>
        <v/>
      </c>
      <c r="BB80" s="871"/>
      <c r="BC80" s="871"/>
      <c r="BD80" s="886" t="str">
        <f>IFERROR(IF(OR(C80="",N80="",V80="",AA80="",T80="",AE80="",AG80=""),"",INDEX(STDHVAC[End Use],MATCH(C80,STDHVAC[Measure Name],0))),"Err")</f>
        <v/>
      </c>
      <c r="BE80" s="888" t="str">
        <f>IF(C80&lt;&gt;"", _xlfn.LET(
_xlpm.Tons_Cool, V80, _xlpm.PLC_Base, L80, _xlpm.PLC_Eff, N80, _xlpm.Tons_Heat, BP80, _xlpm.Other_Base, R80, _xlpm.Other_Eff, T80,
_xlpm.EFLH_Cool,
INDEX(STDHVAC[EFLHcool],MATCH(C80,STDHVAC[Measure Name],0)),
_xlpm.EFLH_Heat,
INDEX(STDHVAC[EFLHheat],MATCH(C80,STDHVAC[Measure Name],0)),
_xlpm.ElecHeat,
INDEX(SPACEHEAT[ELECHEAT],MATCH(M02S04F22,SPACEHEAT[Space Conditioning],0)),
_xlpm.kWhCool,
ROUND(
IF(OR(ISNUMBER(SEARCH("DX", C80)),ISNUMBER(SEARCH("ASHP", C80)), ISNUMBER(SEARCH("PTAC", C80)), ISNUMBER(SEARCH("PTHP", C80)), ISNUMBER(SEARCH("Air-Cooled Chiller", C80)), ISNUMBER(SEARCH("VRF", C80))),
_xlpm.Tons_Cool * (12/_xlpm.PLC_Base - 12/_xlpm.PLC_Eff)*_xlpm.EFLH_Cool,
IF(ISNUMBER(SEARCH("Water", C80)),
_xlpm.Tons_Cool * (_xlpm.PLC_Base - _xlpm.PLC_Eff) * _xlpm.EFLH_Cool,
" "
)),4),
_xlpm.kWhHeat,
IF(
_xlpm.ElecHeat=1,
ROUND(
IF(OR(ISNUMBER(SEARCH("DX", C80)),ISNUMBER(SEARCH("PTAC", C80)), ISNUMBER(SEARCH("Air-Cooled Chiller", C80)), ISNUMBER(SEARCH("Water", C80)),
ISNUMBER(SEARCH("VRF", C80))),
0,
IF(
OR(ISNUMBER(SEARCH("ASHP", C80)), ISNUMBER(SEARCH("PTHP", C80))),
_xlpm.Tons_Heat * (1/_xlpm.Other_Base - 1/_xlpm.Other_Eff) * _xlpm.EFLH_Heat,
" "
)),4),
0
),
_xlpm.kWhCool + _xlpm.kWhHeat
), "")</f>
        <v/>
      </c>
      <c r="BF80" s="888" t="str">
        <f>IF(C80&lt;&gt;"", _xlfn.LET(
_xlpm.Tons, V80, _xlpm.PCF, 0.913,
IF(AND(ISNUMBER(SEARCH("DX",C80)),ISNUMBER(SEARCH("&lt;65 kbtu",C80))),
_xlpm.Tons * (12/11.42-12/MAX(11.42,T80))*_xlpm.PCF,
IF(OR(ISNUMBER(SEARCH("DX", C80)), ISNUMBER(SEARCH("Air-Cooled Chiller", C80)), ISNUMBER(SEARCH("VRF", C80))),
_xlpm.Tons * (12/R80 - 12/T80) * _xlpm.PCF,
IF(ISNUMBER(SEARCH("Water", C80)),
_xlpm.Tons * (R80-T80) * _xlpm.PCF,
IF(ISNUMBER(SEARCH("ASHP", C80)),
_xlpm.Tons * (12/BN80 - 12/BO80) * _xlpm.PCF,
IF(OR(ISNUMBER(SEARCH("PTAC", C80)), ISNUMBER(SEARCH("PTHP", C80))),
_xlpm.Tons * (12/L80 - 12/N80) * _xlpm.PCF,#REF!)))))), "")</f>
        <v/>
      </c>
      <c r="BG80" s="838" t="str">
        <f t="shared" si="1"/>
        <v/>
      </c>
      <c r="BH80" s="882" t="str">
        <f>IFERROR(IF(OR(C80="",N80="",V80="",AA80="",T80="",AE80="",AG80="",ISNUMBER(AR80)=FALSE,AR80=0),"",INDEX(STDHVAC[Measure Number],MATCH(C80,STDHVAC[Measure Name],0))),"Err")</f>
        <v/>
      </c>
      <c r="BI80" s="754" t="str">
        <f t="shared" ref="BI80" si="158">IFERROR(IF(BS80="",IF(AR80 &lt; BG80, "100% Total Cost", ""), ""), "")</f>
        <v/>
      </c>
      <c r="BJ80" s="882" t="str">
        <f>IFERROR(
IF(OR(C80="",N80="",T80="",V80="",AA80="",AE80="",AG80=""),
"",
IF(BS80&gt;0,"",IF(OR(AND(ISNUMBER(SEARCH("kW/ton", J80)),OR(L80&lt;=N80,R80&lt;T80)),AND(NOT(ISNUMBER(SEARCH("kW/ton", J80))),OR(L80&gt;=N80,R80&gt;T80))),
"Must Improve Efficiency",
IF(EXPIRATION&lt;&gt;"",PROJSTATEXP,"")))),
"")</f>
        <v/>
      </c>
      <c r="BK80" s="828" t="str">
        <f>IFERROR(INDEX(STDHVAC[Measure Life (Years)],MATCH(C80,STDHVAC[Measure Name],0)),"")</f>
        <v/>
      </c>
      <c r="BL80" s="884" t="str">
        <f>IFERROR(IF(OR(C80="",N80="",V80="",AA80="",T80="",AE80="",AG80=""),"",
ROUND(((1+ELOSS)*((AZ80*INDEX(ELECCB[NPV AEC $/kWh],MATCH(BK80,ELECCB[Year Number],1)))+(BA80*INDEX(ELECCB[NPV ACC $/kW],MATCH(BK80,ELECCB[Year Number],1))))),2)),0)</f>
        <v/>
      </c>
      <c r="BM80" s="918" t="str">
        <f>IFERROR(IF(INDEX(STDHVAC[Eff Unit 3],MATCH(C80,STDHVAC[Measure Name],0))="","",INDEX(STDHVAC[Eff Unit 3],MATCH(C80,STDHVAC[Measure Name],0))),"")</f>
        <v/>
      </c>
      <c r="BN80" s="880" t="str">
        <f>IFERROR(IF(INDEX(STDHVAC[Base Efficiency 3],MATCH(C80,STDHVAC[Measure Name],0))="","",INDEX(STDHVAC[Base Efficiency 3],MATCH(C80,STDHVAC[Measure Name],0))),"")</f>
        <v/>
      </c>
      <c r="BO80" s="889" t="str">
        <f t="shared" si="3"/>
        <v/>
      </c>
      <c r="BP80" s="920"/>
      <c r="BQ80" s="891" t="str">
        <f>IFERROR(IF(OR(C80="",N80="",V80="",AA80="",T80="",AE80="",AG80=""),"",INDEX(STDHVAC[Reporting Methodology],MATCH(C80,STDHVAC[Measure Name],0))),"Err")</f>
        <v/>
      </c>
      <c r="BR80" s="867" t="str">
        <f>IFERROR(IF(OR(C80="", V80=""),"",INDEX(STDHVAC[Incremental Measure Cost ($/Unit)],MATCH(C80,STDHVAC[Measure Name],0)) * V80),"Err")</f>
        <v/>
      </c>
      <c r="BS80" s="837"/>
      <c r="BT80" s="838" t="str">
        <f>_xlfn.LET(
_xlpm.IPU,
IFERROR(IF(C80="","",INDEX(STDHVAC[Base Incentive],MATCH(C80,STDHVAC[Measure Name],0))),""),
IFERROR(IF(AI80="$/ton", ROUND(V80*_xlpm.IPU, 2),
IF(AND(ISNUMBER(SEARCH("Air-Cooled Chiller",C80)),AI80="$/ton/IPLV"), ROUND((12/L80-12/N80)*V80*_xlpm.IPU, 2),
ROUND(ABS(N80-L80)*V80*_xlpm.IPU, 2))), ""))</f>
        <v/>
      </c>
    </row>
    <row r="81" spans="2:72" ht="15.95" customHeight="1">
      <c r="B81" s="806"/>
      <c r="C81" s="716"/>
      <c r="D81" s="717"/>
      <c r="E81" s="717"/>
      <c r="F81" s="717"/>
      <c r="G81" s="717"/>
      <c r="H81" s="717"/>
      <c r="I81" s="717"/>
      <c r="J81" s="894"/>
      <c r="K81" s="895"/>
      <c r="L81" s="898"/>
      <c r="M81" s="899"/>
      <c r="N81" s="900"/>
      <c r="O81" s="901"/>
      <c r="P81" s="902"/>
      <c r="Q81" s="903"/>
      <c r="R81" s="904"/>
      <c r="S81" s="905"/>
      <c r="T81" s="908"/>
      <c r="U81" s="909"/>
      <c r="V81" s="910"/>
      <c r="W81" s="911"/>
      <c r="X81" s="716"/>
      <c r="Y81" s="717"/>
      <c r="Z81" s="718"/>
      <c r="AA81" s="932"/>
      <c r="AB81" s="930"/>
      <c r="AC81" s="930"/>
      <c r="AD81" s="931"/>
      <c r="AE81" s="765"/>
      <c r="AF81" s="766"/>
      <c r="AG81" s="766"/>
      <c r="AH81" s="767"/>
      <c r="AI81" s="912"/>
      <c r="AJ81" s="912"/>
      <c r="AK81" s="912"/>
      <c r="AL81" s="913"/>
      <c r="AM81" s="915"/>
      <c r="AN81" s="796"/>
      <c r="AO81" s="798"/>
      <c r="AP81" s="798"/>
      <c r="AQ81" s="798"/>
      <c r="AR81" s="827"/>
      <c r="AS81" s="827"/>
      <c r="AT81" s="827"/>
      <c r="AU81" s="827"/>
      <c r="AV81" s="22"/>
      <c r="AX81" s="874"/>
      <c r="AY81" s="917"/>
      <c r="AZ81" s="747"/>
      <c r="BA81" s="747"/>
      <c r="BB81" s="871"/>
      <c r="BC81" s="871"/>
      <c r="BD81" s="887"/>
      <c r="BE81" s="762"/>
      <c r="BF81" s="762"/>
      <c r="BG81" s="839"/>
      <c r="BH81" s="883"/>
      <c r="BI81" s="755"/>
      <c r="BJ81" s="883"/>
      <c r="BK81" s="829"/>
      <c r="BL81" s="885"/>
      <c r="BM81" s="919"/>
      <c r="BN81" s="881"/>
      <c r="BO81" s="890"/>
      <c r="BP81" s="921"/>
      <c r="BQ81" s="891"/>
      <c r="BR81" s="867"/>
      <c r="BS81" s="837"/>
      <c r="BT81" s="839"/>
    </row>
    <row r="82" spans="2:72" ht="15.95" customHeight="1">
      <c r="B82" s="806">
        <v>33</v>
      </c>
      <c r="C82" s="713"/>
      <c r="D82" s="714"/>
      <c r="E82" s="714"/>
      <c r="F82" s="714"/>
      <c r="G82" s="714"/>
      <c r="H82" s="714"/>
      <c r="I82" s="714"/>
      <c r="J82" s="892" t="str">
        <f>IF(C82="","",INDEX(STDHVAC[Eff Unit 1],MATCH(C82,STDHVAC[Measure Name],0)))</f>
        <v/>
      </c>
      <c r="K82" s="893"/>
      <c r="L82" s="896" t="str">
        <f>IF(C82="","",INDEX(STDHVAC[Base Efficiency 1],MATCH(C82,STDHVAC[Measure Name],0)))</f>
        <v/>
      </c>
      <c r="M82" s="897"/>
      <c r="N82" s="900"/>
      <c r="O82" s="901"/>
      <c r="P82" s="894" t="str">
        <f>IF(C82="","",INDEX(STDHVAC[Eff Unit 2],MATCH(C82,STDHVAC[Measure Name],0)))</f>
        <v/>
      </c>
      <c r="Q82" s="895"/>
      <c r="R82" s="898" t="str">
        <f>IF(C82="","",INDEX(STDHVAC[Base Efficiency 2],MATCH(C82,STDHVAC[Measure Name],0)))</f>
        <v/>
      </c>
      <c r="S82" s="899"/>
      <c r="T82" s="906" t="str">
        <f t="shared" ref="T82" si="159">IF(AND(ISNUMBER(SEARCH("DX",C82)),ISNUMBER(SEARCH("&lt;65 kbtu",C82)),N82&lt;&gt;""),1.12*N82-0.02*N82^2,IF(AND(ISNUMBER(SEARCH("PTAC",C82)),N82&lt;&gt;""),1,""))</f>
        <v/>
      </c>
      <c r="U82" s="907"/>
      <c r="V82" s="910"/>
      <c r="W82" s="911"/>
      <c r="X82" s="713"/>
      <c r="Y82" s="714"/>
      <c r="Z82" s="715"/>
      <c r="AA82" s="932"/>
      <c r="AB82" s="930"/>
      <c r="AC82" s="930"/>
      <c r="AD82" s="931"/>
      <c r="AE82" s="765"/>
      <c r="AF82" s="766"/>
      <c r="AG82" s="766"/>
      <c r="AH82" s="767"/>
      <c r="AI82" s="912" t="str">
        <f>IF(C82="","",INDEX(STDHVAC[Current Unit],MATCH(C82,STDHVAC[Measure Name],0)))</f>
        <v/>
      </c>
      <c r="AJ82" s="912"/>
      <c r="AK82" s="912"/>
      <c r="AL82" s="913"/>
      <c r="AM82" s="914" t="str">
        <f>IFERROR(IF(C82="","",INDEX(IF(AND(ACTIVEBONUS = TRUE,INDEX(STDHVAC[Bonus Incentive],MATCH(C82,STDHVAC[Measure Name],0))&lt;&gt; ""),STDHVAC[Bonus Incentive],STDHVAC[Base Incentive]),MATCH(C82,STDHVAC[Measure Name],0))),"")</f>
        <v/>
      </c>
      <c r="AN82" s="794"/>
      <c r="AO82" s="797" t="str">
        <f t="shared" ref="AO82" si="160">IFERROR(IF(OR(C82="",N82="",V82="",AA82="",T82="",AE82="",AG82=""),"",IF(BQ82="Deemed",AZ82,IF(BQ82="Calculated",BE82,""))),"")</f>
        <v/>
      </c>
      <c r="AP82" s="797"/>
      <c r="AQ82" s="797"/>
      <c r="AR82" s="826" t="str">
        <f t="shared" ref="AR82" si="161">IFERROR(IF(OR(C82="",N82="",V82="",AA82="",T82="",AE82="",AG82=""),"",IF(BJ82&lt;&gt;"",BJ82,IF(BS82&gt;0,BS82,ROUND(IF(AO82&lt;=0,0,MIN(AX82,BG82)), 2)))), "")</f>
        <v/>
      </c>
      <c r="AS82" s="826"/>
      <c r="AT82" s="826"/>
      <c r="AU82" s="826"/>
      <c r="AV82" s="22"/>
      <c r="AX82" s="873" t="str">
        <f t="shared" ref="AX82" si="162">IF(OR(C82="",N82="",V82="",AA82="",T82="",AE82="",AG82="",X82=""),"",IF(AO82=0,"",ROUND(AE82+AG82,2)))</f>
        <v/>
      </c>
      <c r="AY82" s="916" t="str">
        <f>IFERROR(IF(OR(C82="",N82="",V82="",AA82="",T82="",AE82="",AG82="",X82=""),"",INDEX(STDHVAC[Current Unit],MATCH(C82,STDHVAC[Measure Name],0))),"Err")</f>
        <v/>
      </c>
      <c r="AZ82" s="746" t="str">
        <f>IF(
OR(C82="",N82="",V82="",AA82="",T82="",AE82="",AG82="",X82=""),"",
IF(OR(ISNUMBER(SEARCH("PTAC",C82)),ISNUMBER(SEARCH("PTHP",C82))),
ROUND(V82*INDEX(STDHVAC[Electric Energy Savings (Annual kWh/unit)],MATCH(C82,STDHVAC[Measure Name],0)),4),
ROUND(V82*ABS(N82-L82)*INDEX(STDHVAC[Electric Energy Savings (Annual kWh/unit)],MATCH(C82,STDHVAC[Measure Name],0)),4)
))</f>
        <v/>
      </c>
      <c r="BA82" s="746" t="str">
        <f>IF(
OR(C82="",N82="",V82="",AA82="",T82="",AE82="",AG82="",X82=""),"",
IF(OR(ISNUMBER(SEARCH("PTAC",C82)),ISNUMBER(SEARCH("PTHP",C82))),
ROUND(V82*INDEX(STDHVAC[Coincident Peak Demand Savings (kW/unit)],MATCH(C82,STDHVAC[Measure Name],0)),4),
ROUND(V82* ABS(N82-L82)*INDEX(STDHVAC[Coincident Peak Demand Savings (kW/unit)],MATCH(C82,STDHVAC[Measure Name],0)),4)
))</f>
        <v/>
      </c>
      <c r="BB82" s="871"/>
      <c r="BC82" s="871"/>
      <c r="BD82" s="886" t="str">
        <f>IFERROR(IF(OR(C82="",N82="",V82="",AA82="",T82="",AE82="",AG82=""),"",INDEX(STDHVAC[End Use],MATCH(C82,STDHVAC[Measure Name],0))),"Err")</f>
        <v/>
      </c>
      <c r="BE82" s="888" t="str">
        <f>IF(C82&lt;&gt;"", _xlfn.LET(
_xlpm.Tons_Cool, V82, _xlpm.PLC_Base, L82, _xlpm.PLC_Eff, N82, _xlpm.Tons_Heat, BP82, _xlpm.Other_Base, R82, _xlpm.Other_Eff, T82,
_xlpm.EFLH_Cool,
INDEX(STDHVAC[EFLHcool],MATCH(C82,STDHVAC[Measure Name],0)),
_xlpm.EFLH_Heat,
INDEX(STDHVAC[EFLHheat],MATCH(C82,STDHVAC[Measure Name],0)),
_xlpm.ElecHeat,
INDEX(SPACEHEAT[ELECHEAT],MATCH(M02S04F22,SPACEHEAT[Space Conditioning],0)),
_xlpm.kWhCool,
ROUND(
IF(OR(ISNUMBER(SEARCH("DX", C82)),ISNUMBER(SEARCH("ASHP", C82)), ISNUMBER(SEARCH("PTAC", C82)), ISNUMBER(SEARCH("PTHP", C82)), ISNUMBER(SEARCH("Air-Cooled Chiller", C82)), ISNUMBER(SEARCH("VRF", C82))),
_xlpm.Tons_Cool * (12/_xlpm.PLC_Base - 12/_xlpm.PLC_Eff)*_xlpm.EFLH_Cool,
IF(ISNUMBER(SEARCH("Water", C82)),
_xlpm.Tons_Cool * (_xlpm.PLC_Base - _xlpm.PLC_Eff) * _xlpm.EFLH_Cool,
" "
)),4),
_xlpm.kWhHeat,
IF(
_xlpm.ElecHeat=1,
ROUND(
IF(OR(ISNUMBER(SEARCH("DX", C82)),ISNUMBER(SEARCH("PTAC", C82)), ISNUMBER(SEARCH("Air-Cooled Chiller", C82)), ISNUMBER(SEARCH("Water", C82)),
ISNUMBER(SEARCH("VRF", C82))),
0,
IF(
OR(ISNUMBER(SEARCH("ASHP", C82)), ISNUMBER(SEARCH("PTHP", C82))),
_xlpm.Tons_Heat * (1/_xlpm.Other_Base - 1/_xlpm.Other_Eff) * _xlpm.EFLH_Heat,
" "
)),4),
0
),
_xlpm.kWhCool + _xlpm.kWhHeat
), "")</f>
        <v/>
      </c>
      <c r="BF82" s="888" t="str">
        <f>IF(C82&lt;&gt;"", _xlfn.LET(
_xlpm.Tons, V82, _xlpm.PCF, 0.913,
IF(AND(ISNUMBER(SEARCH("DX",C82)),ISNUMBER(SEARCH("&lt;65 kbtu",C82))),
_xlpm.Tons * (12/11.42-12/MAX(11.42,T82))*_xlpm.PCF,
IF(OR(ISNUMBER(SEARCH("DX", C82)), ISNUMBER(SEARCH("Air-Cooled Chiller", C82)), ISNUMBER(SEARCH("VRF", C82))),
_xlpm.Tons * (12/R82 - 12/T82) * _xlpm.PCF,
IF(ISNUMBER(SEARCH("Water", C82)),
_xlpm.Tons * (R82-T82) * _xlpm.PCF,
IF(ISNUMBER(SEARCH("ASHP", C82)),
_xlpm.Tons * (12/BN82 - 12/BO82) * _xlpm.PCF,
IF(OR(ISNUMBER(SEARCH("PTAC", C82)), ISNUMBER(SEARCH("PTHP", C82))),
_xlpm.Tons * (12/L82 - 12/N82) * _xlpm.PCF,#REF!)))))), "")</f>
        <v/>
      </c>
      <c r="BG82" s="838" t="str">
        <f t="shared" ref="BG82:BG86" si="163">IFERROR(IF(AI82="per ton", ROUND(V82*AM82, 2),
IF(AND(ISNUMBER(SEARCH("Air-Cooled Chiller",C82)),AI82="$/ton/IPLV"), ROUND((12/L82-12/N82)*V82*AM82, 2),
ROUND(ABS(N82-L82)*V82*AM82, 2))), "")</f>
        <v/>
      </c>
      <c r="BH82" s="882" t="str">
        <f>IFERROR(IF(OR(C82="",N82="",V82="",AA82="",T82="",AE82="",AG82="",ISNUMBER(AR82)=FALSE,AR82=0),"",INDEX(STDHVAC[Measure Number],MATCH(C82,STDHVAC[Measure Name],0))),"Err")</f>
        <v/>
      </c>
      <c r="BI82" s="754" t="str">
        <f t="shared" ref="BI82" si="164">IFERROR(IF(BS82="",IF(AR82 &lt; BG82, "100% Total Cost", ""), ""), "")</f>
        <v/>
      </c>
      <c r="BJ82" s="882" t="str">
        <f>IFERROR(
IF(OR(C82="",N82="",T82="",V82="",AA82="",AE82="",AG82=""),
"",
IF(BS82&gt;0,"",IF(OR(AND(ISNUMBER(SEARCH("kW/ton", J82)),OR(L82&lt;=N82,R82&lt;T82)),AND(NOT(ISNUMBER(SEARCH("kW/ton", J82))),OR(L82&gt;=N82,R82&gt;T82))),
"Must Improve Efficiency",
IF(EXPIRATION&lt;&gt;"",PROJSTATEXP,"")))),
"")</f>
        <v/>
      </c>
      <c r="BK82" s="828" t="str">
        <f>IFERROR(INDEX(STDHVAC[Measure Life (Years)],MATCH(C82,STDHVAC[Measure Name],0)),"")</f>
        <v/>
      </c>
      <c r="BL82" s="884" t="str">
        <f>IFERROR(IF(OR(C82="",N82="",V82="",AA82="",T82="",AE82="",AG82=""),"",
ROUND(((1+ELOSS)*((AZ82*INDEX(ELECCB[NPV AEC $/kWh],MATCH(BK82,ELECCB[Year Number],1)))+(BA82*INDEX(ELECCB[NPV ACC $/kW],MATCH(BK82,ELECCB[Year Number],1))))),2)),0)</f>
        <v/>
      </c>
      <c r="BM82" s="918" t="str">
        <f>IFERROR(IF(INDEX(STDHVAC[Eff Unit 3],MATCH(C82,STDHVAC[Measure Name],0))="","",INDEX(STDHVAC[Eff Unit 3],MATCH(C82,STDHVAC[Measure Name],0))),"")</f>
        <v/>
      </c>
      <c r="BN82" s="880" t="str">
        <f>IFERROR(IF(INDEX(STDHVAC[Base Efficiency 3],MATCH(C82,STDHVAC[Measure Name],0))="","",INDEX(STDHVAC[Base Efficiency 3],MATCH(C82,STDHVAC[Measure Name],0))),"")</f>
        <v/>
      </c>
      <c r="BO82" s="889" t="str">
        <f t="shared" ref="BO82:BO86" si="165">IFERROR(IF(ISNUMBER(SEARCH("Air-Cooled Chiller",$C82)),12/N82,""),"")</f>
        <v/>
      </c>
      <c r="BP82" s="920"/>
      <c r="BQ82" s="891" t="str">
        <f>IFERROR(IF(OR(C82="",N82="",V82="",AA82="",T82="",AE82="",AG82=""),"",INDEX(STDHVAC[Reporting Methodology],MATCH(C82,STDHVAC[Measure Name],0))),"Err")</f>
        <v/>
      </c>
      <c r="BR82" s="867" t="str">
        <f>IFERROR(IF(OR(C82="", V82=""),"",INDEX(STDHVAC[Incremental Measure Cost ($/Unit)],MATCH(C82,STDHVAC[Measure Name],0)) * V82),"Err")</f>
        <v/>
      </c>
      <c r="BS82" s="837"/>
      <c r="BT82" s="838" t="str">
        <f>_xlfn.LET(
_xlpm.IPU,
IFERROR(IF(C82="","",INDEX(STDHVAC[Base Incentive],MATCH(C82,STDHVAC[Measure Name],0))),""),
IFERROR(IF(AI82="$/ton", ROUND(V82*_xlpm.IPU, 2),
IF(AND(ISNUMBER(SEARCH("Air-Cooled Chiller",C82)),AI82="$/ton/IPLV"), ROUND((12/L82-12/N82)*V82*_xlpm.IPU, 2),
ROUND(ABS(N82-L82)*V82*_xlpm.IPU, 2))), ""))</f>
        <v/>
      </c>
    </row>
    <row r="83" spans="2:72" ht="15.95" customHeight="1">
      <c r="B83" s="806"/>
      <c r="C83" s="716"/>
      <c r="D83" s="717"/>
      <c r="E83" s="717"/>
      <c r="F83" s="717"/>
      <c r="G83" s="717"/>
      <c r="H83" s="717"/>
      <c r="I83" s="717"/>
      <c r="J83" s="894"/>
      <c r="K83" s="895"/>
      <c r="L83" s="898"/>
      <c r="M83" s="899"/>
      <c r="N83" s="900"/>
      <c r="O83" s="901"/>
      <c r="P83" s="902"/>
      <c r="Q83" s="903"/>
      <c r="R83" s="904"/>
      <c r="S83" s="905"/>
      <c r="T83" s="908"/>
      <c r="U83" s="909"/>
      <c r="V83" s="910"/>
      <c r="W83" s="911"/>
      <c r="X83" s="716"/>
      <c r="Y83" s="717"/>
      <c r="Z83" s="718"/>
      <c r="AA83" s="932"/>
      <c r="AB83" s="930"/>
      <c r="AC83" s="930"/>
      <c r="AD83" s="931"/>
      <c r="AE83" s="765"/>
      <c r="AF83" s="766"/>
      <c r="AG83" s="766"/>
      <c r="AH83" s="767"/>
      <c r="AI83" s="912"/>
      <c r="AJ83" s="912"/>
      <c r="AK83" s="912"/>
      <c r="AL83" s="913"/>
      <c r="AM83" s="915"/>
      <c r="AN83" s="796"/>
      <c r="AO83" s="798"/>
      <c r="AP83" s="798"/>
      <c r="AQ83" s="798"/>
      <c r="AR83" s="827"/>
      <c r="AS83" s="827"/>
      <c r="AT83" s="827"/>
      <c r="AU83" s="827"/>
      <c r="AV83" s="22"/>
      <c r="AX83" s="874"/>
      <c r="AY83" s="917"/>
      <c r="AZ83" s="747"/>
      <c r="BA83" s="747"/>
      <c r="BB83" s="871"/>
      <c r="BC83" s="871"/>
      <c r="BD83" s="887"/>
      <c r="BE83" s="762"/>
      <c r="BF83" s="762"/>
      <c r="BG83" s="839"/>
      <c r="BH83" s="883"/>
      <c r="BI83" s="755"/>
      <c r="BJ83" s="883"/>
      <c r="BK83" s="829"/>
      <c r="BL83" s="885"/>
      <c r="BM83" s="919"/>
      <c r="BN83" s="881"/>
      <c r="BO83" s="890"/>
      <c r="BP83" s="921"/>
      <c r="BQ83" s="891"/>
      <c r="BR83" s="867"/>
      <c r="BS83" s="837"/>
      <c r="BT83" s="839"/>
    </row>
    <row r="84" spans="2:72" ht="15.95" customHeight="1">
      <c r="B84" s="806">
        <v>34</v>
      </c>
      <c r="C84" s="713"/>
      <c r="D84" s="714"/>
      <c r="E84" s="714"/>
      <c r="F84" s="714"/>
      <c r="G84" s="714"/>
      <c r="H84" s="714"/>
      <c r="I84" s="714"/>
      <c r="J84" s="892" t="str">
        <f>IF(C84="","",INDEX(STDHVAC[Eff Unit 1],MATCH(C84,STDHVAC[Measure Name],0)))</f>
        <v/>
      </c>
      <c r="K84" s="893"/>
      <c r="L84" s="896" t="str">
        <f>IF(C84="","",INDEX(STDHVAC[Base Efficiency 1],MATCH(C84,STDHVAC[Measure Name],0)))</f>
        <v/>
      </c>
      <c r="M84" s="897"/>
      <c r="N84" s="900"/>
      <c r="O84" s="901"/>
      <c r="P84" s="894" t="str">
        <f>IF(C84="","",INDEX(STDHVAC[Eff Unit 2],MATCH(C84,STDHVAC[Measure Name],0)))</f>
        <v/>
      </c>
      <c r="Q84" s="895"/>
      <c r="R84" s="898" t="str">
        <f>IF(C84="","",INDEX(STDHVAC[Base Efficiency 2],MATCH(C84,STDHVAC[Measure Name],0)))</f>
        <v/>
      </c>
      <c r="S84" s="899"/>
      <c r="T84" s="906" t="str">
        <f t="shared" ref="T84" si="166">IF(AND(ISNUMBER(SEARCH("DX",C84)),ISNUMBER(SEARCH("&lt;65 kbtu",C84)),N84&lt;&gt;""),1.12*N84-0.02*N84^2,IF(AND(ISNUMBER(SEARCH("PTAC",C84)),N84&lt;&gt;""),1,""))</f>
        <v/>
      </c>
      <c r="U84" s="907"/>
      <c r="V84" s="910"/>
      <c r="W84" s="911"/>
      <c r="X84" s="713"/>
      <c r="Y84" s="714"/>
      <c r="Z84" s="715"/>
      <c r="AA84" s="932"/>
      <c r="AB84" s="930"/>
      <c r="AC84" s="930"/>
      <c r="AD84" s="931"/>
      <c r="AE84" s="765"/>
      <c r="AF84" s="766"/>
      <c r="AG84" s="766"/>
      <c r="AH84" s="767"/>
      <c r="AI84" s="912" t="str">
        <f>IF(C84="","",INDEX(STDHVAC[Current Unit],MATCH(C84,STDHVAC[Measure Name],0)))</f>
        <v/>
      </c>
      <c r="AJ84" s="912"/>
      <c r="AK84" s="912"/>
      <c r="AL84" s="913"/>
      <c r="AM84" s="914" t="str">
        <f>IFERROR(IF(C84="","",INDEX(IF(AND(ACTIVEBONUS = TRUE,INDEX(STDHVAC[Bonus Incentive],MATCH(C84,STDHVAC[Measure Name],0))&lt;&gt; ""),STDHVAC[Bonus Incentive],STDHVAC[Base Incentive]),MATCH(C84,STDHVAC[Measure Name],0))),"")</f>
        <v/>
      </c>
      <c r="AN84" s="794"/>
      <c r="AO84" s="797" t="str">
        <f t="shared" ref="AO84" si="167">IFERROR(IF(OR(C84="",N84="",V84="",AA84="",T84="",AE84="",AG84=""),"",IF(BQ84="Deemed",AZ84,IF(BQ84="Calculated",BE84,""))),"")</f>
        <v/>
      </c>
      <c r="AP84" s="797"/>
      <c r="AQ84" s="797"/>
      <c r="AR84" s="826" t="str">
        <f t="shared" ref="AR84" si="168">IFERROR(IF(OR(C84="",N84="",V84="",AA84="",T84="",AE84="",AG84=""),"",IF(BJ84&lt;&gt;"",BJ84,IF(BS84&gt;0,BS84,ROUND(IF(AO84&lt;=0,0,MIN(AX84,BG84)), 2)))), "")</f>
        <v/>
      </c>
      <c r="AS84" s="826"/>
      <c r="AT84" s="826"/>
      <c r="AU84" s="826"/>
      <c r="AV84" s="22"/>
      <c r="AX84" s="873" t="str">
        <f t="shared" ref="AX84" si="169">IF(OR(C84="",N84="",V84="",AA84="",T84="",AE84="",AG84="",X84=""),"",IF(AO84=0,"",ROUND(AE84+AG84,2)))</f>
        <v/>
      </c>
      <c r="AY84" s="916" t="str">
        <f>IFERROR(IF(OR(C84="",N84="",V84="",AA84="",T84="",AE84="",AG84="",X84=""),"",INDEX(STDHVAC[Current Unit],MATCH(C84,STDHVAC[Measure Name],0))),"Err")</f>
        <v/>
      </c>
      <c r="AZ84" s="746" t="str">
        <f>IF(
OR(C84="",N84="",V84="",AA84="",T84="",AE84="",AG84="",X84=""),"",
IF(OR(ISNUMBER(SEARCH("PTAC",C84)),ISNUMBER(SEARCH("PTHP",C84))),
ROUND(V84*INDEX(STDHVAC[Electric Energy Savings (Annual kWh/unit)],MATCH(C84,STDHVAC[Measure Name],0)),4),
ROUND(V84*ABS(N84-L84)*INDEX(STDHVAC[Electric Energy Savings (Annual kWh/unit)],MATCH(C84,STDHVAC[Measure Name],0)),4)
))</f>
        <v/>
      </c>
      <c r="BA84" s="746" t="str">
        <f>IF(
OR(C84="",N84="",V84="",AA84="",T84="",AE84="",AG84="",X84=""),"",
IF(OR(ISNUMBER(SEARCH("PTAC",C84)),ISNUMBER(SEARCH("PTHP",C84))),
ROUND(V84*INDEX(STDHVAC[Coincident Peak Demand Savings (kW/unit)],MATCH(C84,STDHVAC[Measure Name],0)),4),
ROUND(V84* ABS(N84-L84)*INDEX(STDHVAC[Coincident Peak Demand Savings (kW/unit)],MATCH(C84,STDHVAC[Measure Name],0)),4)
))</f>
        <v/>
      </c>
      <c r="BB84" s="871"/>
      <c r="BC84" s="871"/>
      <c r="BD84" s="886" t="str">
        <f>IFERROR(IF(OR(C84="",N84="",V84="",AA84="",T84="",AE84="",AG84=""),"",INDEX(STDHVAC[End Use],MATCH(C84,STDHVAC[Measure Name],0))),"Err")</f>
        <v/>
      </c>
      <c r="BE84" s="888" t="str">
        <f>IF(C84&lt;&gt;"", _xlfn.LET(
_xlpm.Tons_Cool, V84, _xlpm.PLC_Base, L84, _xlpm.PLC_Eff, N84, _xlpm.Tons_Heat, BP84, _xlpm.Other_Base, R84, _xlpm.Other_Eff, T84,
_xlpm.EFLH_Cool,
INDEX(STDHVAC[EFLHcool],MATCH(C84,STDHVAC[Measure Name],0)),
_xlpm.EFLH_Heat,
INDEX(STDHVAC[EFLHheat],MATCH(C84,STDHVAC[Measure Name],0)),
_xlpm.ElecHeat,
INDEX(SPACEHEAT[ELECHEAT],MATCH(M02S04F22,SPACEHEAT[Space Conditioning],0)),
_xlpm.kWhCool,
ROUND(
IF(OR(ISNUMBER(SEARCH("DX", C84)),ISNUMBER(SEARCH("ASHP", C84)), ISNUMBER(SEARCH("PTAC", C84)), ISNUMBER(SEARCH("PTHP", C84)), ISNUMBER(SEARCH("Air-Cooled Chiller", C84)), ISNUMBER(SEARCH("VRF", C84))),
_xlpm.Tons_Cool * (12/_xlpm.PLC_Base - 12/_xlpm.PLC_Eff)*_xlpm.EFLH_Cool,
IF(ISNUMBER(SEARCH("Water", C84)),
_xlpm.Tons_Cool * (_xlpm.PLC_Base - _xlpm.PLC_Eff) * _xlpm.EFLH_Cool,
" "
)),4),
_xlpm.kWhHeat,
IF(
_xlpm.ElecHeat=1,
ROUND(
IF(OR(ISNUMBER(SEARCH("DX", C84)),ISNUMBER(SEARCH("PTAC", C84)), ISNUMBER(SEARCH("Air-Cooled Chiller", C84)), ISNUMBER(SEARCH("Water", C84)),
ISNUMBER(SEARCH("VRF", C84))),
0,
IF(
OR(ISNUMBER(SEARCH("ASHP", C84)), ISNUMBER(SEARCH("PTHP", C84))),
_xlpm.Tons_Heat * (1/_xlpm.Other_Base - 1/_xlpm.Other_Eff) * _xlpm.EFLH_Heat,
" "
)),4),
0
),
_xlpm.kWhCool + _xlpm.kWhHeat
), "")</f>
        <v/>
      </c>
      <c r="BF84" s="888" t="str">
        <f>IF(C84&lt;&gt;"", _xlfn.LET(
_xlpm.Tons, V84, _xlpm.PCF, 0.913,
IF(AND(ISNUMBER(SEARCH("DX",C84)),ISNUMBER(SEARCH("&lt;65 kbtu",C84))),
_xlpm.Tons * (12/11.42-12/MAX(11.42,T84))*_xlpm.PCF,
IF(OR(ISNUMBER(SEARCH("DX", C84)), ISNUMBER(SEARCH("Air-Cooled Chiller", C84)), ISNUMBER(SEARCH("VRF", C84))),
_xlpm.Tons * (12/R84 - 12/T84) * _xlpm.PCF,
IF(ISNUMBER(SEARCH("Water", C84)),
_xlpm.Tons * (R84-T84) * _xlpm.PCF,
IF(ISNUMBER(SEARCH("ASHP", C84)),
_xlpm.Tons * (12/BN84 - 12/BO84) * _xlpm.PCF,
IF(OR(ISNUMBER(SEARCH("PTAC", C84)), ISNUMBER(SEARCH("PTHP", C84))),
_xlpm.Tons * (12/L84 - 12/N84) * _xlpm.PCF,#REF!)))))), "")</f>
        <v/>
      </c>
      <c r="BG84" s="838" t="str">
        <f t="shared" si="163"/>
        <v/>
      </c>
      <c r="BH84" s="882" t="str">
        <f>IFERROR(IF(OR(C84="",N84="",V84="",AA84="",T84="",AE84="",AG84="",ISNUMBER(AR84)=FALSE,AR84=0),"",INDEX(STDHVAC[Measure Number],MATCH(C84,STDHVAC[Measure Name],0))),"Err")</f>
        <v/>
      </c>
      <c r="BI84" s="754" t="str">
        <f t="shared" ref="BI84" si="170">IFERROR(IF(BS84="",IF(AR84 &lt; BG84, "100% Total Cost", ""), ""), "")</f>
        <v/>
      </c>
      <c r="BJ84" s="882" t="str">
        <f>IFERROR(
IF(OR(C84="",N84="",T84="",V84="",AA84="",AE84="",AG84=""),
"",
IF(BS84&gt;0,"",IF(OR(AND(ISNUMBER(SEARCH("kW/ton", J84)),OR(L84&lt;=N84,R84&lt;T84)),AND(NOT(ISNUMBER(SEARCH("kW/ton", J84))),OR(L84&gt;=N84,R84&gt;T84))),
"Must Improve Efficiency",
IF(EXPIRATION&lt;&gt;"",PROJSTATEXP,"")))),
"")</f>
        <v/>
      </c>
      <c r="BK84" s="828" t="str">
        <f>IFERROR(INDEX(STDHVAC[Measure Life (Years)],MATCH(C84,STDHVAC[Measure Name],0)),"")</f>
        <v/>
      </c>
      <c r="BL84" s="884" t="str">
        <f>IFERROR(IF(OR(C84="",N84="",V84="",AA84="",T84="",AE84="",AG84=""),"",
ROUND(((1+ELOSS)*((AZ84*INDEX(ELECCB[NPV AEC $/kWh],MATCH(BK84,ELECCB[Year Number],1)))+(BA84*INDEX(ELECCB[NPV ACC $/kW],MATCH(BK84,ELECCB[Year Number],1))))),2)),0)</f>
        <v/>
      </c>
      <c r="BM84" s="918" t="str">
        <f>IFERROR(IF(INDEX(STDHVAC[Eff Unit 3],MATCH(C84,STDHVAC[Measure Name],0))="","",INDEX(STDHVAC[Eff Unit 3],MATCH(C84,STDHVAC[Measure Name],0))),"")</f>
        <v/>
      </c>
      <c r="BN84" s="880" t="str">
        <f>IFERROR(IF(INDEX(STDHVAC[Base Efficiency 3],MATCH(C84,STDHVAC[Measure Name],0))="","",INDEX(STDHVAC[Base Efficiency 3],MATCH(C84,STDHVAC[Measure Name],0))),"")</f>
        <v/>
      </c>
      <c r="BO84" s="889" t="str">
        <f t="shared" si="165"/>
        <v/>
      </c>
      <c r="BP84" s="920"/>
      <c r="BQ84" s="891" t="str">
        <f>IFERROR(IF(OR(C84="",N84="",V84="",AA84="",T84="",AE84="",AG84=""),"",INDEX(STDHVAC[Reporting Methodology],MATCH(C84,STDHVAC[Measure Name],0))),"Err")</f>
        <v/>
      </c>
      <c r="BR84" s="867" t="str">
        <f>IFERROR(IF(OR(C84="", V84=""),"",INDEX(STDHVAC[Incremental Measure Cost ($/Unit)],MATCH(C84,STDHVAC[Measure Name],0)) * V84),"Err")</f>
        <v/>
      </c>
      <c r="BS84" s="837"/>
      <c r="BT84" s="838" t="str">
        <f>_xlfn.LET(
_xlpm.IPU,
IFERROR(IF(C84="","",INDEX(STDHVAC[Base Incentive],MATCH(C84,STDHVAC[Measure Name],0))),""),
IFERROR(IF(AI84="$/ton", ROUND(V84*_xlpm.IPU, 2),
IF(AND(ISNUMBER(SEARCH("Air-Cooled Chiller",C84)),AI84="$/ton/IPLV"), ROUND((12/L84-12/N84)*V84*_xlpm.IPU, 2),
ROUND(ABS(N84-L84)*V84*_xlpm.IPU, 2))), ""))</f>
        <v/>
      </c>
    </row>
    <row r="85" spans="2:72" ht="15.95" customHeight="1">
      <c r="B85" s="806"/>
      <c r="C85" s="716"/>
      <c r="D85" s="717"/>
      <c r="E85" s="717"/>
      <c r="F85" s="717"/>
      <c r="G85" s="717"/>
      <c r="H85" s="717"/>
      <c r="I85" s="717"/>
      <c r="J85" s="894"/>
      <c r="K85" s="895"/>
      <c r="L85" s="898"/>
      <c r="M85" s="899"/>
      <c r="N85" s="900"/>
      <c r="O85" s="901"/>
      <c r="P85" s="902"/>
      <c r="Q85" s="903"/>
      <c r="R85" s="904"/>
      <c r="S85" s="905"/>
      <c r="T85" s="908"/>
      <c r="U85" s="909"/>
      <c r="V85" s="910"/>
      <c r="W85" s="911"/>
      <c r="X85" s="716"/>
      <c r="Y85" s="717"/>
      <c r="Z85" s="718"/>
      <c r="AA85" s="932"/>
      <c r="AB85" s="930"/>
      <c r="AC85" s="930"/>
      <c r="AD85" s="931"/>
      <c r="AE85" s="765"/>
      <c r="AF85" s="766"/>
      <c r="AG85" s="766"/>
      <c r="AH85" s="767"/>
      <c r="AI85" s="912"/>
      <c r="AJ85" s="912"/>
      <c r="AK85" s="912"/>
      <c r="AL85" s="913"/>
      <c r="AM85" s="915"/>
      <c r="AN85" s="796"/>
      <c r="AO85" s="798"/>
      <c r="AP85" s="798"/>
      <c r="AQ85" s="798"/>
      <c r="AR85" s="827"/>
      <c r="AS85" s="827"/>
      <c r="AT85" s="827"/>
      <c r="AU85" s="827"/>
      <c r="AV85" s="22"/>
      <c r="AX85" s="874"/>
      <c r="AY85" s="917"/>
      <c r="AZ85" s="747"/>
      <c r="BA85" s="747"/>
      <c r="BB85" s="871"/>
      <c r="BC85" s="871"/>
      <c r="BD85" s="887"/>
      <c r="BE85" s="762"/>
      <c r="BF85" s="762"/>
      <c r="BG85" s="839"/>
      <c r="BH85" s="883"/>
      <c r="BI85" s="755"/>
      <c r="BJ85" s="883"/>
      <c r="BK85" s="829"/>
      <c r="BL85" s="885"/>
      <c r="BM85" s="919"/>
      <c r="BN85" s="881"/>
      <c r="BO85" s="890"/>
      <c r="BP85" s="921"/>
      <c r="BQ85" s="891"/>
      <c r="BR85" s="867"/>
      <c r="BS85" s="837"/>
      <c r="BT85" s="839"/>
    </row>
    <row r="86" spans="2:72" ht="15.95" customHeight="1">
      <c r="B86" s="806">
        <v>35</v>
      </c>
      <c r="C86" s="713"/>
      <c r="D86" s="714"/>
      <c r="E86" s="714"/>
      <c r="F86" s="714"/>
      <c r="G86" s="714"/>
      <c r="H86" s="714"/>
      <c r="I86" s="714"/>
      <c r="J86" s="892" t="str">
        <f>IF(C86="","",INDEX(STDHVAC[Eff Unit 1],MATCH(C86,STDHVAC[Measure Name],0)))</f>
        <v/>
      </c>
      <c r="K86" s="893"/>
      <c r="L86" s="896" t="str">
        <f>IF(C86="","",INDEX(STDHVAC[Base Efficiency 1],MATCH(C86,STDHVAC[Measure Name],0)))</f>
        <v/>
      </c>
      <c r="M86" s="897"/>
      <c r="N86" s="900"/>
      <c r="O86" s="901"/>
      <c r="P86" s="894" t="str">
        <f>IF(C86="","",INDEX(STDHVAC[Eff Unit 2],MATCH(C86,STDHVAC[Measure Name],0)))</f>
        <v/>
      </c>
      <c r="Q86" s="895"/>
      <c r="R86" s="898" t="str">
        <f>IF(C86="","",INDEX(STDHVAC[Base Efficiency 2],MATCH(C86,STDHVAC[Measure Name],0)))</f>
        <v/>
      </c>
      <c r="S86" s="899"/>
      <c r="T86" s="906" t="str">
        <f t="shared" ref="T86" si="171">IF(AND(ISNUMBER(SEARCH("DX",C86)),ISNUMBER(SEARCH("&lt;65 kbtu",C86)),N86&lt;&gt;""),1.12*N86-0.02*N86^2,IF(AND(ISNUMBER(SEARCH("PTAC",C86)),N86&lt;&gt;""),1,""))</f>
        <v/>
      </c>
      <c r="U86" s="907"/>
      <c r="V86" s="910"/>
      <c r="W86" s="911"/>
      <c r="X86" s="713"/>
      <c r="Y86" s="714"/>
      <c r="Z86" s="715"/>
      <c r="AA86" s="932"/>
      <c r="AB86" s="930"/>
      <c r="AC86" s="930"/>
      <c r="AD86" s="931"/>
      <c r="AE86" s="765"/>
      <c r="AF86" s="766"/>
      <c r="AG86" s="766"/>
      <c r="AH86" s="767"/>
      <c r="AI86" s="912" t="str">
        <f>IF(C86="","",INDEX(STDHVAC[Current Unit],MATCH(C86,STDHVAC[Measure Name],0)))</f>
        <v/>
      </c>
      <c r="AJ86" s="912"/>
      <c r="AK86" s="912"/>
      <c r="AL86" s="913"/>
      <c r="AM86" s="914" t="str">
        <f>IFERROR(IF(C86="","",INDEX(IF(AND(ACTIVEBONUS = TRUE,INDEX(STDHVAC[Bonus Incentive],MATCH(C86,STDHVAC[Measure Name],0))&lt;&gt; ""),STDHVAC[Bonus Incentive],STDHVAC[Base Incentive]),MATCH(C86,STDHVAC[Measure Name],0))),"")</f>
        <v/>
      </c>
      <c r="AN86" s="794"/>
      <c r="AO86" s="797" t="str">
        <f t="shared" ref="AO86" si="172">IFERROR(IF(OR(C86="",N86="",V86="",AA86="",T86="",AE86="",AG86=""),"",IF(BQ86="Deemed",AZ86,IF(BQ86="Calculated",BE86,""))),"")</f>
        <v/>
      </c>
      <c r="AP86" s="797"/>
      <c r="AQ86" s="797"/>
      <c r="AR86" s="826" t="str">
        <f t="shared" ref="AR86" si="173">IFERROR(IF(OR(C86="",N86="",V86="",AA86="",T86="",AE86="",AG86=""),"",IF(BJ86&lt;&gt;"",BJ86,IF(BS86&gt;0,BS86,ROUND(IF(AO86&lt;=0,0,MIN(AX86,BG86)), 2)))), "")</f>
        <v/>
      </c>
      <c r="AS86" s="826"/>
      <c r="AT86" s="826"/>
      <c r="AU86" s="826"/>
      <c r="AV86" s="22"/>
      <c r="AX86" s="873" t="str">
        <f t="shared" ref="AX86" si="174">IF(OR(C86="",N86="",V86="",AA86="",T86="",AE86="",AG86="",X86=""),"",IF(AO86=0,"",ROUND(AE86+AG86,2)))</f>
        <v/>
      </c>
      <c r="AY86" s="916" t="str">
        <f>IFERROR(IF(OR(C86="",N86="",V86="",AA86="",T86="",AE86="",AG86="",X86=""),"",INDEX(STDHVAC[Current Unit],MATCH(C86,STDHVAC[Measure Name],0))),"Err")</f>
        <v/>
      </c>
      <c r="AZ86" s="746" t="str">
        <f>IF(
OR(C86="",N86="",V86="",AA86="",T86="",AE86="",AG86="",X86=""),"",
IF(OR(ISNUMBER(SEARCH("PTAC",C86)),ISNUMBER(SEARCH("PTHP",C86))),
ROUND(V86*INDEX(STDHVAC[Electric Energy Savings (Annual kWh/unit)],MATCH(C86,STDHVAC[Measure Name],0)),4),
ROUND(V86*ABS(N86-L86)*INDEX(STDHVAC[Electric Energy Savings (Annual kWh/unit)],MATCH(C86,STDHVAC[Measure Name],0)),4)
))</f>
        <v/>
      </c>
      <c r="BA86" s="746" t="str">
        <f>IF(
OR(C86="",N86="",V86="",AA86="",T86="",AE86="",AG86="",X86=""),"",
IF(OR(ISNUMBER(SEARCH("PTAC",C86)),ISNUMBER(SEARCH("PTHP",C86))),
ROUND(V86*INDEX(STDHVAC[Coincident Peak Demand Savings (kW/unit)],MATCH(C86,STDHVAC[Measure Name],0)),4),
ROUND(V86* ABS(N86-L86)*INDEX(STDHVAC[Coincident Peak Demand Savings (kW/unit)],MATCH(C86,STDHVAC[Measure Name],0)),4)
))</f>
        <v/>
      </c>
      <c r="BB86" s="871"/>
      <c r="BC86" s="871"/>
      <c r="BD86" s="886" t="str">
        <f>IFERROR(IF(OR(C86="",N86="",V86="",AA86="",T86="",AE86="",AG86=""),"",INDEX(STDHVAC[End Use],MATCH(C86,STDHVAC[Measure Name],0))),"Err")</f>
        <v/>
      </c>
      <c r="BE86" s="888" t="str">
        <f>IF(C86&lt;&gt;"", _xlfn.LET(
_xlpm.Tons_Cool, V86, _xlpm.PLC_Base, L86, _xlpm.PLC_Eff, N86, _xlpm.Tons_Heat, BP86, _xlpm.Other_Base, R86, _xlpm.Other_Eff, T86,
_xlpm.EFLH_Cool,
INDEX(STDHVAC[EFLHcool],MATCH(C86,STDHVAC[Measure Name],0)),
_xlpm.EFLH_Heat,
INDEX(STDHVAC[EFLHheat],MATCH(C86,STDHVAC[Measure Name],0)),
_xlpm.ElecHeat,
INDEX(SPACEHEAT[ELECHEAT],MATCH(M02S04F22,SPACEHEAT[Space Conditioning],0)),
_xlpm.kWhCool,
ROUND(
IF(OR(ISNUMBER(SEARCH("DX", C86)),ISNUMBER(SEARCH("ASHP", C86)), ISNUMBER(SEARCH("PTAC", C86)), ISNUMBER(SEARCH("PTHP", C86)), ISNUMBER(SEARCH("Air-Cooled Chiller", C86)), ISNUMBER(SEARCH("VRF", C86))),
_xlpm.Tons_Cool * (12/_xlpm.PLC_Base - 12/_xlpm.PLC_Eff)*_xlpm.EFLH_Cool,
IF(ISNUMBER(SEARCH("Water", C86)),
_xlpm.Tons_Cool * (_xlpm.PLC_Base - _xlpm.PLC_Eff) * _xlpm.EFLH_Cool,
" "
)),4),
_xlpm.kWhHeat,
IF(
_xlpm.ElecHeat=1,
ROUND(
IF(OR(ISNUMBER(SEARCH("DX", C86)),ISNUMBER(SEARCH("PTAC", C86)), ISNUMBER(SEARCH("Air-Cooled Chiller", C86)), ISNUMBER(SEARCH("Water", C86)),
ISNUMBER(SEARCH("VRF", C86))),
0,
IF(
OR(ISNUMBER(SEARCH("ASHP", C86)), ISNUMBER(SEARCH("PTHP", C86))),
_xlpm.Tons_Heat * (1/_xlpm.Other_Base - 1/_xlpm.Other_Eff) * _xlpm.EFLH_Heat,
" "
)),4),
0
),
_xlpm.kWhCool + _xlpm.kWhHeat
), "")</f>
        <v/>
      </c>
      <c r="BF86" s="888" t="str">
        <f>IF(C86&lt;&gt;"", _xlfn.LET(
_xlpm.Tons, V86, _xlpm.PCF, 0.913,
IF(AND(ISNUMBER(SEARCH("DX",C86)),ISNUMBER(SEARCH("&lt;65 kbtu",C86))),
_xlpm.Tons * (12/11.42-12/MAX(11.42,T86))*_xlpm.PCF,
IF(OR(ISNUMBER(SEARCH("DX", C86)), ISNUMBER(SEARCH("Air-Cooled Chiller", C86)), ISNUMBER(SEARCH("VRF", C86))),
_xlpm.Tons * (12/R86 - 12/T86) * _xlpm.PCF,
IF(ISNUMBER(SEARCH("Water", C86)),
_xlpm.Tons * (R86-T86) * _xlpm.PCF,
IF(ISNUMBER(SEARCH("ASHP", C86)),
_xlpm.Tons * (12/BN86 - 12/BO86) * _xlpm.PCF,
IF(OR(ISNUMBER(SEARCH("PTAC", C86)), ISNUMBER(SEARCH("PTHP", C86))),
_xlpm.Tons * (12/L86 - 12/N86) * _xlpm.PCF,#REF!)))))), "")</f>
        <v/>
      </c>
      <c r="BG86" s="838" t="str">
        <f t="shared" si="163"/>
        <v/>
      </c>
      <c r="BH86" s="882" t="str">
        <f>IFERROR(IF(OR(C86="",N86="",V86="",AA86="",T86="",AE86="",AG86="",ISNUMBER(AR86)=FALSE,AR86=0),"",INDEX(STDHVAC[Measure Number],MATCH(C86,STDHVAC[Measure Name],0))),"Err")</f>
        <v/>
      </c>
      <c r="BI86" s="754" t="str">
        <f t="shared" ref="BI86" si="175">IFERROR(IF(BS86="",IF(AR86 &lt; BG86, "100% Total Cost", ""), ""), "")</f>
        <v/>
      </c>
      <c r="BJ86" s="882" t="str">
        <f>IFERROR(
IF(OR(C86="",N86="",T86="",V86="",AA86="",AE86="",AG86=""),
"",
IF(BS86&gt;0,"",IF(OR(AND(ISNUMBER(SEARCH("kW/ton", J86)),OR(L86&lt;=N86,R86&lt;T86)),AND(NOT(ISNUMBER(SEARCH("kW/ton", J86))),OR(L86&gt;=N86,R86&gt;T86))),
"Must Improve Efficiency",
IF(EXPIRATION&lt;&gt;"",PROJSTATEXP,"")))),
"")</f>
        <v/>
      </c>
      <c r="BK86" s="828" t="str">
        <f>IFERROR(INDEX(STDHVAC[Measure Life (Years)],MATCH(C86,STDHVAC[Measure Name],0)),"")</f>
        <v/>
      </c>
      <c r="BL86" s="884" t="str">
        <f>IFERROR(IF(OR(C86="",N86="",V86="",AA86="",T86="",AE86="",AG86=""),"",
ROUND(((1+ELOSS)*((AZ86*INDEX(ELECCB[NPV AEC $/kWh],MATCH(BK86,ELECCB[Year Number],1)))+(BA86*INDEX(ELECCB[NPV ACC $/kW],MATCH(BK86,ELECCB[Year Number],1))))),2)),0)</f>
        <v/>
      </c>
      <c r="BM86" s="918" t="str">
        <f>IFERROR(IF(INDEX(STDHVAC[Eff Unit 3],MATCH(C86,STDHVAC[Measure Name],0))="","",INDEX(STDHVAC[Eff Unit 3],MATCH(C86,STDHVAC[Measure Name],0))),"")</f>
        <v/>
      </c>
      <c r="BN86" s="880" t="str">
        <f>IFERROR(IF(INDEX(STDHVAC[Base Efficiency 3],MATCH(C86,STDHVAC[Measure Name],0))="","",INDEX(STDHVAC[Base Efficiency 3],MATCH(C86,STDHVAC[Measure Name],0))),"")</f>
        <v/>
      </c>
      <c r="BO86" s="889" t="str">
        <f t="shared" si="165"/>
        <v/>
      </c>
      <c r="BP86" s="920"/>
      <c r="BQ86" s="891" t="str">
        <f>IFERROR(IF(OR(C86="",N86="",V86="",AA86="",T86="",AE86="",AG86=""),"",INDEX(STDHVAC[Reporting Methodology],MATCH(C86,STDHVAC[Measure Name],0))),"Err")</f>
        <v/>
      </c>
      <c r="BR86" s="867" t="str">
        <f>IFERROR(IF(OR(C86="", V86=""),"",INDEX(STDHVAC[Incremental Measure Cost ($/Unit)],MATCH(C86,STDHVAC[Measure Name],0)) * V86),"Err")</f>
        <v/>
      </c>
      <c r="BS86" s="837"/>
      <c r="BT86" s="838" t="str">
        <f>_xlfn.LET(
_xlpm.IPU,
IFERROR(IF(C86="","",INDEX(STDHVAC[Base Incentive],MATCH(C86,STDHVAC[Measure Name],0))),""),
IFERROR(IF(AI86="$/ton", ROUND(V86*_xlpm.IPU, 2),
IF(AND(ISNUMBER(SEARCH("Air-Cooled Chiller",C86)),AI86="$/ton/IPLV"), ROUND((12/L86-12/N86)*V86*_xlpm.IPU, 2),
ROUND(ABS(N86-L86)*V86*_xlpm.IPU, 2))), ""))</f>
        <v/>
      </c>
    </row>
    <row r="87" spans="2:72" ht="15.95" customHeight="1">
      <c r="B87" s="806"/>
      <c r="C87" s="716"/>
      <c r="D87" s="717"/>
      <c r="E87" s="717"/>
      <c r="F87" s="717"/>
      <c r="G87" s="717"/>
      <c r="H87" s="717"/>
      <c r="I87" s="717"/>
      <c r="J87" s="894"/>
      <c r="K87" s="895"/>
      <c r="L87" s="898"/>
      <c r="M87" s="899"/>
      <c r="N87" s="900"/>
      <c r="O87" s="901"/>
      <c r="P87" s="902"/>
      <c r="Q87" s="903"/>
      <c r="R87" s="904"/>
      <c r="S87" s="905"/>
      <c r="T87" s="908"/>
      <c r="U87" s="909"/>
      <c r="V87" s="910"/>
      <c r="W87" s="911"/>
      <c r="X87" s="716"/>
      <c r="Y87" s="717"/>
      <c r="Z87" s="718"/>
      <c r="AA87" s="932"/>
      <c r="AB87" s="930"/>
      <c r="AC87" s="930"/>
      <c r="AD87" s="931"/>
      <c r="AE87" s="765"/>
      <c r="AF87" s="766"/>
      <c r="AG87" s="766"/>
      <c r="AH87" s="767"/>
      <c r="AI87" s="912"/>
      <c r="AJ87" s="912"/>
      <c r="AK87" s="912"/>
      <c r="AL87" s="913"/>
      <c r="AM87" s="915"/>
      <c r="AN87" s="796"/>
      <c r="AO87" s="798"/>
      <c r="AP87" s="798"/>
      <c r="AQ87" s="798"/>
      <c r="AR87" s="827"/>
      <c r="AS87" s="827"/>
      <c r="AT87" s="827"/>
      <c r="AU87" s="827"/>
      <c r="AV87" s="22"/>
      <c r="AX87" s="874"/>
      <c r="AY87" s="917"/>
      <c r="AZ87" s="747"/>
      <c r="BA87" s="747"/>
      <c r="BB87" s="871"/>
      <c r="BC87" s="871"/>
      <c r="BD87" s="887"/>
      <c r="BE87" s="762"/>
      <c r="BF87" s="762"/>
      <c r="BG87" s="839"/>
      <c r="BH87" s="883"/>
      <c r="BI87" s="755"/>
      <c r="BJ87" s="883"/>
      <c r="BK87" s="829"/>
      <c r="BL87" s="885"/>
      <c r="BM87" s="919"/>
      <c r="BN87" s="881"/>
      <c r="BO87" s="890"/>
      <c r="BP87" s="921"/>
      <c r="BQ87" s="891"/>
      <c r="BR87" s="867"/>
      <c r="BS87" s="837"/>
      <c r="BT87" s="839"/>
    </row>
    <row r="88" spans="2:72" ht="15.95" customHeight="1">
      <c r="BE88" s="325"/>
      <c r="BF88" s="325"/>
      <c r="BG88" s="325"/>
      <c r="BH88" s="324"/>
      <c r="BI88" s="324"/>
      <c r="BJ88" s="324"/>
      <c r="BK88" s="326"/>
      <c r="BL88" s="327"/>
      <c r="BM88" s="96"/>
      <c r="BN88" s="276"/>
      <c r="BO88" s="328"/>
    </row>
    <row r="89" spans="2:72" ht="15.95" customHeight="1">
      <c r="BE89" s="325"/>
      <c r="BF89" s="325"/>
      <c r="BG89" s="325"/>
      <c r="BH89" s="324"/>
      <c r="BI89" s="324"/>
      <c r="BJ89" s="324"/>
      <c r="BK89" s="326"/>
      <c r="BL89" s="327"/>
      <c r="BM89" s="96"/>
      <c r="BN89" s="276"/>
      <c r="BO89" s="328"/>
    </row>
    <row r="90" spans="2:72" ht="15.95" customHeight="1">
      <c r="BE90" s="325"/>
      <c r="BF90" s="325"/>
      <c r="BG90" s="325"/>
      <c r="BH90" s="324"/>
      <c r="BI90" s="324"/>
      <c r="BJ90" s="324"/>
      <c r="BK90" s="326"/>
      <c r="BL90" s="327"/>
      <c r="BM90" s="96"/>
      <c r="BN90" s="276"/>
      <c r="BO90" s="328"/>
    </row>
    <row r="91" spans="2:72" ht="15.95" customHeight="1">
      <c r="BE91" s="325"/>
      <c r="BF91" s="325"/>
      <c r="BG91" s="325"/>
      <c r="BH91" s="324"/>
      <c r="BI91" s="324"/>
      <c r="BJ91" s="324"/>
      <c r="BK91" s="326"/>
      <c r="BL91" s="327"/>
      <c r="BM91" s="96"/>
      <c r="BN91" s="276"/>
      <c r="BO91" s="328"/>
    </row>
    <row r="92" spans="2:72" ht="15.95" customHeight="1">
      <c r="BE92" s="325"/>
      <c r="BF92" s="325"/>
      <c r="BG92" s="325"/>
      <c r="BH92" s="324"/>
      <c r="BI92" s="324"/>
      <c r="BJ92" s="324"/>
      <c r="BK92" s="326"/>
      <c r="BL92" s="327"/>
      <c r="BM92" s="96"/>
      <c r="BN92" s="276"/>
      <c r="BO92" s="328"/>
    </row>
    <row r="93" spans="2:72" ht="15.95" customHeight="1">
      <c r="BE93" s="325"/>
      <c r="BF93" s="325"/>
      <c r="BG93" s="325"/>
      <c r="BH93" s="324"/>
      <c r="BI93" s="324"/>
      <c r="BJ93" s="324"/>
      <c r="BK93" s="326"/>
      <c r="BL93" s="327"/>
      <c r="BM93" s="96"/>
      <c r="BN93" s="276"/>
      <c r="BO93" s="328"/>
    </row>
    <row r="94" spans="2:72" ht="15.95" customHeight="1">
      <c r="BE94" s="325"/>
      <c r="BF94" s="325"/>
      <c r="BG94" s="325"/>
      <c r="BH94" s="324"/>
      <c r="BI94" s="324"/>
      <c r="BJ94" s="324"/>
      <c r="BK94" s="326"/>
      <c r="BL94" s="327"/>
      <c r="BM94" s="96"/>
      <c r="BN94" s="276"/>
      <c r="BO94" s="328"/>
    </row>
    <row r="95" spans="2:72" ht="15.95" customHeight="1">
      <c r="BE95" s="325"/>
      <c r="BF95" s="325"/>
      <c r="BG95" s="325"/>
      <c r="BH95" s="324"/>
      <c r="BI95" s="324"/>
      <c r="BJ95" s="324"/>
      <c r="BK95" s="326"/>
      <c r="BL95" s="327"/>
      <c r="BM95" s="96"/>
      <c r="BN95" s="276"/>
      <c r="BO95" s="328"/>
    </row>
    <row r="96" spans="2:72" ht="15.95" customHeight="1">
      <c r="BE96" s="325"/>
      <c r="BF96" s="325"/>
      <c r="BG96" s="325"/>
      <c r="BH96" s="324"/>
      <c r="BI96" s="324"/>
      <c r="BJ96" s="324"/>
      <c r="BK96" s="326"/>
      <c r="BL96" s="327"/>
      <c r="BM96" s="96"/>
      <c r="BN96" s="276"/>
      <c r="BO96" s="328"/>
    </row>
    <row r="97" spans="2:67" ht="15.95" customHeight="1">
      <c r="BE97" s="325"/>
      <c r="BF97" s="325"/>
      <c r="BG97" s="325"/>
      <c r="BH97" s="324"/>
      <c r="BI97" s="324"/>
      <c r="BJ97" s="324"/>
      <c r="BK97" s="326"/>
      <c r="BL97" s="327"/>
      <c r="BM97" s="96"/>
      <c r="BN97" s="276"/>
      <c r="BO97" s="328"/>
    </row>
    <row r="98" spans="2:67" ht="15.95" customHeight="1">
      <c r="BE98" s="325"/>
      <c r="BF98" s="325"/>
      <c r="BG98" s="325"/>
      <c r="BH98" s="324"/>
      <c r="BI98" s="324"/>
      <c r="BJ98" s="324"/>
      <c r="BK98" s="326"/>
      <c r="BL98" s="327"/>
      <c r="BM98" s="96"/>
      <c r="BN98" s="276"/>
      <c r="BO98" s="328"/>
    </row>
    <row r="99" spans="2:67" ht="15.95" customHeight="1">
      <c r="BE99" s="325"/>
      <c r="BF99" s="325"/>
      <c r="BG99" s="325"/>
      <c r="BH99" s="324"/>
      <c r="BI99" s="324"/>
      <c r="BJ99" s="324"/>
      <c r="BK99" s="326"/>
      <c r="BL99" s="327"/>
      <c r="BM99" s="96"/>
      <c r="BN99" s="276"/>
      <c r="BO99" s="328"/>
    </row>
    <row r="100" spans="2:67" ht="15.95" customHeight="1">
      <c r="B100" s="322"/>
      <c r="C100" s="322"/>
      <c r="D100" s="322"/>
      <c r="E100" s="322"/>
      <c r="F100" s="322"/>
      <c r="G100" s="323"/>
      <c r="H100" s="323"/>
      <c r="I100" s="323"/>
      <c r="J100" s="323"/>
      <c r="K100" s="323"/>
      <c r="L100" s="323"/>
      <c r="M100" s="323"/>
      <c r="BE100" s="325"/>
      <c r="BF100" s="325"/>
      <c r="BG100" s="325"/>
      <c r="BH100" s="324"/>
      <c r="BI100" s="324"/>
      <c r="BJ100" s="324"/>
      <c r="BK100" s="326"/>
      <c r="BL100" s="327"/>
      <c r="BM100" s="96"/>
      <c r="BN100" s="276"/>
      <c r="BO100" s="328"/>
    </row>
    <row r="101" spans="2:67" ht="15.95" customHeight="1">
      <c r="B101" s="322"/>
      <c r="C101" s="322"/>
      <c r="D101" s="322"/>
      <c r="E101" s="322"/>
      <c r="F101" s="322"/>
      <c r="G101" s="323"/>
      <c r="H101" s="323"/>
      <c r="I101" s="323"/>
      <c r="J101" s="323"/>
      <c r="K101" s="323"/>
      <c r="L101" s="323"/>
      <c r="M101" s="323"/>
      <c r="BE101" s="325"/>
      <c r="BF101" s="325"/>
      <c r="BG101" s="325"/>
      <c r="BH101" s="324"/>
      <c r="BI101" s="324"/>
      <c r="BJ101" s="324"/>
      <c r="BK101" s="326"/>
      <c r="BL101" s="327"/>
      <c r="BM101" s="96"/>
      <c r="BN101" s="276"/>
      <c r="BO101" s="328"/>
    </row>
    <row r="102" spans="2:67" ht="15.95" customHeight="1">
      <c r="B102" s="322"/>
      <c r="C102" s="322"/>
      <c r="D102" s="322"/>
      <c r="E102" s="322"/>
      <c r="F102" s="322"/>
      <c r="G102" s="323"/>
      <c r="H102" s="323"/>
      <c r="I102" s="323"/>
      <c r="J102" s="323"/>
      <c r="K102" s="323"/>
      <c r="L102" s="323"/>
      <c r="M102" s="323"/>
      <c r="BE102" s="325"/>
      <c r="BF102" s="325"/>
      <c r="BG102" s="325"/>
      <c r="BH102" s="324"/>
      <c r="BI102" s="324"/>
      <c r="BJ102" s="324"/>
      <c r="BK102" s="326"/>
      <c r="BL102" s="327"/>
      <c r="BM102" s="96"/>
      <c r="BN102" s="276"/>
      <c r="BO102" s="328"/>
    </row>
    <row r="103" spans="2:67" ht="15.95" customHeight="1">
      <c r="B103" s="322"/>
      <c r="C103" s="322"/>
      <c r="D103" s="322"/>
      <c r="E103" s="322"/>
      <c r="F103" s="322"/>
      <c r="G103" s="323"/>
      <c r="H103" s="323"/>
      <c r="I103" s="323"/>
      <c r="J103" s="323"/>
      <c r="K103" s="323"/>
      <c r="L103" s="323"/>
      <c r="M103" s="323"/>
      <c r="BE103" s="325"/>
      <c r="BF103" s="325"/>
      <c r="BG103" s="325"/>
      <c r="BH103" s="324"/>
      <c r="BI103" s="324"/>
      <c r="BJ103" s="324"/>
      <c r="BK103" s="326"/>
      <c r="BL103" s="327"/>
      <c r="BM103" s="96"/>
      <c r="BN103" s="276"/>
      <c r="BO103" s="328"/>
    </row>
    <row r="104" spans="2:67" ht="15.95" customHeight="1">
      <c r="B104" s="322"/>
      <c r="C104" s="322"/>
      <c r="D104" s="322"/>
      <c r="E104" s="322"/>
      <c r="F104" s="322"/>
      <c r="G104" s="323"/>
      <c r="H104" s="323"/>
      <c r="I104" s="323"/>
      <c r="J104" s="323"/>
      <c r="K104" s="323"/>
      <c r="L104" s="323"/>
      <c r="M104" s="323"/>
      <c r="BE104" s="325"/>
      <c r="BF104" s="325"/>
      <c r="BG104" s="325"/>
      <c r="BH104" s="324"/>
      <c r="BI104" s="324"/>
      <c r="BJ104" s="324"/>
      <c r="BK104" s="326"/>
      <c r="BL104" s="327"/>
      <c r="BM104" s="96"/>
      <c r="BN104" s="276"/>
      <c r="BO104" s="328"/>
    </row>
    <row r="105" spans="2:67" ht="15.95" customHeight="1">
      <c r="B105" s="322"/>
      <c r="C105" s="322"/>
      <c r="D105" s="322"/>
      <c r="E105" s="322"/>
      <c r="F105" s="322"/>
      <c r="G105" s="323"/>
      <c r="H105" s="323"/>
      <c r="I105" s="323"/>
      <c r="J105" s="323"/>
      <c r="K105" s="323"/>
      <c r="L105" s="323"/>
      <c r="M105" s="323"/>
      <c r="BE105" s="325"/>
      <c r="BF105" s="325"/>
      <c r="BG105" s="325"/>
      <c r="BH105" s="324"/>
      <c r="BI105" s="324"/>
      <c r="BJ105" s="324"/>
      <c r="BK105" s="326"/>
      <c r="BL105" s="327"/>
      <c r="BM105" s="96"/>
      <c r="BN105" s="276"/>
      <c r="BO105" s="328"/>
    </row>
    <row r="106" spans="2:67" ht="15.95" customHeight="1">
      <c r="B106" s="322"/>
      <c r="C106" s="322"/>
      <c r="D106" s="322"/>
      <c r="E106" s="322"/>
      <c r="F106" s="322"/>
      <c r="G106" s="323"/>
      <c r="H106" s="323"/>
      <c r="I106" s="323"/>
      <c r="J106" s="323"/>
      <c r="K106" s="323"/>
      <c r="L106" s="323"/>
      <c r="M106" s="323"/>
      <c r="BE106" s="325"/>
      <c r="BF106" s="325"/>
      <c r="BG106" s="325"/>
      <c r="BH106" s="324"/>
      <c r="BI106" s="324"/>
      <c r="BJ106" s="324"/>
      <c r="BK106" s="326"/>
      <c r="BL106" s="327"/>
      <c r="BM106" s="96"/>
      <c r="BN106" s="276"/>
      <c r="BO106" s="328"/>
    </row>
    <row r="107" spans="2:67" ht="15.95" customHeight="1">
      <c r="B107" s="322"/>
      <c r="C107" s="322"/>
      <c r="D107" s="322"/>
      <c r="E107" s="322"/>
      <c r="F107" s="322"/>
      <c r="G107" s="323"/>
      <c r="H107" s="323"/>
      <c r="I107" s="323"/>
      <c r="J107" s="323"/>
      <c r="K107" s="323"/>
      <c r="L107" s="323"/>
      <c r="M107" s="323"/>
      <c r="BE107" s="325"/>
      <c r="BF107" s="325"/>
      <c r="BG107" s="325"/>
      <c r="BH107" s="324"/>
      <c r="BI107" s="324"/>
      <c r="BJ107" s="324"/>
      <c r="BK107" s="326"/>
      <c r="BL107" s="327"/>
      <c r="BM107" s="96"/>
      <c r="BN107" s="276"/>
      <c r="BO107" s="328"/>
    </row>
    <row r="108" spans="2:67" ht="15.95" customHeight="1">
      <c r="B108" s="322"/>
      <c r="C108" s="322"/>
      <c r="D108" s="322"/>
      <c r="E108" s="322"/>
      <c r="F108" s="322"/>
      <c r="G108" s="323"/>
      <c r="H108" s="323"/>
      <c r="I108" s="323"/>
      <c r="J108" s="323"/>
      <c r="K108" s="323"/>
      <c r="L108" s="323"/>
      <c r="M108" s="323"/>
      <c r="BE108" s="325"/>
      <c r="BF108" s="325"/>
      <c r="BG108" s="325"/>
      <c r="BH108" s="324"/>
      <c r="BI108" s="324"/>
      <c r="BJ108" s="324"/>
      <c r="BK108" s="326"/>
      <c r="BL108" s="327"/>
      <c r="BM108" s="96"/>
      <c r="BN108" s="276"/>
      <c r="BO108" s="328"/>
    </row>
    <row r="109" spans="2:67" ht="15.95" customHeight="1">
      <c r="B109" s="322"/>
      <c r="C109" s="322"/>
      <c r="D109" s="322"/>
      <c r="E109" s="322"/>
      <c r="F109" s="322"/>
      <c r="G109" s="323"/>
      <c r="H109" s="323"/>
      <c r="I109" s="323"/>
      <c r="J109" s="323"/>
      <c r="K109" s="323"/>
      <c r="L109" s="323"/>
      <c r="M109" s="323"/>
      <c r="BE109" s="325"/>
      <c r="BF109" s="325"/>
      <c r="BG109" s="325"/>
      <c r="BH109" s="324"/>
      <c r="BI109" s="324"/>
      <c r="BJ109" s="324"/>
      <c r="BK109" s="326"/>
      <c r="BL109" s="327"/>
      <c r="BM109" s="96"/>
      <c r="BN109" s="276"/>
      <c r="BO109" s="328"/>
    </row>
    <row r="110" spans="2:67" ht="15.95" customHeight="1">
      <c r="B110" s="322"/>
      <c r="C110" s="322"/>
      <c r="D110" s="322"/>
      <c r="E110" s="322"/>
      <c r="F110" s="322"/>
      <c r="G110" s="323"/>
      <c r="H110" s="323"/>
      <c r="I110" s="323"/>
      <c r="J110" s="323"/>
      <c r="K110" s="323"/>
      <c r="L110" s="323"/>
      <c r="M110" s="323"/>
      <c r="BE110" s="325"/>
      <c r="BF110" s="325"/>
      <c r="BG110" s="325"/>
      <c r="BH110" s="324"/>
      <c r="BI110" s="324"/>
      <c r="BJ110" s="324"/>
      <c r="BK110" s="326"/>
      <c r="BL110" s="327"/>
      <c r="BM110" s="96"/>
      <c r="BN110" s="276"/>
      <c r="BO110" s="328"/>
    </row>
    <row r="111" spans="2:67" ht="15.95" customHeight="1">
      <c r="B111" s="322"/>
      <c r="C111" s="322"/>
      <c r="D111" s="322"/>
      <c r="E111" s="322"/>
      <c r="F111" s="322"/>
      <c r="G111" s="323"/>
      <c r="H111" s="323"/>
      <c r="I111" s="323"/>
      <c r="J111" s="323"/>
      <c r="K111" s="323"/>
      <c r="L111" s="323"/>
      <c r="M111" s="323"/>
      <c r="BE111" s="325"/>
      <c r="BF111" s="325"/>
      <c r="BG111" s="325"/>
      <c r="BH111" s="324"/>
      <c r="BI111" s="324"/>
      <c r="BJ111" s="324"/>
      <c r="BK111" s="326"/>
      <c r="BL111" s="327"/>
      <c r="BM111" s="96"/>
      <c r="BN111" s="276"/>
      <c r="BO111" s="328"/>
    </row>
    <row r="112" spans="2:67" ht="15.95" customHeight="1">
      <c r="B112" s="322"/>
      <c r="C112" s="322"/>
      <c r="D112" s="322"/>
      <c r="E112" s="322"/>
      <c r="F112" s="322"/>
      <c r="G112" s="323"/>
      <c r="H112" s="323"/>
      <c r="I112" s="323"/>
      <c r="J112" s="323"/>
      <c r="K112" s="323"/>
      <c r="L112" s="323"/>
      <c r="M112" s="323"/>
      <c r="BE112" s="325"/>
      <c r="BF112" s="325"/>
      <c r="BG112" s="325"/>
      <c r="BH112" s="324"/>
      <c r="BI112" s="324"/>
      <c r="BJ112" s="324"/>
      <c r="BK112" s="326"/>
      <c r="BL112" s="327"/>
      <c r="BM112" s="96"/>
      <c r="BN112" s="276"/>
      <c r="BO112" s="328"/>
    </row>
    <row r="113" spans="2:67" ht="15.95" customHeight="1">
      <c r="B113" s="322"/>
      <c r="C113" s="322"/>
      <c r="D113" s="322"/>
      <c r="E113" s="322"/>
      <c r="F113" s="322"/>
      <c r="G113" s="323"/>
      <c r="H113" s="323"/>
      <c r="I113" s="323"/>
      <c r="J113" s="323"/>
      <c r="K113" s="323"/>
      <c r="L113" s="323"/>
      <c r="M113" s="323"/>
      <c r="BE113" s="325"/>
      <c r="BF113" s="325"/>
      <c r="BG113" s="325"/>
      <c r="BH113" s="324"/>
      <c r="BI113" s="324"/>
      <c r="BJ113" s="324"/>
      <c r="BK113" s="326"/>
      <c r="BL113" s="327"/>
      <c r="BM113" s="96"/>
      <c r="BN113" s="276"/>
      <c r="BO113" s="328"/>
    </row>
    <row r="114" spans="2:67" ht="15.95" customHeight="1">
      <c r="B114" s="322"/>
      <c r="C114" s="322"/>
      <c r="D114" s="322"/>
      <c r="E114" s="322"/>
      <c r="F114" s="322"/>
      <c r="G114" s="323"/>
      <c r="H114" s="323"/>
      <c r="I114" s="323"/>
      <c r="J114" s="323"/>
      <c r="K114" s="323"/>
      <c r="L114" s="323"/>
      <c r="M114" s="323"/>
      <c r="BE114" s="325"/>
      <c r="BF114" s="325"/>
      <c r="BG114" s="325"/>
      <c r="BH114" s="324"/>
      <c r="BI114" s="324"/>
      <c r="BJ114" s="324"/>
      <c r="BK114" s="326"/>
      <c r="BL114" s="327"/>
      <c r="BM114" s="96"/>
      <c r="BN114" s="276"/>
      <c r="BO114" s="328"/>
    </row>
    <row r="115" spans="2:67" ht="15.95" customHeight="1">
      <c r="B115" s="322"/>
      <c r="C115" s="322"/>
      <c r="D115" s="322"/>
      <c r="E115" s="322"/>
      <c r="F115" s="322"/>
      <c r="G115" s="323"/>
      <c r="H115" s="323"/>
      <c r="I115" s="323"/>
      <c r="J115" s="323"/>
      <c r="K115" s="323"/>
      <c r="L115" s="323"/>
      <c r="M115" s="323"/>
      <c r="BE115" s="325"/>
      <c r="BF115" s="325"/>
      <c r="BG115" s="325"/>
      <c r="BH115" s="324"/>
      <c r="BI115" s="324"/>
      <c r="BJ115" s="324"/>
      <c r="BK115" s="326"/>
      <c r="BL115" s="327"/>
      <c r="BM115" s="96"/>
      <c r="BN115" s="276"/>
      <c r="BO115" s="328"/>
    </row>
    <row r="116" spans="2:67" ht="15.95" customHeight="1">
      <c r="B116" s="322"/>
      <c r="C116" s="322"/>
      <c r="D116" s="322"/>
      <c r="E116" s="322"/>
      <c r="F116" s="322"/>
      <c r="G116" s="323"/>
      <c r="H116" s="323"/>
      <c r="I116" s="323"/>
      <c r="J116" s="323"/>
      <c r="K116" s="323"/>
      <c r="L116" s="323"/>
      <c r="M116" s="323"/>
      <c r="BE116" s="325"/>
      <c r="BF116" s="325"/>
      <c r="BG116" s="325"/>
      <c r="BH116" s="324"/>
      <c r="BI116" s="324"/>
      <c r="BJ116" s="324"/>
      <c r="BK116" s="326"/>
      <c r="BL116" s="327"/>
      <c r="BM116" s="96"/>
      <c r="BN116" s="276"/>
      <c r="BO116" s="328"/>
    </row>
    <row r="117" spans="2:67" ht="15.95" customHeight="1">
      <c r="B117" s="322"/>
      <c r="C117" s="322"/>
      <c r="D117" s="322"/>
      <c r="E117" s="322"/>
      <c r="F117" s="322"/>
      <c r="G117" s="323"/>
      <c r="H117" s="323"/>
      <c r="I117" s="323"/>
      <c r="J117" s="323"/>
      <c r="K117" s="323"/>
      <c r="L117" s="323"/>
      <c r="M117" s="323"/>
      <c r="BE117" s="325"/>
      <c r="BF117" s="325"/>
      <c r="BG117" s="325"/>
      <c r="BH117" s="324"/>
      <c r="BI117" s="324"/>
      <c r="BJ117" s="324"/>
      <c r="BK117" s="326"/>
      <c r="BL117" s="327"/>
      <c r="BM117" s="96"/>
      <c r="BN117" s="276"/>
      <c r="BO117" s="328"/>
    </row>
    <row r="118" spans="2:67" ht="15.95" customHeight="1">
      <c r="B118" s="322"/>
      <c r="C118" s="322"/>
      <c r="D118" s="322"/>
      <c r="E118" s="322"/>
      <c r="F118" s="322"/>
      <c r="G118" s="323"/>
      <c r="H118" s="323"/>
      <c r="I118" s="323"/>
      <c r="J118" s="323"/>
      <c r="K118" s="323"/>
      <c r="L118" s="323"/>
      <c r="M118" s="323"/>
      <c r="BE118" s="325"/>
      <c r="BF118" s="325"/>
      <c r="BG118" s="325"/>
      <c r="BH118" s="324"/>
      <c r="BI118" s="324"/>
      <c r="BJ118" s="324"/>
      <c r="BK118" s="326"/>
      <c r="BL118" s="327"/>
      <c r="BM118" s="96"/>
      <c r="BN118" s="276"/>
      <c r="BO118" s="328"/>
    </row>
    <row r="119" spans="2:67" ht="15.95" customHeight="1">
      <c r="B119" s="322"/>
      <c r="C119" s="322"/>
      <c r="D119" s="322"/>
      <c r="E119" s="322"/>
      <c r="F119" s="322"/>
      <c r="G119" s="323"/>
      <c r="H119" s="323"/>
      <c r="I119" s="323"/>
      <c r="J119" s="323"/>
      <c r="K119" s="323"/>
      <c r="L119" s="323"/>
      <c r="M119" s="323"/>
      <c r="BE119" s="325"/>
      <c r="BF119" s="325"/>
      <c r="BG119" s="325"/>
      <c r="BH119" s="324"/>
      <c r="BI119" s="324"/>
      <c r="BJ119" s="324"/>
      <c r="BK119" s="326"/>
      <c r="BL119" s="327"/>
      <c r="BM119" s="96"/>
      <c r="BN119" s="276"/>
      <c r="BO119" s="328"/>
    </row>
    <row r="120" spans="2:67" ht="15.95" customHeight="1">
      <c r="B120" s="322"/>
      <c r="C120" s="322"/>
      <c r="D120" s="322"/>
      <c r="E120" s="322"/>
      <c r="F120" s="322"/>
      <c r="G120" s="323"/>
      <c r="H120" s="323"/>
      <c r="I120" s="323"/>
      <c r="J120" s="323"/>
      <c r="K120" s="323"/>
      <c r="L120" s="323"/>
      <c r="M120" s="323"/>
      <c r="BE120" s="325"/>
      <c r="BF120" s="325"/>
      <c r="BG120" s="325"/>
      <c r="BH120" s="324"/>
      <c r="BI120" s="324"/>
      <c r="BJ120" s="324"/>
      <c r="BK120" s="326"/>
      <c r="BL120" s="327"/>
      <c r="BM120" s="96"/>
      <c r="BN120" s="276"/>
      <c r="BO120" s="328"/>
    </row>
    <row r="121" spans="2:67" ht="15.95" customHeight="1">
      <c r="B121" s="322"/>
      <c r="C121" s="322"/>
      <c r="D121" s="322"/>
      <c r="E121" s="322"/>
      <c r="F121" s="322"/>
      <c r="G121" s="323"/>
      <c r="H121" s="323"/>
      <c r="I121" s="323"/>
      <c r="J121" s="323"/>
      <c r="K121" s="323"/>
      <c r="L121" s="323"/>
      <c r="M121" s="323"/>
      <c r="BE121" s="325"/>
      <c r="BF121" s="325"/>
      <c r="BG121" s="325"/>
      <c r="BH121" s="324"/>
      <c r="BI121" s="324"/>
      <c r="BJ121" s="324"/>
      <c r="BK121" s="326"/>
      <c r="BL121" s="327"/>
      <c r="BM121" s="96"/>
      <c r="BN121" s="276"/>
      <c r="BO121" s="328"/>
    </row>
    <row r="122" spans="2:67" ht="15.95" customHeight="1">
      <c r="B122" s="322"/>
      <c r="C122" s="322"/>
      <c r="D122" s="322"/>
      <c r="E122" s="322"/>
      <c r="F122" s="322"/>
      <c r="G122" s="323"/>
      <c r="H122" s="323"/>
      <c r="I122" s="323"/>
      <c r="J122" s="323"/>
      <c r="K122" s="323"/>
      <c r="L122" s="323"/>
      <c r="M122" s="323"/>
      <c r="BE122" s="325"/>
      <c r="BF122" s="325"/>
      <c r="BG122" s="325"/>
      <c r="BH122" s="324"/>
      <c r="BI122" s="324"/>
      <c r="BJ122" s="324"/>
      <c r="BK122" s="326"/>
      <c r="BL122" s="327"/>
      <c r="BM122" s="96"/>
      <c r="BN122" s="276"/>
      <c r="BO122" s="328"/>
    </row>
    <row r="123" spans="2:67" ht="15.95" customHeight="1">
      <c r="B123" s="322"/>
      <c r="C123" s="322"/>
      <c r="D123" s="322"/>
      <c r="E123" s="322"/>
      <c r="F123" s="322"/>
      <c r="G123" s="323"/>
      <c r="H123" s="323"/>
      <c r="I123" s="323"/>
      <c r="J123" s="323"/>
      <c r="K123" s="323"/>
      <c r="L123" s="323"/>
      <c r="M123" s="323"/>
      <c r="BE123" s="325"/>
      <c r="BF123" s="325"/>
      <c r="BG123" s="325"/>
      <c r="BH123" s="324"/>
      <c r="BI123" s="324"/>
      <c r="BJ123" s="324"/>
      <c r="BK123" s="326"/>
      <c r="BL123" s="327"/>
      <c r="BM123" s="96"/>
      <c r="BN123" s="276"/>
      <c r="BO123" s="328"/>
    </row>
    <row r="124" spans="2:67" ht="15.95" customHeight="1">
      <c r="B124" s="322"/>
      <c r="C124" s="322"/>
      <c r="D124" s="322"/>
      <c r="E124" s="322"/>
      <c r="F124" s="322"/>
      <c r="G124" s="323"/>
      <c r="H124" s="323"/>
      <c r="I124" s="323"/>
      <c r="J124" s="323"/>
      <c r="K124" s="323"/>
      <c r="L124" s="323"/>
      <c r="M124" s="323"/>
      <c r="BE124" s="325"/>
      <c r="BF124" s="325"/>
      <c r="BG124" s="325"/>
      <c r="BH124" s="324"/>
      <c r="BI124" s="324"/>
      <c r="BJ124" s="324"/>
      <c r="BK124" s="326"/>
      <c r="BL124" s="327"/>
      <c r="BM124" s="96"/>
      <c r="BN124" s="276"/>
      <c r="BO124" s="328"/>
    </row>
    <row r="125" spans="2:67" ht="15.95" customHeight="1">
      <c r="B125" s="322"/>
      <c r="C125" s="322"/>
      <c r="D125" s="322"/>
      <c r="E125" s="322"/>
      <c r="F125" s="322"/>
      <c r="G125" s="323"/>
      <c r="H125" s="323"/>
      <c r="I125" s="323"/>
      <c r="J125" s="323"/>
      <c r="K125" s="323"/>
      <c r="L125" s="323"/>
      <c r="M125" s="323"/>
      <c r="BE125" s="325"/>
      <c r="BF125" s="325"/>
      <c r="BG125" s="325"/>
      <c r="BH125" s="324"/>
      <c r="BI125" s="324"/>
      <c r="BJ125" s="324"/>
      <c r="BK125" s="326"/>
      <c r="BL125" s="327"/>
      <c r="BM125" s="96"/>
      <c r="BN125" s="276"/>
      <c r="BO125" s="328"/>
    </row>
    <row r="126" spans="2:67" ht="15.95" customHeight="1">
      <c r="B126" s="322"/>
      <c r="C126" s="322"/>
      <c r="D126" s="322"/>
      <c r="E126" s="322"/>
      <c r="F126" s="322"/>
      <c r="G126" s="323"/>
      <c r="H126" s="323"/>
      <c r="I126" s="323"/>
      <c r="J126" s="323"/>
      <c r="K126" s="323"/>
      <c r="L126" s="323"/>
      <c r="M126" s="323"/>
      <c r="BE126" s="325"/>
      <c r="BF126" s="325"/>
      <c r="BG126" s="325"/>
      <c r="BH126" s="324"/>
      <c r="BI126" s="324"/>
      <c r="BJ126" s="324"/>
      <c r="BK126" s="326"/>
      <c r="BL126" s="327"/>
      <c r="BM126" s="96"/>
      <c r="BN126" s="276"/>
      <c r="BO126" s="328"/>
    </row>
    <row r="127" spans="2:67" ht="15.95" customHeight="1">
      <c r="B127" s="322"/>
      <c r="C127" s="322"/>
      <c r="D127" s="322"/>
      <c r="E127" s="322"/>
      <c r="F127" s="322"/>
      <c r="G127" s="323"/>
      <c r="H127" s="323"/>
      <c r="I127" s="323"/>
      <c r="J127" s="323"/>
      <c r="K127" s="323"/>
      <c r="L127" s="323"/>
      <c r="M127" s="323"/>
      <c r="BE127" s="325"/>
      <c r="BF127" s="325"/>
      <c r="BG127" s="325"/>
      <c r="BH127" s="324"/>
      <c r="BI127" s="324"/>
      <c r="BJ127" s="324"/>
      <c r="BK127" s="326"/>
      <c r="BL127" s="327"/>
      <c r="BM127" s="96"/>
      <c r="BN127" s="276"/>
      <c r="BO127" s="328"/>
    </row>
    <row r="128" spans="2:67" ht="15.95" customHeight="1">
      <c r="B128" s="322"/>
      <c r="C128" s="322"/>
      <c r="D128" s="322"/>
      <c r="E128" s="322"/>
      <c r="F128" s="322"/>
      <c r="G128" s="323"/>
      <c r="H128" s="323"/>
      <c r="I128" s="323"/>
      <c r="J128" s="323"/>
      <c r="K128" s="323"/>
      <c r="L128" s="323"/>
      <c r="M128" s="323"/>
      <c r="BE128" s="325"/>
      <c r="BF128" s="325"/>
      <c r="BG128" s="325"/>
      <c r="BH128" s="324"/>
      <c r="BI128" s="324"/>
      <c r="BJ128" s="324"/>
      <c r="BK128" s="326"/>
      <c r="BL128" s="327"/>
      <c r="BM128" s="96"/>
      <c r="BN128" s="276"/>
      <c r="BO128" s="328"/>
    </row>
    <row r="129" spans="2:67" ht="15.95" customHeight="1">
      <c r="B129" s="322"/>
      <c r="C129" s="322"/>
      <c r="D129" s="322"/>
      <c r="E129" s="322"/>
      <c r="F129" s="322"/>
      <c r="G129" s="323"/>
      <c r="H129" s="323"/>
      <c r="I129" s="323"/>
      <c r="J129" s="323"/>
      <c r="K129" s="323"/>
      <c r="L129" s="323"/>
      <c r="M129" s="323"/>
      <c r="BE129" s="325"/>
      <c r="BF129" s="325"/>
      <c r="BG129" s="325"/>
      <c r="BH129" s="324"/>
      <c r="BI129" s="324"/>
      <c r="BJ129" s="324"/>
      <c r="BK129" s="326"/>
      <c r="BL129" s="327"/>
      <c r="BM129" s="96"/>
      <c r="BN129" s="276"/>
      <c r="BO129" s="328"/>
    </row>
    <row r="130" spans="2:67" ht="15.95" customHeight="1">
      <c r="B130" s="322"/>
      <c r="C130" s="322"/>
      <c r="D130" s="322"/>
      <c r="E130" s="322"/>
      <c r="F130" s="322"/>
      <c r="G130" s="323"/>
      <c r="H130" s="323"/>
      <c r="I130" s="323"/>
      <c r="J130" s="323"/>
      <c r="K130" s="323"/>
      <c r="L130" s="323"/>
      <c r="M130" s="323"/>
      <c r="BE130" s="325"/>
      <c r="BF130" s="325"/>
      <c r="BG130" s="325"/>
      <c r="BH130" s="324"/>
      <c r="BI130" s="324"/>
      <c r="BJ130" s="324"/>
      <c r="BK130" s="326"/>
      <c r="BL130" s="327"/>
      <c r="BM130" s="96"/>
      <c r="BN130" s="276"/>
      <c r="BO130" s="328"/>
    </row>
    <row r="131" spans="2:67" ht="15.95" customHeight="1">
      <c r="B131" s="322"/>
      <c r="C131" s="322"/>
      <c r="D131" s="322"/>
      <c r="E131" s="322"/>
      <c r="F131" s="322"/>
      <c r="G131" s="323"/>
      <c r="H131" s="323"/>
      <c r="I131" s="323"/>
      <c r="J131" s="323"/>
      <c r="K131" s="323"/>
      <c r="L131" s="323"/>
      <c r="M131" s="323"/>
      <c r="BE131" s="325"/>
      <c r="BF131" s="325"/>
      <c r="BG131" s="325"/>
      <c r="BH131" s="324"/>
      <c r="BI131" s="324"/>
      <c r="BJ131" s="324"/>
      <c r="BK131" s="326"/>
      <c r="BL131" s="327"/>
      <c r="BM131" s="96"/>
      <c r="BN131" s="276"/>
      <c r="BO131" s="328"/>
    </row>
    <row r="132" spans="2:67" ht="15.95" customHeight="1">
      <c r="B132" s="322"/>
      <c r="C132" s="322"/>
      <c r="D132" s="322"/>
      <c r="E132" s="322"/>
      <c r="F132" s="322"/>
      <c r="G132" s="323"/>
      <c r="H132" s="323"/>
      <c r="I132" s="323"/>
      <c r="J132" s="323"/>
      <c r="K132" s="323"/>
      <c r="L132" s="323"/>
      <c r="M132" s="323"/>
      <c r="BE132" s="325"/>
      <c r="BF132" s="325"/>
      <c r="BG132" s="325"/>
      <c r="BH132" s="324"/>
      <c r="BI132" s="324"/>
      <c r="BJ132" s="324"/>
      <c r="BK132" s="326"/>
      <c r="BL132" s="327"/>
      <c r="BM132" s="96"/>
      <c r="BN132" s="276"/>
      <c r="BO132" s="328"/>
    </row>
    <row r="133" spans="2:67" ht="15.95" customHeight="1">
      <c r="B133" s="322"/>
      <c r="C133" s="322"/>
      <c r="D133" s="322"/>
      <c r="E133" s="322"/>
      <c r="F133" s="322"/>
      <c r="G133" s="323"/>
      <c r="H133" s="323"/>
      <c r="I133" s="323"/>
      <c r="J133" s="323"/>
      <c r="K133" s="323"/>
      <c r="L133" s="323"/>
      <c r="M133" s="323"/>
      <c r="BE133" s="325"/>
      <c r="BF133" s="325"/>
      <c r="BG133" s="325"/>
      <c r="BH133" s="324"/>
      <c r="BI133" s="324"/>
      <c r="BJ133" s="324"/>
      <c r="BK133" s="326"/>
      <c r="BL133" s="327"/>
      <c r="BM133" s="96"/>
      <c r="BN133" s="276"/>
      <c r="BO133" s="328"/>
    </row>
    <row r="134" spans="2:67" ht="15.95" customHeight="1">
      <c r="B134" s="322"/>
      <c r="C134" s="322"/>
      <c r="D134" s="322"/>
      <c r="E134" s="322"/>
      <c r="F134" s="322"/>
      <c r="G134" s="323"/>
      <c r="H134" s="323"/>
      <c r="I134" s="323"/>
      <c r="J134" s="323"/>
      <c r="K134" s="323"/>
      <c r="L134" s="323"/>
      <c r="M134" s="323"/>
      <c r="BE134" s="325"/>
      <c r="BF134" s="325"/>
      <c r="BG134" s="325"/>
      <c r="BH134" s="324"/>
      <c r="BI134" s="324"/>
      <c r="BJ134" s="324"/>
      <c r="BK134" s="326"/>
      <c r="BL134" s="327"/>
      <c r="BM134" s="96"/>
      <c r="BN134" s="276"/>
      <c r="BO134" s="328"/>
    </row>
    <row r="135" spans="2:67" ht="15.95" customHeight="1">
      <c r="B135" s="322"/>
      <c r="C135" s="322"/>
      <c r="D135" s="322"/>
      <c r="E135" s="322"/>
      <c r="F135" s="322"/>
      <c r="G135" s="323"/>
      <c r="H135" s="323"/>
      <c r="I135" s="323"/>
      <c r="J135" s="323"/>
      <c r="K135" s="323"/>
      <c r="L135" s="323"/>
      <c r="M135" s="323"/>
      <c r="BE135" s="325"/>
      <c r="BF135" s="325"/>
      <c r="BG135" s="325"/>
      <c r="BH135" s="324"/>
      <c r="BI135" s="324"/>
      <c r="BJ135" s="324"/>
      <c r="BK135" s="326"/>
      <c r="BL135" s="327"/>
      <c r="BM135" s="96"/>
      <c r="BN135" s="276"/>
      <c r="BO135" s="328"/>
    </row>
    <row r="136" spans="2:67" ht="15.95" customHeight="1">
      <c r="B136" s="322"/>
      <c r="C136" s="322"/>
      <c r="D136" s="322"/>
      <c r="E136" s="322"/>
      <c r="F136" s="322"/>
      <c r="G136" s="323"/>
      <c r="H136" s="323"/>
      <c r="I136" s="323"/>
      <c r="J136" s="323"/>
      <c r="K136" s="323"/>
      <c r="L136" s="323"/>
      <c r="M136" s="323"/>
      <c r="BE136" s="325"/>
      <c r="BF136" s="325"/>
      <c r="BG136" s="325"/>
      <c r="BH136" s="324"/>
      <c r="BI136" s="324"/>
      <c r="BJ136" s="324"/>
      <c r="BK136" s="326"/>
      <c r="BL136" s="327"/>
      <c r="BM136" s="96"/>
      <c r="BN136" s="276"/>
      <c r="BO136" s="328"/>
    </row>
    <row r="137" spans="2:67" ht="15.95" customHeight="1">
      <c r="B137" s="322"/>
      <c r="C137" s="322"/>
      <c r="D137" s="322"/>
      <c r="E137" s="322"/>
      <c r="F137" s="322"/>
      <c r="G137" s="323"/>
      <c r="H137" s="323"/>
      <c r="I137" s="323"/>
      <c r="J137" s="323"/>
      <c r="K137" s="323"/>
      <c r="L137" s="323"/>
      <c r="M137" s="323"/>
      <c r="BE137" s="325"/>
      <c r="BF137" s="325"/>
      <c r="BG137" s="325"/>
      <c r="BH137" s="324"/>
      <c r="BI137" s="324"/>
      <c r="BJ137" s="324"/>
      <c r="BK137" s="326"/>
      <c r="BL137" s="327"/>
      <c r="BM137" s="96"/>
      <c r="BN137" s="276"/>
      <c r="BO137" s="328"/>
    </row>
    <row r="138" spans="2:67" ht="15.95" customHeight="1">
      <c r="B138" s="322"/>
      <c r="C138" s="322"/>
      <c r="D138" s="322"/>
      <c r="E138" s="322"/>
      <c r="F138" s="322"/>
      <c r="G138" s="323"/>
      <c r="H138" s="323"/>
      <c r="I138" s="323"/>
      <c r="J138" s="323"/>
      <c r="K138" s="323"/>
      <c r="L138" s="323"/>
      <c r="M138" s="323"/>
      <c r="BE138" s="325"/>
      <c r="BF138" s="325"/>
      <c r="BG138" s="325"/>
      <c r="BH138" s="324"/>
      <c r="BI138" s="324"/>
      <c r="BJ138" s="324"/>
      <c r="BK138" s="326"/>
      <c r="BL138" s="327"/>
      <c r="BM138" s="96"/>
      <c r="BN138" s="276"/>
      <c r="BO138" s="328"/>
    </row>
    <row r="139" spans="2:67" ht="15.95" customHeight="1">
      <c r="B139" s="322"/>
      <c r="C139" s="322"/>
      <c r="D139" s="322"/>
      <c r="E139" s="322"/>
      <c r="F139" s="322"/>
      <c r="G139" s="323"/>
      <c r="H139" s="323"/>
      <c r="I139" s="323"/>
      <c r="J139" s="323"/>
      <c r="K139" s="323"/>
      <c r="L139" s="323"/>
      <c r="M139" s="323"/>
      <c r="BE139" s="325"/>
      <c r="BF139" s="325"/>
      <c r="BG139" s="325"/>
      <c r="BH139" s="324"/>
      <c r="BI139" s="324"/>
      <c r="BJ139" s="324"/>
      <c r="BK139" s="326"/>
      <c r="BL139" s="327"/>
      <c r="BM139" s="96"/>
      <c r="BN139" s="276"/>
      <c r="BO139" s="328"/>
    </row>
    <row r="140" spans="2:67" ht="15.95" customHeight="1">
      <c r="B140" s="322"/>
      <c r="C140" s="322"/>
      <c r="D140" s="322"/>
      <c r="E140" s="322"/>
      <c r="F140" s="322"/>
      <c r="G140" s="323"/>
      <c r="H140" s="323"/>
      <c r="I140" s="323"/>
      <c r="J140" s="323"/>
      <c r="K140" s="323"/>
      <c r="L140" s="323"/>
      <c r="M140" s="323"/>
      <c r="BE140" s="325"/>
      <c r="BF140" s="325"/>
      <c r="BG140" s="325"/>
      <c r="BH140" s="324"/>
      <c r="BI140" s="324"/>
      <c r="BJ140" s="324"/>
      <c r="BK140" s="326"/>
      <c r="BL140" s="327"/>
      <c r="BM140" s="96"/>
      <c r="BN140" s="276"/>
      <c r="BO140" s="328"/>
    </row>
    <row r="141" spans="2:67" ht="15.95" customHeight="1">
      <c r="B141" s="322"/>
      <c r="C141" s="322"/>
      <c r="D141" s="322"/>
      <c r="E141" s="322"/>
      <c r="F141" s="322"/>
      <c r="G141" s="323"/>
      <c r="H141" s="323"/>
      <c r="I141" s="323"/>
      <c r="J141" s="323"/>
      <c r="K141" s="323"/>
      <c r="L141" s="323"/>
      <c r="M141" s="323"/>
      <c r="BE141" s="325"/>
      <c r="BF141" s="325"/>
      <c r="BG141" s="325"/>
      <c r="BH141" s="324"/>
      <c r="BI141" s="324"/>
      <c r="BJ141" s="324"/>
      <c r="BK141" s="326"/>
      <c r="BL141" s="327"/>
      <c r="BM141" s="96"/>
      <c r="BN141" s="276"/>
      <c r="BO141" s="328"/>
    </row>
    <row r="142" spans="2:67" ht="15.95" customHeight="1">
      <c r="B142" s="322"/>
      <c r="C142" s="322"/>
      <c r="D142" s="322"/>
      <c r="E142" s="322"/>
      <c r="F142" s="322"/>
      <c r="G142" s="323"/>
      <c r="H142" s="323"/>
      <c r="I142" s="323"/>
      <c r="J142" s="323"/>
      <c r="K142" s="323"/>
      <c r="L142" s="323"/>
      <c r="M142" s="323"/>
      <c r="BE142" s="325"/>
      <c r="BF142" s="325"/>
      <c r="BG142" s="325"/>
      <c r="BH142" s="324"/>
      <c r="BI142" s="324"/>
      <c r="BJ142" s="324"/>
      <c r="BK142" s="326"/>
      <c r="BL142" s="327"/>
      <c r="BM142" s="96"/>
      <c r="BN142" s="276"/>
      <c r="BO142" s="328"/>
    </row>
    <row r="143" spans="2:67" ht="15.95" customHeight="1">
      <c r="B143" s="322"/>
      <c r="C143" s="322"/>
      <c r="D143" s="322"/>
      <c r="E143" s="322"/>
      <c r="F143" s="322"/>
      <c r="G143" s="323"/>
      <c r="H143" s="323"/>
      <c r="I143" s="323"/>
      <c r="J143" s="323"/>
      <c r="K143" s="323"/>
      <c r="L143" s="323"/>
      <c r="M143" s="323"/>
      <c r="BE143" s="325"/>
      <c r="BF143" s="325"/>
      <c r="BG143" s="325"/>
      <c r="BH143" s="324"/>
      <c r="BI143" s="324"/>
      <c r="BJ143" s="324"/>
      <c r="BK143" s="326"/>
      <c r="BL143" s="327"/>
      <c r="BM143" s="96"/>
      <c r="BN143" s="276"/>
      <c r="BO143" s="328"/>
    </row>
    <row r="144" spans="2:67" ht="15.95" customHeight="1">
      <c r="B144" s="322"/>
      <c r="C144" s="322"/>
      <c r="D144" s="322"/>
      <c r="E144" s="322"/>
      <c r="F144" s="322"/>
      <c r="G144" s="323"/>
      <c r="H144" s="323"/>
      <c r="I144" s="323"/>
      <c r="J144" s="323"/>
      <c r="K144" s="323"/>
      <c r="L144" s="323"/>
      <c r="M144" s="323"/>
      <c r="BE144" s="325"/>
      <c r="BF144" s="325"/>
      <c r="BG144" s="325"/>
      <c r="BH144" s="324"/>
      <c r="BI144" s="324"/>
      <c r="BJ144" s="324"/>
      <c r="BK144" s="326"/>
      <c r="BL144" s="327"/>
      <c r="BM144" s="96"/>
      <c r="BN144" s="276"/>
      <c r="BO144" s="328"/>
    </row>
    <row r="145" spans="2:67" ht="15.95" customHeight="1">
      <c r="B145" s="322"/>
      <c r="C145" s="322"/>
      <c r="D145" s="322"/>
      <c r="E145" s="322"/>
      <c r="F145" s="322"/>
      <c r="G145" s="323"/>
      <c r="H145" s="323"/>
      <c r="I145" s="323"/>
      <c r="J145" s="323"/>
      <c r="K145" s="323"/>
      <c r="L145" s="323"/>
      <c r="M145" s="323"/>
      <c r="BE145" s="325"/>
      <c r="BF145" s="325"/>
      <c r="BG145" s="325"/>
      <c r="BH145" s="324"/>
      <c r="BI145" s="324"/>
      <c r="BJ145" s="324"/>
      <c r="BK145" s="326"/>
      <c r="BL145" s="327"/>
      <c r="BM145" s="96"/>
      <c r="BN145" s="276"/>
      <c r="BO145" s="328"/>
    </row>
    <row r="146" spans="2:67" ht="15.95" customHeight="1">
      <c r="B146" s="322"/>
      <c r="C146" s="322"/>
      <c r="D146" s="322"/>
      <c r="E146" s="322"/>
      <c r="F146" s="322"/>
      <c r="G146" s="323"/>
      <c r="H146" s="323"/>
      <c r="I146" s="323"/>
      <c r="J146" s="323"/>
      <c r="K146" s="323"/>
      <c r="L146" s="323"/>
      <c r="M146" s="323"/>
      <c r="BE146" s="325"/>
      <c r="BF146" s="325"/>
      <c r="BG146" s="325"/>
      <c r="BH146" s="324"/>
      <c r="BI146" s="324"/>
      <c r="BJ146" s="324"/>
      <c r="BK146" s="326"/>
      <c r="BL146" s="327"/>
      <c r="BM146" s="96"/>
      <c r="BN146" s="276"/>
      <c r="BO146" s="328"/>
    </row>
    <row r="147" spans="2:67" ht="15.95" customHeight="1">
      <c r="B147" s="322"/>
      <c r="C147" s="322"/>
      <c r="D147" s="322"/>
      <c r="E147" s="322"/>
      <c r="F147" s="322"/>
      <c r="G147" s="323"/>
      <c r="H147" s="323"/>
      <c r="I147" s="323"/>
      <c r="J147" s="323"/>
      <c r="K147" s="323"/>
      <c r="L147" s="323"/>
      <c r="M147" s="323"/>
      <c r="BE147" s="325"/>
      <c r="BF147" s="325"/>
      <c r="BG147" s="325"/>
      <c r="BH147" s="324"/>
      <c r="BI147" s="324"/>
      <c r="BJ147" s="324"/>
      <c r="BK147" s="326"/>
      <c r="BL147" s="327"/>
      <c r="BM147" s="96"/>
      <c r="BN147" s="276"/>
      <c r="BO147" s="328"/>
    </row>
    <row r="148" spans="2:67" ht="15.95" customHeight="1">
      <c r="B148" s="322"/>
      <c r="C148" s="322"/>
      <c r="D148" s="322"/>
      <c r="E148" s="322"/>
      <c r="F148" s="322"/>
      <c r="G148" s="323"/>
      <c r="H148" s="323"/>
      <c r="I148" s="323"/>
      <c r="J148" s="323"/>
      <c r="K148" s="323"/>
      <c r="L148" s="323"/>
      <c r="M148" s="323"/>
      <c r="BE148" s="325"/>
      <c r="BF148" s="325"/>
      <c r="BG148" s="325"/>
      <c r="BH148" s="324"/>
      <c r="BI148" s="324"/>
      <c r="BJ148" s="324"/>
      <c r="BK148" s="326"/>
      <c r="BL148" s="327"/>
      <c r="BM148" s="96"/>
      <c r="BN148" s="276"/>
      <c r="BO148" s="328"/>
    </row>
    <row r="149" spans="2:67" ht="15.95" customHeight="1">
      <c r="B149" s="322"/>
      <c r="C149" s="322"/>
      <c r="D149" s="322"/>
      <c r="E149" s="322"/>
      <c r="F149" s="322"/>
      <c r="G149" s="323"/>
      <c r="H149" s="323"/>
      <c r="I149" s="323"/>
      <c r="J149" s="323"/>
      <c r="K149" s="323"/>
      <c r="L149" s="323"/>
      <c r="M149" s="323"/>
      <c r="BE149" s="325"/>
      <c r="BF149" s="325"/>
      <c r="BG149" s="325"/>
      <c r="BH149" s="324"/>
      <c r="BI149" s="324"/>
      <c r="BJ149" s="324"/>
      <c r="BK149" s="326"/>
      <c r="BL149" s="327"/>
      <c r="BM149" s="96"/>
      <c r="BN149" s="276"/>
      <c r="BO149" s="328"/>
    </row>
    <row r="150" spans="2:67" ht="15.95" customHeight="1">
      <c r="B150" s="322"/>
      <c r="C150" s="322"/>
      <c r="D150" s="322"/>
      <c r="E150" s="322"/>
      <c r="F150" s="322"/>
      <c r="G150" s="323"/>
      <c r="H150" s="323"/>
      <c r="I150" s="323"/>
      <c r="J150" s="323"/>
      <c r="K150" s="323"/>
      <c r="L150" s="323"/>
      <c r="M150" s="323"/>
      <c r="BE150" s="325"/>
      <c r="BF150" s="325"/>
      <c r="BG150" s="325"/>
      <c r="BH150" s="324"/>
      <c r="BI150" s="324"/>
      <c r="BJ150" s="324"/>
      <c r="BK150" s="326"/>
      <c r="BL150" s="327"/>
      <c r="BM150" s="96"/>
      <c r="BN150" s="276"/>
      <c r="BO150" s="328"/>
    </row>
    <row r="151" spans="2:67" ht="15.95" customHeight="1">
      <c r="B151" s="322"/>
      <c r="C151" s="322"/>
      <c r="D151" s="322"/>
      <c r="E151" s="322"/>
      <c r="F151" s="322"/>
      <c r="G151" s="323"/>
      <c r="H151" s="323"/>
      <c r="I151" s="323"/>
      <c r="J151" s="323"/>
      <c r="K151" s="323"/>
      <c r="L151" s="323"/>
      <c r="M151" s="323"/>
      <c r="BE151" s="325"/>
      <c r="BF151" s="325"/>
      <c r="BG151" s="325"/>
      <c r="BH151" s="324"/>
      <c r="BI151" s="324"/>
      <c r="BJ151" s="324"/>
      <c r="BK151" s="326"/>
      <c r="BL151" s="327"/>
      <c r="BM151" s="96"/>
      <c r="BN151" s="276"/>
      <c r="BO151" s="328"/>
    </row>
    <row r="152" spans="2:67" ht="15.95" customHeight="1">
      <c r="B152" s="322"/>
      <c r="C152" s="322"/>
      <c r="D152" s="322"/>
      <c r="E152" s="322"/>
      <c r="F152" s="322"/>
      <c r="G152" s="323"/>
      <c r="H152" s="323"/>
      <c r="I152" s="323"/>
      <c r="J152" s="323"/>
      <c r="K152" s="323"/>
      <c r="L152" s="323"/>
      <c r="M152" s="323"/>
      <c r="BE152" s="325"/>
      <c r="BF152" s="325"/>
      <c r="BG152" s="325"/>
      <c r="BH152" s="324"/>
      <c r="BI152" s="324"/>
      <c r="BJ152" s="324"/>
      <c r="BK152" s="326"/>
      <c r="BL152" s="327"/>
      <c r="BM152" s="96"/>
      <c r="BN152" s="276"/>
      <c r="BO152" s="328"/>
    </row>
    <row r="153" spans="2:67" ht="15.95" customHeight="1">
      <c r="B153" s="322"/>
      <c r="C153" s="322"/>
      <c r="D153" s="322"/>
      <c r="E153" s="322"/>
      <c r="F153" s="322"/>
      <c r="G153" s="323"/>
      <c r="H153" s="323"/>
      <c r="I153" s="323"/>
      <c r="J153" s="323"/>
      <c r="K153" s="323"/>
      <c r="L153" s="323"/>
      <c r="M153" s="323"/>
      <c r="BE153" s="325"/>
      <c r="BF153" s="325"/>
      <c r="BG153" s="325"/>
      <c r="BH153" s="324"/>
      <c r="BI153" s="324"/>
      <c r="BJ153" s="324"/>
      <c r="BK153" s="326"/>
      <c r="BL153" s="327"/>
      <c r="BM153" s="96"/>
      <c r="BN153" s="276"/>
      <c r="BO153" s="328"/>
    </row>
    <row r="154" spans="2:67" ht="15.95" customHeight="1">
      <c r="B154" s="322"/>
      <c r="C154" s="322"/>
      <c r="D154" s="322"/>
      <c r="E154" s="322"/>
      <c r="F154" s="322"/>
      <c r="G154" s="323"/>
      <c r="H154" s="323"/>
      <c r="I154" s="323"/>
      <c r="J154" s="323"/>
      <c r="K154" s="323"/>
      <c r="L154" s="323"/>
      <c r="M154" s="323"/>
      <c r="BE154" s="325"/>
      <c r="BF154" s="325"/>
      <c r="BG154" s="325"/>
      <c r="BH154" s="324"/>
      <c r="BI154" s="324"/>
      <c r="BJ154" s="324"/>
      <c r="BK154" s="326"/>
      <c r="BL154" s="327"/>
      <c r="BM154" s="96"/>
      <c r="BN154" s="276"/>
      <c r="BO154" s="328"/>
    </row>
    <row r="155" spans="2:67" ht="15.95" customHeight="1">
      <c r="B155" s="322"/>
      <c r="C155" s="322"/>
      <c r="D155" s="322"/>
      <c r="E155" s="322"/>
      <c r="F155" s="322"/>
      <c r="G155" s="323"/>
      <c r="H155" s="323"/>
      <c r="I155" s="323"/>
      <c r="J155" s="323"/>
      <c r="K155" s="323"/>
      <c r="L155" s="323"/>
      <c r="M155" s="323"/>
      <c r="BE155" s="325"/>
      <c r="BF155" s="325"/>
      <c r="BG155" s="325"/>
      <c r="BH155" s="324"/>
      <c r="BI155" s="324"/>
      <c r="BJ155" s="324"/>
      <c r="BK155" s="326"/>
      <c r="BL155" s="327"/>
      <c r="BM155" s="96"/>
      <c r="BN155" s="276"/>
      <c r="BO155" s="328"/>
    </row>
    <row r="156" spans="2:67" ht="15.95" customHeight="1">
      <c r="B156" s="322"/>
      <c r="C156" s="322"/>
      <c r="D156" s="322"/>
      <c r="E156" s="322"/>
      <c r="F156" s="322"/>
      <c r="G156" s="323"/>
      <c r="H156" s="323"/>
      <c r="I156" s="323"/>
      <c r="J156" s="323"/>
      <c r="K156" s="323"/>
      <c r="L156" s="323"/>
      <c r="M156" s="323"/>
      <c r="BE156" s="325"/>
      <c r="BF156" s="325"/>
      <c r="BG156" s="325"/>
      <c r="BH156" s="324"/>
      <c r="BI156" s="324"/>
      <c r="BJ156" s="324"/>
      <c r="BK156" s="326"/>
      <c r="BL156" s="327"/>
      <c r="BM156" s="96"/>
      <c r="BN156" s="276"/>
      <c r="BO156" s="328"/>
    </row>
    <row r="157" spans="2:67" ht="15.95" customHeight="1">
      <c r="B157" s="322"/>
      <c r="C157" s="322"/>
      <c r="D157" s="322"/>
      <c r="E157" s="322"/>
      <c r="F157" s="322"/>
      <c r="G157" s="323"/>
      <c r="H157" s="323"/>
      <c r="I157" s="323"/>
      <c r="J157" s="323"/>
      <c r="K157" s="323"/>
      <c r="L157" s="323"/>
      <c r="M157" s="323"/>
      <c r="BE157" s="325"/>
      <c r="BF157" s="325"/>
      <c r="BG157" s="325"/>
      <c r="BH157" s="324"/>
      <c r="BI157" s="324"/>
      <c r="BJ157" s="324"/>
      <c r="BK157" s="326"/>
      <c r="BL157" s="327"/>
      <c r="BM157" s="96"/>
      <c r="BN157" s="276"/>
      <c r="BO157" s="328"/>
    </row>
    <row r="158" spans="2:67" ht="15.95" customHeight="1">
      <c r="B158" s="322"/>
      <c r="C158" s="322"/>
      <c r="D158" s="322"/>
      <c r="E158" s="322"/>
      <c r="F158" s="322"/>
      <c r="G158" s="323"/>
      <c r="H158" s="323"/>
      <c r="I158" s="323"/>
      <c r="J158" s="323"/>
      <c r="K158" s="323"/>
      <c r="L158" s="323"/>
      <c r="M158" s="323"/>
      <c r="BE158" s="325"/>
      <c r="BF158" s="325"/>
      <c r="BG158" s="325"/>
      <c r="BH158" s="324"/>
      <c r="BI158" s="324"/>
      <c r="BJ158" s="324"/>
      <c r="BK158" s="326"/>
      <c r="BL158" s="327"/>
      <c r="BM158" s="96"/>
      <c r="BN158" s="276"/>
      <c r="BO158" s="328"/>
    </row>
    <row r="159" spans="2:67" ht="15.95" customHeight="1">
      <c r="B159" s="322"/>
      <c r="C159" s="322"/>
      <c r="D159" s="322"/>
      <c r="E159" s="322"/>
      <c r="F159" s="322"/>
      <c r="G159" s="323"/>
      <c r="H159" s="323"/>
      <c r="I159" s="323"/>
      <c r="J159" s="323"/>
      <c r="K159" s="323"/>
      <c r="L159" s="323"/>
      <c r="M159" s="323"/>
      <c r="BE159" s="325"/>
      <c r="BF159" s="325"/>
      <c r="BG159" s="325"/>
      <c r="BH159" s="324"/>
      <c r="BI159" s="324"/>
      <c r="BJ159" s="324"/>
      <c r="BK159" s="326"/>
      <c r="BL159" s="327"/>
      <c r="BM159" s="96"/>
      <c r="BN159" s="276"/>
      <c r="BO159" s="328"/>
    </row>
    <row r="160" spans="2:67" ht="15.95" customHeight="1">
      <c r="B160" s="322"/>
      <c r="C160" s="322"/>
      <c r="D160" s="322"/>
      <c r="E160" s="322"/>
      <c r="F160" s="322"/>
      <c r="G160" s="323"/>
      <c r="H160" s="323"/>
      <c r="I160" s="323"/>
      <c r="J160" s="323"/>
      <c r="K160" s="323"/>
      <c r="L160" s="323"/>
      <c r="M160" s="323"/>
      <c r="BE160" s="325"/>
      <c r="BF160" s="325"/>
      <c r="BG160" s="325"/>
      <c r="BH160" s="324"/>
      <c r="BI160" s="324"/>
      <c r="BJ160" s="324"/>
      <c r="BK160" s="326"/>
      <c r="BL160" s="327"/>
      <c r="BM160" s="96"/>
      <c r="BN160" s="276"/>
      <c r="BO160" s="328"/>
    </row>
    <row r="161" spans="2:67" ht="15.95" customHeight="1">
      <c r="B161" s="322"/>
      <c r="C161" s="322"/>
      <c r="D161" s="322"/>
      <c r="E161" s="322"/>
      <c r="F161" s="322"/>
      <c r="G161" s="323"/>
      <c r="H161" s="323"/>
      <c r="I161" s="323"/>
      <c r="J161" s="323"/>
      <c r="K161" s="323"/>
      <c r="L161" s="323"/>
      <c r="M161" s="323"/>
      <c r="BE161" s="325"/>
      <c r="BF161" s="325"/>
      <c r="BG161" s="325"/>
      <c r="BH161" s="324"/>
      <c r="BI161" s="324"/>
      <c r="BJ161" s="324"/>
      <c r="BK161" s="326"/>
      <c r="BL161" s="327"/>
      <c r="BM161" s="96"/>
      <c r="BN161" s="276"/>
      <c r="BO161" s="328"/>
    </row>
    <row r="162" spans="2:67" ht="15.95" customHeight="1">
      <c r="B162" s="322"/>
      <c r="C162" s="322"/>
      <c r="D162" s="322"/>
      <c r="E162" s="322"/>
      <c r="F162" s="322"/>
      <c r="G162" s="323"/>
      <c r="H162" s="323"/>
      <c r="I162" s="323"/>
      <c r="J162" s="323"/>
      <c r="K162" s="323"/>
      <c r="L162" s="323"/>
      <c r="M162" s="323"/>
      <c r="BE162" s="325"/>
      <c r="BF162" s="325"/>
      <c r="BG162" s="325"/>
      <c r="BH162" s="324"/>
      <c r="BI162" s="324"/>
      <c r="BJ162" s="324"/>
      <c r="BK162" s="326"/>
      <c r="BL162" s="327"/>
      <c r="BM162" s="96"/>
      <c r="BN162" s="276"/>
      <c r="BO162" s="328"/>
    </row>
    <row r="163" spans="2:67" ht="15.95" customHeight="1">
      <c r="B163" s="322"/>
      <c r="C163" s="322"/>
      <c r="D163" s="322"/>
      <c r="E163" s="322"/>
      <c r="F163" s="322"/>
      <c r="G163" s="323"/>
      <c r="H163" s="323"/>
      <c r="I163" s="323"/>
      <c r="J163" s="323"/>
      <c r="K163" s="323"/>
      <c r="L163" s="323"/>
      <c r="M163" s="323"/>
      <c r="BE163" s="325"/>
      <c r="BF163" s="325"/>
      <c r="BG163" s="325"/>
      <c r="BH163" s="324"/>
      <c r="BI163" s="324"/>
      <c r="BJ163" s="324"/>
      <c r="BK163" s="326"/>
      <c r="BL163" s="327"/>
      <c r="BM163" s="96"/>
      <c r="BN163" s="276"/>
      <c r="BO163" s="328"/>
    </row>
    <row r="164" spans="2:67" ht="15.95" customHeight="1">
      <c r="B164" s="322"/>
      <c r="C164" s="322"/>
      <c r="D164" s="322"/>
      <c r="E164" s="322"/>
      <c r="F164" s="322"/>
      <c r="G164" s="323"/>
      <c r="H164" s="323"/>
      <c r="I164" s="323"/>
      <c r="J164" s="323"/>
      <c r="K164" s="323"/>
      <c r="L164" s="323"/>
      <c r="M164" s="323"/>
      <c r="BE164" s="325"/>
      <c r="BF164" s="325"/>
      <c r="BG164" s="325"/>
      <c r="BH164" s="324"/>
      <c r="BI164" s="324"/>
      <c r="BJ164" s="324"/>
      <c r="BK164" s="326"/>
      <c r="BL164" s="327"/>
      <c r="BM164" s="96"/>
      <c r="BN164" s="276"/>
      <c r="BO164" s="328"/>
    </row>
    <row r="165" spans="2:67" ht="15.95" customHeight="1">
      <c r="B165" s="322"/>
      <c r="C165" s="322"/>
      <c r="D165" s="322"/>
      <c r="E165" s="322"/>
      <c r="F165" s="322"/>
      <c r="G165" s="323"/>
      <c r="H165" s="323"/>
      <c r="I165" s="323"/>
      <c r="J165" s="323"/>
      <c r="K165" s="323"/>
      <c r="L165" s="323"/>
      <c r="M165" s="323"/>
      <c r="BE165" s="325"/>
      <c r="BF165" s="325"/>
      <c r="BG165" s="325"/>
      <c r="BH165" s="324"/>
      <c r="BI165" s="324"/>
      <c r="BJ165" s="324"/>
      <c r="BK165" s="326"/>
      <c r="BL165" s="327"/>
      <c r="BM165" s="96"/>
      <c r="BN165" s="276"/>
      <c r="BO165" s="328"/>
    </row>
    <row r="166" spans="2:67" ht="15.95" customHeight="1">
      <c r="B166" s="322"/>
      <c r="C166" s="322"/>
      <c r="D166" s="322"/>
      <c r="E166" s="322"/>
      <c r="F166" s="322"/>
      <c r="G166" s="323"/>
      <c r="H166" s="323"/>
      <c r="I166" s="323"/>
      <c r="J166" s="323"/>
      <c r="K166" s="323"/>
      <c r="L166" s="323"/>
      <c r="M166" s="323"/>
      <c r="BE166" s="325"/>
      <c r="BF166" s="325"/>
      <c r="BG166" s="325"/>
      <c r="BH166" s="324"/>
      <c r="BI166" s="324"/>
      <c r="BJ166" s="324"/>
      <c r="BK166" s="326"/>
      <c r="BL166" s="327"/>
      <c r="BM166" s="96"/>
      <c r="BN166" s="276"/>
      <c r="BO166" s="328"/>
    </row>
    <row r="167" spans="2:67" ht="15.95" customHeight="1">
      <c r="B167" s="322"/>
      <c r="C167" s="322"/>
      <c r="D167" s="322"/>
      <c r="E167" s="322"/>
      <c r="F167" s="322"/>
      <c r="G167" s="323"/>
      <c r="H167" s="323"/>
      <c r="I167" s="323"/>
      <c r="J167" s="323"/>
      <c r="K167" s="323"/>
      <c r="L167" s="323"/>
      <c r="M167" s="323"/>
      <c r="BE167" s="325"/>
      <c r="BF167" s="325"/>
      <c r="BG167" s="325"/>
      <c r="BH167" s="324"/>
      <c r="BI167" s="324"/>
      <c r="BJ167" s="324"/>
      <c r="BK167" s="326"/>
      <c r="BL167" s="327"/>
      <c r="BM167" s="96"/>
      <c r="BN167" s="276"/>
      <c r="BO167" s="328"/>
    </row>
    <row r="168" spans="2:67" ht="15.95" customHeight="1">
      <c r="B168" s="322"/>
      <c r="C168" s="322"/>
      <c r="D168" s="322"/>
      <c r="E168" s="322"/>
      <c r="F168" s="322"/>
      <c r="G168" s="323"/>
      <c r="H168" s="323"/>
      <c r="I168" s="323"/>
      <c r="J168" s="323"/>
      <c r="K168" s="323"/>
      <c r="L168" s="323"/>
      <c r="M168" s="323"/>
      <c r="BE168" s="325"/>
      <c r="BF168" s="325"/>
      <c r="BG168" s="325"/>
      <c r="BH168" s="324"/>
      <c r="BI168" s="324"/>
      <c r="BJ168" s="324"/>
      <c r="BK168" s="326"/>
      <c r="BL168" s="327"/>
      <c r="BM168" s="96"/>
      <c r="BN168" s="276"/>
      <c r="BO168" s="328"/>
    </row>
    <row r="169" spans="2:67" ht="15.95" customHeight="1">
      <c r="B169" s="322"/>
      <c r="C169" s="322"/>
      <c r="D169" s="322"/>
      <c r="E169" s="322"/>
      <c r="F169" s="322"/>
      <c r="G169" s="323"/>
      <c r="H169" s="323"/>
      <c r="I169" s="323"/>
      <c r="J169" s="323"/>
      <c r="K169" s="323"/>
      <c r="L169" s="323"/>
      <c r="M169" s="323"/>
      <c r="BE169" s="325"/>
      <c r="BF169" s="325"/>
      <c r="BG169" s="325"/>
      <c r="BH169" s="324"/>
      <c r="BI169" s="324"/>
      <c r="BJ169" s="324"/>
      <c r="BK169" s="326"/>
      <c r="BL169" s="327"/>
      <c r="BM169" s="96"/>
      <c r="BN169" s="276"/>
      <c r="BO169" s="328"/>
    </row>
    <row r="170" spans="2:67" ht="15.95" customHeight="1">
      <c r="B170" s="322"/>
      <c r="C170" s="322"/>
      <c r="D170" s="322"/>
      <c r="E170" s="322"/>
      <c r="F170" s="322"/>
      <c r="G170" s="323"/>
      <c r="H170" s="323"/>
      <c r="I170" s="323"/>
      <c r="J170" s="323"/>
      <c r="K170" s="323"/>
      <c r="L170" s="323"/>
      <c r="M170" s="323"/>
      <c r="BE170" s="325"/>
      <c r="BF170" s="325"/>
      <c r="BG170" s="325"/>
      <c r="BH170" s="324"/>
      <c r="BI170" s="324"/>
      <c r="BJ170" s="324"/>
      <c r="BK170" s="326"/>
      <c r="BL170" s="327"/>
      <c r="BM170" s="96"/>
      <c r="BN170" s="276"/>
      <c r="BO170" s="328"/>
    </row>
    <row r="171" spans="2:67" ht="15.95" customHeight="1">
      <c r="B171" s="322"/>
      <c r="C171" s="322"/>
      <c r="D171" s="322"/>
      <c r="E171" s="322"/>
      <c r="F171" s="322"/>
      <c r="G171" s="323"/>
      <c r="H171" s="323"/>
      <c r="I171" s="323"/>
      <c r="J171" s="323"/>
      <c r="K171" s="323"/>
      <c r="L171" s="323"/>
      <c r="M171" s="323"/>
      <c r="BE171" s="325"/>
      <c r="BF171" s="325"/>
      <c r="BG171" s="325"/>
      <c r="BH171" s="324"/>
      <c r="BI171" s="324"/>
      <c r="BJ171" s="324"/>
      <c r="BK171" s="326"/>
      <c r="BL171" s="327"/>
      <c r="BM171" s="96"/>
      <c r="BN171" s="276"/>
      <c r="BO171" s="328"/>
    </row>
    <row r="172" spans="2:67" ht="15.95" customHeight="1">
      <c r="B172" s="322"/>
      <c r="C172" s="322"/>
      <c r="D172" s="322"/>
      <c r="E172" s="322"/>
      <c r="F172" s="322"/>
      <c r="G172" s="323"/>
      <c r="H172" s="323"/>
      <c r="I172" s="323"/>
      <c r="J172" s="323"/>
      <c r="K172" s="323"/>
      <c r="L172" s="323"/>
      <c r="M172" s="323"/>
      <c r="BE172" s="325"/>
      <c r="BF172" s="325"/>
      <c r="BG172" s="325"/>
      <c r="BH172" s="324"/>
      <c r="BI172" s="324"/>
      <c r="BJ172" s="324"/>
      <c r="BK172" s="326"/>
      <c r="BL172" s="327"/>
      <c r="BM172" s="96"/>
      <c r="BN172" s="276"/>
      <c r="BO172" s="328"/>
    </row>
    <row r="173" spans="2:67" ht="15.95" customHeight="1">
      <c r="B173" s="322"/>
      <c r="C173" s="322"/>
      <c r="D173" s="322"/>
      <c r="E173" s="322"/>
      <c r="F173" s="322"/>
      <c r="G173" s="323"/>
      <c r="H173" s="323"/>
      <c r="I173" s="323"/>
      <c r="J173" s="323"/>
      <c r="K173" s="323"/>
      <c r="L173" s="323"/>
      <c r="M173" s="323"/>
      <c r="BE173" s="325"/>
      <c r="BF173" s="325"/>
      <c r="BG173" s="325"/>
      <c r="BH173" s="324"/>
      <c r="BI173" s="324"/>
      <c r="BJ173" s="324"/>
      <c r="BK173" s="326"/>
      <c r="BL173" s="327"/>
      <c r="BM173" s="96"/>
      <c r="BN173" s="276"/>
      <c r="BO173" s="328"/>
    </row>
    <row r="174" spans="2:67" ht="15.95" customHeight="1">
      <c r="B174" s="322"/>
      <c r="C174" s="322"/>
      <c r="D174" s="322"/>
      <c r="E174" s="322"/>
      <c r="F174" s="322"/>
      <c r="G174" s="323"/>
      <c r="H174" s="323"/>
      <c r="I174" s="323"/>
      <c r="J174" s="323"/>
      <c r="K174" s="323"/>
      <c r="L174" s="323"/>
      <c r="M174" s="323"/>
      <c r="BE174" s="325"/>
      <c r="BF174" s="325"/>
      <c r="BG174" s="325"/>
      <c r="BH174" s="324"/>
      <c r="BI174" s="324"/>
      <c r="BJ174" s="324"/>
      <c r="BK174" s="326"/>
      <c r="BL174" s="327"/>
      <c r="BM174" s="96"/>
      <c r="BN174" s="276"/>
      <c r="BO174" s="328"/>
    </row>
    <row r="175" spans="2:67" ht="15.95" customHeight="1">
      <c r="B175" s="322"/>
      <c r="C175" s="322"/>
      <c r="D175" s="322"/>
      <c r="E175" s="322"/>
      <c r="F175" s="322"/>
      <c r="G175" s="323"/>
      <c r="H175" s="323"/>
      <c r="I175" s="323"/>
      <c r="J175" s="323"/>
      <c r="K175" s="323"/>
      <c r="L175" s="323"/>
      <c r="M175" s="323"/>
      <c r="BE175" s="325"/>
      <c r="BF175" s="325"/>
      <c r="BG175" s="325"/>
      <c r="BH175" s="324"/>
      <c r="BI175" s="324"/>
      <c r="BJ175" s="324"/>
      <c r="BK175" s="326"/>
      <c r="BL175" s="327"/>
      <c r="BM175" s="96"/>
      <c r="BN175" s="276"/>
      <c r="BO175" s="328"/>
    </row>
    <row r="176" spans="2:67" ht="15.95" customHeight="1">
      <c r="B176" s="322"/>
      <c r="C176" s="322"/>
      <c r="D176" s="322"/>
      <c r="E176" s="322"/>
      <c r="F176" s="322"/>
      <c r="G176" s="323"/>
      <c r="H176" s="323"/>
      <c r="I176" s="323"/>
      <c r="J176" s="323"/>
      <c r="K176" s="323"/>
      <c r="L176" s="323"/>
      <c r="M176" s="323"/>
      <c r="BE176" s="325"/>
      <c r="BF176" s="325"/>
      <c r="BG176" s="325"/>
      <c r="BH176" s="324"/>
      <c r="BI176" s="324"/>
      <c r="BJ176" s="324"/>
      <c r="BK176" s="326"/>
      <c r="BL176" s="327"/>
      <c r="BM176" s="96"/>
      <c r="BN176" s="276"/>
      <c r="BO176" s="328"/>
    </row>
    <row r="177" spans="2:67" ht="15.95" customHeight="1">
      <c r="B177" s="322"/>
      <c r="C177" s="322"/>
      <c r="D177" s="322"/>
      <c r="E177" s="322"/>
      <c r="F177" s="322"/>
      <c r="G177" s="323"/>
      <c r="H177" s="323"/>
      <c r="I177" s="323"/>
      <c r="J177" s="323"/>
      <c r="K177" s="323"/>
      <c r="L177" s="323"/>
      <c r="M177" s="323"/>
      <c r="BE177" s="325"/>
      <c r="BF177" s="325"/>
      <c r="BG177" s="325"/>
      <c r="BH177" s="324"/>
      <c r="BI177" s="324"/>
      <c r="BJ177" s="324"/>
      <c r="BK177" s="326"/>
      <c r="BL177" s="327"/>
      <c r="BM177" s="96"/>
      <c r="BN177" s="276"/>
      <c r="BO177" s="328"/>
    </row>
    <row r="178" spans="2:67" ht="15.95" customHeight="1">
      <c r="B178" s="322"/>
      <c r="C178" s="322"/>
      <c r="D178" s="322"/>
      <c r="E178" s="322"/>
      <c r="F178" s="322"/>
      <c r="G178" s="323"/>
      <c r="H178" s="323"/>
      <c r="I178" s="323"/>
      <c r="J178" s="323"/>
      <c r="K178" s="323"/>
      <c r="L178" s="323"/>
      <c r="M178" s="323"/>
      <c r="BE178" s="325"/>
      <c r="BF178" s="325"/>
      <c r="BG178" s="325"/>
      <c r="BH178" s="324"/>
      <c r="BI178" s="324"/>
      <c r="BJ178" s="324"/>
      <c r="BK178" s="326"/>
      <c r="BL178" s="327"/>
      <c r="BM178" s="96"/>
      <c r="BN178" s="276"/>
      <c r="BO178" s="328"/>
    </row>
    <row r="179" spans="2:67" ht="15.95" customHeight="1">
      <c r="B179" s="322"/>
      <c r="C179" s="322"/>
      <c r="D179" s="322"/>
      <c r="E179" s="322"/>
      <c r="F179" s="322"/>
      <c r="G179" s="323"/>
      <c r="H179" s="323"/>
      <c r="I179" s="323"/>
      <c r="J179" s="323"/>
      <c r="K179" s="323"/>
      <c r="L179" s="323"/>
      <c r="M179" s="323"/>
      <c r="BE179" s="325"/>
      <c r="BF179" s="325"/>
      <c r="BG179" s="325"/>
      <c r="BH179" s="324"/>
      <c r="BI179" s="324"/>
      <c r="BJ179" s="324"/>
      <c r="BK179" s="326"/>
      <c r="BL179" s="327"/>
      <c r="BM179" s="96"/>
      <c r="BN179" s="276"/>
      <c r="BO179" s="328"/>
    </row>
    <row r="180" spans="2:67" ht="15.95" customHeight="1">
      <c r="B180" s="322"/>
      <c r="C180" s="322"/>
      <c r="D180" s="322"/>
      <c r="E180" s="322"/>
      <c r="F180" s="322"/>
      <c r="G180" s="323"/>
      <c r="H180" s="323"/>
      <c r="I180" s="323"/>
      <c r="J180" s="323"/>
      <c r="K180" s="323"/>
      <c r="L180" s="323"/>
      <c r="M180" s="323"/>
      <c r="BE180" s="325"/>
      <c r="BF180" s="325"/>
      <c r="BG180" s="325"/>
      <c r="BH180" s="324"/>
      <c r="BI180" s="324"/>
      <c r="BJ180" s="324"/>
      <c r="BK180" s="326"/>
      <c r="BL180" s="327"/>
      <c r="BM180" s="96"/>
      <c r="BN180" s="276"/>
      <c r="BO180" s="328"/>
    </row>
    <row r="181" spans="2:67" ht="15.95" customHeight="1">
      <c r="B181" s="322"/>
      <c r="C181" s="322"/>
      <c r="D181" s="322"/>
      <c r="E181" s="322"/>
      <c r="F181" s="322"/>
      <c r="G181" s="323"/>
      <c r="H181" s="323"/>
      <c r="I181" s="323"/>
      <c r="J181" s="323"/>
      <c r="K181" s="323"/>
      <c r="L181" s="323"/>
      <c r="M181" s="323"/>
      <c r="BE181" s="325"/>
      <c r="BF181" s="325"/>
      <c r="BG181" s="325"/>
      <c r="BH181" s="324"/>
      <c r="BI181" s="324"/>
      <c r="BJ181" s="324"/>
      <c r="BK181" s="326"/>
      <c r="BL181" s="327"/>
      <c r="BM181" s="96"/>
      <c r="BN181" s="276"/>
      <c r="BO181" s="328"/>
    </row>
    <row r="182" spans="2:67" ht="15.95" customHeight="1">
      <c r="B182" s="322"/>
      <c r="C182" s="322"/>
      <c r="D182" s="322"/>
      <c r="E182" s="322"/>
      <c r="F182" s="322"/>
      <c r="G182" s="323"/>
      <c r="H182" s="323"/>
      <c r="I182" s="323"/>
      <c r="J182" s="323"/>
      <c r="K182" s="323"/>
      <c r="L182" s="323"/>
      <c r="M182" s="323"/>
      <c r="BE182" s="325"/>
      <c r="BF182" s="325"/>
      <c r="BG182" s="325"/>
      <c r="BH182" s="324"/>
      <c r="BI182" s="324"/>
      <c r="BJ182" s="324"/>
      <c r="BK182" s="326"/>
      <c r="BL182" s="327"/>
      <c r="BM182" s="96"/>
      <c r="BN182" s="276"/>
      <c r="BO182" s="328"/>
    </row>
    <row r="183" spans="2:67" ht="15.95" customHeight="1">
      <c r="B183" s="322"/>
      <c r="C183" s="322"/>
      <c r="D183" s="322"/>
      <c r="E183" s="322"/>
      <c r="F183" s="322"/>
      <c r="G183" s="323"/>
      <c r="H183" s="323"/>
      <c r="I183" s="323"/>
      <c r="J183" s="323"/>
      <c r="K183" s="323"/>
      <c r="L183" s="323"/>
      <c r="M183" s="323"/>
      <c r="BE183" s="325"/>
      <c r="BF183" s="325"/>
      <c r="BG183" s="325"/>
      <c r="BH183" s="324"/>
      <c r="BI183" s="324"/>
      <c r="BJ183" s="324"/>
      <c r="BK183" s="326"/>
      <c r="BL183" s="327"/>
      <c r="BM183" s="96"/>
      <c r="BN183" s="276"/>
      <c r="BO183" s="328"/>
    </row>
    <row r="184" spans="2:67" ht="15.95" customHeight="1">
      <c r="B184" s="322"/>
      <c r="C184" s="322"/>
      <c r="D184" s="322"/>
      <c r="E184" s="322"/>
      <c r="F184" s="322"/>
      <c r="G184" s="323"/>
      <c r="H184" s="323"/>
      <c r="I184" s="323"/>
      <c r="J184" s="323"/>
      <c r="K184" s="323"/>
      <c r="L184" s="323"/>
      <c r="M184" s="323"/>
      <c r="BE184" s="325"/>
      <c r="BF184" s="325"/>
      <c r="BG184" s="325"/>
      <c r="BH184" s="324"/>
      <c r="BI184" s="324"/>
      <c r="BJ184" s="324"/>
      <c r="BK184" s="326"/>
      <c r="BL184" s="327"/>
      <c r="BM184" s="96"/>
      <c r="BN184" s="276"/>
      <c r="BO184" s="328"/>
    </row>
    <row r="185" spans="2:67" ht="15.95" customHeight="1">
      <c r="B185" s="322"/>
      <c r="C185" s="322"/>
      <c r="D185" s="322"/>
      <c r="E185" s="322"/>
      <c r="F185" s="322"/>
      <c r="G185" s="323"/>
      <c r="H185" s="323"/>
      <c r="I185" s="323"/>
      <c r="J185" s="323"/>
      <c r="K185" s="323"/>
      <c r="L185" s="323"/>
      <c r="M185" s="323"/>
      <c r="BE185" s="325"/>
      <c r="BF185" s="325"/>
      <c r="BG185" s="325"/>
      <c r="BH185" s="324"/>
      <c r="BI185" s="324"/>
      <c r="BJ185" s="324"/>
      <c r="BK185" s="326"/>
      <c r="BL185" s="327"/>
      <c r="BM185" s="96"/>
      <c r="BN185" s="276"/>
      <c r="BO185" s="328"/>
    </row>
    <row r="186" spans="2:67" ht="15.95" customHeight="1">
      <c r="B186" s="322"/>
      <c r="C186" s="322"/>
      <c r="D186" s="322"/>
      <c r="E186" s="322"/>
      <c r="F186" s="322"/>
      <c r="G186" s="323"/>
      <c r="H186" s="323"/>
      <c r="I186" s="323"/>
      <c r="J186" s="323"/>
      <c r="K186" s="323"/>
      <c r="L186" s="323"/>
      <c r="M186" s="323"/>
      <c r="BE186" s="325"/>
      <c r="BF186" s="325"/>
      <c r="BG186" s="325"/>
      <c r="BH186" s="324"/>
      <c r="BI186" s="324"/>
      <c r="BJ186" s="324"/>
      <c r="BK186" s="326"/>
      <c r="BL186" s="327"/>
      <c r="BM186" s="96"/>
      <c r="BN186" s="276"/>
      <c r="BO186" s="328"/>
    </row>
    <row r="187" spans="2:67" ht="15.95" customHeight="1">
      <c r="B187" s="322"/>
      <c r="C187" s="322"/>
      <c r="D187" s="322"/>
      <c r="E187" s="322"/>
      <c r="F187" s="322"/>
      <c r="G187" s="323"/>
      <c r="H187" s="323"/>
      <c r="I187" s="323"/>
      <c r="J187" s="323"/>
      <c r="K187" s="323"/>
      <c r="L187" s="323"/>
      <c r="M187" s="323"/>
      <c r="BE187" s="325"/>
      <c r="BF187" s="325"/>
      <c r="BG187" s="325"/>
      <c r="BH187" s="324"/>
      <c r="BI187" s="324"/>
      <c r="BJ187" s="324"/>
      <c r="BK187" s="326"/>
      <c r="BL187" s="327"/>
      <c r="BM187" s="96"/>
      <c r="BN187" s="276"/>
      <c r="BO187" s="328"/>
    </row>
    <row r="188" spans="2:67" ht="15.95" customHeight="1">
      <c r="B188" s="322"/>
      <c r="C188" s="322"/>
      <c r="D188" s="322"/>
      <c r="E188" s="322"/>
      <c r="F188" s="322"/>
      <c r="G188" s="323"/>
      <c r="H188" s="323"/>
      <c r="I188" s="323"/>
      <c r="J188" s="323"/>
      <c r="K188" s="323"/>
      <c r="L188" s="323"/>
      <c r="M188" s="323"/>
      <c r="BE188" s="325"/>
      <c r="BF188" s="325"/>
      <c r="BG188" s="325"/>
      <c r="BH188" s="324"/>
      <c r="BI188" s="324"/>
      <c r="BJ188" s="324"/>
      <c r="BK188" s="326"/>
      <c r="BL188" s="327"/>
      <c r="BM188" s="96"/>
      <c r="BN188" s="276"/>
      <c r="BO188" s="328"/>
    </row>
    <row r="189" spans="2:67" ht="15.95" customHeight="1">
      <c r="B189" s="322"/>
      <c r="C189" s="322"/>
      <c r="D189" s="322"/>
      <c r="E189" s="322"/>
      <c r="F189" s="322"/>
      <c r="G189" s="323"/>
      <c r="H189" s="323"/>
      <c r="I189" s="323"/>
      <c r="J189" s="323"/>
      <c r="K189" s="323"/>
      <c r="L189" s="323"/>
      <c r="M189" s="323"/>
      <c r="BE189" s="325"/>
      <c r="BF189" s="325"/>
      <c r="BG189" s="325"/>
      <c r="BH189" s="324"/>
      <c r="BI189" s="324"/>
      <c r="BJ189" s="324"/>
      <c r="BK189" s="326"/>
      <c r="BL189" s="327"/>
      <c r="BM189" s="96"/>
      <c r="BN189" s="276"/>
      <c r="BO189" s="328"/>
    </row>
    <row r="190" spans="2:67" ht="15.95" customHeight="1">
      <c r="B190" s="322"/>
      <c r="C190" s="322"/>
      <c r="D190" s="322"/>
      <c r="E190" s="322"/>
      <c r="F190" s="322"/>
      <c r="G190" s="323"/>
      <c r="H190" s="323"/>
      <c r="I190" s="323"/>
      <c r="J190" s="323"/>
      <c r="K190" s="323"/>
      <c r="L190" s="323"/>
      <c r="M190" s="323"/>
      <c r="BE190" s="325"/>
      <c r="BF190" s="325"/>
      <c r="BG190" s="325"/>
      <c r="BH190" s="324"/>
      <c r="BI190" s="324"/>
      <c r="BJ190" s="324"/>
      <c r="BK190" s="326"/>
      <c r="BL190" s="327"/>
      <c r="BM190" s="96"/>
      <c r="BN190" s="276"/>
      <c r="BO190" s="328"/>
    </row>
    <row r="191" spans="2:67" ht="15.95" customHeight="1">
      <c r="B191" s="322"/>
      <c r="C191" s="322"/>
      <c r="D191" s="322"/>
      <c r="E191" s="322"/>
      <c r="F191" s="322"/>
      <c r="G191" s="323"/>
      <c r="H191" s="323"/>
      <c r="I191" s="323"/>
      <c r="J191" s="323"/>
      <c r="K191" s="323"/>
      <c r="L191" s="323"/>
      <c r="M191" s="323"/>
      <c r="BE191" s="325"/>
      <c r="BF191" s="325"/>
      <c r="BG191" s="325"/>
      <c r="BH191" s="324"/>
      <c r="BI191" s="324"/>
      <c r="BJ191" s="324"/>
      <c r="BK191" s="326"/>
      <c r="BL191" s="327"/>
      <c r="BM191" s="96"/>
      <c r="BN191" s="276"/>
      <c r="BO191" s="328"/>
    </row>
    <row r="192" spans="2:67" ht="15.95" customHeight="1">
      <c r="B192" s="322"/>
      <c r="C192" s="322"/>
      <c r="D192" s="322"/>
      <c r="E192" s="322"/>
      <c r="F192" s="322"/>
      <c r="G192" s="323"/>
      <c r="H192" s="323"/>
      <c r="I192" s="323"/>
      <c r="J192" s="323"/>
      <c r="K192" s="323"/>
      <c r="L192" s="323"/>
      <c r="M192" s="323"/>
      <c r="BE192" s="325"/>
      <c r="BF192" s="325"/>
      <c r="BG192" s="325"/>
      <c r="BH192" s="324"/>
      <c r="BI192" s="324"/>
      <c r="BJ192" s="324"/>
      <c r="BK192" s="326"/>
      <c r="BL192" s="327"/>
      <c r="BM192" s="96"/>
      <c r="BN192" s="276"/>
      <c r="BO192" s="328"/>
    </row>
    <row r="193" spans="1:67" ht="15.95" customHeight="1">
      <c r="B193" s="322"/>
      <c r="C193" s="322"/>
      <c r="D193" s="322"/>
      <c r="E193" s="322"/>
      <c r="F193" s="322"/>
      <c r="G193" s="323"/>
      <c r="H193" s="323"/>
      <c r="I193" s="323"/>
      <c r="J193" s="323"/>
      <c r="K193" s="323"/>
      <c r="L193" s="323"/>
      <c r="M193" s="323"/>
      <c r="BE193" s="325"/>
      <c r="BF193" s="325"/>
      <c r="BG193" s="325"/>
      <c r="BH193" s="324"/>
      <c r="BI193" s="324"/>
      <c r="BJ193" s="324"/>
      <c r="BK193" s="326"/>
      <c r="BL193" s="327"/>
      <c r="BM193" s="96"/>
      <c r="BN193" s="276"/>
      <c r="BO193" s="328"/>
    </row>
    <row r="194" spans="1:67" ht="15.95" customHeight="1">
      <c r="B194" s="322"/>
      <c r="C194" s="322"/>
      <c r="D194" s="322"/>
      <c r="E194" s="322"/>
      <c r="F194" s="322"/>
      <c r="G194" s="323"/>
      <c r="H194" s="323"/>
      <c r="I194" s="323"/>
      <c r="J194" s="323"/>
      <c r="K194" s="323"/>
      <c r="L194" s="323"/>
      <c r="M194" s="323"/>
      <c r="BE194" s="325"/>
      <c r="BF194" s="325"/>
      <c r="BG194" s="325"/>
      <c r="BH194" s="324"/>
      <c r="BI194" s="324"/>
      <c r="BJ194" s="324"/>
      <c r="BK194" s="326"/>
      <c r="BL194" s="327"/>
      <c r="BM194" s="96"/>
      <c r="BN194" s="276"/>
      <c r="BO194" s="328"/>
    </row>
    <row r="195" spans="1:67" ht="15.95" customHeight="1">
      <c r="B195" s="322"/>
      <c r="C195" s="322"/>
      <c r="D195" s="322"/>
      <c r="E195" s="322"/>
      <c r="F195" s="322"/>
      <c r="G195" s="323"/>
      <c r="H195" s="323"/>
      <c r="I195" s="323"/>
      <c r="J195" s="323"/>
      <c r="K195" s="323"/>
      <c r="L195" s="323"/>
      <c r="M195" s="323"/>
      <c r="BE195" s="325"/>
      <c r="BF195" s="325"/>
      <c r="BG195" s="325"/>
      <c r="BH195" s="324"/>
      <c r="BI195" s="324"/>
      <c r="BJ195" s="324"/>
      <c r="BK195" s="326"/>
      <c r="BL195" s="327"/>
      <c r="BM195" s="96"/>
      <c r="BN195" s="276"/>
      <c r="BO195" s="328"/>
    </row>
    <row r="196" spans="1:67" ht="15.95" customHeight="1">
      <c r="B196" s="322"/>
      <c r="C196" s="322"/>
      <c r="D196" s="322"/>
      <c r="E196" s="322"/>
      <c r="F196" s="322"/>
      <c r="G196" s="323"/>
      <c r="H196" s="323"/>
      <c r="I196" s="323"/>
      <c r="J196" s="323"/>
      <c r="K196" s="323"/>
      <c r="L196" s="323"/>
      <c r="M196" s="323"/>
      <c r="BE196" s="325"/>
      <c r="BF196" s="325"/>
      <c r="BG196" s="325"/>
      <c r="BH196" s="324"/>
      <c r="BI196" s="324"/>
      <c r="BJ196" s="324"/>
      <c r="BK196" s="326"/>
      <c r="BL196" s="327"/>
      <c r="BM196" s="96"/>
      <c r="BN196" s="276"/>
      <c r="BO196" s="328"/>
    </row>
    <row r="197" spans="1:67" ht="15.95" customHeight="1">
      <c r="B197" s="322"/>
      <c r="C197" s="322"/>
      <c r="D197" s="322"/>
      <c r="E197" s="322"/>
      <c r="F197" s="322"/>
      <c r="G197" s="323"/>
      <c r="H197" s="323"/>
      <c r="I197" s="323"/>
      <c r="J197" s="323"/>
      <c r="K197" s="323"/>
      <c r="L197" s="323"/>
      <c r="M197" s="323"/>
      <c r="BE197" s="325"/>
      <c r="BF197" s="325"/>
      <c r="BG197" s="325"/>
      <c r="BH197" s="324"/>
      <c r="BI197" s="324"/>
      <c r="BJ197" s="324"/>
      <c r="BK197" s="326"/>
      <c r="BL197" s="327"/>
      <c r="BM197" s="96"/>
      <c r="BN197" s="276"/>
      <c r="BO197" s="328"/>
    </row>
    <row r="198" spans="1:67" ht="15.95" customHeight="1">
      <c r="B198" s="322"/>
      <c r="C198" s="322"/>
      <c r="D198" s="322"/>
      <c r="E198" s="322"/>
      <c r="F198" s="322"/>
      <c r="G198" s="323"/>
      <c r="H198" s="323"/>
      <c r="I198" s="323"/>
      <c r="J198" s="323"/>
      <c r="K198" s="323"/>
      <c r="L198" s="323"/>
      <c r="M198" s="323"/>
      <c r="BE198" s="325"/>
      <c r="BF198" s="325"/>
      <c r="BG198" s="325"/>
      <c r="BH198" s="324"/>
      <c r="BI198" s="324"/>
      <c r="BJ198" s="324"/>
      <c r="BK198" s="326"/>
      <c r="BL198" s="327"/>
      <c r="BM198" s="96"/>
      <c r="BN198" s="276"/>
      <c r="BO198" s="328"/>
    </row>
    <row r="199" spans="1:67" ht="15.95" customHeight="1">
      <c r="B199" s="322"/>
      <c r="C199" s="322"/>
      <c r="D199" s="322"/>
      <c r="E199" s="322"/>
      <c r="F199" s="322"/>
      <c r="G199" s="323"/>
      <c r="H199" s="323"/>
      <c r="I199" s="323"/>
      <c r="J199" s="323"/>
      <c r="K199" s="323"/>
      <c r="L199" s="323"/>
      <c r="M199" s="323"/>
      <c r="BE199" s="325"/>
      <c r="BF199" s="325"/>
      <c r="BG199" s="325"/>
      <c r="BH199" s="324"/>
      <c r="BI199" s="324"/>
      <c r="BJ199" s="324"/>
      <c r="BK199" s="326"/>
      <c r="BL199" s="327"/>
      <c r="BM199" s="96"/>
      <c r="BN199" s="276"/>
      <c r="BO199" s="328"/>
    </row>
    <row r="200" spans="1:67"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c r="AX200" s="760">
        <f>SUM(AX18:AX199)</f>
        <v>0</v>
      </c>
      <c r="AZ200" s="761">
        <f>SUM(AZ18:AZ199)</f>
        <v>0</v>
      </c>
      <c r="BA200" s="762">
        <f>SUM(BA18:BA199)</f>
        <v>0</v>
      </c>
      <c r="BE200" s="879" cm="1">
        <f t="array" ref="BE200">SUMPRODUCT(--ISERROR(AX18:BW198))</f>
        <v>0</v>
      </c>
      <c r="BG200" s="376"/>
    </row>
    <row r="201" spans="1:67"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c r="AX201" s="760"/>
      <c r="AZ201" s="761"/>
      <c r="BA201" s="762"/>
      <c r="BE201" s="879"/>
      <c r="BG201" s="376"/>
    </row>
    <row r="202" spans="1:67"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7" ht="15.95" hidden="1" customHeight="1"/>
    <row r="204" spans="1:67" ht="15.95" hidden="1" customHeight="1"/>
  </sheetData>
  <sheetProtection algorithmName="SHA-512" hashValue="iGYRVXFb9+wUj936ovpjLFmcv1Tl/R5B6WkD1RaXB+BE7AKg9IkBNoDcDDgsr2Ed6eRcZS4DiJ5KxaSv6yWLyQ==" saltValue="5AKAY4JFX3aEwjAPpEYOLQ==" spinCount="100000" sheet="1" objects="1" scenarios="1" selectLockedCells="1"/>
  <mergeCells count="1472">
    <mergeCell ref="BT84:BT85"/>
    <mergeCell ref="BT86:BT87"/>
    <mergeCell ref="BT50:BT51"/>
    <mergeCell ref="BT52:BT53"/>
    <mergeCell ref="BT54:BT55"/>
    <mergeCell ref="BT56:BT57"/>
    <mergeCell ref="BT58:BT59"/>
    <mergeCell ref="BT60:BT61"/>
    <mergeCell ref="BT62:BT63"/>
    <mergeCell ref="BT64:BT65"/>
    <mergeCell ref="BT66:BT67"/>
    <mergeCell ref="BT68:BT69"/>
    <mergeCell ref="BT70:BT71"/>
    <mergeCell ref="BT72:BT73"/>
    <mergeCell ref="BT74:BT75"/>
    <mergeCell ref="BT76:BT77"/>
    <mergeCell ref="BT78:BT79"/>
    <mergeCell ref="BT80:BT81"/>
    <mergeCell ref="BT82:BT83"/>
    <mergeCell ref="BT16:BT17"/>
    <mergeCell ref="BT18:BT19"/>
    <mergeCell ref="BT20:BT21"/>
    <mergeCell ref="BT22:BT23"/>
    <mergeCell ref="BT24:BT25"/>
    <mergeCell ref="BT26:BT27"/>
    <mergeCell ref="BT28:BT29"/>
    <mergeCell ref="BT30:BT31"/>
    <mergeCell ref="BT32:BT33"/>
    <mergeCell ref="BT34:BT35"/>
    <mergeCell ref="BT36:BT37"/>
    <mergeCell ref="BT38:BT39"/>
    <mergeCell ref="BT40:BT41"/>
    <mergeCell ref="BT42:BT43"/>
    <mergeCell ref="BT44:BT45"/>
    <mergeCell ref="BT46:BT47"/>
    <mergeCell ref="BT48:BT49"/>
    <mergeCell ref="AA62:AD63"/>
    <mergeCell ref="AA64:AD65"/>
    <mergeCell ref="AA66:AD67"/>
    <mergeCell ref="AA68:AD69"/>
    <mergeCell ref="AA70:AD71"/>
    <mergeCell ref="AA72:AD73"/>
    <mergeCell ref="AA74:AD75"/>
    <mergeCell ref="AA76:AD77"/>
    <mergeCell ref="AA78:AD79"/>
    <mergeCell ref="AA80:AD81"/>
    <mergeCell ref="AA82:AD83"/>
    <mergeCell ref="AA84:AD85"/>
    <mergeCell ref="AA86:AD87"/>
    <mergeCell ref="AA28:AD29"/>
    <mergeCell ref="AA30:AD31"/>
    <mergeCell ref="AA32:AD33"/>
    <mergeCell ref="AA34:AD35"/>
    <mergeCell ref="AA36:AD37"/>
    <mergeCell ref="AA38:AD39"/>
    <mergeCell ref="AA40:AD41"/>
    <mergeCell ref="AA42:AD43"/>
    <mergeCell ref="AA44:AD45"/>
    <mergeCell ref="AA46:AD47"/>
    <mergeCell ref="AA48:AD49"/>
    <mergeCell ref="AA50:AD51"/>
    <mergeCell ref="AA52:AD53"/>
    <mergeCell ref="AA54:AD55"/>
    <mergeCell ref="AA56:AD57"/>
    <mergeCell ref="AA58:AD59"/>
    <mergeCell ref="AA60:AD61"/>
    <mergeCell ref="BI72:BI73"/>
    <mergeCell ref="BI74:BI75"/>
    <mergeCell ref="BI76:BI77"/>
    <mergeCell ref="BI78:BI79"/>
    <mergeCell ref="BI80:BI81"/>
    <mergeCell ref="BI82:BI83"/>
    <mergeCell ref="BI84:BI85"/>
    <mergeCell ref="BI86:BI87"/>
    <mergeCell ref="BG38:BG39"/>
    <mergeCell ref="BG40:BG41"/>
    <mergeCell ref="BG42:BG43"/>
    <mergeCell ref="BG44:BG45"/>
    <mergeCell ref="BG46:BG47"/>
    <mergeCell ref="BG48:BG49"/>
    <mergeCell ref="BG50:BG51"/>
    <mergeCell ref="BG52:BG53"/>
    <mergeCell ref="BG54:BG55"/>
    <mergeCell ref="BG56:BG57"/>
    <mergeCell ref="BG58:BG59"/>
    <mergeCell ref="BG60:BG61"/>
    <mergeCell ref="BG62:BG63"/>
    <mergeCell ref="BG64:BG65"/>
    <mergeCell ref="BG66:BG67"/>
    <mergeCell ref="BG68:BG69"/>
    <mergeCell ref="BG70:BG71"/>
    <mergeCell ref="BG72:BG73"/>
    <mergeCell ref="BG74:BG75"/>
    <mergeCell ref="BG76:BG77"/>
    <mergeCell ref="BG78:BG79"/>
    <mergeCell ref="BG80:BG81"/>
    <mergeCell ref="BG82:BG83"/>
    <mergeCell ref="BG84:BG85"/>
    <mergeCell ref="BI38:BI39"/>
    <mergeCell ref="BI40:BI41"/>
    <mergeCell ref="BI42:BI43"/>
    <mergeCell ref="BI44:BI45"/>
    <mergeCell ref="BI46:BI47"/>
    <mergeCell ref="BI48:BI49"/>
    <mergeCell ref="BI50:BI51"/>
    <mergeCell ref="BI52:BI53"/>
    <mergeCell ref="BI54:BI55"/>
    <mergeCell ref="BI56:BI57"/>
    <mergeCell ref="BI58:BI59"/>
    <mergeCell ref="BI60:BI61"/>
    <mergeCell ref="BI62:BI63"/>
    <mergeCell ref="BI64:BI65"/>
    <mergeCell ref="BI66:BI67"/>
    <mergeCell ref="BI68:BI69"/>
    <mergeCell ref="BI70:BI71"/>
    <mergeCell ref="BP58:BP59"/>
    <mergeCell ref="BP60:BP61"/>
    <mergeCell ref="BP62:BP63"/>
    <mergeCell ref="BP64:BP65"/>
    <mergeCell ref="BP66:BP67"/>
    <mergeCell ref="BP68:BP69"/>
    <mergeCell ref="BP70:BP71"/>
    <mergeCell ref="BP72:BP73"/>
    <mergeCell ref="BP74:BP75"/>
    <mergeCell ref="BP76:BP77"/>
    <mergeCell ref="BP78:BP79"/>
    <mergeCell ref="BP80:BP81"/>
    <mergeCell ref="BP82:BP83"/>
    <mergeCell ref="BG16:BG17"/>
    <mergeCell ref="BG18:BG19"/>
    <mergeCell ref="BG20:BG21"/>
    <mergeCell ref="BG22:BG23"/>
    <mergeCell ref="BG24:BG25"/>
    <mergeCell ref="BG26:BG27"/>
    <mergeCell ref="BG28:BG29"/>
    <mergeCell ref="BG30:BG31"/>
    <mergeCell ref="BG32:BG33"/>
    <mergeCell ref="BG34:BG35"/>
    <mergeCell ref="BG36:BG37"/>
    <mergeCell ref="BI16:BI17"/>
    <mergeCell ref="BI18:BI19"/>
    <mergeCell ref="BI20:BI21"/>
    <mergeCell ref="BI22:BI23"/>
    <mergeCell ref="BI24:BI25"/>
    <mergeCell ref="BI26:BI27"/>
    <mergeCell ref="BI28:BI29"/>
    <mergeCell ref="BI30:BI31"/>
    <mergeCell ref="BM50:BM51"/>
    <mergeCell ref="BM52:BM53"/>
    <mergeCell ref="BM54:BM55"/>
    <mergeCell ref="BM56:BM57"/>
    <mergeCell ref="BM58:BM59"/>
    <mergeCell ref="BM60:BM61"/>
    <mergeCell ref="BM62:BM63"/>
    <mergeCell ref="BM64:BM65"/>
    <mergeCell ref="BM66:BM67"/>
    <mergeCell ref="BM68:BM69"/>
    <mergeCell ref="BM70:BM71"/>
    <mergeCell ref="BM72:BM73"/>
    <mergeCell ref="BM74:BM75"/>
    <mergeCell ref="BM76:BM77"/>
    <mergeCell ref="BM78:BM79"/>
    <mergeCell ref="BM80:BM81"/>
    <mergeCell ref="BM82:BM83"/>
    <mergeCell ref="BM16:BM17"/>
    <mergeCell ref="BM18:BM19"/>
    <mergeCell ref="BM20:BM21"/>
    <mergeCell ref="BM22:BM23"/>
    <mergeCell ref="BM24:BM25"/>
    <mergeCell ref="BM26:BM27"/>
    <mergeCell ref="BM28:BM29"/>
    <mergeCell ref="BM30:BM31"/>
    <mergeCell ref="BM32:BM33"/>
    <mergeCell ref="BM34:BM35"/>
    <mergeCell ref="BM36:BM37"/>
    <mergeCell ref="BM38:BM39"/>
    <mergeCell ref="BM40:BM41"/>
    <mergeCell ref="BM42:BM43"/>
    <mergeCell ref="BM44:BM45"/>
    <mergeCell ref="BM46:BM47"/>
    <mergeCell ref="BM48:BM49"/>
    <mergeCell ref="BS16:BS17"/>
    <mergeCell ref="BS18:BS19"/>
    <mergeCell ref="BS20:BS21"/>
    <mergeCell ref="BS22:BS23"/>
    <mergeCell ref="BS24:BS25"/>
    <mergeCell ref="BS26:BS27"/>
    <mergeCell ref="BS28:BS29"/>
    <mergeCell ref="BS30:BS31"/>
    <mergeCell ref="BS32:BS33"/>
    <mergeCell ref="BS52:BS53"/>
    <mergeCell ref="BS54:BS55"/>
    <mergeCell ref="BS56:BS57"/>
    <mergeCell ref="BS34:BS35"/>
    <mergeCell ref="BS36:BS37"/>
    <mergeCell ref="BS38:BS39"/>
    <mergeCell ref="BS40:BS41"/>
    <mergeCell ref="BS42:BS43"/>
    <mergeCell ref="BS44:BS45"/>
    <mergeCell ref="BS46:BS47"/>
    <mergeCell ref="BS48:BS49"/>
    <mergeCell ref="BS50:BS51"/>
    <mergeCell ref="BO42:BO43"/>
    <mergeCell ref="BQ42:BQ43"/>
    <mergeCell ref="BO44:BO45"/>
    <mergeCell ref="BQ44:BQ45"/>
    <mergeCell ref="BO56:BO57"/>
    <mergeCell ref="BQ56:BQ57"/>
    <mergeCell ref="BO46:BO47"/>
    <mergeCell ref="BQ46:BQ47"/>
    <mergeCell ref="BO48:BO49"/>
    <mergeCell ref="BQ48:BQ49"/>
    <mergeCell ref="BO50:BO51"/>
    <mergeCell ref="BQ50:BQ51"/>
    <mergeCell ref="BO52:BO53"/>
    <mergeCell ref="BQ52:BQ53"/>
    <mergeCell ref="BO54:BO55"/>
    <mergeCell ref="BQ54:BQ55"/>
    <mergeCell ref="BP34:BP35"/>
    <mergeCell ref="BP36:BP37"/>
    <mergeCell ref="BP38:BP39"/>
    <mergeCell ref="BP40:BP41"/>
    <mergeCell ref="BP42:BP43"/>
    <mergeCell ref="BP44:BP45"/>
    <mergeCell ref="BP46:BP47"/>
    <mergeCell ref="BP48:BP49"/>
    <mergeCell ref="BP50:BP51"/>
    <mergeCell ref="BP52:BP53"/>
    <mergeCell ref="BP54:BP55"/>
    <mergeCell ref="BP56:BP57"/>
    <mergeCell ref="BP16:BP17"/>
    <mergeCell ref="BP18:BP19"/>
    <mergeCell ref="BP20:BP21"/>
    <mergeCell ref="BP22:BP23"/>
    <mergeCell ref="BP24:BP25"/>
    <mergeCell ref="BP26:BP27"/>
    <mergeCell ref="BP28:BP29"/>
    <mergeCell ref="BP30:BP31"/>
    <mergeCell ref="BP32:BP33"/>
    <mergeCell ref="BO34:BO35"/>
    <mergeCell ref="BQ34:BQ35"/>
    <mergeCell ref="BO36:BO37"/>
    <mergeCell ref="BQ36:BQ37"/>
    <mergeCell ref="BO38:BO39"/>
    <mergeCell ref="BQ38:BQ39"/>
    <mergeCell ref="BO40:BO41"/>
    <mergeCell ref="BQ40:BQ41"/>
    <mergeCell ref="BL30:BL31"/>
    <mergeCell ref="BL32:BL33"/>
    <mergeCell ref="BL34:BL35"/>
    <mergeCell ref="BL36:BL37"/>
    <mergeCell ref="BL38:BL39"/>
    <mergeCell ref="BL40:BL41"/>
    <mergeCell ref="BL42:BL43"/>
    <mergeCell ref="BL44:BL45"/>
    <mergeCell ref="BL46:BL47"/>
    <mergeCell ref="BL48:BL49"/>
    <mergeCell ref="BL50:BL51"/>
    <mergeCell ref="BL52:BL53"/>
    <mergeCell ref="BL54:BL55"/>
    <mergeCell ref="BL56:BL57"/>
    <mergeCell ref="BO16:BO17"/>
    <mergeCell ref="BQ16:BQ17"/>
    <mergeCell ref="BO18:BO19"/>
    <mergeCell ref="BQ18:BQ19"/>
    <mergeCell ref="BO20:BO21"/>
    <mergeCell ref="BQ20:BQ21"/>
    <mergeCell ref="BO22:BO23"/>
    <mergeCell ref="BQ22:BQ23"/>
    <mergeCell ref="BO24:BO25"/>
    <mergeCell ref="BQ24:BQ25"/>
    <mergeCell ref="BO26:BO27"/>
    <mergeCell ref="BQ26:BQ27"/>
    <mergeCell ref="BO28:BO29"/>
    <mergeCell ref="BQ28:BQ29"/>
    <mergeCell ref="BO30:BO31"/>
    <mergeCell ref="BQ30:BQ31"/>
    <mergeCell ref="BO32:BO33"/>
    <mergeCell ref="BQ32:BQ33"/>
    <mergeCell ref="N54:O55"/>
    <mergeCell ref="BK16:BK17"/>
    <mergeCell ref="BL16:BL17"/>
    <mergeCell ref="BK18:BK19"/>
    <mergeCell ref="BL18:BL19"/>
    <mergeCell ref="BK20:BK21"/>
    <mergeCell ref="BK22:BK23"/>
    <mergeCell ref="BK24:BK25"/>
    <mergeCell ref="BK26:BK27"/>
    <mergeCell ref="BK28:BK29"/>
    <mergeCell ref="BK30:BK31"/>
    <mergeCell ref="BK32:BK33"/>
    <mergeCell ref="BK34:BK35"/>
    <mergeCell ref="BK36:BK37"/>
    <mergeCell ref="BK38:BK39"/>
    <mergeCell ref="BK40:BK41"/>
    <mergeCell ref="BK42:BK43"/>
    <mergeCell ref="BK44:BK45"/>
    <mergeCell ref="BK46:BK47"/>
    <mergeCell ref="BK48:BK49"/>
    <mergeCell ref="BK50:BK51"/>
    <mergeCell ref="BK52:BK53"/>
    <mergeCell ref="BK54:BK55"/>
    <mergeCell ref="T54:U55"/>
    <mergeCell ref="BE54:BE55"/>
    <mergeCell ref="BB52:BB53"/>
    <mergeCell ref="BC52:BC53"/>
    <mergeCell ref="BF54:BF55"/>
    <mergeCell ref="BH54:BH55"/>
    <mergeCell ref="BJ54:BJ55"/>
    <mergeCell ref="BD54:BD55"/>
    <mergeCell ref="N52:O53"/>
    <mergeCell ref="AE56:AF57"/>
    <mergeCell ref="AG56:AH57"/>
    <mergeCell ref="BB56:BB57"/>
    <mergeCell ref="BC56:BC57"/>
    <mergeCell ref="BD56:BD57"/>
    <mergeCell ref="BE56:BE57"/>
    <mergeCell ref="BF56:BF57"/>
    <mergeCell ref="BH56:BH57"/>
    <mergeCell ref="AI56:AL57"/>
    <mergeCell ref="AM56:AN57"/>
    <mergeCell ref="AO56:AQ57"/>
    <mergeCell ref="AR56:AU57"/>
    <mergeCell ref="AX56:AX57"/>
    <mergeCell ref="AY56:AY57"/>
    <mergeCell ref="AZ56:AZ57"/>
    <mergeCell ref="BA56:BA57"/>
    <mergeCell ref="V54:W55"/>
    <mergeCell ref="X54:Z55"/>
    <mergeCell ref="AE54:AF55"/>
    <mergeCell ref="AG54:AH55"/>
    <mergeCell ref="BH48:BH49"/>
    <mergeCell ref="BJ48:BJ49"/>
    <mergeCell ref="BB50:BB51"/>
    <mergeCell ref="BC50:BC51"/>
    <mergeCell ref="BD50:BD51"/>
    <mergeCell ref="BE50:BE51"/>
    <mergeCell ref="BF50:BF51"/>
    <mergeCell ref="BH50:BH51"/>
    <mergeCell ref="BJ50:BJ51"/>
    <mergeCell ref="BD52:BD53"/>
    <mergeCell ref="BE52:BE53"/>
    <mergeCell ref="BF52:BF53"/>
    <mergeCell ref="BH52:BH53"/>
    <mergeCell ref="BJ52:BJ53"/>
    <mergeCell ref="AI54:AL55"/>
    <mergeCell ref="AM54:AN55"/>
    <mergeCell ref="AO54:AQ55"/>
    <mergeCell ref="AR54:AU55"/>
    <mergeCell ref="AX54:AX55"/>
    <mergeCell ref="AY54:AY55"/>
    <mergeCell ref="AZ54:AZ55"/>
    <mergeCell ref="BB54:BB55"/>
    <mergeCell ref="BA54:BA55"/>
    <mergeCell ref="BC54:BC55"/>
    <mergeCell ref="AO52:AQ53"/>
    <mergeCell ref="AR52:AU53"/>
    <mergeCell ref="AX52:AX53"/>
    <mergeCell ref="N50:O51"/>
    <mergeCell ref="V50:W51"/>
    <mergeCell ref="X50:Z51"/>
    <mergeCell ref="AE50:AF51"/>
    <mergeCell ref="AG50:AH51"/>
    <mergeCell ref="AI50:AL51"/>
    <mergeCell ref="AM50:AN51"/>
    <mergeCell ref="AO50:AQ51"/>
    <mergeCell ref="AR50:AU51"/>
    <mergeCell ref="AX50:AX51"/>
    <mergeCell ref="AY50:AY51"/>
    <mergeCell ref="AZ50:AZ51"/>
    <mergeCell ref="BA50:BA51"/>
    <mergeCell ref="P50:Q51"/>
    <mergeCell ref="R50:S51"/>
    <mergeCell ref="T50:U51"/>
    <mergeCell ref="AY52:AY53"/>
    <mergeCell ref="AZ52:AZ53"/>
    <mergeCell ref="BA52:BA53"/>
    <mergeCell ref="P52:Q53"/>
    <mergeCell ref="R52:S53"/>
    <mergeCell ref="T52:U53"/>
    <mergeCell ref="V52:W53"/>
    <mergeCell ref="X52:Z53"/>
    <mergeCell ref="AE52:AF53"/>
    <mergeCell ref="AG52:AH53"/>
    <mergeCell ref="AI52:AL53"/>
    <mergeCell ref="AM52:AN53"/>
    <mergeCell ref="N48:O49"/>
    <mergeCell ref="V48:W49"/>
    <mergeCell ref="X48:Z49"/>
    <mergeCell ref="AE48:AF49"/>
    <mergeCell ref="AG48:AH49"/>
    <mergeCell ref="AI48:AL49"/>
    <mergeCell ref="AM48:AN49"/>
    <mergeCell ref="AO48:AQ49"/>
    <mergeCell ref="AR48:AU49"/>
    <mergeCell ref="AX48:AX49"/>
    <mergeCell ref="AY48:AY49"/>
    <mergeCell ref="AZ48:AZ49"/>
    <mergeCell ref="BA48:BA49"/>
    <mergeCell ref="P48:Q49"/>
    <mergeCell ref="R48:S49"/>
    <mergeCell ref="BB48:BB49"/>
    <mergeCell ref="BC48:BC49"/>
    <mergeCell ref="T48:U49"/>
    <mergeCell ref="AO42:AQ43"/>
    <mergeCell ref="AR42:AU43"/>
    <mergeCell ref="AX42:AX43"/>
    <mergeCell ref="AY42:AY43"/>
    <mergeCell ref="AZ42:AZ43"/>
    <mergeCell ref="BA42:BA43"/>
    <mergeCell ref="BB42:BB43"/>
    <mergeCell ref="BC42:BC43"/>
    <mergeCell ref="BD42:BD43"/>
    <mergeCell ref="BE42:BE43"/>
    <mergeCell ref="BF42:BF43"/>
    <mergeCell ref="BH42:BH43"/>
    <mergeCell ref="BJ42:BJ43"/>
    <mergeCell ref="BD44:BD45"/>
    <mergeCell ref="BE44:BE45"/>
    <mergeCell ref="BF44:BF45"/>
    <mergeCell ref="BH44:BH45"/>
    <mergeCell ref="BJ44:BJ45"/>
    <mergeCell ref="N44:O45"/>
    <mergeCell ref="V44:W45"/>
    <mergeCell ref="X44:Z45"/>
    <mergeCell ref="AE44:AF45"/>
    <mergeCell ref="AG44:AH45"/>
    <mergeCell ref="AI44:AL45"/>
    <mergeCell ref="AM44:AN45"/>
    <mergeCell ref="AO44:AQ45"/>
    <mergeCell ref="AR44:AU45"/>
    <mergeCell ref="AX44:AX45"/>
    <mergeCell ref="AY44:AY45"/>
    <mergeCell ref="AZ44:AZ45"/>
    <mergeCell ref="BA44:BA45"/>
    <mergeCell ref="BB44:BB45"/>
    <mergeCell ref="BC44:BC45"/>
    <mergeCell ref="AG46:AH47"/>
    <mergeCell ref="AI46:AL47"/>
    <mergeCell ref="AM46:AN47"/>
    <mergeCell ref="AO46:AQ47"/>
    <mergeCell ref="AR46:AU47"/>
    <mergeCell ref="AX46:AX47"/>
    <mergeCell ref="AY46:AY47"/>
    <mergeCell ref="AZ46:AZ47"/>
    <mergeCell ref="BA46:BA47"/>
    <mergeCell ref="BB46:BB47"/>
    <mergeCell ref="BC46:BC47"/>
    <mergeCell ref="P44:Q45"/>
    <mergeCell ref="R44:S45"/>
    <mergeCell ref="T42:U43"/>
    <mergeCell ref="BF38:BF39"/>
    <mergeCell ref="BH38:BH39"/>
    <mergeCell ref="BJ38:BJ39"/>
    <mergeCell ref="J40:K41"/>
    <mergeCell ref="L40:M41"/>
    <mergeCell ref="N40:O41"/>
    <mergeCell ref="V40:W41"/>
    <mergeCell ref="X40:Z41"/>
    <mergeCell ref="AE40:AF41"/>
    <mergeCell ref="AG40:AH41"/>
    <mergeCell ref="AI40:AL41"/>
    <mergeCell ref="AM40:AN41"/>
    <mergeCell ref="AO40:AQ41"/>
    <mergeCell ref="AR40:AU41"/>
    <mergeCell ref="AX40:AX41"/>
    <mergeCell ref="AY40:AY41"/>
    <mergeCell ref="AZ40:AZ41"/>
    <mergeCell ref="BA40:BA41"/>
    <mergeCell ref="AG38:AH39"/>
    <mergeCell ref="AI38:AL39"/>
    <mergeCell ref="BB40:BB41"/>
    <mergeCell ref="BC40:BC41"/>
    <mergeCell ref="BD40:BD41"/>
    <mergeCell ref="BE40:BE41"/>
    <mergeCell ref="BF40:BF41"/>
    <mergeCell ref="BH40:BH41"/>
    <mergeCell ref="BJ40:BJ41"/>
    <mergeCell ref="BE38:BE39"/>
    <mergeCell ref="AG42:AH43"/>
    <mergeCell ref="AI42:AL43"/>
    <mergeCell ref="AM42:AN43"/>
    <mergeCell ref="B56:B57"/>
    <mergeCell ref="J38:K39"/>
    <mergeCell ref="L38:M39"/>
    <mergeCell ref="N38:O39"/>
    <mergeCell ref="V38:W39"/>
    <mergeCell ref="X38:Z39"/>
    <mergeCell ref="AE38:AF39"/>
    <mergeCell ref="B38:B39"/>
    <mergeCell ref="B40:B41"/>
    <mergeCell ref="B42:B43"/>
    <mergeCell ref="B44:B45"/>
    <mergeCell ref="B46:B47"/>
    <mergeCell ref="B48:B49"/>
    <mergeCell ref="B50:B51"/>
    <mergeCell ref="B52:B53"/>
    <mergeCell ref="B54:B55"/>
    <mergeCell ref="J56:K57"/>
    <mergeCell ref="J46:K47"/>
    <mergeCell ref="L46:M47"/>
    <mergeCell ref="N46:O47"/>
    <mergeCell ref="V46:W47"/>
    <mergeCell ref="X46:Z47"/>
    <mergeCell ref="AE46:AF47"/>
    <mergeCell ref="P46:Q47"/>
    <mergeCell ref="J42:K43"/>
    <mergeCell ref="L42:M43"/>
    <mergeCell ref="N42:O43"/>
    <mergeCell ref="V42:W43"/>
    <mergeCell ref="X42:Z43"/>
    <mergeCell ref="AE42:AF43"/>
    <mergeCell ref="L56:M57"/>
    <mergeCell ref="N56:O57"/>
    <mergeCell ref="AM38:AN39"/>
    <mergeCell ref="AO38:AQ39"/>
    <mergeCell ref="AI18:AL19"/>
    <mergeCell ref="AE26:AF27"/>
    <mergeCell ref="AE24:AF25"/>
    <mergeCell ref="V26:W27"/>
    <mergeCell ref="AG24:AH25"/>
    <mergeCell ref="N36:O37"/>
    <mergeCell ref="N24:O25"/>
    <mergeCell ref="N26:O27"/>
    <mergeCell ref="P36:Q37"/>
    <mergeCell ref="R36:S37"/>
    <mergeCell ref="P38:Q39"/>
    <mergeCell ref="R38:S39"/>
    <mergeCell ref="T18:U19"/>
    <mergeCell ref="T20:U21"/>
    <mergeCell ref="T22:U23"/>
    <mergeCell ref="N30:O31"/>
    <mergeCell ref="X24:Z25"/>
    <mergeCell ref="X26:Z27"/>
    <mergeCell ref="AO22:AQ23"/>
    <mergeCell ref="X30:Z31"/>
    <mergeCell ref="V30:W31"/>
    <mergeCell ref="AE30:AF31"/>
    <mergeCell ref="AM30:AN31"/>
    <mergeCell ref="AO28:AQ29"/>
    <mergeCell ref="N28:O29"/>
    <mergeCell ref="X22:Z23"/>
    <mergeCell ref="V24:W25"/>
    <mergeCell ref="AI22:AL23"/>
    <mergeCell ref="AI24:AL25"/>
    <mergeCell ref="AA18:AD19"/>
    <mergeCell ref="T14:W14"/>
    <mergeCell ref="X14:AA14"/>
    <mergeCell ref="AY18:AY19"/>
    <mergeCell ref="AY20:AY21"/>
    <mergeCell ref="AG18:AH19"/>
    <mergeCell ref="AY16:AY17"/>
    <mergeCell ref="AB14:AE14"/>
    <mergeCell ref="X18:Z19"/>
    <mergeCell ref="X20:Z21"/>
    <mergeCell ref="AI16:AL17"/>
    <mergeCell ref="AI20:AL21"/>
    <mergeCell ref="C18:I19"/>
    <mergeCell ref="L17:M17"/>
    <mergeCell ref="N17:O17"/>
    <mergeCell ref="N18:O19"/>
    <mergeCell ref="AM13:AU14"/>
    <mergeCell ref="AI26:AL27"/>
    <mergeCell ref="AA16:AD17"/>
    <mergeCell ref="AA20:AD21"/>
    <mergeCell ref="AA22:AD23"/>
    <mergeCell ref="AA24:AD25"/>
    <mergeCell ref="AA26:AD27"/>
    <mergeCell ref="J16:O16"/>
    <mergeCell ref="P16:U16"/>
    <mergeCell ref="J9:M11"/>
    <mergeCell ref="N9:Q11"/>
    <mergeCell ref="R9:U11"/>
    <mergeCell ref="V9:Y11"/>
    <mergeCell ref="Z9:AC11"/>
    <mergeCell ref="AD9:AG11"/>
    <mergeCell ref="AS5:AW6"/>
    <mergeCell ref="AS7:AW7"/>
    <mergeCell ref="AS8:AW8"/>
    <mergeCell ref="AH9:AK11"/>
    <mergeCell ref="AL9:AO11"/>
    <mergeCell ref="A4:E6"/>
    <mergeCell ref="A7:E8"/>
    <mergeCell ref="T12:W13"/>
    <mergeCell ref="X12:AA13"/>
    <mergeCell ref="AB12:AE13"/>
    <mergeCell ref="E13:R13"/>
    <mergeCell ref="BJ16:BJ17"/>
    <mergeCell ref="AE17:AF17"/>
    <mergeCell ref="AG17:AH17"/>
    <mergeCell ref="B18:B19"/>
    <mergeCell ref="V18:W19"/>
    <mergeCell ref="AE18:AF19"/>
    <mergeCell ref="AE16:AH16"/>
    <mergeCell ref="AM16:AN17"/>
    <mergeCell ref="AO16:AQ17"/>
    <mergeCell ref="AR16:AU17"/>
    <mergeCell ref="AX16:AX17"/>
    <mergeCell ref="AZ16:BA16"/>
    <mergeCell ref="BA18:BA19"/>
    <mergeCell ref="BJ18:BJ19"/>
    <mergeCell ref="AM18:AN19"/>
    <mergeCell ref="AO18:AQ19"/>
    <mergeCell ref="AR18:AU19"/>
    <mergeCell ref="AX18:AX19"/>
    <mergeCell ref="AZ18:AZ19"/>
    <mergeCell ref="V16:W17"/>
    <mergeCell ref="BE16:BF16"/>
    <mergeCell ref="BB18:BB19"/>
    <mergeCell ref="BC18:BC19"/>
    <mergeCell ref="BE18:BE19"/>
    <mergeCell ref="J17:K17"/>
    <mergeCell ref="J18:K19"/>
    <mergeCell ref="BC16:BC17"/>
    <mergeCell ref="X16:Z17"/>
    <mergeCell ref="BD16:BD17"/>
    <mergeCell ref="BD18:BD19"/>
    <mergeCell ref="BB16:BB17"/>
    <mergeCell ref="BH16:BH17"/>
    <mergeCell ref="BJ20:BJ21"/>
    <mergeCell ref="B22:B23"/>
    <mergeCell ref="V22:W23"/>
    <mergeCell ref="AE22:AF23"/>
    <mergeCell ref="AG22:AH23"/>
    <mergeCell ref="AM22:AN23"/>
    <mergeCell ref="AM20:AN21"/>
    <mergeCell ref="AO20:AQ21"/>
    <mergeCell ref="AR20:AU21"/>
    <mergeCell ref="AX20:AX21"/>
    <mergeCell ref="AZ20:AZ21"/>
    <mergeCell ref="BA20:BA21"/>
    <mergeCell ref="B20:B21"/>
    <mergeCell ref="V20:W21"/>
    <mergeCell ref="AE20:AF21"/>
    <mergeCell ref="AG20:AH21"/>
    <mergeCell ref="BD22:BD23"/>
    <mergeCell ref="AZ22:AZ23"/>
    <mergeCell ref="BA22:BA23"/>
    <mergeCell ref="BJ22:BJ23"/>
    <mergeCell ref="BB22:BB23"/>
    <mergeCell ref="BC22:BC23"/>
    <mergeCell ref="BB20:BB21"/>
    <mergeCell ref="BC20:BC21"/>
    <mergeCell ref="J20:K21"/>
    <mergeCell ref="BE20:BE21"/>
    <mergeCell ref="BF20:BF21"/>
    <mergeCell ref="BD20:BD21"/>
    <mergeCell ref="BE22:BE23"/>
    <mergeCell ref="BF22:BF23"/>
    <mergeCell ref="N20:O21"/>
    <mergeCell ref="N22:O23"/>
    <mergeCell ref="BJ24:BJ25"/>
    <mergeCell ref="AM24:AN25"/>
    <mergeCell ref="BA26:BA27"/>
    <mergeCell ref="BJ26:BJ27"/>
    <mergeCell ref="AG26:AH27"/>
    <mergeCell ref="BH24:BH25"/>
    <mergeCell ref="BJ30:BJ31"/>
    <mergeCell ref="BJ28:BJ29"/>
    <mergeCell ref="AZ28:AZ29"/>
    <mergeCell ref="BA28:BA29"/>
    <mergeCell ref="AY28:AY29"/>
    <mergeCell ref="AY30:AY31"/>
    <mergeCell ref="AZ26:AZ27"/>
    <mergeCell ref="AZ24:AZ25"/>
    <mergeCell ref="BA24:BA25"/>
    <mergeCell ref="BB26:BB27"/>
    <mergeCell ref="BC26:BC27"/>
    <mergeCell ref="BE26:BE27"/>
    <mergeCell ref="BF26:BF27"/>
    <mergeCell ref="AO24:AQ25"/>
    <mergeCell ref="AR24:AU25"/>
    <mergeCell ref="AX24:AX25"/>
    <mergeCell ref="AO26:AQ27"/>
    <mergeCell ref="AM26:AN27"/>
    <mergeCell ref="BB24:BB25"/>
    <mergeCell ref="BC24:BC25"/>
    <mergeCell ref="BE24:BE25"/>
    <mergeCell ref="BF24:BF25"/>
    <mergeCell ref="BD24:BD25"/>
    <mergeCell ref="AR28:AU29"/>
    <mergeCell ref="AX28:AX29"/>
    <mergeCell ref="AG30:AH31"/>
    <mergeCell ref="B24:B25"/>
    <mergeCell ref="J24:K25"/>
    <mergeCell ref="J26:K27"/>
    <mergeCell ref="B26:B27"/>
    <mergeCell ref="BB28:BB29"/>
    <mergeCell ref="BC28:BC29"/>
    <mergeCell ref="BE28:BE29"/>
    <mergeCell ref="B36:B37"/>
    <mergeCell ref="V36:W37"/>
    <mergeCell ref="AE36:AF37"/>
    <mergeCell ref="BD28:BD29"/>
    <mergeCell ref="BD30:BD31"/>
    <mergeCell ref="BB30:BB31"/>
    <mergeCell ref="BC30:BC31"/>
    <mergeCell ref="BE30:BE31"/>
    <mergeCell ref="BB32:BB33"/>
    <mergeCell ref="BC32:BC33"/>
    <mergeCell ref="BE32:BE33"/>
    <mergeCell ref="X36:Z37"/>
    <mergeCell ref="J28:K29"/>
    <mergeCell ref="J30:K31"/>
    <mergeCell ref="J32:K33"/>
    <mergeCell ref="B30:B31"/>
    <mergeCell ref="AM28:AN29"/>
    <mergeCell ref="B28:B29"/>
    <mergeCell ref="AE28:AF29"/>
    <mergeCell ref="V28:W29"/>
    <mergeCell ref="AO30:AQ31"/>
    <mergeCell ref="AG28:AH29"/>
    <mergeCell ref="AI28:AL29"/>
    <mergeCell ref="AI30:AL31"/>
    <mergeCell ref="X28:Z29"/>
    <mergeCell ref="B34:B35"/>
    <mergeCell ref="V34:W35"/>
    <mergeCell ref="AE34:AF35"/>
    <mergeCell ref="AE32:AF33"/>
    <mergeCell ref="AG32:AH33"/>
    <mergeCell ref="AM32:AN33"/>
    <mergeCell ref="AO32:AQ33"/>
    <mergeCell ref="AR32:AU33"/>
    <mergeCell ref="AX32:AX33"/>
    <mergeCell ref="B32:B33"/>
    <mergeCell ref="J34:K35"/>
    <mergeCell ref="AI32:AL33"/>
    <mergeCell ref="X34:Z35"/>
    <mergeCell ref="N34:O35"/>
    <mergeCell ref="X32:Z33"/>
    <mergeCell ref="AM34:AN35"/>
    <mergeCell ref="N32:O33"/>
    <mergeCell ref="BJ36:BJ37"/>
    <mergeCell ref="AM36:AN37"/>
    <mergeCell ref="AO36:AQ37"/>
    <mergeCell ref="AR36:AU37"/>
    <mergeCell ref="AX36:AX37"/>
    <mergeCell ref="AZ36:AZ37"/>
    <mergeCell ref="BB36:BB37"/>
    <mergeCell ref="BA36:BA37"/>
    <mergeCell ref="BJ32:BJ33"/>
    <mergeCell ref="BD32:BD33"/>
    <mergeCell ref="BF32:BF33"/>
    <mergeCell ref="AY32:AY33"/>
    <mergeCell ref="BJ34:BJ35"/>
    <mergeCell ref="BB34:BB35"/>
    <mergeCell ref="BC34:BC35"/>
    <mergeCell ref="AY34:AY35"/>
    <mergeCell ref="AO34:AQ35"/>
    <mergeCell ref="AR34:AU35"/>
    <mergeCell ref="AX34:AX35"/>
    <mergeCell ref="BE34:BE35"/>
    <mergeCell ref="BF34:BF35"/>
    <mergeCell ref="BD34:BD35"/>
    <mergeCell ref="BD36:BD37"/>
    <mergeCell ref="BI32:BI33"/>
    <mergeCell ref="BI34:BI35"/>
    <mergeCell ref="BI36:BI37"/>
    <mergeCell ref="AR38:AU39"/>
    <mergeCell ref="AX38:AX39"/>
    <mergeCell ref="AY38:AY39"/>
    <mergeCell ref="AZ38:AZ39"/>
    <mergeCell ref="BA38:BA39"/>
    <mergeCell ref="BB38:BB39"/>
    <mergeCell ref="BC38:BC39"/>
    <mergeCell ref="BD38:BD39"/>
    <mergeCell ref="BH18:BH19"/>
    <mergeCell ref="BH20:BH21"/>
    <mergeCell ref="BH22:BH23"/>
    <mergeCell ref="BH26:BH27"/>
    <mergeCell ref="BH28:BH29"/>
    <mergeCell ref="BH30:BH31"/>
    <mergeCell ref="BH32:BH33"/>
    <mergeCell ref="BF28:BF29"/>
    <mergeCell ref="BF30:BF31"/>
    <mergeCell ref="BF18:BF19"/>
    <mergeCell ref="BC36:BC37"/>
    <mergeCell ref="BE36:BE37"/>
    <mergeCell ref="BF36:BF37"/>
    <mergeCell ref="BH34:BH35"/>
    <mergeCell ref="BH36:BH37"/>
    <mergeCell ref="AY22:AY23"/>
    <mergeCell ref="AY24:AY25"/>
    <mergeCell ref="AY26:AY27"/>
    <mergeCell ref="AR22:AU23"/>
    <mergeCell ref="AX22:AX23"/>
    <mergeCell ref="AR26:AU27"/>
    <mergeCell ref="AX26:AX27"/>
    <mergeCell ref="AY36:AY37"/>
    <mergeCell ref="BD26:BD27"/>
    <mergeCell ref="O200:AI201"/>
    <mergeCell ref="AX200:AX201"/>
    <mergeCell ref="AZ200:AZ201"/>
    <mergeCell ref="BA200:BA201"/>
    <mergeCell ref="BA34:BA35"/>
    <mergeCell ref="AZ34:AZ35"/>
    <mergeCell ref="AZ32:AZ33"/>
    <mergeCell ref="BA32:BA33"/>
    <mergeCell ref="AR30:AU31"/>
    <mergeCell ref="AX30:AX31"/>
    <mergeCell ref="AG36:AH37"/>
    <mergeCell ref="AZ30:AZ31"/>
    <mergeCell ref="BA30:BA31"/>
    <mergeCell ref="L30:M31"/>
    <mergeCell ref="L32:M33"/>
    <mergeCell ref="L34:M35"/>
    <mergeCell ref="L36:M37"/>
    <mergeCell ref="AI34:AL35"/>
    <mergeCell ref="AI36:AL37"/>
    <mergeCell ref="V32:W33"/>
    <mergeCell ref="AG34:AH35"/>
    <mergeCell ref="L54:M55"/>
    <mergeCell ref="T30:U31"/>
    <mergeCell ref="T32:U33"/>
    <mergeCell ref="T34:U35"/>
    <mergeCell ref="T36:U37"/>
    <mergeCell ref="T38:U39"/>
    <mergeCell ref="T40:U41"/>
    <mergeCell ref="P40:Q41"/>
    <mergeCell ref="R40:S41"/>
    <mergeCell ref="P42:Q43"/>
    <mergeCell ref="R42:S43"/>
    <mergeCell ref="C54:I55"/>
    <mergeCell ref="J36:K37"/>
    <mergeCell ref="C20:I21"/>
    <mergeCell ref="C22:I23"/>
    <mergeCell ref="C24:I25"/>
    <mergeCell ref="C26:I27"/>
    <mergeCell ref="C28:I29"/>
    <mergeCell ref="C30:I31"/>
    <mergeCell ref="C32:I33"/>
    <mergeCell ref="C34:I35"/>
    <mergeCell ref="C36:I37"/>
    <mergeCell ref="J22:K23"/>
    <mergeCell ref="L18:M19"/>
    <mergeCell ref="L20:M21"/>
    <mergeCell ref="L22:M23"/>
    <mergeCell ref="L24:M25"/>
    <mergeCell ref="L26:M27"/>
    <mergeCell ref="L28:M29"/>
    <mergeCell ref="J52:K53"/>
    <mergeCell ref="L52:M53"/>
    <mergeCell ref="C46:I47"/>
    <mergeCell ref="C48:I49"/>
    <mergeCell ref="C50:I51"/>
    <mergeCell ref="C52:I53"/>
    <mergeCell ref="J48:K49"/>
    <mergeCell ref="L48:M49"/>
    <mergeCell ref="J44:K45"/>
    <mergeCell ref="L44:M45"/>
    <mergeCell ref="J50:K51"/>
    <mergeCell ref="L50:M51"/>
    <mergeCell ref="J54:K55"/>
    <mergeCell ref="C56:I57"/>
    <mergeCell ref="C16:I17"/>
    <mergeCell ref="P17:Q17"/>
    <mergeCell ref="R17:S17"/>
    <mergeCell ref="T17:U17"/>
    <mergeCell ref="P18:Q19"/>
    <mergeCell ref="R18:S19"/>
    <mergeCell ref="P20:Q21"/>
    <mergeCell ref="R20:S21"/>
    <mergeCell ref="P22:Q23"/>
    <mergeCell ref="R22:S23"/>
    <mergeCell ref="P24:Q25"/>
    <mergeCell ref="R24:S25"/>
    <mergeCell ref="P26:Q27"/>
    <mergeCell ref="R26:S27"/>
    <mergeCell ref="P28:Q29"/>
    <mergeCell ref="R28:S29"/>
    <mergeCell ref="P30:Q31"/>
    <mergeCell ref="R30:S31"/>
    <mergeCell ref="P32:Q33"/>
    <mergeCell ref="R32:S33"/>
    <mergeCell ref="P34:Q35"/>
    <mergeCell ref="R34:S35"/>
    <mergeCell ref="C38:I39"/>
    <mergeCell ref="C40:I41"/>
    <mergeCell ref="C42:I43"/>
    <mergeCell ref="C44:I45"/>
    <mergeCell ref="T56:U57"/>
    <mergeCell ref="T24:U25"/>
    <mergeCell ref="T26:U27"/>
    <mergeCell ref="T28:U29"/>
    <mergeCell ref="P54:Q55"/>
    <mergeCell ref="R54:S55"/>
    <mergeCell ref="P56:Q57"/>
    <mergeCell ref="R56:S57"/>
    <mergeCell ref="R46:S47"/>
    <mergeCell ref="T44:U45"/>
    <mergeCell ref="T46:U47"/>
    <mergeCell ref="BC58:BC59"/>
    <mergeCell ref="BD58:BD59"/>
    <mergeCell ref="BE58:BE59"/>
    <mergeCell ref="BF58:BF59"/>
    <mergeCell ref="BH58:BH59"/>
    <mergeCell ref="BJ58:BJ59"/>
    <mergeCell ref="X58:Z59"/>
    <mergeCell ref="AE58:AF59"/>
    <mergeCell ref="AG58:AH59"/>
    <mergeCell ref="AI58:AL59"/>
    <mergeCell ref="AM58:AN59"/>
    <mergeCell ref="AO58:AQ59"/>
    <mergeCell ref="AR58:AU59"/>
    <mergeCell ref="AX58:AX59"/>
    <mergeCell ref="AY58:AY59"/>
    <mergeCell ref="V56:W57"/>
    <mergeCell ref="X56:Z57"/>
    <mergeCell ref="BD46:BD47"/>
    <mergeCell ref="BE46:BE47"/>
    <mergeCell ref="BF46:BF47"/>
    <mergeCell ref="BH46:BH47"/>
    <mergeCell ref="BJ46:BJ47"/>
    <mergeCell ref="BD48:BD49"/>
    <mergeCell ref="BE48:BE49"/>
    <mergeCell ref="BF48:BF49"/>
    <mergeCell ref="BJ56:BJ57"/>
    <mergeCell ref="B58:B59"/>
    <mergeCell ref="C58:I59"/>
    <mergeCell ref="J58:K59"/>
    <mergeCell ref="L58:M59"/>
    <mergeCell ref="N58:O59"/>
    <mergeCell ref="P58:Q59"/>
    <mergeCell ref="R58:S59"/>
    <mergeCell ref="T58:U59"/>
    <mergeCell ref="V58:W59"/>
    <mergeCell ref="BE60:BE61"/>
    <mergeCell ref="BF60:BF61"/>
    <mergeCell ref="BH60:BH61"/>
    <mergeCell ref="BJ60:BJ61"/>
    <mergeCell ref="BK60:BK61"/>
    <mergeCell ref="BK58:BK59"/>
    <mergeCell ref="BL58:BL59"/>
    <mergeCell ref="BO58:BO59"/>
    <mergeCell ref="AX62:AX63"/>
    <mergeCell ref="AY62:AY63"/>
    <mergeCell ref="AZ62:AZ63"/>
    <mergeCell ref="BA62:BA63"/>
    <mergeCell ref="BA60:BA61"/>
    <mergeCell ref="BB60:BB61"/>
    <mergeCell ref="BC60:BC61"/>
    <mergeCell ref="BD60:BD61"/>
    <mergeCell ref="BQ58:BQ59"/>
    <mergeCell ref="BS58:BS59"/>
    <mergeCell ref="B60:B61"/>
    <mergeCell ref="C60:I61"/>
    <mergeCell ref="J60:K61"/>
    <mergeCell ref="L60:M61"/>
    <mergeCell ref="N60:O61"/>
    <mergeCell ref="P60:Q61"/>
    <mergeCell ref="R60:S61"/>
    <mergeCell ref="T60:U61"/>
    <mergeCell ref="V60:W61"/>
    <mergeCell ref="X60:Z61"/>
    <mergeCell ref="AE60:AF61"/>
    <mergeCell ref="AG60:AH61"/>
    <mergeCell ref="AI60:AL61"/>
    <mergeCell ref="AM60:AN61"/>
    <mergeCell ref="AO60:AQ61"/>
    <mergeCell ref="AR60:AU61"/>
    <mergeCell ref="AX60:AX61"/>
    <mergeCell ref="AY60:AY61"/>
    <mergeCell ref="AZ60:AZ61"/>
    <mergeCell ref="AZ58:AZ59"/>
    <mergeCell ref="BA58:BA59"/>
    <mergeCell ref="BB58:BB59"/>
    <mergeCell ref="AZ64:AZ65"/>
    <mergeCell ref="BA64:BA65"/>
    <mergeCell ref="BB64:BB65"/>
    <mergeCell ref="BB62:BB63"/>
    <mergeCell ref="BC62:BC63"/>
    <mergeCell ref="BD62:BD63"/>
    <mergeCell ref="BE62:BE63"/>
    <mergeCell ref="BF62:BF63"/>
    <mergeCell ref="BH62:BH63"/>
    <mergeCell ref="BJ62:BJ63"/>
    <mergeCell ref="BK62:BK63"/>
    <mergeCell ref="BL62:BL63"/>
    <mergeCell ref="BL60:BL61"/>
    <mergeCell ref="BO60:BO61"/>
    <mergeCell ref="BQ60:BQ61"/>
    <mergeCell ref="BS60:BS61"/>
    <mergeCell ref="B62:B63"/>
    <mergeCell ref="C62:I63"/>
    <mergeCell ref="J62:K63"/>
    <mergeCell ref="L62:M63"/>
    <mergeCell ref="N62:O63"/>
    <mergeCell ref="P62:Q63"/>
    <mergeCell ref="R62:S63"/>
    <mergeCell ref="T62:U63"/>
    <mergeCell ref="V62:W63"/>
    <mergeCell ref="X62:Z63"/>
    <mergeCell ref="AE62:AF63"/>
    <mergeCell ref="AG62:AH63"/>
    <mergeCell ref="AI62:AL63"/>
    <mergeCell ref="AM62:AN63"/>
    <mergeCell ref="AO62:AQ63"/>
    <mergeCell ref="AR62:AU63"/>
    <mergeCell ref="BB66:BB67"/>
    <mergeCell ref="BC66:BC67"/>
    <mergeCell ref="BC64:BC65"/>
    <mergeCell ref="BD64:BD65"/>
    <mergeCell ref="BE64:BE65"/>
    <mergeCell ref="BF64:BF65"/>
    <mergeCell ref="BH64:BH65"/>
    <mergeCell ref="BJ64:BJ65"/>
    <mergeCell ref="BK64:BK65"/>
    <mergeCell ref="BL64:BL65"/>
    <mergeCell ref="BO64:BO65"/>
    <mergeCell ref="BO62:BO63"/>
    <mergeCell ref="BQ62:BQ63"/>
    <mergeCell ref="BS62:BS63"/>
    <mergeCell ref="B64:B65"/>
    <mergeCell ref="C64:I65"/>
    <mergeCell ref="J64:K65"/>
    <mergeCell ref="L64:M65"/>
    <mergeCell ref="N64:O65"/>
    <mergeCell ref="P64:Q65"/>
    <mergeCell ref="R64:S65"/>
    <mergeCell ref="T64:U65"/>
    <mergeCell ref="V64:W65"/>
    <mergeCell ref="X64:Z65"/>
    <mergeCell ref="AE64:AF65"/>
    <mergeCell ref="AG64:AH65"/>
    <mergeCell ref="AI64:AL65"/>
    <mergeCell ref="AM64:AN65"/>
    <mergeCell ref="AO64:AQ65"/>
    <mergeCell ref="AR64:AU65"/>
    <mergeCell ref="AX64:AX65"/>
    <mergeCell ref="AY64:AY65"/>
    <mergeCell ref="BD68:BD69"/>
    <mergeCell ref="BD66:BD67"/>
    <mergeCell ref="BE66:BE67"/>
    <mergeCell ref="BF66:BF67"/>
    <mergeCell ref="BH66:BH67"/>
    <mergeCell ref="BJ66:BJ67"/>
    <mergeCell ref="BK66:BK67"/>
    <mergeCell ref="BL66:BL67"/>
    <mergeCell ref="BO66:BO67"/>
    <mergeCell ref="BQ66:BQ67"/>
    <mergeCell ref="BQ64:BQ65"/>
    <mergeCell ref="BS64:BS65"/>
    <mergeCell ref="B66:B67"/>
    <mergeCell ref="C66:I67"/>
    <mergeCell ref="J66:K67"/>
    <mergeCell ref="L66:M67"/>
    <mergeCell ref="N66:O67"/>
    <mergeCell ref="P66:Q67"/>
    <mergeCell ref="R66:S67"/>
    <mergeCell ref="T66:U67"/>
    <mergeCell ref="V66:W67"/>
    <mergeCell ref="X66:Z67"/>
    <mergeCell ref="AE66:AF67"/>
    <mergeCell ref="AG66:AH67"/>
    <mergeCell ref="AI66:AL67"/>
    <mergeCell ref="AM66:AN67"/>
    <mergeCell ref="AO66:AQ67"/>
    <mergeCell ref="AR66:AU67"/>
    <mergeCell ref="AX66:AX67"/>
    <mergeCell ref="AY66:AY67"/>
    <mergeCell ref="AZ66:AZ67"/>
    <mergeCell ref="BA66:BA67"/>
    <mergeCell ref="BE68:BE69"/>
    <mergeCell ref="BF68:BF69"/>
    <mergeCell ref="BH68:BH69"/>
    <mergeCell ref="BJ68:BJ69"/>
    <mergeCell ref="BK68:BK69"/>
    <mergeCell ref="BL68:BL69"/>
    <mergeCell ref="BO68:BO69"/>
    <mergeCell ref="BQ68:BQ69"/>
    <mergeCell ref="BS68:BS69"/>
    <mergeCell ref="BS66:BS67"/>
    <mergeCell ref="B68:B69"/>
    <mergeCell ref="C68:I69"/>
    <mergeCell ref="J68:K69"/>
    <mergeCell ref="L68:M69"/>
    <mergeCell ref="N68:O69"/>
    <mergeCell ref="P68:Q69"/>
    <mergeCell ref="R68:S69"/>
    <mergeCell ref="T68:U69"/>
    <mergeCell ref="V68:W69"/>
    <mergeCell ref="X68:Z69"/>
    <mergeCell ref="AE68:AF69"/>
    <mergeCell ref="AG68:AH69"/>
    <mergeCell ref="AI68:AL69"/>
    <mergeCell ref="AM68:AN69"/>
    <mergeCell ref="AO68:AQ69"/>
    <mergeCell ref="AR68:AU69"/>
    <mergeCell ref="AX68:AX69"/>
    <mergeCell ref="AY68:AY69"/>
    <mergeCell ref="AZ68:AZ69"/>
    <mergeCell ref="BA68:BA69"/>
    <mergeCell ref="BB68:BB69"/>
    <mergeCell ref="BC68:BC69"/>
    <mergeCell ref="AE70:AF71"/>
    <mergeCell ref="AG70:AH71"/>
    <mergeCell ref="AI70:AL71"/>
    <mergeCell ref="AM70:AN71"/>
    <mergeCell ref="AO70:AQ71"/>
    <mergeCell ref="AR70:AU71"/>
    <mergeCell ref="AX70:AX71"/>
    <mergeCell ref="AY70:AY71"/>
    <mergeCell ref="B70:B71"/>
    <mergeCell ref="C70:I71"/>
    <mergeCell ref="J70:K71"/>
    <mergeCell ref="L70:M71"/>
    <mergeCell ref="N70:O71"/>
    <mergeCell ref="P70:Q71"/>
    <mergeCell ref="R70:S71"/>
    <mergeCell ref="T70:U71"/>
    <mergeCell ref="V70:W71"/>
    <mergeCell ref="BO70:BO71"/>
    <mergeCell ref="BQ70:BQ71"/>
    <mergeCell ref="BS70:BS71"/>
    <mergeCell ref="B72:B73"/>
    <mergeCell ref="C72:I73"/>
    <mergeCell ref="J72:K73"/>
    <mergeCell ref="L72:M73"/>
    <mergeCell ref="N72:O73"/>
    <mergeCell ref="P72:Q73"/>
    <mergeCell ref="R72:S73"/>
    <mergeCell ref="T72:U73"/>
    <mergeCell ref="V72:W73"/>
    <mergeCell ref="X72:Z73"/>
    <mergeCell ref="AE72:AF73"/>
    <mergeCell ref="AG72:AH73"/>
    <mergeCell ref="AI72:AL73"/>
    <mergeCell ref="AM72:AN73"/>
    <mergeCell ref="AO72:AQ73"/>
    <mergeCell ref="AR72:AU73"/>
    <mergeCell ref="AX72:AX73"/>
    <mergeCell ref="AY72:AY73"/>
    <mergeCell ref="AZ72:AZ73"/>
    <mergeCell ref="AZ70:AZ71"/>
    <mergeCell ref="BA70:BA71"/>
    <mergeCell ref="BB70:BB71"/>
    <mergeCell ref="BC70:BC71"/>
    <mergeCell ref="BD70:BD71"/>
    <mergeCell ref="BE70:BE71"/>
    <mergeCell ref="BF70:BF71"/>
    <mergeCell ref="BH70:BH71"/>
    <mergeCell ref="BJ70:BJ71"/>
    <mergeCell ref="X70:Z71"/>
    <mergeCell ref="BO72:BO73"/>
    <mergeCell ref="BQ72:BQ73"/>
    <mergeCell ref="BS72:BS73"/>
    <mergeCell ref="B74:B75"/>
    <mergeCell ref="C74:I75"/>
    <mergeCell ref="J74:K75"/>
    <mergeCell ref="L74:M75"/>
    <mergeCell ref="N74:O75"/>
    <mergeCell ref="P74:Q75"/>
    <mergeCell ref="R74:S75"/>
    <mergeCell ref="T74:U75"/>
    <mergeCell ref="V74:W75"/>
    <mergeCell ref="X74:Z75"/>
    <mergeCell ref="AE74:AF75"/>
    <mergeCell ref="AG74:AH75"/>
    <mergeCell ref="AI74:AL75"/>
    <mergeCell ref="AM74:AN75"/>
    <mergeCell ref="AO74:AQ75"/>
    <mergeCell ref="AR74:AU75"/>
    <mergeCell ref="AX74:AX75"/>
    <mergeCell ref="AY74:AY75"/>
    <mergeCell ref="AZ74:AZ75"/>
    <mergeCell ref="BA74:BA75"/>
    <mergeCell ref="BA72:BA73"/>
    <mergeCell ref="BB72:BB73"/>
    <mergeCell ref="BC72:BC73"/>
    <mergeCell ref="BD72:BD73"/>
    <mergeCell ref="BE72:BE73"/>
    <mergeCell ref="BF72:BF73"/>
    <mergeCell ref="BH72:BH73"/>
    <mergeCell ref="BJ72:BJ73"/>
    <mergeCell ref="BK72:BK73"/>
    <mergeCell ref="BO76:BO77"/>
    <mergeCell ref="BO74:BO75"/>
    <mergeCell ref="BQ74:BQ75"/>
    <mergeCell ref="BS74:BS75"/>
    <mergeCell ref="B76:B77"/>
    <mergeCell ref="C76:I77"/>
    <mergeCell ref="J76:K77"/>
    <mergeCell ref="L76:M77"/>
    <mergeCell ref="N76:O77"/>
    <mergeCell ref="P76:Q77"/>
    <mergeCell ref="R76:S77"/>
    <mergeCell ref="T76:U77"/>
    <mergeCell ref="V76:W77"/>
    <mergeCell ref="X76:Z77"/>
    <mergeCell ref="AE76:AF77"/>
    <mergeCell ref="AG76:AH77"/>
    <mergeCell ref="AI76:AL77"/>
    <mergeCell ref="AM76:AN77"/>
    <mergeCell ref="AO76:AQ77"/>
    <mergeCell ref="AR76:AU77"/>
    <mergeCell ref="AX76:AX77"/>
    <mergeCell ref="AY76:AY77"/>
    <mergeCell ref="AZ76:AZ77"/>
    <mergeCell ref="BA76:BA77"/>
    <mergeCell ref="BB76:BB77"/>
    <mergeCell ref="BB74:BB75"/>
    <mergeCell ref="BC74:BC75"/>
    <mergeCell ref="BD74:BD75"/>
    <mergeCell ref="BE74:BE75"/>
    <mergeCell ref="BF74:BF75"/>
    <mergeCell ref="BH74:BH75"/>
    <mergeCell ref="BJ74:BJ75"/>
    <mergeCell ref="BO78:BO79"/>
    <mergeCell ref="BQ78:BQ79"/>
    <mergeCell ref="BQ76:BQ77"/>
    <mergeCell ref="BS76:BS77"/>
    <mergeCell ref="B78:B79"/>
    <mergeCell ref="C78:I79"/>
    <mergeCell ref="J78:K79"/>
    <mergeCell ref="L78:M79"/>
    <mergeCell ref="N78:O79"/>
    <mergeCell ref="P78:Q79"/>
    <mergeCell ref="R78:S79"/>
    <mergeCell ref="T78:U79"/>
    <mergeCell ref="V78:W79"/>
    <mergeCell ref="X78:Z79"/>
    <mergeCell ref="AE78:AF79"/>
    <mergeCell ref="AG78:AH79"/>
    <mergeCell ref="AI78:AL79"/>
    <mergeCell ref="AM78:AN79"/>
    <mergeCell ref="AO78:AQ79"/>
    <mergeCell ref="AR78:AU79"/>
    <mergeCell ref="AX78:AX79"/>
    <mergeCell ref="AY78:AY79"/>
    <mergeCell ref="AZ78:AZ79"/>
    <mergeCell ref="BA78:BA79"/>
    <mergeCell ref="BB78:BB79"/>
    <mergeCell ref="BC78:BC79"/>
    <mergeCell ref="BC76:BC77"/>
    <mergeCell ref="BD76:BD77"/>
    <mergeCell ref="BE76:BE77"/>
    <mergeCell ref="BF76:BF77"/>
    <mergeCell ref="BH76:BH77"/>
    <mergeCell ref="BJ76:BJ77"/>
    <mergeCell ref="BO80:BO81"/>
    <mergeCell ref="BQ80:BQ81"/>
    <mergeCell ref="BS80:BS81"/>
    <mergeCell ref="BS78:BS79"/>
    <mergeCell ref="B80:B81"/>
    <mergeCell ref="C80:I81"/>
    <mergeCell ref="J80:K81"/>
    <mergeCell ref="L80:M81"/>
    <mergeCell ref="N80:O81"/>
    <mergeCell ref="P80:Q81"/>
    <mergeCell ref="R80:S81"/>
    <mergeCell ref="T80:U81"/>
    <mergeCell ref="V80:W81"/>
    <mergeCell ref="X80:Z81"/>
    <mergeCell ref="AE80:AF81"/>
    <mergeCell ref="AG80:AH81"/>
    <mergeCell ref="AI80:AL81"/>
    <mergeCell ref="AM80:AN81"/>
    <mergeCell ref="AO80:AQ81"/>
    <mergeCell ref="AR80:AU81"/>
    <mergeCell ref="AX80:AX81"/>
    <mergeCell ref="AY80:AY81"/>
    <mergeCell ref="AZ80:AZ81"/>
    <mergeCell ref="BA80:BA81"/>
    <mergeCell ref="BB80:BB81"/>
    <mergeCell ref="BC80:BC81"/>
    <mergeCell ref="BD80:BD81"/>
    <mergeCell ref="BD78:BD79"/>
    <mergeCell ref="BE78:BE79"/>
    <mergeCell ref="BF78:BF79"/>
    <mergeCell ref="BH78:BH79"/>
    <mergeCell ref="BJ78:BJ79"/>
    <mergeCell ref="AI82:AL83"/>
    <mergeCell ref="AM82:AN83"/>
    <mergeCell ref="AO82:AQ83"/>
    <mergeCell ref="AR82:AU83"/>
    <mergeCell ref="AX82:AX83"/>
    <mergeCell ref="AY82:AY83"/>
    <mergeCell ref="B82:B83"/>
    <mergeCell ref="C82:I83"/>
    <mergeCell ref="J82:K83"/>
    <mergeCell ref="L82:M83"/>
    <mergeCell ref="N82:O83"/>
    <mergeCell ref="P82:Q83"/>
    <mergeCell ref="R82:S83"/>
    <mergeCell ref="T82:U83"/>
    <mergeCell ref="V82:W83"/>
    <mergeCell ref="BE80:BE81"/>
    <mergeCell ref="BF80:BF81"/>
    <mergeCell ref="BS82:BS83"/>
    <mergeCell ref="B84:B85"/>
    <mergeCell ref="C84:I85"/>
    <mergeCell ref="J84:K85"/>
    <mergeCell ref="L84:M85"/>
    <mergeCell ref="N84:O85"/>
    <mergeCell ref="P84:Q85"/>
    <mergeCell ref="R84:S85"/>
    <mergeCell ref="T84:U85"/>
    <mergeCell ref="V84:W85"/>
    <mergeCell ref="X84:Z85"/>
    <mergeCell ref="AE84:AF85"/>
    <mergeCell ref="AG84:AH85"/>
    <mergeCell ref="AI84:AL85"/>
    <mergeCell ref="AM84:AN85"/>
    <mergeCell ref="AO84:AQ85"/>
    <mergeCell ref="AR84:AU85"/>
    <mergeCell ref="AX84:AX85"/>
    <mergeCell ref="AY84:AY85"/>
    <mergeCell ref="AZ84:AZ85"/>
    <mergeCell ref="AZ82:AZ83"/>
    <mergeCell ref="BA82:BA83"/>
    <mergeCell ref="BB82:BB83"/>
    <mergeCell ref="BC82:BC83"/>
    <mergeCell ref="BD82:BD83"/>
    <mergeCell ref="BE82:BE83"/>
    <mergeCell ref="BF82:BF83"/>
    <mergeCell ref="BH82:BH83"/>
    <mergeCell ref="BJ82:BJ83"/>
    <mergeCell ref="X82:Z83"/>
    <mergeCell ref="AE82:AF83"/>
    <mergeCell ref="AG82:AH83"/>
    <mergeCell ref="AZ86:AZ87"/>
    <mergeCell ref="BA86:BA87"/>
    <mergeCell ref="BA84:BA85"/>
    <mergeCell ref="BB84:BB85"/>
    <mergeCell ref="BC84:BC85"/>
    <mergeCell ref="BD84:BD85"/>
    <mergeCell ref="BE84:BE85"/>
    <mergeCell ref="BF84:BF85"/>
    <mergeCell ref="BH84:BH85"/>
    <mergeCell ref="BJ84:BJ85"/>
    <mergeCell ref="BK84:BK85"/>
    <mergeCell ref="BK82:BK83"/>
    <mergeCell ref="BL82:BL83"/>
    <mergeCell ref="BO82:BO83"/>
    <mergeCell ref="BQ82:BQ83"/>
    <mergeCell ref="BO86:BO87"/>
    <mergeCell ref="BQ86:BQ87"/>
    <mergeCell ref="BN84:BN85"/>
    <mergeCell ref="BN86:BN87"/>
    <mergeCell ref="BM84:BM85"/>
    <mergeCell ref="BM86:BM87"/>
    <mergeCell ref="BP84:BP85"/>
    <mergeCell ref="BP86:BP87"/>
    <mergeCell ref="BG86:BG87"/>
    <mergeCell ref="BS86:BS87"/>
    <mergeCell ref="BB86:BB87"/>
    <mergeCell ref="BC86:BC87"/>
    <mergeCell ref="BD86:BD87"/>
    <mergeCell ref="BE86:BE87"/>
    <mergeCell ref="BF86:BF87"/>
    <mergeCell ref="BH86:BH87"/>
    <mergeCell ref="BJ86:BJ87"/>
    <mergeCell ref="BK86:BK87"/>
    <mergeCell ref="BL86:BL87"/>
    <mergeCell ref="BL84:BL85"/>
    <mergeCell ref="BO84:BO85"/>
    <mergeCell ref="BQ84:BQ85"/>
    <mergeCell ref="BS84:BS85"/>
    <mergeCell ref="B86:B87"/>
    <mergeCell ref="C86:I87"/>
    <mergeCell ref="J86:K87"/>
    <mergeCell ref="L86:M87"/>
    <mergeCell ref="N86:O87"/>
    <mergeCell ref="P86:Q87"/>
    <mergeCell ref="R86:S87"/>
    <mergeCell ref="T86:U87"/>
    <mergeCell ref="V86:W87"/>
    <mergeCell ref="X86:Z87"/>
    <mergeCell ref="AE86:AF87"/>
    <mergeCell ref="AG86:AH87"/>
    <mergeCell ref="AI86:AL87"/>
    <mergeCell ref="AM86:AN87"/>
    <mergeCell ref="AO86:AQ87"/>
    <mergeCell ref="AR86:AU87"/>
    <mergeCell ref="AX86:AX87"/>
    <mergeCell ref="AY86:AY87"/>
    <mergeCell ref="BK78:BK79"/>
    <mergeCell ref="BL78:BL79"/>
    <mergeCell ref="BK76:BK77"/>
    <mergeCell ref="BL76:BL77"/>
    <mergeCell ref="BK74:BK75"/>
    <mergeCell ref="BL74:BL75"/>
    <mergeCell ref="BL72:BL73"/>
    <mergeCell ref="BK70:BK71"/>
    <mergeCell ref="BL70:BL71"/>
    <mergeCell ref="BN16:BN17"/>
    <mergeCell ref="BN18:BN19"/>
    <mergeCell ref="BN20:BN21"/>
    <mergeCell ref="BN22:BN23"/>
    <mergeCell ref="BN24:BN25"/>
    <mergeCell ref="BN26:BN27"/>
    <mergeCell ref="BN28:BN29"/>
    <mergeCell ref="BN30:BN31"/>
    <mergeCell ref="BN32:BN33"/>
    <mergeCell ref="BN34:BN35"/>
    <mergeCell ref="BN36:BN37"/>
    <mergeCell ref="BN38:BN39"/>
    <mergeCell ref="BN40:BN41"/>
    <mergeCell ref="BN42:BN43"/>
    <mergeCell ref="BN44:BN45"/>
    <mergeCell ref="BN46:BN47"/>
    <mergeCell ref="BN48:BN49"/>
    <mergeCell ref="BK56:BK57"/>
    <mergeCell ref="BL20:BL21"/>
    <mergeCell ref="BL22:BL23"/>
    <mergeCell ref="BL24:BL25"/>
    <mergeCell ref="BL26:BL27"/>
    <mergeCell ref="BL28:BL29"/>
    <mergeCell ref="BR30:BR31"/>
    <mergeCell ref="BR32:BR33"/>
    <mergeCell ref="BR34:BR35"/>
    <mergeCell ref="BR36:BR37"/>
    <mergeCell ref="BR38:BR39"/>
    <mergeCell ref="BR40:BR41"/>
    <mergeCell ref="BR42:BR43"/>
    <mergeCell ref="BR44:BR45"/>
    <mergeCell ref="BR46:BR47"/>
    <mergeCell ref="BR48:BR49"/>
    <mergeCell ref="BE200:BE201"/>
    <mergeCell ref="BN50:BN51"/>
    <mergeCell ref="BN52:BN53"/>
    <mergeCell ref="BN54:BN55"/>
    <mergeCell ref="BN56:BN57"/>
    <mergeCell ref="BN58:BN59"/>
    <mergeCell ref="BN60:BN61"/>
    <mergeCell ref="BN62:BN63"/>
    <mergeCell ref="BN64:BN65"/>
    <mergeCell ref="BN66:BN67"/>
    <mergeCell ref="BN68:BN69"/>
    <mergeCell ref="BN70:BN71"/>
    <mergeCell ref="BN72:BN73"/>
    <mergeCell ref="BN74:BN75"/>
    <mergeCell ref="BN76:BN77"/>
    <mergeCell ref="BN78:BN79"/>
    <mergeCell ref="BN80:BN81"/>
    <mergeCell ref="BN82:BN83"/>
    <mergeCell ref="BH80:BH81"/>
    <mergeCell ref="BJ80:BJ81"/>
    <mergeCell ref="BK80:BK81"/>
    <mergeCell ref="BL80:BL81"/>
    <mergeCell ref="F1:I3"/>
    <mergeCell ref="J1:M3"/>
    <mergeCell ref="Q1:AG3"/>
    <mergeCell ref="AL1:AO3"/>
    <mergeCell ref="AP1:AS3"/>
    <mergeCell ref="AT1:AW3"/>
    <mergeCell ref="BR84:BR85"/>
    <mergeCell ref="BR86:BR87"/>
    <mergeCell ref="BR50:BR51"/>
    <mergeCell ref="BR52:BR53"/>
    <mergeCell ref="BR54:BR55"/>
    <mergeCell ref="BR56:BR57"/>
    <mergeCell ref="BR58:BR59"/>
    <mergeCell ref="BR60:BR61"/>
    <mergeCell ref="BR62:BR63"/>
    <mergeCell ref="BR64:BR65"/>
    <mergeCell ref="BR66:BR67"/>
    <mergeCell ref="BR68:BR69"/>
    <mergeCell ref="BR70:BR71"/>
    <mergeCell ref="BR72:BR73"/>
    <mergeCell ref="BR74:BR75"/>
    <mergeCell ref="BR76:BR77"/>
    <mergeCell ref="BR78:BR79"/>
    <mergeCell ref="BR80:BR81"/>
    <mergeCell ref="BR82:BR83"/>
    <mergeCell ref="BR16:BR17"/>
    <mergeCell ref="BR18:BR19"/>
    <mergeCell ref="BR20:BR21"/>
    <mergeCell ref="BR22:BR23"/>
    <mergeCell ref="BR24:BR25"/>
    <mergeCell ref="BR26:BR27"/>
    <mergeCell ref="BR28:BR29"/>
  </mergeCells>
  <conditionalFormatting sqref="L18:O87 R18:U87">
    <cfRule type="expression" dxfId="130" priority="1486">
      <formula>IF($J18="IPLV",TRUE,FALSE)</formula>
    </cfRule>
  </conditionalFormatting>
  <conditionalFormatting sqref="N18:O87 T18:W87 AA18:AH87">
    <cfRule type="expression" dxfId="129" priority="1483">
      <formula>AND(ISBLANK($C18)=FALSE,OR(ISBLANK(N18)=TRUE,N18=""))</formula>
    </cfRule>
  </conditionalFormatting>
  <conditionalFormatting sqref="R20:S21">
    <cfRule type="expression" dxfId="128" priority="1">
      <formula>$P20="N/A"</formula>
    </cfRule>
  </conditionalFormatting>
  <conditionalFormatting sqref="AM18:AN87">
    <cfRule type="expression" dxfId="127" priority="1482">
      <formula>AM18 &lt;&gt; INDEX(STDHVACINC, MATCH(C18, STDHVACLIST,0))</formula>
    </cfRule>
  </conditionalFormatting>
  <conditionalFormatting sqref="AR18:AU87">
    <cfRule type="expression" dxfId="126" priority="3" stopIfTrue="1">
      <formula>ISNUMBER($AR18)=FALSE</formula>
    </cfRule>
    <cfRule type="expression" dxfId="125" priority="12">
      <formula>$AR18 &lt;&gt; $BG18</formula>
    </cfRule>
  </conditionalFormatting>
  <conditionalFormatting sqref="AS8:AW8">
    <cfRule type="expression" dxfId="124" priority="18">
      <formula>IF($AS$8=PROJSTATMEASURE,FALSE,TRUE)</formula>
    </cfRule>
  </conditionalFormatting>
  <conditionalFormatting sqref="BN18:BO87">
    <cfRule type="expression" dxfId="123" priority="5">
      <formula>IF(OR($BM18="EER",$BM18="SEER",$BM18="IEER",$BM18="COP",$BM18="HSPF"),TRUE,FALSE)</formula>
    </cfRule>
    <cfRule type="expression" dxfId="122" priority="8">
      <formula>IF(AND($BM18&lt;&gt;"",BN18=""),TRUE,FALSE)</formula>
    </cfRule>
  </conditionalFormatting>
  <conditionalFormatting sqref="BP18:BP87">
    <cfRule type="expression" dxfId="121" priority="1489">
      <formula>IF(AND($AO18&gt;0,$BP18="",OR(ISNUMBER(SEARCH("PTHP",$C18)),ISNUMBER(SEARCH("ASHP",$C18)),ISNUMBER(SEARCH("VRF",$C18)))),TRUE,FALSE)</formula>
    </cfRule>
  </conditionalFormatting>
  <dataValidations xWindow="1012" yWindow="362" count="7">
    <dataValidation type="decimal" allowBlank="1" showInputMessage="1" showErrorMessage="1" prompt="This is the TOTAL Labor Cost of the measure, NOT a per unit basis." sqref="AG18:AH87" xr:uid="{91741022-DBFE-4BB2-91BF-FB29C14C77E8}">
      <formula1>0</formula1>
      <formula2>999999</formula2>
    </dataValidation>
    <dataValidation type="decimal" allowBlank="1" showInputMessage="1" showErrorMessage="1" prompt="This is the TOTAL Material Cost of the measure, NOT a per unit basis." sqref="AE18:AF87" xr:uid="{1EE718A0-4D8E-4AEF-ACD5-4F6F07AC437B}">
      <formula1>0</formula1>
      <formula2>999999</formula2>
    </dataValidation>
    <dataValidation type="decimal" showInputMessage="1" showErrorMessage="1" error="The tons entered do not match the Measure selected. Please ensure that the correct Measure and size range was selected." prompt="Enter the nominal tons of the proposed unit. This value can be found on the equipment specification sheets. " sqref="V18:W87" xr:uid="{B05332ED-9456-4D7F-BF51-73E7271A7600}">
      <formula1>INDEX(STDHVACTONMIN,MATCH(C18,STDHVACMEASURES,0))</formula1>
      <formula2>INDEX(STDHVACTONMAX,MATCH(C18,STDHVACMEASURES,0))</formula2>
    </dataValidation>
    <dataValidation allowBlank="1" showInputMessage="1" showErrorMessage="1" prompt="Enter the Brand and Model # as it appears in technical documents and invoices." sqref="X18:Z87" xr:uid="{8760F02D-3686-4C86-8883-D406385BCE81}"/>
    <dataValidation type="list" allowBlank="1" showInputMessage="1" showErrorMessage="1" prompt="Select Efficient Measure. If you do not see your equipment listed, it may qualify as a Custom Measure." sqref="C18:I87" xr:uid="{E351DCF7-5CCF-4FAE-8110-E6053B80434B}">
      <formula1>IF( AND(N18="", T18="", V18="", BO18="", BP18=""), STDHVACLIST, "")</formula1>
    </dataValidation>
    <dataValidation type="decimal" operator="greaterThan" allowBlank="1" showInputMessage="1" showErrorMessage="1" errorTitle="Invalid Entry" error="This value must meet the defined minimum or be greater than zero." prompt="Enter the efficiency of the proposed unit. Ensure that the value entered matches the required rating. This value can be found on the equipment specification sheets and is typically the part-load efficiency." sqref="N18:O87" xr:uid="{572C552F-2AE0-47BB-B865-CA9D81B1A5CD}">
      <formula1>0</formula1>
    </dataValidation>
    <dataValidation type="decimal" operator="greaterThan" allowBlank="1" showInputMessage="1" showErrorMessage="1" errorTitle="Invalid Entry" error="This value must be a number greater than zero." prompt="Enter the efficiency of the proposed unit. Ensure that the value entered matches the required rating. This value can be found on the equipment specification sheets and is typically either the full-load or heating mode efficiency." sqref="T18:U87" xr:uid="{7A923EB6-6962-4789-88F8-542BD1715D0A}">
      <formula1>0</formula1>
    </dataValidation>
  </dataValidations>
  <hyperlinks>
    <hyperlink ref="N9:Q11" location="'M03-S03'!C18" tooltip="Lighting Controls" display="'M03-S03'!C18" xr:uid="{7836B6CD-8D8E-4372-ABC9-5BCC2F12E1FD}"/>
    <hyperlink ref="R9:U11" location="'M03-S04'!C18" tooltip="Refrigeration" display="'M03-S04'!C18" xr:uid="{097EC1A0-DC61-42BB-AD03-AE2902F9C280}"/>
    <hyperlink ref="V9:Y11" location="'M03-S05'!C18" tooltip="HVAC" display="'M03-S05'!C18" xr:uid="{13BC734D-8B5A-4363-AC70-17DF5ECF186D}"/>
    <hyperlink ref="AD9:AG11" location="'M03-S06'!C18" tooltip="Compressed Air / Process" display="'M03-S06'!C18" xr:uid="{F6306310-1CB0-492C-96F1-F5C519E42D9F}"/>
    <hyperlink ref="AH9:AK11" location="'M03-S07'!C18" tooltip="Water Heating / Cooking" display="'M03-S07'!C18" xr:uid="{FEFD785C-BDE0-4A9F-8970-C0B51EF82D99}"/>
    <hyperlink ref="Z9:AC11" location="'M03-S08'!C18" tooltip="Motors and Drives" display="'M03-S08'!C18" xr:uid="{B4EDEC9A-062F-4C91-A0C3-4900E01D672D}"/>
    <hyperlink ref="AL9:AO11" location="'M04-S09'!C18" tooltip="Miscellaneous" display="'M04-S09'!C18" xr:uid="{87B060A7-D04C-4C49-95FE-43742A200E78}"/>
    <hyperlink ref="B202" r:id="rId1" xr:uid="{0B3676AE-8286-44BC-B73F-5269E4D2D57B}"/>
    <hyperlink ref="J1:M3" location="'M01-S02'!J1" tooltip="Instructions" display="'M01-S02'!J1" xr:uid="{3844592F-D438-4CCC-B0F9-F21DCED0320D}"/>
    <hyperlink ref="AP1:AS3" location="'M05-S05'!AL1" tooltip=" " display="'M05-S05'!AL1" xr:uid="{D9CADE8F-F369-4130-A1DA-37BEB6D636DF}"/>
    <hyperlink ref="AL1:AO3" location="'M05-S04'!AH1" tooltip=" " display="'M05-S04'!AH1" xr:uid="{8F1BC8CE-845E-4E9E-917D-3AB38F7A209D}"/>
    <hyperlink ref="AT1:AW3" location="'M01-S03'!AP1" tooltip="Contact" display="'M01-S03'!AP1" xr:uid="{F20D4A65-586E-47E5-BE11-8D355EB66B08}"/>
  </hyperlinks>
  <printOptions horizontalCentered="1"/>
  <pageMargins left="0" right="0" top="0" bottom="0" header="0" footer="0"/>
  <pageSetup scale="4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EAE81-075C-42BE-8194-41CF4E9DA7A3}">
  <sheetPr codeName="Sheet37">
    <tabColor theme="8" tint="0.59999389629810485"/>
    <pageSetUpPr fitToPage="1"/>
  </sheetPr>
  <dimension ref="A1:BZ202"/>
  <sheetViews>
    <sheetView showGridLines="0" showRowColHeaders="0" zoomScale="85" zoomScaleNormal="85" workbookViewId="0">
      <selection activeCell="C18" sqref="C18:N19"/>
    </sheetView>
  </sheetViews>
  <sheetFormatPr defaultColWidth="0" defaultRowHeight="0" customHeight="1" zeroHeight="1"/>
  <cols>
    <col min="1" max="49" width="4.7109375" customWidth="1"/>
    <col min="50" max="50" width="9.5703125" hidden="1"/>
    <col min="51" max="51" width="15.7109375" hidden="1"/>
    <col min="52" max="58" width="9.5703125" hidden="1"/>
    <col min="59" max="61" width="12.7109375" hidden="1"/>
    <col min="62" max="65" width="9.5703125" hidden="1"/>
    <col min="66" max="67" width="13.7109375" hidden="1"/>
    <col min="68" max="68" width="9.5703125" hidden="1"/>
    <col min="69" max="69" width="14.7109375" hidden="1"/>
    <col min="70" max="78" width="4.7109375" hidden="1"/>
    <col min="79" max="16384" width="9.140625" hidden="1"/>
  </cols>
  <sheetData>
    <row r="1" spans="1:6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9"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69" ht="15.95" customHeight="1">
      <c r="A4" s="666">
        <f>INCENTOTAL</f>
        <v>0</v>
      </c>
      <c r="B4" s="666"/>
      <c r="C4" s="666"/>
      <c r="D4" s="666"/>
      <c r="E4" s="666"/>
      <c r="F4" s="203"/>
      <c r="G4" s="203"/>
      <c r="H4" s="203"/>
      <c r="I4" s="203"/>
    </row>
    <row r="5" spans="1:69" ht="15.95" customHeight="1">
      <c r="A5" s="667"/>
      <c r="B5" s="667"/>
      <c r="C5" s="667"/>
      <c r="D5" s="667"/>
      <c r="E5" s="667"/>
      <c r="F5" s="428"/>
      <c r="G5" s="428"/>
      <c r="H5" s="428"/>
      <c r="I5" s="428"/>
      <c r="AS5" s="630">
        <f ca="1">PROGRESSSTATUS</f>
        <v>0</v>
      </c>
      <c r="AT5" s="630"/>
      <c r="AU5" s="630"/>
      <c r="AV5" s="630"/>
      <c r="AW5" s="630"/>
    </row>
    <row r="6" spans="1:69" ht="15.95" customHeight="1">
      <c r="A6" s="667"/>
      <c r="B6" s="667"/>
      <c r="C6" s="667"/>
      <c r="D6" s="667"/>
      <c r="E6" s="667"/>
      <c r="F6" s="428"/>
      <c r="G6" s="428"/>
      <c r="H6" s="428"/>
      <c r="I6" s="428"/>
      <c r="AS6" s="630"/>
      <c r="AT6" s="630"/>
      <c r="AU6" s="630"/>
      <c r="AV6" s="630"/>
      <c r="AW6" s="630"/>
    </row>
    <row r="7" spans="1:69" ht="15.95" customHeight="1">
      <c r="A7" s="629" t="s">
        <v>83</v>
      </c>
      <c r="B7" s="629"/>
      <c r="C7" s="629"/>
      <c r="D7" s="629"/>
      <c r="E7" s="629"/>
      <c r="F7" s="85"/>
      <c r="G7" s="85"/>
      <c r="H7" s="85"/>
      <c r="I7" s="85"/>
      <c r="AS7" s="629" t="s">
        <v>299</v>
      </c>
      <c r="AT7" s="629"/>
      <c r="AU7" s="629"/>
      <c r="AV7" s="629"/>
      <c r="AW7" s="629"/>
    </row>
    <row r="8" spans="1:69" ht="15.95" customHeight="1" thickBot="1">
      <c r="A8" s="632"/>
      <c r="B8" s="632"/>
      <c r="C8" s="632"/>
      <c r="D8" s="632"/>
      <c r="E8" s="632"/>
      <c r="F8" s="429"/>
      <c r="G8" s="429"/>
      <c r="H8" s="429"/>
      <c r="I8" s="429"/>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28" t="str">
        <f ca="1">PROJSTATUS</f>
        <v>Enter Measures</v>
      </c>
      <c r="AT8" s="628"/>
      <c r="AU8" s="628"/>
      <c r="AV8" s="628"/>
      <c r="AW8" s="628"/>
    </row>
    <row r="9" spans="1:69" ht="15.95" customHeight="1">
      <c r="A9" s="88"/>
      <c r="B9" s="89"/>
      <c r="C9" s="89"/>
      <c r="D9" s="89"/>
      <c r="E9" s="89"/>
      <c r="F9" s="89"/>
      <c r="G9" s="89"/>
      <c r="H9" s="88"/>
      <c r="I9" s="88"/>
      <c r="J9" s="877"/>
      <c r="K9" s="878"/>
      <c r="L9" s="878"/>
      <c r="M9" s="878"/>
      <c r="N9" s="876" t="str">
        <f>M3S3</f>
        <v>Lighting Controls</v>
      </c>
      <c r="O9" s="817"/>
      <c r="P9" s="817"/>
      <c r="Q9" s="817"/>
      <c r="R9" s="876" t="str">
        <f>M3S4</f>
        <v>Refrigeration</v>
      </c>
      <c r="S9" s="817"/>
      <c r="T9" s="817"/>
      <c r="U9" s="817"/>
      <c r="V9" s="876" t="str">
        <f>M3S5</f>
        <v>HVAC</v>
      </c>
      <c r="W9" s="817"/>
      <c r="X9" s="817"/>
      <c r="Y9" s="817"/>
      <c r="Z9" s="819" t="str">
        <f>M4S8</f>
        <v>Motors and Drives</v>
      </c>
      <c r="AA9" s="819"/>
      <c r="AB9" s="819"/>
      <c r="AC9" s="819"/>
      <c r="AD9" s="876" t="str">
        <f>M3S6</f>
        <v>Compressed Air / Process</v>
      </c>
      <c r="AE9" s="817"/>
      <c r="AF9" s="817"/>
      <c r="AG9" s="817"/>
      <c r="AH9" s="876" t="str">
        <f>M3S7</f>
        <v>Water Heating / Food Services</v>
      </c>
      <c r="AI9" s="817"/>
      <c r="AJ9" s="817"/>
      <c r="AK9" s="817"/>
      <c r="AL9" s="876" t="str">
        <f>M4S9</f>
        <v>Miscellaneous</v>
      </c>
      <c r="AM9" s="817"/>
      <c r="AN9" s="817"/>
      <c r="AO9" s="817"/>
      <c r="AP9" s="89"/>
      <c r="AQ9" s="89"/>
      <c r="AR9" s="89"/>
      <c r="AU9" s="89"/>
      <c r="AV9" s="89"/>
      <c r="AW9" s="88"/>
    </row>
    <row r="10" spans="1:69" ht="15.95" customHeight="1">
      <c r="A10" s="88"/>
      <c r="B10" s="89"/>
      <c r="C10" s="89"/>
      <c r="D10" s="89"/>
      <c r="E10" s="89"/>
      <c r="F10" s="89"/>
      <c r="G10" s="89"/>
      <c r="H10" s="88"/>
      <c r="I10" s="88"/>
      <c r="J10" s="878"/>
      <c r="K10" s="878"/>
      <c r="L10" s="878"/>
      <c r="M10" s="878"/>
      <c r="N10" s="817"/>
      <c r="O10" s="817"/>
      <c r="P10" s="817"/>
      <c r="Q10" s="817"/>
      <c r="R10" s="817"/>
      <c r="S10" s="817"/>
      <c r="T10" s="817"/>
      <c r="U10" s="817"/>
      <c r="V10" s="817"/>
      <c r="W10" s="817"/>
      <c r="X10" s="817"/>
      <c r="Y10" s="817"/>
      <c r="Z10" s="819"/>
      <c r="AA10" s="819"/>
      <c r="AB10" s="819"/>
      <c r="AC10" s="819"/>
      <c r="AD10" s="817"/>
      <c r="AE10" s="817"/>
      <c r="AF10" s="817"/>
      <c r="AG10" s="817"/>
      <c r="AH10" s="817"/>
      <c r="AI10" s="817"/>
      <c r="AJ10" s="817"/>
      <c r="AK10" s="817"/>
      <c r="AL10" s="817"/>
      <c r="AM10" s="817"/>
      <c r="AN10" s="817"/>
      <c r="AO10" s="817"/>
      <c r="AP10" s="89"/>
      <c r="AQ10" s="89"/>
      <c r="AR10" s="89"/>
      <c r="AU10" s="89"/>
      <c r="AV10" s="89"/>
      <c r="AW10" s="88"/>
    </row>
    <row r="11" spans="1:69" ht="15.95" customHeight="1">
      <c r="B11" s="106"/>
      <c r="C11" s="106"/>
      <c r="D11" s="106"/>
      <c r="E11" s="106"/>
      <c r="F11" s="106"/>
      <c r="G11" s="106"/>
      <c r="J11" s="878"/>
      <c r="K11" s="878"/>
      <c r="L11" s="878"/>
      <c r="M11" s="878"/>
      <c r="N11" s="817"/>
      <c r="O11" s="817"/>
      <c r="P11" s="817"/>
      <c r="Q11" s="817"/>
      <c r="R11" s="817"/>
      <c r="S11" s="817"/>
      <c r="T11" s="817"/>
      <c r="U11" s="817"/>
      <c r="V11" s="817"/>
      <c r="W11" s="817"/>
      <c r="X11" s="817"/>
      <c r="Y11" s="817"/>
      <c r="Z11" s="819"/>
      <c r="AA11" s="819"/>
      <c r="AB11" s="819"/>
      <c r="AC11" s="819"/>
      <c r="AD11" s="817"/>
      <c r="AE11" s="817"/>
      <c r="AF11" s="817"/>
      <c r="AG11" s="817"/>
      <c r="AH11" s="817"/>
      <c r="AI11" s="817"/>
      <c r="AJ11" s="817"/>
      <c r="AK11" s="817"/>
      <c r="AL11" s="817"/>
      <c r="AM11" s="817"/>
      <c r="AN11" s="817"/>
      <c r="AO11" s="817"/>
      <c r="AP11" s="106"/>
      <c r="AQ11" s="106"/>
      <c r="AR11" s="106"/>
      <c r="AU11" s="106"/>
      <c r="AV11" s="106"/>
    </row>
    <row r="12" spans="1:69" ht="15.95" customHeight="1">
      <c r="E12" s="86"/>
      <c r="F12" s="86"/>
      <c r="G12" s="86"/>
      <c r="T12" s="821">
        <f>SUM(AR18:AU199)</f>
        <v>0</v>
      </c>
      <c r="U12" s="821"/>
      <c r="V12" s="821"/>
      <c r="W12" s="821"/>
      <c r="X12" s="821">
        <f>SUM(AX18:AX199)</f>
        <v>0</v>
      </c>
      <c r="Y12" s="821"/>
      <c r="Z12" s="821"/>
      <c r="AA12" s="821"/>
      <c r="AB12" s="820">
        <f ca="1">SUMIF(AR18:AU199,"&gt;0",AO18:AQ199)</f>
        <v>0</v>
      </c>
      <c r="AC12" s="820"/>
      <c r="AD12" s="820"/>
      <c r="AE12" s="820"/>
      <c r="AT12" s="377"/>
    </row>
    <row r="13" spans="1:69" ht="15.95" customHeight="1">
      <c r="E13" s="758" t="s">
        <v>1844</v>
      </c>
      <c r="F13" s="758"/>
      <c r="G13" s="758"/>
      <c r="H13" s="758"/>
      <c r="I13" s="758"/>
      <c r="J13" s="758"/>
      <c r="K13" s="758"/>
      <c r="L13" s="758"/>
      <c r="M13" s="758"/>
      <c r="N13" s="758"/>
      <c r="O13" s="758"/>
      <c r="P13" s="758"/>
      <c r="Q13" s="758"/>
      <c r="R13" s="758"/>
      <c r="T13" s="821"/>
      <c r="U13" s="821"/>
      <c r="V13" s="821"/>
      <c r="W13" s="821"/>
      <c r="X13" s="821"/>
      <c r="Y13" s="821"/>
      <c r="Z13" s="821"/>
      <c r="AA13" s="821"/>
      <c r="AB13" s="820"/>
      <c r="AC13" s="820"/>
      <c r="AD13" s="820"/>
      <c r="AE13" s="820"/>
      <c r="AM13" s="840" t="str">
        <f>IF(IFERROR(MATCH("100% Total Cost", BI:BI, 0), FALSE), "The incentive for one or more measures is capped due to measure cost.", "")</f>
        <v/>
      </c>
      <c r="AN13" s="840"/>
      <c r="AO13" s="840"/>
      <c r="AP13" s="840"/>
      <c r="AQ13" s="840"/>
      <c r="AR13" s="840"/>
      <c r="AS13" s="840"/>
      <c r="AT13" s="840"/>
      <c r="AU13" s="840"/>
    </row>
    <row r="14" spans="1:69" ht="15.95" customHeight="1">
      <c r="T14" s="758" t="s">
        <v>1717</v>
      </c>
      <c r="U14" s="758"/>
      <c r="V14" s="758"/>
      <c r="W14" s="758"/>
      <c r="X14" s="758" t="s">
        <v>67</v>
      </c>
      <c r="Y14" s="758"/>
      <c r="Z14" s="758"/>
      <c r="AA14" s="758"/>
      <c r="AB14" s="758" t="s">
        <v>1161</v>
      </c>
      <c r="AC14" s="758"/>
      <c r="AD14" s="758"/>
      <c r="AE14" s="758"/>
      <c r="AM14" s="840"/>
      <c r="AN14" s="840"/>
      <c r="AO14" s="840"/>
      <c r="AP14" s="840"/>
      <c r="AQ14" s="840"/>
      <c r="AR14" s="840"/>
      <c r="AS14" s="840"/>
      <c r="AT14" s="840"/>
      <c r="AU14" s="840"/>
    </row>
    <row r="15" spans="1:69" ht="15.95" customHeight="1"/>
    <row r="16" spans="1:69" ht="15.95" customHeight="1">
      <c r="C16" s="723" t="s">
        <v>1250</v>
      </c>
      <c r="D16" s="723"/>
      <c r="E16" s="723"/>
      <c r="F16" s="723"/>
      <c r="G16" s="723"/>
      <c r="H16" s="723"/>
      <c r="I16" s="723"/>
      <c r="J16" s="723"/>
      <c r="K16" s="723"/>
      <c r="L16" s="723"/>
      <c r="M16" s="723"/>
      <c r="N16" s="723"/>
      <c r="O16" s="723" t="s">
        <v>1261</v>
      </c>
      <c r="P16" s="723"/>
      <c r="Q16" s="723"/>
      <c r="R16" s="723" t="s">
        <v>3011</v>
      </c>
      <c r="S16" s="723"/>
      <c r="T16" s="723" t="s">
        <v>3012</v>
      </c>
      <c r="U16" s="723"/>
      <c r="V16" s="723"/>
      <c r="W16" s="723" t="s">
        <v>2912</v>
      </c>
      <c r="X16" s="723"/>
      <c r="Y16" s="723"/>
      <c r="Z16" s="723"/>
      <c r="AA16" s="723" t="s">
        <v>2913</v>
      </c>
      <c r="AB16" s="723"/>
      <c r="AC16" s="723"/>
      <c r="AD16" s="723"/>
      <c r="AE16" s="723" t="s">
        <v>1249</v>
      </c>
      <c r="AF16" s="723"/>
      <c r="AG16" s="723"/>
      <c r="AH16" s="723"/>
      <c r="AI16" s="814" t="s">
        <v>1243</v>
      </c>
      <c r="AJ16" s="814"/>
      <c r="AK16" s="814"/>
      <c r="AL16" s="814"/>
      <c r="AM16" s="723" t="s">
        <v>1718</v>
      </c>
      <c r="AN16" s="723"/>
      <c r="AO16" s="723" t="s">
        <v>1108</v>
      </c>
      <c r="AP16" s="723"/>
      <c r="AQ16" s="723"/>
      <c r="AR16" s="723" t="s">
        <v>83</v>
      </c>
      <c r="AS16" s="723"/>
      <c r="AT16" s="723"/>
      <c r="AU16" s="723"/>
      <c r="AX16" s="752" t="s">
        <v>1257</v>
      </c>
      <c r="AY16" s="752" t="s">
        <v>1116</v>
      </c>
      <c r="AZ16" s="759" t="s">
        <v>1253</v>
      </c>
      <c r="BA16" s="759"/>
      <c r="BB16" s="752" t="s">
        <v>1255</v>
      </c>
      <c r="BC16" s="752" t="s">
        <v>1256</v>
      </c>
      <c r="BD16" s="752" t="s">
        <v>1305</v>
      </c>
      <c r="BE16" s="759" t="s">
        <v>1254</v>
      </c>
      <c r="BF16" s="759"/>
      <c r="BG16" s="752" t="s">
        <v>2774</v>
      </c>
      <c r="BH16" s="752" t="s">
        <v>85</v>
      </c>
      <c r="BI16" s="752" t="s">
        <v>1306</v>
      </c>
      <c r="BJ16" s="752" t="s">
        <v>309</v>
      </c>
      <c r="BK16" s="736" t="s">
        <v>88</v>
      </c>
      <c r="BL16" s="736" t="s">
        <v>2130</v>
      </c>
      <c r="BM16" s="833"/>
      <c r="BN16" s="736" t="s">
        <v>2270</v>
      </c>
      <c r="BO16" s="736" t="s">
        <v>1303</v>
      </c>
      <c r="BP16" s="736" t="s">
        <v>2401</v>
      </c>
      <c r="BQ16" s="752" t="s">
        <v>2917</v>
      </c>
    </row>
    <row r="17" spans="2:69" ht="15.95" customHeight="1" thickBot="1">
      <c r="C17" s="724"/>
      <c r="D17" s="724"/>
      <c r="E17" s="724"/>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t="s">
        <v>1241</v>
      </c>
      <c r="AJ17" s="724"/>
      <c r="AK17" s="724" t="s">
        <v>1242</v>
      </c>
      <c r="AL17" s="724"/>
      <c r="AM17" s="724"/>
      <c r="AN17" s="724"/>
      <c r="AO17" s="724"/>
      <c r="AP17" s="724"/>
      <c r="AQ17" s="724"/>
      <c r="AR17" s="724"/>
      <c r="AS17" s="724"/>
      <c r="AT17" s="724"/>
      <c r="AU17" s="724"/>
      <c r="AX17" s="753"/>
      <c r="AY17" s="753"/>
      <c r="AZ17" s="107" t="s">
        <v>1251</v>
      </c>
      <c r="BA17" s="107" t="s">
        <v>1252</v>
      </c>
      <c r="BB17" s="753"/>
      <c r="BC17" s="753" t="s">
        <v>1256</v>
      </c>
      <c r="BD17" s="753"/>
      <c r="BE17" s="107" t="s">
        <v>1251</v>
      </c>
      <c r="BF17" s="107" t="s">
        <v>1465</v>
      </c>
      <c r="BG17" s="753"/>
      <c r="BH17" s="753"/>
      <c r="BI17" s="753"/>
      <c r="BJ17" s="753"/>
      <c r="BK17" s="737"/>
      <c r="BL17" s="737"/>
      <c r="BM17" s="834"/>
      <c r="BN17" s="737"/>
      <c r="BO17" s="737"/>
      <c r="BP17" s="737"/>
      <c r="BQ17" s="753"/>
    </row>
    <row r="18" spans="2:69" ht="15.95" customHeight="1">
      <c r="B18" s="806">
        <v>1</v>
      </c>
      <c r="C18" s="725"/>
      <c r="D18" s="726"/>
      <c r="E18" s="726"/>
      <c r="F18" s="726"/>
      <c r="G18" s="726"/>
      <c r="H18" s="726"/>
      <c r="I18" s="726"/>
      <c r="J18" s="726"/>
      <c r="K18" s="726"/>
      <c r="L18" s="726"/>
      <c r="M18" s="726"/>
      <c r="N18" s="727"/>
      <c r="O18" s="941" t="str">
        <f>IF(C18="","",INDEX(STDMOTORS[Current Unit],MATCH(C18,STDMOTORS[Measure Name],0)))</f>
        <v/>
      </c>
      <c r="P18" s="942"/>
      <c r="Q18" s="943"/>
      <c r="R18" s="939"/>
      <c r="S18" s="940"/>
      <c r="T18" s="725"/>
      <c r="U18" s="726"/>
      <c r="V18" s="726"/>
      <c r="W18" s="725"/>
      <c r="X18" s="726"/>
      <c r="Y18" s="726"/>
      <c r="Z18" s="727"/>
      <c r="AA18" s="725"/>
      <c r="AB18" s="726"/>
      <c r="AC18" s="726"/>
      <c r="AD18" s="727"/>
      <c r="AE18" s="813"/>
      <c r="AF18" s="813"/>
      <c r="AG18" s="813"/>
      <c r="AH18" s="716"/>
      <c r="AI18" s="786"/>
      <c r="AJ18" s="787"/>
      <c r="AK18" s="787"/>
      <c r="AL18" s="788"/>
      <c r="AM18" s="796" t="str">
        <f>IFERROR(IF(C18="","",INDEX(IF(AND(ACTIVEBONUS = TRUE,INDEX(STDMOTORS[Bonus Incentive],MATCH(C18,STDMOTORS[Measure Name],0))&lt;&gt; ""),STDMOTORS[Bonus Incentive],STDMOTORS[Base Incentive]),MATCH(C18,STDMOTORS[Measure Name],0))),"")</f>
        <v/>
      </c>
      <c r="AN18" s="823"/>
      <c r="AO18" s="797" t="str">
        <f>IFERROR(IF(OR(C18="",O18="",R18="",T18="",AA18="",AE18="",AI18="",AK18="",W18=""),"",IF(BN18="Deemed",AZ18,IF(BN18="Calculated",BE18,""))),"")</f>
        <v/>
      </c>
      <c r="AP18" s="797"/>
      <c r="AQ18" s="797"/>
      <c r="AR18" s="826" t="str">
        <f>IFERROR(IF(OR(C18="",O18="",R18="",T18="",AA18="",AE18="",AI18="",AK18="",W18=""),"",IF(BJ18&lt;&gt;"",BJ18,IF(BP18&gt;0,BP18,ROUND(IF(AO18&lt;=0,0,MIN(AX18,BG18)),2)))),"")</f>
        <v/>
      </c>
      <c r="AS18" s="826"/>
      <c r="AT18" s="826"/>
      <c r="AU18" s="826"/>
      <c r="AV18" s="22"/>
      <c r="AX18" s="873" t="str">
        <f>IF(OR(C18="",O18="",R18="",T18="",AA18="",AE18="",AI18="",AK18="",W18=""),"",IF(AO18=0,"",ROUND(AI18+AK18,2)))</f>
        <v/>
      </c>
      <c r="AY18" s="750" t="str">
        <f>IFERROR(IF(OR(C18="",O18="",R18="",T18="",AA18="",AE18="",AI18="",AK18="",W18=""),"",INDEX(STDMOTORS[Current Unit],MATCH(C18,STDMOTORS[Measure Name],0))),"Err")</f>
        <v/>
      </c>
      <c r="AZ18" s="746" t="str">
        <f>IF(OR(C18="",O18="",R18="",T18="",AA18="",AE18="",AI18="",AK18="",W18=""),"",ROUND(R18*T18*INDEX(STDMOTORS[Electric Energy Savings (Annual kWh/unit)],MATCH(C18,STDMOTORS[Measure Name],0)),4))</f>
        <v/>
      </c>
      <c r="BA18" s="746" t="str">
        <f>IF(OR(C18="",O18="",R18="",T18="",AA18="",AE18="",AI18="",AK18="",W18=""),"",ROUND(R18*T18*INDEX(STDMOTORS[Coincident Peak Demand Savings (kW/unit)],MATCH(C18,STDMOTORS[Measure Name],0)),4))</f>
        <v/>
      </c>
      <c r="BB18" s="870"/>
      <c r="BC18" s="870"/>
      <c r="BD18" s="950" t="str">
        <f>IFERROR(IF(OR(C18="",O18="",R18="",T18="",AA18="",AE18="",AI18="",AK18="",W18=""),"",INDEX(STDMOTORS[End Use],MATCH(C18,STDMOTORS[Measure Name],0))),"Err")</f>
        <v/>
      </c>
      <c r="BE18" s="870"/>
      <c r="BF18" s="870"/>
      <c r="BG18" s="838" t="str">
        <f>IFERROR(ROUND(R18*T18*AM18, 2), "")</f>
        <v/>
      </c>
      <c r="BH18" s="750" t="str">
        <f>IFERROR(IF(OR(C18="",O18="",R18="",T18="",AA18="",AE18="",AI18="",AK18="",W18="",ISNUMBER(AR18)=FALSE,AR18=0),"",INDEX(STDMOTORS[Measure Number],MATCH(C18,STDMOTORS[Measure Name],0))),"Err")</f>
        <v/>
      </c>
      <c r="BI18" s="754" t="str">
        <f>IFERROR(IF(BP18="",IF(AR18 &lt; BG18, "100% Total Cost", ""), ""), "")</f>
        <v/>
      </c>
      <c r="BJ18" s="750" t="str">
        <f>IFERROR(IF(OR(C18="",O18="",R18="",T18="",AA18="",AE18="",AI18="",AK18="",W18=""),"",
IF(BP18&gt;0,"",
IF(EXPIRATION&lt;&gt;"",PROJSTATEXP,""))),"")</f>
        <v/>
      </c>
      <c r="BK18" s="828" t="str">
        <f>IFERROR(INDEX(STDMOTORS[Measure Life (Years)],MATCH(C18,STDMOTORS[Measure Name],0)),"")</f>
        <v/>
      </c>
      <c r="BL18" s="830" t="str">
        <f>IFERROR(IF(OR(C18="",O18="",R18="",T18="",AA18="",AE18="",AI18="",AK18="",W18=""),"",
ROUND(((1+ELOSS)*((AZ18*INDEX(ELECCB[NPV AEC $/kWh],MATCH(BK18,ELECCB[Year Number],1)))+(BA18*INDEX(ELECCB[NPV ACC $/kW],MATCH(BK18,ELECCB[Year Number],1))))),2)),0)</f>
        <v/>
      </c>
      <c r="BM18" s="835"/>
      <c r="BN18" s="832" t="str">
        <f>IFERROR(IF(OR(C18="",O18="",R18="",T18="",AA18="",AE18="",AI18="",AK18="",W18=""),"",INDEX(STDMOTORS[Reporting Methodology],MATCH(C18,STDMOTORS[Measure Name],0))),"Err")</f>
        <v/>
      </c>
      <c r="BO18" s="867" t="str">
        <f>IFERROR(IF(BH18="","",INDEX(STDMOTORS[Incremental Measure Cost ($/Unit)],MATCH(C18,STDMOTORS[Measure Name],0))),"Err")</f>
        <v/>
      </c>
      <c r="BP18" s="837"/>
      <c r="BQ18" s="838" t="str">
        <f>_xlfn.LET(
_xlpm.IPU,
IFERROR(IF(C18="","",INDEX(STDMOTORS[Base Incentive],MATCH(C18,STDMOTORS[Measure Name],0))),""),
IFERROR(ROUND(R18*_xlpm.IPU, 2), ""))</f>
        <v/>
      </c>
    </row>
    <row r="19" spans="2:69" ht="15.95" customHeight="1">
      <c r="B19" s="806"/>
      <c r="C19" s="716"/>
      <c r="D19" s="717"/>
      <c r="E19" s="717"/>
      <c r="F19" s="717"/>
      <c r="G19" s="717"/>
      <c r="H19" s="717"/>
      <c r="I19" s="717"/>
      <c r="J19" s="717"/>
      <c r="K19" s="717"/>
      <c r="L19" s="717"/>
      <c r="M19" s="717"/>
      <c r="N19" s="718"/>
      <c r="O19" s="944"/>
      <c r="P19" s="945"/>
      <c r="Q19" s="946"/>
      <c r="R19" s="791"/>
      <c r="S19" s="792"/>
      <c r="T19" s="716"/>
      <c r="U19" s="717"/>
      <c r="V19" s="717"/>
      <c r="W19" s="716"/>
      <c r="X19" s="717"/>
      <c r="Y19" s="717"/>
      <c r="Z19" s="718"/>
      <c r="AA19" s="716"/>
      <c r="AB19" s="717"/>
      <c r="AC19" s="717"/>
      <c r="AD19" s="718"/>
      <c r="AE19" s="805"/>
      <c r="AF19" s="805"/>
      <c r="AG19" s="805"/>
      <c r="AH19" s="728"/>
      <c r="AI19" s="765"/>
      <c r="AJ19" s="766"/>
      <c r="AK19" s="766"/>
      <c r="AL19" s="767"/>
      <c r="AM19" s="875"/>
      <c r="AN19" s="825"/>
      <c r="AO19" s="798"/>
      <c r="AP19" s="798"/>
      <c r="AQ19" s="798"/>
      <c r="AR19" s="827"/>
      <c r="AS19" s="827"/>
      <c r="AT19" s="827"/>
      <c r="AU19" s="827"/>
      <c r="AV19" s="22"/>
      <c r="AX19" s="874"/>
      <c r="AY19" s="751"/>
      <c r="AZ19" s="747"/>
      <c r="BA19" s="747"/>
      <c r="BB19" s="871"/>
      <c r="BC19" s="871"/>
      <c r="BD19" s="951"/>
      <c r="BE19" s="871"/>
      <c r="BF19" s="871"/>
      <c r="BG19" s="839"/>
      <c r="BH19" s="751"/>
      <c r="BI19" s="755"/>
      <c r="BJ19" s="751"/>
      <c r="BK19" s="829"/>
      <c r="BL19" s="831"/>
      <c r="BM19" s="836"/>
      <c r="BN19" s="832"/>
      <c r="BO19" s="867"/>
      <c r="BP19" s="837"/>
      <c r="BQ19" s="839"/>
    </row>
    <row r="20" spans="2:69" ht="15.95" customHeight="1">
      <c r="B20" s="806">
        <v>2</v>
      </c>
      <c r="C20" s="713"/>
      <c r="D20" s="714"/>
      <c r="E20" s="714"/>
      <c r="F20" s="714"/>
      <c r="G20" s="714"/>
      <c r="H20" s="714"/>
      <c r="I20" s="714"/>
      <c r="J20" s="714"/>
      <c r="K20" s="714"/>
      <c r="L20" s="714"/>
      <c r="M20" s="714"/>
      <c r="N20" s="715"/>
      <c r="O20" s="947" t="str">
        <f>IF(C20="","",INDEX(STDMOTORS[Current Unit],MATCH(C20,STDMOTORS[Measure Name],0)))</f>
        <v/>
      </c>
      <c r="P20" s="948"/>
      <c r="Q20" s="949"/>
      <c r="R20" s="789"/>
      <c r="S20" s="790"/>
      <c r="T20" s="713"/>
      <c r="U20" s="714"/>
      <c r="V20" s="714"/>
      <c r="W20" s="713"/>
      <c r="X20" s="714"/>
      <c r="Y20" s="714"/>
      <c r="Z20" s="715"/>
      <c r="AA20" s="713"/>
      <c r="AB20" s="714"/>
      <c r="AC20" s="714"/>
      <c r="AD20" s="715"/>
      <c r="AE20" s="805"/>
      <c r="AF20" s="805"/>
      <c r="AG20" s="805"/>
      <c r="AH20" s="728"/>
      <c r="AI20" s="765"/>
      <c r="AJ20" s="766"/>
      <c r="AK20" s="766"/>
      <c r="AL20" s="767"/>
      <c r="AM20" s="796" t="str">
        <f>IFERROR(IF(C20="","",INDEX(IF(AND(ACTIVEBONUS = TRUE,INDEX(STDMOTORS[Bonus Incentive],MATCH(C20,STDMOTORS[Measure Name],0))&lt;&gt; ""),STDMOTORS[Bonus Incentive],STDMOTORS[Base Incentive]),MATCH(C20,STDMOTORS[Measure Name],0))),"")</f>
        <v/>
      </c>
      <c r="AN20" s="823"/>
      <c r="AO20" s="797" t="str">
        <f t="shared" ref="AO20" si="0">IFERROR(IF(OR(C20="",O20="",R20="",T20="",AA20="",AE20="",AI20="",AK20=""),"",IF(BN20="Deemed",AZ20,IF(BN20="Calculated",BE20,""))),"")</f>
        <v/>
      </c>
      <c r="AP20" s="797"/>
      <c r="AQ20" s="797"/>
      <c r="AR20" s="826" t="str">
        <f t="shared" ref="AR20" si="1">IFERROR(IF(OR(C20="",O20="",R20="",T20="",AA20="",AE20="",AI20="",AK20=""),"",IF(BJ20&lt;&gt;"",BJ20,IF(BP20&gt;0,BP20,ROUND(IF(AO20&lt;=0,0,MIN(AX20,BG20)),2)))),"")</f>
        <v/>
      </c>
      <c r="AS20" s="826"/>
      <c r="AT20" s="826"/>
      <c r="AU20" s="826"/>
      <c r="AV20" s="22"/>
      <c r="AX20" s="873" t="str">
        <f t="shared" ref="AX20" si="2">IF(OR(C20="",O20="",R20="",T20="",AA20="",AE20="",AI20="",AK20=""),"",IF(AO20=0,"",ROUND(AI20+AK20,2)))</f>
        <v/>
      </c>
      <c r="AY20" s="750" t="str">
        <f>IFERROR(IF(OR(C20="",O20="",R20="",T20="",AA20="",AE20="",AI20="",AK20=""),"",INDEX(STDMOTORS[Current Unit],MATCH(C20,STDMOTORS[Measure Name],0))),"Err")</f>
        <v/>
      </c>
      <c r="AZ20" s="746" t="str">
        <f>IF(OR(C20="",O20="",R20="",T20="",AA20="",AE20="",AI20="",AK20=""),"",ROUND(R20*T20*INDEX(STDMOTORS[Electric Energy Savings (Annual kWh/unit)],MATCH(C20,STDMOTORS[Measure Name],0)),4))</f>
        <v/>
      </c>
      <c r="BA20" s="746" t="str">
        <f>IF(OR(C20="",O20="",R20="",T20="",AA20="",AE20="",AI20="",AK20=""),"",ROUND(R20*T20*INDEX(STDMOTORS[Coincident Peak Demand Savings (kW/unit)],MATCH(C20,STDMOTORS[Measure Name],0)),4))</f>
        <v/>
      </c>
      <c r="BB20" s="871"/>
      <c r="BC20" s="871"/>
      <c r="BD20" s="950" t="str">
        <f>IFERROR(IF(OR(C20="",O20="",R20="",T20="",AA20="",AE20="",AI20="",AK20=""),"",INDEX(STDMOTORS[End Use],MATCH(C20,STDMOTORS[Measure Name],0))),"Err")</f>
        <v/>
      </c>
      <c r="BE20" s="871"/>
      <c r="BF20" s="871"/>
      <c r="BG20" s="838" t="str">
        <f t="shared" ref="BG20" si="3">IFERROR(ROUND(R20*T20*AM20, 2), "")</f>
        <v/>
      </c>
      <c r="BH20" s="750" t="str">
        <f>IFERROR(IF(OR(C20="",O20="",R20="",T20="",AA20="",AE20="",AI20="",AK20="",ISNUMBER(AR20)=FALSE,AR20=0),"",INDEX(STDMOTORS[Measure Number],MATCH(C20,STDMOTORS[Measure Name],0))),"Err")</f>
        <v/>
      </c>
      <c r="BI20" s="754" t="str">
        <f t="shared" ref="BI20" si="4">IFERROR(IF(BP20="",IF(AR20 &lt; BG20, "100% Total Cost", ""), ""), "")</f>
        <v/>
      </c>
      <c r="BJ20" s="750" t="str">
        <f>IFERROR(IF(OR(C20="",O20="",R20="",T20="",AA20="",AE20="",AI20="",AK20=""),"",
IF(BP20&gt;0,"",
IF(EXPIRATION&lt;&gt;"",PROJSTATEXP,""))),"")</f>
        <v/>
      </c>
      <c r="BK20" s="828" t="str">
        <f>IFERROR(INDEX(STDMOTORS[Measure Life (Years)],MATCH(C20,STDMOTORS[Measure Name],0)),"")</f>
        <v/>
      </c>
      <c r="BL20" s="830" t="str">
        <f>IFERROR(IF(OR(C20="",O20="",R20="",T20="",AA20="",AE20="",AI20="",AK20=""),"",
ROUND(((1+ELOSS)*((AZ20*INDEX(ELECCB[NPV AEC $/kWh],MATCH(BK20,ELECCB[Year Number],1)))+(BA20*INDEX(ELECCB[NPV ACC $/kW],MATCH(BK20,ELECCB[Year Number],1))))),2)),0)</f>
        <v/>
      </c>
      <c r="BM20" s="835"/>
      <c r="BN20" s="832" t="str">
        <f>IFERROR(IF(OR(C20="",O20="",R20="",T20="",AA20="",AE20="",AI20="",AK20=""),"",INDEX(STDMOTORS[Reporting Methodology],MATCH(C20,STDMOTORS[Measure Name],0))),"Err")</f>
        <v/>
      </c>
      <c r="BO20" s="867" t="str">
        <f>IFERROR(IF(BH20="","",INDEX(STDMOTORS[Incremental Measure Cost ($/Unit)],MATCH(C20,STDMOTORS[Measure Name],0))),"Err")</f>
        <v/>
      </c>
      <c r="BP20" s="837"/>
      <c r="BQ20" s="838" t="str">
        <f>_xlfn.LET(
_xlpm.IPU,
IFERROR(IF(C20="","",INDEX(STDMOTORS[Base Incentive],MATCH(C20,STDMOTORS[Measure Name],0))),""),
IFERROR(ROUND(R20*_xlpm.IPU, 2), ""))</f>
        <v/>
      </c>
    </row>
    <row r="21" spans="2:69" ht="15.95" customHeight="1">
      <c r="B21" s="806"/>
      <c r="C21" s="716"/>
      <c r="D21" s="717"/>
      <c r="E21" s="717"/>
      <c r="F21" s="717"/>
      <c r="G21" s="717"/>
      <c r="H21" s="717"/>
      <c r="I21" s="717"/>
      <c r="J21" s="717"/>
      <c r="K21" s="717"/>
      <c r="L21" s="717"/>
      <c r="M21" s="717"/>
      <c r="N21" s="718"/>
      <c r="O21" s="944"/>
      <c r="P21" s="945"/>
      <c r="Q21" s="946"/>
      <c r="R21" s="791"/>
      <c r="S21" s="792"/>
      <c r="T21" s="716"/>
      <c r="U21" s="717"/>
      <c r="V21" s="717"/>
      <c r="W21" s="716"/>
      <c r="X21" s="717"/>
      <c r="Y21" s="717"/>
      <c r="Z21" s="718"/>
      <c r="AA21" s="716"/>
      <c r="AB21" s="717"/>
      <c r="AC21" s="717"/>
      <c r="AD21" s="718"/>
      <c r="AE21" s="805"/>
      <c r="AF21" s="805"/>
      <c r="AG21" s="805"/>
      <c r="AH21" s="728"/>
      <c r="AI21" s="765"/>
      <c r="AJ21" s="766"/>
      <c r="AK21" s="766"/>
      <c r="AL21" s="767"/>
      <c r="AM21" s="875"/>
      <c r="AN21" s="825"/>
      <c r="AO21" s="798"/>
      <c r="AP21" s="798"/>
      <c r="AQ21" s="798"/>
      <c r="AR21" s="827"/>
      <c r="AS21" s="827"/>
      <c r="AT21" s="827"/>
      <c r="AU21" s="827"/>
      <c r="AV21" s="22"/>
      <c r="AX21" s="874"/>
      <c r="AY21" s="751"/>
      <c r="AZ21" s="747"/>
      <c r="BA21" s="747"/>
      <c r="BB21" s="871"/>
      <c r="BC21" s="871"/>
      <c r="BD21" s="951"/>
      <c r="BE21" s="871"/>
      <c r="BF21" s="871"/>
      <c r="BG21" s="839"/>
      <c r="BH21" s="751"/>
      <c r="BI21" s="755"/>
      <c r="BJ21" s="751"/>
      <c r="BK21" s="829"/>
      <c r="BL21" s="831"/>
      <c r="BM21" s="836"/>
      <c r="BN21" s="832"/>
      <c r="BO21" s="867"/>
      <c r="BP21" s="837"/>
      <c r="BQ21" s="839"/>
    </row>
    <row r="22" spans="2:69" ht="15.95" customHeight="1">
      <c r="B22" s="806">
        <v>3</v>
      </c>
      <c r="C22" s="713"/>
      <c r="D22" s="714"/>
      <c r="E22" s="714"/>
      <c r="F22" s="714"/>
      <c r="G22" s="714"/>
      <c r="H22" s="714"/>
      <c r="I22" s="714"/>
      <c r="J22" s="714"/>
      <c r="K22" s="714"/>
      <c r="L22" s="714"/>
      <c r="M22" s="714"/>
      <c r="N22" s="715"/>
      <c r="O22" s="947" t="str">
        <f>IF(C22="","",INDEX(STDMOTORS[Current Unit],MATCH(C22,STDMOTORS[Measure Name],0)))</f>
        <v/>
      </c>
      <c r="P22" s="948"/>
      <c r="Q22" s="949"/>
      <c r="R22" s="789"/>
      <c r="S22" s="790"/>
      <c r="T22" s="713"/>
      <c r="U22" s="714"/>
      <c r="V22" s="714"/>
      <c r="W22" s="713"/>
      <c r="X22" s="714"/>
      <c r="Y22" s="714"/>
      <c r="Z22" s="715"/>
      <c r="AA22" s="713"/>
      <c r="AB22" s="714"/>
      <c r="AC22" s="714"/>
      <c r="AD22" s="715"/>
      <c r="AE22" s="805"/>
      <c r="AF22" s="805"/>
      <c r="AG22" s="805"/>
      <c r="AH22" s="728"/>
      <c r="AI22" s="765"/>
      <c r="AJ22" s="766"/>
      <c r="AK22" s="766"/>
      <c r="AL22" s="767"/>
      <c r="AM22" s="796" t="str">
        <f>IFERROR(IF(C22="","",INDEX(IF(AND(ACTIVEBONUS = TRUE,INDEX(STDMOTORS[Bonus Incentive],MATCH(C22,STDMOTORS[Measure Name],0))&lt;&gt; ""),STDMOTORS[Bonus Incentive],STDMOTORS[Base Incentive]),MATCH(C22,STDMOTORS[Measure Name],0))),"")</f>
        <v/>
      </c>
      <c r="AN22" s="823"/>
      <c r="AO22" s="797" t="str">
        <f t="shared" ref="AO22" si="5">IFERROR(IF(OR(C22="",O22="",R22="",T22="",AA22="",AE22="",AI22="",AK22=""),"",IF(BN22="Deemed",AZ22,IF(BN22="Calculated",BE22,""))),"")</f>
        <v/>
      </c>
      <c r="AP22" s="797"/>
      <c r="AQ22" s="797"/>
      <c r="AR22" s="826" t="str">
        <f t="shared" ref="AR22" si="6">IFERROR(IF(OR(C22="",O22="",R22="",T22="",AA22="",AE22="",AI22="",AK22=""),"",IF(BJ22&lt;&gt;"",BJ22,IF(BP22&gt;0,BP22,ROUND(IF(AO22&lt;=0,0,MIN(AX22,BG22)),2)))),"")</f>
        <v/>
      </c>
      <c r="AS22" s="826"/>
      <c r="AT22" s="826"/>
      <c r="AU22" s="826"/>
      <c r="AV22" s="22"/>
      <c r="AX22" s="873" t="str">
        <f t="shared" ref="AX22" si="7">IF(OR(C22="",O22="",R22="",T22="",AA22="",AE22="",AI22="",AK22=""),"",IF(AO22=0,"",ROUND(AI22+AK22,2)))</f>
        <v/>
      </c>
      <c r="AY22" s="750" t="str">
        <f>IFERROR(IF(OR(C22="",O22="",R22="",T22="",AA22="",AE22="",AI22="",AK22=""),"",INDEX(STDMOTORS[Current Unit],MATCH(C22,STDMOTORS[Measure Name],0))),"Err")</f>
        <v/>
      </c>
      <c r="AZ22" s="746" t="str">
        <f>IF(OR(C22="",O22="",R22="",T22="",AA22="",AE22="",AI22="",AK22=""),"",ROUND(R22*T22*INDEX(STDMOTORS[Electric Energy Savings (Annual kWh/unit)],MATCH(C22,STDMOTORS[Measure Name],0)),4))</f>
        <v/>
      </c>
      <c r="BA22" s="746" t="str">
        <f>IF(OR(C22="",O22="",R22="",T22="",AA22="",AE22="",AI22="",AK22=""),"",ROUND(R22*T22*INDEX(STDMOTORS[Coincident Peak Demand Savings (kW/unit)],MATCH(C22,STDMOTORS[Measure Name],0)),4))</f>
        <v/>
      </c>
      <c r="BB22" s="871"/>
      <c r="BC22" s="871"/>
      <c r="BD22" s="950" t="str">
        <f>IFERROR(IF(OR(C22="",O22="",R22="",T22="",AA22="",AE22="",AI22="",AK22=""),"",INDEX(STDMOTORS[End Use],MATCH(C22,STDMOTORS[Measure Name],0))),"Err")</f>
        <v/>
      </c>
      <c r="BE22" s="871"/>
      <c r="BF22" s="871"/>
      <c r="BG22" s="838" t="str">
        <f t="shared" ref="BG22" si="8">IFERROR(ROUND(R22*T22*AM22, 2), "")</f>
        <v/>
      </c>
      <c r="BH22" s="750" t="str">
        <f>IFERROR(IF(OR(C22="",O22="",R22="",T22="",AA22="",AE22="",AI22="",AK22="",ISNUMBER(AR22)=FALSE,AR22=0),"",INDEX(STDMOTORS[Measure Number],MATCH(C22,STDMOTORS[Measure Name],0))),"Err")</f>
        <v/>
      </c>
      <c r="BI22" s="754" t="str">
        <f t="shared" ref="BI22" si="9">IFERROR(IF(BP22="",IF(AR22 &lt; BG22, "100% Total Cost", ""), ""), "")</f>
        <v/>
      </c>
      <c r="BJ22" s="750" t="str">
        <f>IFERROR(IF(OR(C22="",O22="",R22="",T22="",AA22="",AE22="",AI22="",AK22=""),"",
IF(BP22&gt;0,"",
IF(EXPIRATION&lt;&gt;"",PROJSTATEXP,""))),"")</f>
        <v/>
      </c>
      <c r="BK22" s="828" t="str">
        <f>IFERROR(INDEX(STDMOTORS[Measure Life (Years)],MATCH(C22,STDMOTORS[Measure Name],0)),"")</f>
        <v/>
      </c>
      <c r="BL22" s="830" t="str">
        <f>IFERROR(IF(OR(C22="",O22="",R22="",T22="",AA22="",AE22="",AI22="",AK22=""),"",
ROUND(((1+ELOSS)*((AZ22*INDEX(ELECCB[NPV AEC $/kWh],MATCH(BK22,ELECCB[Year Number],1)))+(BA22*INDEX(ELECCB[NPV ACC $/kW],MATCH(BK22,ELECCB[Year Number],1))))),2)),0)</f>
        <v/>
      </c>
      <c r="BM22" s="835"/>
      <c r="BN22" s="832" t="str">
        <f>IFERROR(IF(OR(C22="",O22="",R22="",T22="",AA22="",AE22="",AI22="",AK22=""),"",INDEX(STDMOTORS[Reporting Methodology],MATCH(C22,STDMOTORS[Measure Name],0))),"Err")</f>
        <v/>
      </c>
      <c r="BO22" s="867" t="str">
        <f>IFERROR(IF(BH22="","",INDEX(STDMOTORS[Incremental Measure Cost ($/Unit)],MATCH(C22,STDMOTORS[Measure Name],0))),"Err")</f>
        <v/>
      </c>
      <c r="BP22" s="837"/>
      <c r="BQ22" s="838" t="str">
        <f>_xlfn.LET(
_xlpm.IPU,
IFERROR(IF(C22="","",INDEX(STDMOTORS[Base Incentive],MATCH(C22,STDMOTORS[Measure Name],0))),""),
IFERROR(ROUND(R22*_xlpm.IPU, 2), ""))</f>
        <v/>
      </c>
    </row>
    <row r="23" spans="2:69" ht="15.95" customHeight="1">
      <c r="B23" s="806"/>
      <c r="C23" s="716"/>
      <c r="D23" s="717"/>
      <c r="E23" s="717"/>
      <c r="F23" s="717"/>
      <c r="G23" s="717"/>
      <c r="H23" s="717"/>
      <c r="I23" s="717"/>
      <c r="J23" s="717"/>
      <c r="K23" s="717"/>
      <c r="L23" s="717"/>
      <c r="M23" s="717"/>
      <c r="N23" s="718"/>
      <c r="O23" s="944"/>
      <c r="P23" s="945"/>
      <c r="Q23" s="946"/>
      <c r="R23" s="791"/>
      <c r="S23" s="792"/>
      <c r="T23" s="716"/>
      <c r="U23" s="717"/>
      <c r="V23" s="717"/>
      <c r="W23" s="716"/>
      <c r="X23" s="717"/>
      <c r="Y23" s="717"/>
      <c r="Z23" s="718"/>
      <c r="AA23" s="716"/>
      <c r="AB23" s="717"/>
      <c r="AC23" s="717"/>
      <c r="AD23" s="718"/>
      <c r="AE23" s="805"/>
      <c r="AF23" s="805"/>
      <c r="AG23" s="805"/>
      <c r="AH23" s="728"/>
      <c r="AI23" s="765"/>
      <c r="AJ23" s="766"/>
      <c r="AK23" s="766"/>
      <c r="AL23" s="767"/>
      <c r="AM23" s="875"/>
      <c r="AN23" s="825"/>
      <c r="AO23" s="798"/>
      <c r="AP23" s="798"/>
      <c r="AQ23" s="798"/>
      <c r="AR23" s="827"/>
      <c r="AS23" s="827"/>
      <c r="AT23" s="827"/>
      <c r="AU23" s="827"/>
      <c r="AV23" s="22"/>
      <c r="AX23" s="874"/>
      <c r="AY23" s="751"/>
      <c r="AZ23" s="747"/>
      <c r="BA23" s="747"/>
      <c r="BB23" s="871"/>
      <c r="BC23" s="871"/>
      <c r="BD23" s="951"/>
      <c r="BE23" s="871"/>
      <c r="BF23" s="871"/>
      <c r="BG23" s="839"/>
      <c r="BH23" s="751"/>
      <c r="BI23" s="755"/>
      <c r="BJ23" s="751"/>
      <c r="BK23" s="829"/>
      <c r="BL23" s="831"/>
      <c r="BM23" s="836"/>
      <c r="BN23" s="832"/>
      <c r="BO23" s="867"/>
      <c r="BP23" s="837"/>
      <c r="BQ23" s="839"/>
    </row>
    <row r="24" spans="2:69" ht="15.95" customHeight="1">
      <c r="B24" s="806">
        <v>4</v>
      </c>
      <c r="C24" s="713"/>
      <c r="D24" s="714"/>
      <c r="E24" s="714"/>
      <c r="F24" s="714"/>
      <c r="G24" s="714"/>
      <c r="H24" s="714"/>
      <c r="I24" s="714"/>
      <c r="J24" s="714"/>
      <c r="K24" s="714"/>
      <c r="L24" s="714"/>
      <c r="M24" s="714"/>
      <c r="N24" s="715"/>
      <c r="O24" s="947" t="str">
        <f>IF(C24="","",INDEX(STDMOTORS[Current Unit],MATCH(C24,STDMOTORS[Measure Name],0)))</f>
        <v/>
      </c>
      <c r="P24" s="948"/>
      <c r="Q24" s="949"/>
      <c r="R24" s="789"/>
      <c r="S24" s="790"/>
      <c r="T24" s="713"/>
      <c r="U24" s="714"/>
      <c r="V24" s="714"/>
      <c r="W24" s="713"/>
      <c r="X24" s="714"/>
      <c r="Y24" s="714"/>
      <c r="Z24" s="715"/>
      <c r="AA24" s="713"/>
      <c r="AB24" s="714"/>
      <c r="AC24" s="714"/>
      <c r="AD24" s="715"/>
      <c r="AE24" s="805"/>
      <c r="AF24" s="805"/>
      <c r="AG24" s="805"/>
      <c r="AH24" s="728"/>
      <c r="AI24" s="765"/>
      <c r="AJ24" s="766"/>
      <c r="AK24" s="766"/>
      <c r="AL24" s="767"/>
      <c r="AM24" s="796" t="str">
        <f>IFERROR(IF(C24="","",INDEX(IF(AND(ACTIVEBONUS = TRUE,INDEX(STDMOTORS[Bonus Incentive],MATCH(C24,STDMOTORS[Measure Name],0))&lt;&gt; ""),STDMOTORS[Bonus Incentive],STDMOTORS[Base Incentive]),MATCH(C24,STDMOTORS[Measure Name],0))),"")</f>
        <v/>
      </c>
      <c r="AN24" s="823"/>
      <c r="AO24" s="797" t="str">
        <f t="shared" ref="AO24" si="10">IFERROR(IF(OR(C24="",O24="",R24="",T24="",AA24="",AE24="",AI24="",AK24=""),"",IF(BN24="Deemed",AZ24,IF(BN24="Calculated",BE24,""))),"")</f>
        <v/>
      </c>
      <c r="AP24" s="797"/>
      <c r="AQ24" s="797"/>
      <c r="AR24" s="826" t="str">
        <f t="shared" ref="AR24" si="11">IFERROR(IF(OR(C24="",O24="",R24="",T24="",AA24="",AE24="",AI24="",AK24=""),"",IF(BJ24&lt;&gt;"",BJ24,IF(BP24&gt;0,BP24,ROUND(IF(AO24&lt;=0,0,MIN(AX24,BG24)),2)))),"")</f>
        <v/>
      </c>
      <c r="AS24" s="826"/>
      <c r="AT24" s="826"/>
      <c r="AU24" s="826"/>
      <c r="AV24" s="22"/>
      <c r="AX24" s="873" t="str">
        <f t="shared" ref="AX24" si="12">IF(OR(C24="",O24="",R24="",T24="",AA24="",AE24="",AI24="",AK24=""),"",IF(AO24=0,"",ROUND(AI24+AK24,2)))</f>
        <v/>
      </c>
      <c r="AY24" s="750" t="str">
        <f>IFERROR(IF(OR(C24="",O24="",R24="",T24="",AA24="",AE24="",AI24="",AK24=""),"",INDEX(STDMOTORS[Current Unit],MATCH(C24,STDMOTORS[Measure Name],0))),"Err")</f>
        <v/>
      </c>
      <c r="AZ24" s="746" t="str">
        <f>IF(OR(C24="",O24="",R24="",T24="",AA24="",AE24="",AI24="",AK24=""),"",ROUND(R24*T24*INDEX(STDMOTORS[Electric Energy Savings (Annual kWh/unit)],MATCH(C24,STDMOTORS[Measure Name],0)),4))</f>
        <v/>
      </c>
      <c r="BA24" s="746" t="str">
        <f>IF(OR(C24="",O24="",R24="",T24="",AA24="",AE24="",AI24="",AK24=""),"",ROUND(R24*T24*INDEX(STDMOTORS[Coincident Peak Demand Savings (kW/unit)],MATCH(C24,STDMOTORS[Measure Name],0)),4))</f>
        <v/>
      </c>
      <c r="BB24" s="871"/>
      <c r="BC24" s="871"/>
      <c r="BD24" s="950" t="str">
        <f>IFERROR(IF(OR(C24="",O24="",R24="",T24="",AA24="",AE24="",AI24="",AK24=""),"",INDEX(STDMOTORS[End Use],MATCH(C24,STDMOTORS[Measure Name],0))),"Err")</f>
        <v/>
      </c>
      <c r="BE24" s="871"/>
      <c r="BF24" s="871"/>
      <c r="BG24" s="838" t="str">
        <f t="shared" ref="BG24" si="13">IFERROR(ROUND(R24*T24*AM24, 2), "")</f>
        <v/>
      </c>
      <c r="BH24" s="750" t="str">
        <f>IFERROR(IF(OR(C24="",O24="",R24="",T24="",AA24="",AE24="",AI24="",AK24="",ISNUMBER(AR24)=FALSE,AR24=0),"",INDEX(STDMOTORS[Measure Number],MATCH(C24,STDMOTORS[Measure Name],0))),"Err")</f>
        <v/>
      </c>
      <c r="BI24" s="754" t="str">
        <f t="shared" ref="BI24" si="14">IFERROR(IF(BP24="",IF(AR24 &lt; BG24, "100% Total Cost", ""), ""), "")</f>
        <v/>
      </c>
      <c r="BJ24" s="750" t="str">
        <f>IFERROR(IF(OR(C24="",O24="",R24="",T24="",AA24="",AE24="",AI24="",AK24=""),"",
IF(BP24&gt;0,"",
IF(EXPIRATION&lt;&gt;"",PROJSTATEXP,""))),"")</f>
        <v/>
      </c>
      <c r="BK24" s="828" t="str">
        <f>IFERROR(INDEX(STDMOTORS[Measure Life (Years)],MATCH(C24,STDMOTORS[Measure Name],0)),"")</f>
        <v/>
      </c>
      <c r="BL24" s="830" t="str">
        <f>IFERROR(IF(OR(C24="",O24="",R24="",T24="",AA24="",AE24="",AI24="",AK24=""),"",
ROUND(((1+ELOSS)*((AZ24*INDEX(ELECCB[NPV AEC $/kWh],MATCH(BK24,ELECCB[Year Number],1)))+(BA24*INDEX(ELECCB[NPV ACC $/kW],MATCH(BK24,ELECCB[Year Number],1))))),2)),0)</f>
        <v/>
      </c>
      <c r="BM24" s="835"/>
      <c r="BN24" s="832" t="str">
        <f>IFERROR(IF(OR(C24="",O24="",R24="",T24="",AA24="",AE24="",AI24="",AK24=""),"",INDEX(STDMOTORS[Reporting Methodology],MATCH(C24,STDMOTORS[Measure Name],0))),"Err")</f>
        <v/>
      </c>
      <c r="BO24" s="867" t="str">
        <f>IFERROR(IF(BH24="","",INDEX(STDMOTORS[Incremental Measure Cost ($/Unit)],MATCH(C24,STDMOTORS[Measure Name],0))),"Err")</f>
        <v/>
      </c>
      <c r="BP24" s="837"/>
      <c r="BQ24" s="838" t="str">
        <f>_xlfn.LET(
_xlpm.IPU,
IFERROR(IF(C24="","",INDEX(STDMOTORS[Base Incentive],MATCH(C24,STDMOTORS[Measure Name],0))),""),
IFERROR(ROUND(R24*_xlpm.IPU, 2), ""))</f>
        <v/>
      </c>
    </row>
    <row r="25" spans="2:69" ht="15.95" customHeight="1">
      <c r="B25" s="806"/>
      <c r="C25" s="716"/>
      <c r="D25" s="717"/>
      <c r="E25" s="717"/>
      <c r="F25" s="717"/>
      <c r="G25" s="717"/>
      <c r="H25" s="717"/>
      <c r="I25" s="717"/>
      <c r="J25" s="717"/>
      <c r="K25" s="717"/>
      <c r="L25" s="717"/>
      <c r="M25" s="717"/>
      <c r="N25" s="718"/>
      <c r="O25" s="944"/>
      <c r="P25" s="945"/>
      <c r="Q25" s="946"/>
      <c r="R25" s="791"/>
      <c r="S25" s="792"/>
      <c r="T25" s="716"/>
      <c r="U25" s="717"/>
      <c r="V25" s="717"/>
      <c r="W25" s="716"/>
      <c r="X25" s="717"/>
      <c r="Y25" s="717"/>
      <c r="Z25" s="718"/>
      <c r="AA25" s="716"/>
      <c r="AB25" s="717"/>
      <c r="AC25" s="717"/>
      <c r="AD25" s="718"/>
      <c r="AE25" s="805"/>
      <c r="AF25" s="805"/>
      <c r="AG25" s="805"/>
      <c r="AH25" s="728"/>
      <c r="AI25" s="765"/>
      <c r="AJ25" s="766"/>
      <c r="AK25" s="766"/>
      <c r="AL25" s="767"/>
      <c r="AM25" s="875"/>
      <c r="AN25" s="825"/>
      <c r="AO25" s="798"/>
      <c r="AP25" s="798"/>
      <c r="AQ25" s="798"/>
      <c r="AR25" s="827"/>
      <c r="AS25" s="827"/>
      <c r="AT25" s="827"/>
      <c r="AU25" s="827"/>
      <c r="AV25" s="22"/>
      <c r="AX25" s="874"/>
      <c r="AY25" s="751"/>
      <c r="AZ25" s="747"/>
      <c r="BA25" s="747"/>
      <c r="BB25" s="871"/>
      <c r="BC25" s="871"/>
      <c r="BD25" s="951"/>
      <c r="BE25" s="871"/>
      <c r="BF25" s="871"/>
      <c r="BG25" s="839"/>
      <c r="BH25" s="751"/>
      <c r="BI25" s="755"/>
      <c r="BJ25" s="751"/>
      <c r="BK25" s="829"/>
      <c r="BL25" s="831"/>
      <c r="BM25" s="836"/>
      <c r="BN25" s="832"/>
      <c r="BO25" s="867"/>
      <c r="BP25" s="837"/>
      <c r="BQ25" s="839"/>
    </row>
    <row r="26" spans="2:69" ht="15.95" customHeight="1">
      <c r="B26" s="806">
        <v>5</v>
      </c>
      <c r="C26" s="713"/>
      <c r="D26" s="714"/>
      <c r="E26" s="714"/>
      <c r="F26" s="714"/>
      <c r="G26" s="714"/>
      <c r="H26" s="714"/>
      <c r="I26" s="714"/>
      <c r="J26" s="714"/>
      <c r="K26" s="714"/>
      <c r="L26" s="714"/>
      <c r="M26" s="714"/>
      <c r="N26" s="715"/>
      <c r="O26" s="947" t="str">
        <f>IF(C26="","",INDEX(STDMOTORS[Current Unit],MATCH(C26,STDMOTORS[Measure Name],0)))</f>
        <v/>
      </c>
      <c r="P26" s="948"/>
      <c r="Q26" s="949"/>
      <c r="R26" s="789"/>
      <c r="S26" s="790"/>
      <c r="T26" s="713"/>
      <c r="U26" s="714"/>
      <c r="V26" s="714"/>
      <c r="W26" s="713"/>
      <c r="X26" s="714"/>
      <c r="Y26" s="714"/>
      <c r="Z26" s="715"/>
      <c r="AA26" s="713"/>
      <c r="AB26" s="714"/>
      <c r="AC26" s="714"/>
      <c r="AD26" s="715"/>
      <c r="AE26" s="805"/>
      <c r="AF26" s="805"/>
      <c r="AG26" s="805"/>
      <c r="AH26" s="728"/>
      <c r="AI26" s="765"/>
      <c r="AJ26" s="766"/>
      <c r="AK26" s="766"/>
      <c r="AL26" s="767"/>
      <c r="AM26" s="796" t="str">
        <f>IFERROR(IF(C26="","",INDEX(IF(AND(ACTIVEBONUS = TRUE,INDEX(STDMOTORS[Bonus Incentive],MATCH(C26,STDMOTORS[Measure Name],0))&lt;&gt; ""),STDMOTORS[Bonus Incentive],STDMOTORS[Base Incentive]),MATCH(C26,STDMOTORS[Measure Name],0))),"")</f>
        <v/>
      </c>
      <c r="AN26" s="823"/>
      <c r="AO26" s="797" t="str">
        <f t="shared" ref="AO26" si="15">IFERROR(IF(OR(C26="",O26="",R26="",T26="",AA26="",AE26="",AI26="",AK26=""),"",IF(BN26="Deemed",AZ26,IF(BN26="Calculated",BE26,""))),"")</f>
        <v/>
      </c>
      <c r="AP26" s="797"/>
      <c r="AQ26" s="797"/>
      <c r="AR26" s="826" t="str">
        <f t="shared" ref="AR26" si="16">IFERROR(IF(OR(C26="",O26="",R26="",T26="",AA26="",AE26="",AI26="",AK26=""),"",IF(BJ26&lt;&gt;"",BJ26,IF(BP26&gt;0,BP26,ROUND(IF(AO26&lt;=0,0,MIN(AX26,BG26)),2)))),"")</f>
        <v/>
      </c>
      <c r="AS26" s="826"/>
      <c r="AT26" s="826"/>
      <c r="AU26" s="826"/>
      <c r="AV26" s="22"/>
      <c r="AX26" s="873" t="str">
        <f t="shared" ref="AX26" si="17">IF(OR(C26="",O26="",R26="",T26="",AA26="",AE26="",AI26="",AK26=""),"",IF(AO26=0,"",ROUND(AI26+AK26,2)))</f>
        <v/>
      </c>
      <c r="AY26" s="750" t="str">
        <f>IFERROR(IF(OR(C26="",O26="",R26="",T26="",AA26="",AE26="",AI26="",AK26=""),"",INDEX(STDMOTORS[Current Unit],MATCH(C26,STDMOTORS[Measure Name],0))),"Err")</f>
        <v/>
      </c>
      <c r="AZ26" s="746" t="str">
        <f>IF(OR(C26="",O26="",R26="",T26="",AA26="",AE26="",AI26="",AK26=""),"",ROUND(R26*T26*INDEX(STDMOTORS[Electric Energy Savings (Annual kWh/unit)],MATCH(C26,STDMOTORS[Measure Name],0)),4))</f>
        <v/>
      </c>
      <c r="BA26" s="746" t="str">
        <f>IF(OR(C26="",O26="",R26="",T26="",AA26="",AE26="",AI26="",AK26=""),"",ROUND(R26*T26*INDEX(STDMOTORS[Coincident Peak Demand Savings (kW/unit)],MATCH(C26,STDMOTORS[Measure Name],0)),4))</f>
        <v/>
      </c>
      <c r="BB26" s="871"/>
      <c r="BC26" s="871"/>
      <c r="BD26" s="950" t="str">
        <f>IFERROR(IF(OR(C26="",O26="",R26="",T26="",AA26="",AE26="",AI26="",AK26=""),"",INDEX(STDMOTORS[End Use],MATCH(C26,STDMOTORS[Measure Name],0))),"Err")</f>
        <v/>
      </c>
      <c r="BE26" s="871"/>
      <c r="BF26" s="871"/>
      <c r="BG26" s="838" t="str">
        <f t="shared" ref="BG26" si="18">IFERROR(ROUND(R26*T26*AM26, 2), "")</f>
        <v/>
      </c>
      <c r="BH26" s="750" t="str">
        <f>IFERROR(IF(OR(C26="",O26="",R26="",T26="",AA26="",AE26="",AI26="",AK26="",ISNUMBER(AR26)=FALSE,AR26=0),"",INDEX(STDMOTORS[Measure Number],MATCH(C26,STDMOTORS[Measure Name],0))),"Err")</f>
        <v/>
      </c>
      <c r="BI26" s="754" t="str">
        <f t="shared" ref="BI26" si="19">IFERROR(IF(BP26="",IF(AR26 &lt; BG26, "100% Total Cost", ""), ""), "")</f>
        <v/>
      </c>
      <c r="BJ26" s="750" t="str">
        <f>IFERROR(IF(OR(C26="",O26="",R26="",T26="",AA26="",AE26="",AI26="",AK26=""),"",
IF(BP26&gt;0,"",
IF(EXPIRATION&lt;&gt;"",PROJSTATEXP,""))),"")</f>
        <v/>
      </c>
      <c r="BK26" s="828" t="str">
        <f>IFERROR(INDEX(STDMOTORS[Measure Life (Years)],MATCH(C26,STDMOTORS[Measure Name],0)),"")</f>
        <v/>
      </c>
      <c r="BL26" s="830" t="str">
        <f>IFERROR(IF(OR(C26="",O26="",R26="",T26="",AA26="",AE26="",AI26="",AK26=""),"",
ROUND(((1+ELOSS)*((AZ26*INDEX(ELECCB[NPV AEC $/kWh],MATCH(BK26,ELECCB[Year Number],1)))+(BA26*INDEX(ELECCB[NPV ACC $/kW],MATCH(BK26,ELECCB[Year Number],1))))),2)),0)</f>
        <v/>
      </c>
      <c r="BM26" s="835"/>
      <c r="BN26" s="832" t="str">
        <f>IFERROR(IF(OR(C26="",O26="",R26="",T26="",AA26="",AE26="",AI26="",AK26=""),"",INDEX(STDMOTORS[Reporting Methodology],MATCH(C26,STDMOTORS[Measure Name],0))),"Err")</f>
        <v/>
      </c>
      <c r="BO26" s="867" t="str">
        <f>IFERROR(IF(BH26="","",INDEX(STDMOTORS[Incremental Measure Cost ($/Unit)],MATCH(C26,STDMOTORS[Measure Name],0))),"Err")</f>
        <v/>
      </c>
      <c r="BP26" s="837"/>
      <c r="BQ26" s="838" t="str">
        <f>_xlfn.LET(
_xlpm.IPU,
IFERROR(IF(C26="","",INDEX(STDMOTORS[Base Incentive],MATCH(C26,STDMOTORS[Measure Name],0))),""),
IFERROR(ROUND(R26*_xlpm.IPU, 2), ""))</f>
        <v/>
      </c>
    </row>
    <row r="27" spans="2:69" ht="15.95" customHeight="1">
      <c r="B27" s="806"/>
      <c r="C27" s="716"/>
      <c r="D27" s="717"/>
      <c r="E27" s="717"/>
      <c r="F27" s="717"/>
      <c r="G27" s="717"/>
      <c r="H27" s="717"/>
      <c r="I27" s="717"/>
      <c r="J27" s="717"/>
      <c r="K27" s="717"/>
      <c r="L27" s="717"/>
      <c r="M27" s="717"/>
      <c r="N27" s="718"/>
      <c r="O27" s="944"/>
      <c r="P27" s="945"/>
      <c r="Q27" s="946"/>
      <c r="R27" s="791"/>
      <c r="S27" s="792"/>
      <c r="T27" s="716"/>
      <c r="U27" s="717"/>
      <c r="V27" s="717"/>
      <c r="W27" s="716"/>
      <c r="X27" s="717"/>
      <c r="Y27" s="717"/>
      <c r="Z27" s="718"/>
      <c r="AA27" s="716"/>
      <c r="AB27" s="717"/>
      <c r="AC27" s="717"/>
      <c r="AD27" s="718"/>
      <c r="AE27" s="805"/>
      <c r="AF27" s="805"/>
      <c r="AG27" s="805"/>
      <c r="AH27" s="728"/>
      <c r="AI27" s="765"/>
      <c r="AJ27" s="766"/>
      <c r="AK27" s="766"/>
      <c r="AL27" s="767"/>
      <c r="AM27" s="875"/>
      <c r="AN27" s="825"/>
      <c r="AO27" s="798"/>
      <c r="AP27" s="798"/>
      <c r="AQ27" s="798"/>
      <c r="AR27" s="827"/>
      <c r="AS27" s="827"/>
      <c r="AT27" s="827"/>
      <c r="AU27" s="827"/>
      <c r="AV27" s="22"/>
      <c r="AX27" s="874"/>
      <c r="AY27" s="751"/>
      <c r="AZ27" s="747"/>
      <c r="BA27" s="747"/>
      <c r="BB27" s="871"/>
      <c r="BC27" s="871"/>
      <c r="BD27" s="951"/>
      <c r="BE27" s="871"/>
      <c r="BF27" s="871"/>
      <c r="BG27" s="839"/>
      <c r="BH27" s="751"/>
      <c r="BI27" s="755"/>
      <c r="BJ27" s="751"/>
      <c r="BK27" s="829"/>
      <c r="BL27" s="831"/>
      <c r="BM27" s="836"/>
      <c r="BN27" s="832"/>
      <c r="BO27" s="867"/>
      <c r="BP27" s="837"/>
      <c r="BQ27" s="839"/>
    </row>
    <row r="28" spans="2:69" ht="15.95" customHeight="1">
      <c r="B28" s="806">
        <v>6</v>
      </c>
      <c r="C28" s="713"/>
      <c r="D28" s="714"/>
      <c r="E28" s="714"/>
      <c r="F28" s="714"/>
      <c r="G28" s="714"/>
      <c r="H28" s="714"/>
      <c r="I28" s="714"/>
      <c r="J28" s="714"/>
      <c r="K28" s="714"/>
      <c r="L28" s="714"/>
      <c r="M28" s="714"/>
      <c r="N28" s="715"/>
      <c r="O28" s="947" t="str">
        <f>IF(C28="","",INDEX(STDMOTORS[Current Unit],MATCH(C28,STDMOTORS[Measure Name],0)))</f>
        <v/>
      </c>
      <c r="P28" s="948"/>
      <c r="Q28" s="949"/>
      <c r="R28" s="789"/>
      <c r="S28" s="790"/>
      <c r="T28" s="713"/>
      <c r="U28" s="714"/>
      <c r="V28" s="714"/>
      <c r="W28" s="713"/>
      <c r="X28" s="714"/>
      <c r="Y28" s="714"/>
      <c r="Z28" s="715"/>
      <c r="AA28" s="713"/>
      <c r="AB28" s="714"/>
      <c r="AC28" s="714"/>
      <c r="AD28" s="715"/>
      <c r="AE28" s="805"/>
      <c r="AF28" s="805"/>
      <c r="AG28" s="805"/>
      <c r="AH28" s="728"/>
      <c r="AI28" s="765"/>
      <c r="AJ28" s="766"/>
      <c r="AK28" s="766"/>
      <c r="AL28" s="767"/>
      <c r="AM28" s="796" t="str">
        <f>IFERROR(IF(C28="","",INDEX(IF(AND(ACTIVEBONUS = TRUE,INDEX(STDMOTORS[Bonus Incentive],MATCH(C28,STDMOTORS[Measure Name],0))&lt;&gt; ""),STDMOTORS[Bonus Incentive],STDMOTORS[Base Incentive]),MATCH(C28,STDMOTORS[Measure Name],0))),"")</f>
        <v/>
      </c>
      <c r="AN28" s="823"/>
      <c r="AO28" s="797" t="str">
        <f t="shared" ref="AO28" si="20">IFERROR(IF(OR(C28="",O28="",R28="",T28="",AA28="",AE28="",AI28="",AK28=""),"",IF(BN28="Deemed",AZ28,IF(BN28="Calculated",BE28,""))),"")</f>
        <v/>
      </c>
      <c r="AP28" s="797"/>
      <c r="AQ28" s="797"/>
      <c r="AR28" s="826" t="str">
        <f t="shared" ref="AR28" si="21">IFERROR(IF(OR(C28="",O28="",R28="",T28="",AA28="",AE28="",AI28="",AK28=""),"",IF(BJ28&lt;&gt;"",BJ28,IF(BP28&gt;0,BP28,ROUND(IF(AO28&lt;=0,0,MIN(AX28,BG28)),2)))),"")</f>
        <v/>
      </c>
      <c r="AS28" s="826"/>
      <c r="AT28" s="826"/>
      <c r="AU28" s="826"/>
      <c r="AV28" s="22"/>
      <c r="AX28" s="873" t="str">
        <f t="shared" ref="AX28" si="22">IF(OR(C28="",O28="",R28="",T28="",AA28="",AE28="",AI28="",AK28=""),"",IF(AO28=0,"",ROUND(AI28+AK28,2)))</f>
        <v/>
      </c>
      <c r="AY28" s="750" t="str">
        <f>IFERROR(IF(OR(C28="",O28="",R28="",T28="",AA28="",AE28="",AI28="",AK28=""),"",INDEX(STDMOTORS[Current Unit],MATCH(C28,STDMOTORS[Measure Name],0))),"Err")</f>
        <v/>
      </c>
      <c r="AZ28" s="746" t="str">
        <f>IF(OR(C28="",O28="",R28="",T28="",AA28="",AE28="",AI28="",AK28=""),"",ROUND(R28*T28*INDEX(STDMOTORS[Electric Energy Savings (Annual kWh/unit)],MATCH(C28,STDMOTORS[Measure Name],0)),4))</f>
        <v/>
      </c>
      <c r="BA28" s="746" t="str">
        <f>IF(OR(C28="",O28="",R28="",T28="",AA28="",AE28="",AI28="",AK28=""),"",ROUND(R28*T28*INDEX(STDMOTORS[Coincident Peak Demand Savings (kW/unit)],MATCH(C28,STDMOTORS[Measure Name],0)),4))</f>
        <v/>
      </c>
      <c r="BB28" s="871"/>
      <c r="BC28" s="871"/>
      <c r="BD28" s="950" t="str">
        <f>IFERROR(IF(OR(C28="",O28="",R28="",T28="",AA28="",AE28="",AI28="",AK28=""),"",INDEX(STDMOTORS[End Use],MATCH(C28,STDMOTORS[Measure Name],0))),"Err")</f>
        <v/>
      </c>
      <c r="BE28" s="871"/>
      <c r="BF28" s="871"/>
      <c r="BG28" s="838" t="str">
        <f t="shared" ref="BG28" si="23">IFERROR(ROUND(R28*T28*AM28, 2), "")</f>
        <v/>
      </c>
      <c r="BH28" s="750" t="str">
        <f>IFERROR(IF(OR(C28="",O28="",R28="",T28="",AA28="",AE28="",AI28="",AK28="",ISNUMBER(AR28)=FALSE,AR28=0),"",INDEX(STDMOTORS[Measure Number],MATCH(C28,STDMOTORS[Measure Name],0))),"Err")</f>
        <v/>
      </c>
      <c r="BI28" s="754" t="str">
        <f t="shared" ref="BI28" si="24">IFERROR(IF(BP28="",IF(AR28 &lt; BG28, "100% Total Cost", ""), ""), "")</f>
        <v/>
      </c>
      <c r="BJ28" s="750" t="str">
        <f>IFERROR(IF(OR(C28="",O28="",R28="",T28="",AA28="",AE28="",AI28="",AK28=""),"",
IF(BP28&gt;0,"",
IF(EXPIRATION&lt;&gt;"",PROJSTATEXP,""))),"")</f>
        <v/>
      </c>
      <c r="BK28" s="828" t="str">
        <f>IFERROR(INDEX(STDMOTORS[Measure Life (Years)],MATCH(C28,STDMOTORS[Measure Name],0)),"")</f>
        <v/>
      </c>
      <c r="BL28" s="830" t="str">
        <f>IFERROR(IF(OR(C28="",O28="",R28="",T28="",AA28="",AE28="",AI28="",AK28=""),"",
ROUND(((1+ELOSS)*((AZ28*INDEX(ELECCB[NPV AEC $/kWh],MATCH(BK28,ELECCB[Year Number],1)))+(BA28*INDEX(ELECCB[NPV ACC $/kW],MATCH(BK28,ELECCB[Year Number],1))))),2)),0)</f>
        <v/>
      </c>
      <c r="BM28" s="835"/>
      <c r="BN28" s="832" t="str">
        <f>IFERROR(IF(OR(C28="",O28="",R28="",T28="",AA28="",AE28="",AI28="",AK28=""),"",INDEX(STDMOTORS[Reporting Methodology],MATCH(C28,STDMOTORS[Measure Name],0))),"Err")</f>
        <v/>
      </c>
      <c r="BO28" s="867" t="str">
        <f>IFERROR(IF(BH28="","",INDEX(STDMOTORS[Incremental Measure Cost ($/Unit)],MATCH(C28,STDMOTORS[Measure Name],0))),"Err")</f>
        <v/>
      </c>
      <c r="BP28" s="837"/>
      <c r="BQ28" s="838" t="str">
        <f>_xlfn.LET(
_xlpm.IPU,
IFERROR(IF(C28="","",INDEX(STDMOTORS[Base Incentive],MATCH(C28,STDMOTORS[Measure Name],0))),""),
IFERROR(ROUND(R28*_xlpm.IPU, 2), ""))</f>
        <v/>
      </c>
    </row>
    <row r="29" spans="2:69" ht="15.95" customHeight="1">
      <c r="B29" s="806"/>
      <c r="C29" s="716"/>
      <c r="D29" s="717"/>
      <c r="E29" s="717"/>
      <c r="F29" s="717"/>
      <c r="G29" s="717"/>
      <c r="H29" s="717"/>
      <c r="I29" s="717"/>
      <c r="J29" s="717"/>
      <c r="K29" s="717"/>
      <c r="L29" s="717"/>
      <c r="M29" s="717"/>
      <c r="N29" s="718"/>
      <c r="O29" s="944"/>
      <c r="P29" s="945"/>
      <c r="Q29" s="946"/>
      <c r="R29" s="791"/>
      <c r="S29" s="792"/>
      <c r="T29" s="716"/>
      <c r="U29" s="717"/>
      <c r="V29" s="717"/>
      <c r="W29" s="716"/>
      <c r="X29" s="717"/>
      <c r="Y29" s="717"/>
      <c r="Z29" s="718"/>
      <c r="AA29" s="716"/>
      <c r="AB29" s="717"/>
      <c r="AC29" s="717"/>
      <c r="AD29" s="718"/>
      <c r="AE29" s="805"/>
      <c r="AF29" s="805"/>
      <c r="AG29" s="805"/>
      <c r="AH29" s="728"/>
      <c r="AI29" s="765"/>
      <c r="AJ29" s="766"/>
      <c r="AK29" s="766"/>
      <c r="AL29" s="767"/>
      <c r="AM29" s="875"/>
      <c r="AN29" s="825"/>
      <c r="AO29" s="798"/>
      <c r="AP29" s="798"/>
      <c r="AQ29" s="798"/>
      <c r="AR29" s="827"/>
      <c r="AS29" s="827"/>
      <c r="AT29" s="827"/>
      <c r="AU29" s="827"/>
      <c r="AV29" s="22"/>
      <c r="AX29" s="874"/>
      <c r="AY29" s="751"/>
      <c r="AZ29" s="747"/>
      <c r="BA29" s="747"/>
      <c r="BB29" s="871"/>
      <c r="BC29" s="871"/>
      <c r="BD29" s="951"/>
      <c r="BE29" s="871"/>
      <c r="BF29" s="871"/>
      <c r="BG29" s="839"/>
      <c r="BH29" s="751"/>
      <c r="BI29" s="755"/>
      <c r="BJ29" s="751"/>
      <c r="BK29" s="829"/>
      <c r="BL29" s="831"/>
      <c r="BM29" s="836"/>
      <c r="BN29" s="832"/>
      <c r="BO29" s="867"/>
      <c r="BP29" s="837"/>
      <c r="BQ29" s="839"/>
    </row>
    <row r="30" spans="2:69" ht="15.95" customHeight="1">
      <c r="B30" s="806">
        <v>7</v>
      </c>
      <c r="C30" s="713"/>
      <c r="D30" s="714"/>
      <c r="E30" s="714"/>
      <c r="F30" s="714"/>
      <c r="G30" s="714"/>
      <c r="H30" s="714"/>
      <c r="I30" s="714"/>
      <c r="J30" s="714"/>
      <c r="K30" s="714"/>
      <c r="L30" s="714"/>
      <c r="M30" s="714"/>
      <c r="N30" s="715"/>
      <c r="O30" s="947" t="str">
        <f>IF(C30="","",INDEX(STDMOTORS[Current Unit],MATCH(C30,STDMOTORS[Measure Name],0)))</f>
        <v/>
      </c>
      <c r="P30" s="948"/>
      <c r="Q30" s="949"/>
      <c r="R30" s="789"/>
      <c r="S30" s="790"/>
      <c r="T30" s="713"/>
      <c r="U30" s="714"/>
      <c r="V30" s="714"/>
      <c r="W30" s="713"/>
      <c r="X30" s="714"/>
      <c r="Y30" s="714"/>
      <c r="Z30" s="715"/>
      <c r="AA30" s="713"/>
      <c r="AB30" s="714"/>
      <c r="AC30" s="714"/>
      <c r="AD30" s="715"/>
      <c r="AE30" s="805"/>
      <c r="AF30" s="805"/>
      <c r="AG30" s="805"/>
      <c r="AH30" s="728"/>
      <c r="AI30" s="765"/>
      <c r="AJ30" s="766"/>
      <c r="AK30" s="766"/>
      <c r="AL30" s="767"/>
      <c r="AM30" s="796" t="str">
        <f>IFERROR(IF(C30="","",INDEX(IF(AND(ACTIVEBONUS = TRUE,INDEX(STDMOTORS[Bonus Incentive],MATCH(C30,STDMOTORS[Measure Name],0))&lt;&gt; ""),STDMOTORS[Bonus Incentive],STDMOTORS[Base Incentive]),MATCH(C30,STDMOTORS[Measure Name],0))),"")</f>
        <v/>
      </c>
      <c r="AN30" s="823"/>
      <c r="AO30" s="797" t="str">
        <f t="shared" ref="AO30" si="25">IFERROR(IF(OR(C30="",O30="",R30="",T30="",AA30="",AE30="",AI30="",AK30=""),"",IF(BN30="Deemed",AZ30,IF(BN30="Calculated",BE30,""))),"")</f>
        <v/>
      </c>
      <c r="AP30" s="797"/>
      <c r="AQ30" s="797"/>
      <c r="AR30" s="826" t="str">
        <f t="shared" ref="AR30" si="26">IFERROR(IF(OR(C30="",O30="",R30="",T30="",AA30="",AE30="",AI30="",AK30=""),"",IF(BJ30&lt;&gt;"",BJ30,IF(BP30&gt;0,BP30,ROUND(IF(AO30&lt;=0,0,MIN(AX30,BG30)),2)))),"")</f>
        <v/>
      </c>
      <c r="AS30" s="826"/>
      <c r="AT30" s="826"/>
      <c r="AU30" s="826"/>
      <c r="AV30" s="22"/>
      <c r="AX30" s="873" t="str">
        <f t="shared" ref="AX30" si="27">IF(OR(C30="",O30="",R30="",T30="",AA30="",AE30="",AI30="",AK30=""),"",IF(AO30=0,"",ROUND(AI30+AK30,2)))</f>
        <v/>
      </c>
      <c r="AY30" s="750" t="str">
        <f>IFERROR(IF(OR(C30="",O30="",R30="",T30="",AA30="",AE30="",AI30="",AK30=""),"",INDEX(STDMOTORS[Current Unit],MATCH(C30,STDMOTORS[Measure Name],0))),"Err")</f>
        <v/>
      </c>
      <c r="AZ30" s="746" t="str">
        <f>IF(OR(C30="",O30="",R30="",T30="",AA30="",AE30="",AI30="",AK30=""),"",ROUND(R30*T30*INDEX(STDMOTORS[Electric Energy Savings (Annual kWh/unit)],MATCH(C30,STDMOTORS[Measure Name],0)),4))</f>
        <v/>
      </c>
      <c r="BA30" s="746" t="str">
        <f>IF(OR(C30="",O30="",R30="",T30="",AA30="",AE30="",AI30="",AK30=""),"",ROUND(R30*T30*INDEX(STDMOTORS[Coincident Peak Demand Savings (kW/unit)],MATCH(C30,STDMOTORS[Measure Name],0)),4))</f>
        <v/>
      </c>
      <c r="BB30" s="871"/>
      <c r="BC30" s="871"/>
      <c r="BD30" s="950" t="str">
        <f>IFERROR(IF(OR(C30="",O30="",R30="",T30="",AA30="",AE30="",AI30="",AK30=""),"",INDEX(STDMOTORS[End Use],MATCH(C30,STDMOTORS[Measure Name],0))),"Err")</f>
        <v/>
      </c>
      <c r="BE30" s="871"/>
      <c r="BF30" s="871"/>
      <c r="BG30" s="838" t="str">
        <f t="shared" ref="BG30" si="28">IFERROR(ROUND(R30*T30*AM30, 2), "")</f>
        <v/>
      </c>
      <c r="BH30" s="750" t="str">
        <f>IFERROR(IF(OR(C30="",O30="",R30="",T30="",AA30="",AE30="",AI30="",AK30="",ISNUMBER(AR30)=FALSE,AR30=0),"",INDEX(STDMOTORS[Measure Number],MATCH(C30,STDMOTORS[Measure Name],0))),"Err")</f>
        <v/>
      </c>
      <c r="BI30" s="754" t="str">
        <f t="shared" ref="BI30" si="29">IFERROR(IF(BP30="",IF(AR30 &lt; BG30, "100% Total Cost", ""), ""), "")</f>
        <v/>
      </c>
      <c r="BJ30" s="750" t="str">
        <f>IFERROR(IF(OR(C30="",O30="",R30="",T30="",AA30="",AE30="",AI30="",AK30=""),"",
IF(BP30&gt;0,"",
IF(EXPIRATION&lt;&gt;"",PROJSTATEXP,""))),"")</f>
        <v/>
      </c>
      <c r="BK30" s="828" t="str">
        <f>IFERROR(INDEX(STDMOTORS[Measure Life (Years)],MATCH(C30,STDMOTORS[Measure Name],0)),"")</f>
        <v/>
      </c>
      <c r="BL30" s="830" t="str">
        <f>IFERROR(IF(OR(C30="",O30="",R30="",T30="",AA30="",AE30="",AI30="",AK30=""),"",
ROUND(((1+ELOSS)*((AZ30*INDEX(ELECCB[NPV AEC $/kWh],MATCH(BK30,ELECCB[Year Number],1)))+(BA30*INDEX(ELECCB[NPV ACC $/kW],MATCH(BK30,ELECCB[Year Number],1))))),2)),0)</f>
        <v/>
      </c>
      <c r="BM30" s="835"/>
      <c r="BN30" s="832" t="str">
        <f>IFERROR(IF(OR(C30="",O30="",R30="",T30="",AA30="",AE30="",AI30="",AK30=""),"",INDEX(STDMOTORS[Reporting Methodology],MATCH(C30,STDMOTORS[Measure Name],0))),"Err")</f>
        <v/>
      </c>
      <c r="BO30" s="867" t="str">
        <f>IFERROR(IF(BH30="","",INDEX(STDMOTORS[Incremental Measure Cost ($/Unit)],MATCH(C30,STDMOTORS[Measure Name],0))),"Err")</f>
        <v/>
      </c>
      <c r="BP30" s="837"/>
      <c r="BQ30" s="838" t="str">
        <f>_xlfn.LET(
_xlpm.IPU,
IFERROR(IF(C30="","",INDEX(STDMOTORS[Base Incentive],MATCH(C30,STDMOTORS[Measure Name],0))),""),
IFERROR(ROUND(R30*_xlpm.IPU, 2), ""))</f>
        <v/>
      </c>
    </row>
    <row r="31" spans="2:69" ht="15.95" customHeight="1">
      <c r="B31" s="806"/>
      <c r="C31" s="716"/>
      <c r="D31" s="717"/>
      <c r="E31" s="717"/>
      <c r="F31" s="717"/>
      <c r="G31" s="717"/>
      <c r="H31" s="717"/>
      <c r="I31" s="717"/>
      <c r="J31" s="717"/>
      <c r="K31" s="717"/>
      <c r="L31" s="717"/>
      <c r="M31" s="717"/>
      <c r="N31" s="718"/>
      <c r="O31" s="944"/>
      <c r="P31" s="945"/>
      <c r="Q31" s="946"/>
      <c r="R31" s="791"/>
      <c r="S31" s="792"/>
      <c r="T31" s="716"/>
      <c r="U31" s="717"/>
      <c r="V31" s="717"/>
      <c r="W31" s="716"/>
      <c r="X31" s="717"/>
      <c r="Y31" s="717"/>
      <c r="Z31" s="718"/>
      <c r="AA31" s="716"/>
      <c r="AB31" s="717"/>
      <c r="AC31" s="717"/>
      <c r="AD31" s="718"/>
      <c r="AE31" s="805"/>
      <c r="AF31" s="805"/>
      <c r="AG31" s="805"/>
      <c r="AH31" s="728"/>
      <c r="AI31" s="765"/>
      <c r="AJ31" s="766"/>
      <c r="AK31" s="766"/>
      <c r="AL31" s="767"/>
      <c r="AM31" s="875"/>
      <c r="AN31" s="825"/>
      <c r="AO31" s="798"/>
      <c r="AP31" s="798"/>
      <c r="AQ31" s="798"/>
      <c r="AR31" s="827"/>
      <c r="AS31" s="827"/>
      <c r="AT31" s="827"/>
      <c r="AU31" s="827"/>
      <c r="AV31" s="22"/>
      <c r="AX31" s="874"/>
      <c r="AY31" s="751"/>
      <c r="AZ31" s="747"/>
      <c r="BA31" s="747"/>
      <c r="BB31" s="871"/>
      <c r="BC31" s="871"/>
      <c r="BD31" s="951"/>
      <c r="BE31" s="871"/>
      <c r="BF31" s="871"/>
      <c r="BG31" s="839"/>
      <c r="BH31" s="751"/>
      <c r="BI31" s="755"/>
      <c r="BJ31" s="751"/>
      <c r="BK31" s="829"/>
      <c r="BL31" s="831"/>
      <c r="BM31" s="836"/>
      <c r="BN31" s="832"/>
      <c r="BO31" s="867"/>
      <c r="BP31" s="837"/>
      <c r="BQ31" s="839"/>
    </row>
    <row r="32" spans="2:69" ht="15.95" customHeight="1">
      <c r="B32" s="806">
        <v>8</v>
      </c>
      <c r="C32" s="713"/>
      <c r="D32" s="714"/>
      <c r="E32" s="714"/>
      <c r="F32" s="714"/>
      <c r="G32" s="714"/>
      <c r="H32" s="714"/>
      <c r="I32" s="714"/>
      <c r="J32" s="714"/>
      <c r="K32" s="714"/>
      <c r="L32" s="714"/>
      <c r="M32" s="714"/>
      <c r="N32" s="715"/>
      <c r="O32" s="947" t="str">
        <f>IF(C32="","",INDEX(STDMOTORS[Current Unit],MATCH(C32,STDMOTORS[Measure Name],0)))</f>
        <v/>
      </c>
      <c r="P32" s="948"/>
      <c r="Q32" s="949"/>
      <c r="R32" s="789"/>
      <c r="S32" s="790"/>
      <c r="T32" s="713"/>
      <c r="U32" s="714"/>
      <c r="V32" s="714"/>
      <c r="W32" s="713"/>
      <c r="X32" s="714"/>
      <c r="Y32" s="714"/>
      <c r="Z32" s="715"/>
      <c r="AA32" s="713"/>
      <c r="AB32" s="714"/>
      <c r="AC32" s="714"/>
      <c r="AD32" s="715"/>
      <c r="AE32" s="805"/>
      <c r="AF32" s="805"/>
      <c r="AG32" s="805"/>
      <c r="AH32" s="728"/>
      <c r="AI32" s="765"/>
      <c r="AJ32" s="766"/>
      <c r="AK32" s="766"/>
      <c r="AL32" s="767"/>
      <c r="AM32" s="796" t="str">
        <f>IFERROR(IF(C32="","",INDEX(IF(AND(ACTIVEBONUS = TRUE,INDEX(STDMOTORS[Bonus Incentive],MATCH(C32,STDMOTORS[Measure Name],0))&lt;&gt; ""),STDMOTORS[Bonus Incentive],STDMOTORS[Base Incentive]),MATCH(C32,STDMOTORS[Measure Name],0))),"")</f>
        <v/>
      </c>
      <c r="AN32" s="823"/>
      <c r="AO32" s="797" t="str">
        <f t="shared" ref="AO32" si="30">IFERROR(IF(OR(C32="",O32="",R32="",T32="",AA32="",AE32="",AI32="",AK32=""),"",IF(BN32="Deemed",AZ32,IF(BN32="Calculated",BE32,""))),"")</f>
        <v/>
      </c>
      <c r="AP32" s="797"/>
      <c r="AQ32" s="797"/>
      <c r="AR32" s="826" t="str">
        <f t="shared" ref="AR32" si="31">IFERROR(IF(OR(C32="",O32="",R32="",T32="",AA32="",AE32="",AI32="",AK32=""),"",IF(BJ32&lt;&gt;"",BJ32,IF(BP32&gt;0,BP32,ROUND(IF(AO32&lt;=0,0,MIN(AX32,BG32)),2)))),"")</f>
        <v/>
      </c>
      <c r="AS32" s="826"/>
      <c r="AT32" s="826"/>
      <c r="AU32" s="826"/>
      <c r="AV32" s="22"/>
      <c r="AX32" s="873" t="str">
        <f t="shared" ref="AX32" si="32">IF(OR(C32="",O32="",R32="",T32="",AA32="",AE32="",AI32="",AK32=""),"",IF(AO32=0,"",ROUND(AI32+AK32,2)))</f>
        <v/>
      </c>
      <c r="AY32" s="750" t="str">
        <f>IFERROR(IF(OR(C32="",O32="",R32="",T32="",AA32="",AE32="",AI32="",AK32=""),"",INDEX(STDMOTORS[Current Unit],MATCH(C32,STDMOTORS[Measure Name],0))),"Err")</f>
        <v/>
      </c>
      <c r="AZ32" s="746" t="str">
        <f>IF(OR(C32="",O32="",R32="",T32="",AA32="",AE32="",AI32="",AK32=""),"",ROUND(R32*T32*INDEX(STDMOTORS[Electric Energy Savings (Annual kWh/unit)],MATCH(C32,STDMOTORS[Measure Name],0)),4))</f>
        <v/>
      </c>
      <c r="BA32" s="746" t="str">
        <f>IF(OR(C32="",O32="",R32="",T32="",AA32="",AE32="",AI32="",AK32=""),"",ROUND(R32*T32*INDEX(STDMOTORS[Coincident Peak Demand Savings (kW/unit)],MATCH(C32,STDMOTORS[Measure Name],0)),4))</f>
        <v/>
      </c>
      <c r="BB32" s="871"/>
      <c r="BC32" s="871"/>
      <c r="BD32" s="950" t="str">
        <f>IFERROR(IF(OR(C32="",O32="",R32="",T32="",AA32="",AE32="",AI32="",AK32=""),"",INDEX(STDMOTORS[End Use],MATCH(C32,STDMOTORS[Measure Name],0))),"Err")</f>
        <v/>
      </c>
      <c r="BE32" s="871"/>
      <c r="BF32" s="871"/>
      <c r="BG32" s="838" t="str">
        <f t="shared" ref="BG32" si="33">IFERROR(ROUND(R32*T32*AM32, 2), "")</f>
        <v/>
      </c>
      <c r="BH32" s="750" t="str">
        <f>IFERROR(IF(OR(C32="",O32="",R32="",T32="",AA32="",AE32="",AI32="",AK32="",ISNUMBER(AR32)=FALSE,AR32=0),"",INDEX(STDMOTORS[Measure Number],MATCH(C32,STDMOTORS[Measure Name],0))),"Err")</f>
        <v/>
      </c>
      <c r="BI32" s="754" t="str">
        <f t="shared" ref="BI32" si="34">IFERROR(IF(BP32="",IF(AR32 &lt; BG32, "100% Total Cost", ""), ""), "")</f>
        <v/>
      </c>
      <c r="BJ32" s="750" t="str">
        <f>IFERROR(IF(OR(C32="",O32="",R32="",T32="",AA32="",AE32="",AI32="",AK32=""),"",
IF(BP32&gt;0,"",
IF(EXPIRATION&lt;&gt;"",PROJSTATEXP,""))),"")</f>
        <v/>
      </c>
      <c r="BK32" s="828" t="str">
        <f>IFERROR(INDEX(STDMOTORS[Measure Life (Years)],MATCH(C32,STDMOTORS[Measure Name],0)),"")</f>
        <v/>
      </c>
      <c r="BL32" s="830" t="str">
        <f>IFERROR(IF(OR(C32="",O32="",R32="",T32="",AA32="",AE32="",AI32="",AK32=""),"",
ROUND(((1+ELOSS)*((AZ32*INDEX(ELECCB[NPV AEC $/kWh],MATCH(BK32,ELECCB[Year Number],1)))+(BA32*INDEX(ELECCB[NPV ACC $/kW],MATCH(BK32,ELECCB[Year Number],1))))),2)),0)</f>
        <v/>
      </c>
      <c r="BM32" s="835"/>
      <c r="BN32" s="832" t="str">
        <f>IFERROR(IF(OR(C32="",O32="",R32="",T32="",AA32="",AE32="",AI32="",AK32=""),"",INDEX(STDMOTORS[Reporting Methodology],MATCH(C32,STDMOTORS[Measure Name],0))),"Err")</f>
        <v/>
      </c>
      <c r="BO32" s="867" t="str">
        <f>IFERROR(IF(BH32="","",INDEX(STDMOTORS[Incremental Measure Cost ($/Unit)],MATCH(C32,STDMOTORS[Measure Name],0))),"Err")</f>
        <v/>
      </c>
      <c r="BP32" s="837"/>
      <c r="BQ32" s="838" t="str">
        <f>_xlfn.LET(
_xlpm.IPU,
IFERROR(IF(C32="","",INDEX(STDMOTORS[Base Incentive],MATCH(C32,STDMOTORS[Measure Name],0))),""),
IFERROR(ROUND(R32*_xlpm.IPU, 2), ""))</f>
        <v/>
      </c>
    </row>
    <row r="33" spans="2:69" ht="15.95" customHeight="1">
      <c r="B33" s="806"/>
      <c r="C33" s="716"/>
      <c r="D33" s="717"/>
      <c r="E33" s="717"/>
      <c r="F33" s="717"/>
      <c r="G33" s="717"/>
      <c r="H33" s="717"/>
      <c r="I33" s="717"/>
      <c r="J33" s="717"/>
      <c r="K33" s="717"/>
      <c r="L33" s="717"/>
      <c r="M33" s="717"/>
      <c r="N33" s="718"/>
      <c r="O33" s="944"/>
      <c r="P33" s="945"/>
      <c r="Q33" s="946"/>
      <c r="R33" s="791"/>
      <c r="S33" s="792"/>
      <c r="T33" s="716"/>
      <c r="U33" s="717"/>
      <c r="V33" s="717"/>
      <c r="W33" s="716"/>
      <c r="X33" s="717"/>
      <c r="Y33" s="717"/>
      <c r="Z33" s="718"/>
      <c r="AA33" s="716"/>
      <c r="AB33" s="717"/>
      <c r="AC33" s="717"/>
      <c r="AD33" s="718"/>
      <c r="AE33" s="805"/>
      <c r="AF33" s="805"/>
      <c r="AG33" s="805"/>
      <c r="AH33" s="728"/>
      <c r="AI33" s="765"/>
      <c r="AJ33" s="766"/>
      <c r="AK33" s="766"/>
      <c r="AL33" s="767"/>
      <c r="AM33" s="875"/>
      <c r="AN33" s="825"/>
      <c r="AO33" s="798"/>
      <c r="AP33" s="798"/>
      <c r="AQ33" s="798"/>
      <c r="AR33" s="827"/>
      <c r="AS33" s="827"/>
      <c r="AT33" s="827"/>
      <c r="AU33" s="827"/>
      <c r="AV33" s="22"/>
      <c r="AX33" s="874"/>
      <c r="AY33" s="751"/>
      <c r="AZ33" s="747"/>
      <c r="BA33" s="747"/>
      <c r="BB33" s="871"/>
      <c r="BC33" s="871"/>
      <c r="BD33" s="951"/>
      <c r="BE33" s="871"/>
      <c r="BF33" s="871"/>
      <c r="BG33" s="839"/>
      <c r="BH33" s="751"/>
      <c r="BI33" s="755"/>
      <c r="BJ33" s="751"/>
      <c r="BK33" s="829"/>
      <c r="BL33" s="831"/>
      <c r="BM33" s="836"/>
      <c r="BN33" s="832"/>
      <c r="BO33" s="867"/>
      <c r="BP33" s="837"/>
      <c r="BQ33" s="839"/>
    </row>
    <row r="34" spans="2:69" ht="15.95" customHeight="1">
      <c r="B34" s="806">
        <v>9</v>
      </c>
      <c r="C34" s="713"/>
      <c r="D34" s="714"/>
      <c r="E34" s="714"/>
      <c r="F34" s="714"/>
      <c r="G34" s="714"/>
      <c r="H34" s="714"/>
      <c r="I34" s="714"/>
      <c r="J34" s="714"/>
      <c r="K34" s="714"/>
      <c r="L34" s="714"/>
      <c r="M34" s="714"/>
      <c r="N34" s="715"/>
      <c r="O34" s="947" t="str">
        <f>IF(C34="","",INDEX(STDMOTORS[Current Unit],MATCH(C34,STDMOTORS[Measure Name],0)))</f>
        <v/>
      </c>
      <c r="P34" s="948"/>
      <c r="Q34" s="949"/>
      <c r="R34" s="789"/>
      <c r="S34" s="790"/>
      <c r="T34" s="713"/>
      <c r="U34" s="714"/>
      <c r="V34" s="714"/>
      <c r="W34" s="713"/>
      <c r="X34" s="714"/>
      <c r="Y34" s="714"/>
      <c r="Z34" s="715"/>
      <c r="AA34" s="713"/>
      <c r="AB34" s="714"/>
      <c r="AC34" s="714"/>
      <c r="AD34" s="715"/>
      <c r="AE34" s="805"/>
      <c r="AF34" s="805"/>
      <c r="AG34" s="805"/>
      <c r="AH34" s="728"/>
      <c r="AI34" s="765"/>
      <c r="AJ34" s="766"/>
      <c r="AK34" s="766"/>
      <c r="AL34" s="767"/>
      <c r="AM34" s="796" t="str">
        <f>IFERROR(IF(C34="","",INDEX(IF(AND(ACTIVEBONUS = TRUE,INDEX(STDMOTORS[Bonus Incentive],MATCH(C34,STDMOTORS[Measure Name],0))&lt;&gt; ""),STDMOTORS[Bonus Incentive],STDMOTORS[Base Incentive]),MATCH(C34,STDMOTORS[Measure Name],0))),"")</f>
        <v/>
      </c>
      <c r="AN34" s="823"/>
      <c r="AO34" s="797" t="str">
        <f t="shared" ref="AO34" si="35">IFERROR(IF(OR(C34="",O34="",R34="",T34="",AA34="",AE34="",AI34="",AK34=""),"",IF(BN34="Deemed",AZ34,IF(BN34="Calculated",BE34,""))),"")</f>
        <v/>
      </c>
      <c r="AP34" s="797"/>
      <c r="AQ34" s="797"/>
      <c r="AR34" s="826" t="str">
        <f t="shared" ref="AR34" si="36">IFERROR(IF(OR(C34="",O34="",R34="",T34="",AA34="",AE34="",AI34="",AK34=""),"",IF(BJ34&lt;&gt;"",BJ34,IF(BP34&gt;0,BP34,ROUND(IF(AO34&lt;=0,0,MIN(AX34,BG34)),2)))),"")</f>
        <v/>
      </c>
      <c r="AS34" s="826"/>
      <c r="AT34" s="826"/>
      <c r="AU34" s="826"/>
      <c r="AV34" s="22"/>
      <c r="AX34" s="873" t="str">
        <f t="shared" ref="AX34" si="37">IF(OR(C34="",O34="",R34="",T34="",AA34="",AE34="",AI34="",AK34=""),"",IF(AO34=0,"",ROUND(AI34+AK34,2)))</f>
        <v/>
      </c>
      <c r="AY34" s="750" t="str">
        <f>IFERROR(IF(OR(C34="",O34="",R34="",T34="",AA34="",AE34="",AI34="",AK34=""),"",INDEX(STDMOTORS[Current Unit],MATCH(C34,STDMOTORS[Measure Name],0))),"Err")</f>
        <v/>
      </c>
      <c r="AZ34" s="746" t="str">
        <f>IF(OR(C34="",O34="",R34="",T34="",AA34="",AE34="",AI34="",AK34=""),"",ROUND(R34*T34*INDEX(STDMOTORS[Electric Energy Savings (Annual kWh/unit)],MATCH(C34,STDMOTORS[Measure Name],0)),4))</f>
        <v/>
      </c>
      <c r="BA34" s="746" t="str">
        <f>IF(OR(C34="",O34="",R34="",T34="",AA34="",AE34="",AI34="",AK34=""),"",ROUND(R34*T34*INDEX(STDMOTORS[Coincident Peak Demand Savings (kW/unit)],MATCH(C34,STDMOTORS[Measure Name],0)),4))</f>
        <v/>
      </c>
      <c r="BB34" s="871"/>
      <c r="BC34" s="871"/>
      <c r="BD34" s="950" t="str">
        <f>IFERROR(IF(OR(C34="",O34="",R34="",T34="",AA34="",AE34="",AI34="",AK34=""),"",INDEX(STDMOTORS[End Use],MATCH(C34,STDMOTORS[Measure Name],0))),"Err")</f>
        <v/>
      </c>
      <c r="BE34" s="871"/>
      <c r="BF34" s="871"/>
      <c r="BG34" s="838" t="str">
        <f t="shared" ref="BG34" si="38">IFERROR(ROUND(R34*T34*AM34, 2), "")</f>
        <v/>
      </c>
      <c r="BH34" s="750" t="str">
        <f>IFERROR(IF(OR(C34="",O34="",R34="",T34="",AA34="",AE34="",AI34="",AK34="",ISNUMBER(AR34)=FALSE,AR34=0),"",INDEX(STDMOTORS[Measure Number],MATCH(C34,STDMOTORS[Measure Name],0))),"Err")</f>
        <v/>
      </c>
      <c r="BI34" s="754" t="str">
        <f t="shared" ref="BI34" si="39">IFERROR(IF(BP34="",IF(AR34 &lt; BG34, "100% Total Cost", ""), ""), "")</f>
        <v/>
      </c>
      <c r="BJ34" s="750" t="str">
        <f>IFERROR(IF(OR(C34="",O34="",R34="",T34="",AA34="",AE34="",AI34="",AK34=""),"",
IF(BP34&gt;0,"",
IF(EXPIRATION&lt;&gt;"",PROJSTATEXP,""))),"")</f>
        <v/>
      </c>
      <c r="BK34" s="828" t="str">
        <f>IFERROR(INDEX(STDMOTORS[Measure Life (Years)],MATCH(C34,STDMOTORS[Measure Name],0)),"")</f>
        <v/>
      </c>
      <c r="BL34" s="830" t="str">
        <f>IFERROR(IF(OR(C34="",O34="",R34="",T34="",AA34="",AE34="",AI34="",AK34=""),"",
ROUND(((1+ELOSS)*((AZ34*INDEX(ELECCB[NPV AEC $/kWh],MATCH(BK34,ELECCB[Year Number],1)))+(BA34*INDEX(ELECCB[NPV ACC $/kW],MATCH(BK34,ELECCB[Year Number],1))))),2)),0)</f>
        <v/>
      </c>
      <c r="BM34" s="835"/>
      <c r="BN34" s="832" t="str">
        <f>IFERROR(IF(OR(C34="",O34="",R34="",T34="",AA34="",AE34="",AI34="",AK34=""),"",INDEX(STDMOTORS[Reporting Methodology],MATCH(C34,STDMOTORS[Measure Name],0))),"Err")</f>
        <v/>
      </c>
      <c r="BO34" s="867" t="str">
        <f>IFERROR(IF(BH34="","",INDEX(STDMOTORS[Incremental Measure Cost ($/Unit)],MATCH(C34,STDMOTORS[Measure Name],0))),"Err")</f>
        <v/>
      </c>
      <c r="BP34" s="837"/>
      <c r="BQ34" s="838" t="str">
        <f>_xlfn.LET(
_xlpm.IPU,
IFERROR(IF(C34="","",INDEX(STDMOTORS[Base Incentive],MATCH(C34,STDMOTORS[Measure Name],0))),""),
IFERROR(ROUND(R34*_xlpm.IPU, 2), ""))</f>
        <v/>
      </c>
    </row>
    <row r="35" spans="2:69" ht="15.95" customHeight="1">
      <c r="B35" s="806"/>
      <c r="C35" s="716"/>
      <c r="D35" s="717"/>
      <c r="E35" s="717"/>
      <c r="F35" s="717"/>
      <c r="G35" s="717"/>
      <c r="H35" s="717"/>
      <c r="I35" s="717"/>
      <c r="J35" s="717"/>
      <c r="K35" s="717"/>
      <c r="L35" s="717"/>
      <c r="M35" s="717"/>
      <c r="N35" s="718"/>
      <c r="O35" s="944"/>
      <c r="P35" s="945"/>
      <c r="Q35" s="946"/>
      <c r="R35" s="791"/>
      <c r="S35" s="792"/>
      <c r="T35" s="716"/>
      <c r="U35" s="717"/>
      <c r="V35" s="717"/>
      <c r="W35" s="716"/>
      <c r="X35" s="717"/>
      <c r="Y35" s="717"/>
      <c r="Z35" s="718"/>
      <c r="AA35" s="716"/>
      <c r="AB35" s="717"/>
      <c r="AC35" s="717"/>
      <c r="AD35" s="718"/>
      <c r="AE35" s="805"/>
      <c r="AF35" s="805"/>
      <c r="AG35" s="805"/>
      <c r="AH35" s="728"/>
      <c r="AI35" s="765"/>
      <c r="AJ35" s="766"/>
      <c r="AK35" s="766"/>
      <c r="AL35" s="767"/>
      <c r="AM35" s="875"/>
      <c r="AN35" s="825"/>
      <c r="AO35" s="798"/>
      <c r="AP35" s="798"/>
      <c r="AQ35" s="798"/>
      <c r="AR35" s="827"/>
      <c r="AS35" s="827"/>
      <c r="AT35" s="827"/>
      <c r="AU35" s="827"/>
      <c r="AV35" s="22"/>
      <c r="AX35" s="874"/>
      <c r="AY35" s="751"/>
      <c r="AZ35" s="747"/>
      <c r="BA35" s="747"/>
      <c r="BB35" s="871"/>
      <c r="BC35" s="871"/>
      <c r="BD35" s="951"/>
      <c r="BE35" s="871"/>
      <c r="BF35" s="871"/>
      <c r="BG35" s="839"/>
      <c r="BH35" s="751"/>
      <c r="BI35" s="755"/>
      <c r="BJ35" s="751"/>
      <c r="BK35" s="829"/>
      <c r="BL35" s="831"/>
      <c r="BM35" s="836"/>
      <c r="BN35" s="832"/>
      <c r="BO35" s="867"/>
      <c r="BP35" s="837"/>
      <c r="BQ35" s="839"/>
    </row>
    <row r="36" spans="2:69" ht="15.95" customHeight="1">
      <c r="B36" s="806">
        <v>10</v>
      </c>
      <c r="C36" s="713"/>
      <c r="D36" s="714"/>
      <c r="E36" s="714"/>
      <c r="F36" s="714"/>
      <c r="G36" s="714"/>
      <c r="H36" s="714"/>
      <c r="I36" s="714"/>
      <c r="J36" s="714"/>
      <c r="K36" s="714"/>
      <c r="L36" s="714"/>
      <c r="M36" s="714"/>
      <c r="N36" s="715"/>
      <c r="O36" s="947" t="str">
        <f>IF(C36="","",INDEX(STDMOTORS[Current Unit],MATCH(C36,STDMOTORS[Measure Name],0)))</f>
        <v/>
      </c>
      <c r="P36" s="948"/>
      <c r="Q36" s="949"/>
      <c r="R36" s="789"/>
      <c r="S36" s="790"/>
      <c r="T36" s="713"/>
      <c r="U36" s="714"/>
      <c r="V36" s="714"/>
      <c r="W36" s="713"/>
      <c r="X36" s="714"/>
      <c r="Y36" s="714"/>
      <c r="Z36" s="715"/>
      <c r="AA36" s="713"/>
      <c r="AB36" s="714"/>
      <c r="AC36" s="714"/>
      <c r="AD36" s="715"/>
      <c r="AE36" s="805"/>
      <c r="AF36" s="805"/>
      <c r="AG36" s="805"/>
      <c r="AH36" s="728"/>
      <c r="AI36" s="765"/>
      <c r="AJ36" s="766"/>
      <c r="AK36" s="766"/>
      <c r="AL36" s="767"/>
      <c r="AM36" s="796" t="str">
        <f>IFERROR(IF(C36="","",INDEX(IF(AND(ACTIVEBONUS = TRUE,INDEX(STDMOTORS[Bonus Incentive],MATCH(C36,STDMOTORS[Measure Name],0))&lt;&gt; ""),STDMOTORS[Bonus Incentive],STDMOTORS[Base Incentive]),MATCH(C36,STDMOTORS[Measure Name],0))),"")</f>
        <v/>
      </c>
      <c r="AN36" s="823"/>
      <c r="AO36" s="797" t="str">
        <f t="shared" ref="AO36" si="40">IFERROR(IF(OR(C36="",O36="",R36="",T36="",AA36="",AE36="",AI36="",AK36=""),"",IF(BN36="Deemed",AZ36,IF(BN36="Calculated",BE36,""))),"")</f>
        <v/>
      </c>
      <c r="AP36" s="797"/>
      <c r="AQ36" s="797"/>
      <c r="AR36" s="826" t="str">
        <f t="shared" ref="AR36" si="41">IFERROR(IF(OR(C36="",O36="",R36="",T36="",AA36="",AE36="",AI36="",AK36=""),"",IF(BJ36&lt;&gt;"",BJ36,IF(BP36&gt;0,BP36,ROUND(IF(AO36&lt;=0,0,MIN(AX36,BG36)),2)))),"")</f>
        <v/>
      </c>
      <c r="AS36" s="826"/>
      <c r="AT36" s="826"/>
      <c r="AU36" s="826"/>
      <c r="AV36" s="22"/>
      <c r="AX36" s="873" t="str">
        <f t="shared" ref="AX36" si="42">IF(OR(C36="",O36="",R36="",T36="",AA36="",AE36="",AI36="",AK36=""),"",IF(AO36=0,"",ROUND(AI36+AK36,2)))</f>
        <v/>
      </c>
      <c r="AY36" s="750" t="str">
        <f>IFERROR(IF(OR(C36="",O36="",R36="",T36="",AA36="",AE36="",AI36="",AK36=""),"",INDEX(STDMOTORS[Current Unit],MATCH(C36,STDMOTORS[Measure Name],0))),"Err")</f>
        <v/>
      </c>
      <c r="AZ36" s="746" t="str">
        <f>IF(OR(C36="",O36="",R36="",T36="",AA36="",AE36="",AI36="",AK36=""),"",ROUND(R36*T36*INDEX(STDMOTORS[Electric Energy Savings (Annual kWh/unit)],MATCH(C36,STDMOTORS[Measure Name],0)),4))</f>
        <v/>
      </c>
      <c r="BA36" s="746" t="str">
        <f>IF(OR(C36="",O36="",R36="",T36="",AA36="",AE36="",AI36="",AK36=""),"",ROUND(R36*T36*INDEX(STDMOTORS[Coincident Peak Demand Savings (kW/unit)],MATCH(C36,STDMOTORS[Measure Name],0)),4))</f>
        <v/>
      </c>
      <c r="BB36" s="871"/>
      <c r="BC36" s="871"/>
      <c r="BD36" s="950" t="str">
        <f>IFERROR(IF(OR(C36="",O36="",R36="",T36="",AA36="",AE36="",AI36="",AK36=""),"",INDEX(STDMOTORS[End Use],MATCH(C36,STDMOTORS[Measure Name],0))),"Err")</f>
        <v/>
      </c>
      <c r="BE36" s="871"/>
      <c r="BF36" s="871"/>
      <c r="BG36" s="838" t="str">
        <f t="shared" ref="BG36" si="43">IFERROR(ROUND(R36*T36*AM36, 2), "")</f>
        <v/>
      </c>
      <c r="BH36" s="750" t="str">
        <f>IFERROR(IF(OR(C36="",O36="",R36="",T36="",AA36="",AE36="",AI36="",AK36="",ISNUMBER(AR36)=FALSE,AR36=0),"",INDEX(STDMOTORS[Measure Number],MATCH(C36,STDMOTORS[Measure Name],0))),"Err")</f>
        <v/>
      </c>
      <c r="BI36" s="754" t="str">
        <f t="shared" ref="BI36" si="44">IFERROR(IF(BP36="",IF(AR36 &lt; BG36, "100% Total Cost", ""), ""), "")</f>
        <v/>
      </c>
      <c r="BJ36" s="750" t="str">
        <f>IFERROR(IF(OR(C36="",O36="",R36="",T36="",AA36="",AE36="",AI36="",AK36=""),"",
IF(BP36&gt;0,"",
IF(EXPIRATION&lt;&gt;"",PROJSTATEXP,""))),"")</f>
        <v/>
      </c>
      <c r="BK36" s="828" t="str">
        <f>IFERROR(INDEX(STDMOTORS[Measure Life (Years)],MATCH(C36,STDMOTORS[Measure Name],0)),"")</f>
        <v/>
      </c>
      <c r="BL36" s="830" t="str">
        <f>IFERROR(IF(OR(C36="",O36="",R36="",T36="",AA36="",AE36="",AI36="",AK36=""),"",
ROUND(((1+ELOSS)*((AZ36*INDEX(ELECCB[NPV AEC $/kWh],MATCH(BK36,ELECCB[Year Number],1)))+(BA36*INDEX(ELECCB[NPV ACC $/kW],MATCH(BK36,ELECCB[Year Number],1))))),2)),0)</f>
        <v/>
      </c>
      <c r="BM36" s="835"/>
      <c r="BN36" s="832" t="str">
        <f>IFERROR(IF(OR(C36="",O36="",R36="",T36="",AA36="",AE36="",AI36="",AK36=""),"",INDEX(STDMOTORS[Reporting Methodology],MATCH(C36,STDMOTORS[Measure Name],0))),"Err")</f>
        <v/>
      </c>
      <c r="BO36" s="867" t="str">
        <f>IFERROR(IF(BH36="","",INDEX(STDMOTORS[Incremental Measure Cost ($/Unit)],MATCH(C36,STDMOTORS[Measure Name],0))),"Err")</f>
        <v/>
      </c>
      <c r="BP36" s="837"/>
      <c r="BQ36" s="838" t="str">
        <f>_xlfn.LET(
_xlpm.IPU,
IFERROR(IF(C36="","",INDEX(STDMOTORS[Base Incentive],MATCH(C36,STDMOTORS[Measure Name],0))),""),
IFERROR(ROUND(R36*_xlpm.IPU, 2), ""))</f>
        <v/>
      </c>
    </row>
    <row r="37" spans="2:69" ht="15.95" customHeight="1">
      <c r="B37" s="806"/>
      <c r="C37" s="716"/>
      <c r="D37" s="717"/>
      <c r="E37" s="717"/>
      <c r="F37" s="717"/>
      <c r="G37" s="717"/>
      <c r="H37" s="717"/>
      <c r="I37" s="717"/>
      <c r="J37" s="717"/>
      <c r="K37" s="717"/>
      <c r="L37" s="717"/>
      <c r="M37" s="717"/>
      <c r="N37" s="718"/>
      <c r="O37" s="944"/>
      <c r="P37" s="945"/>
      <c r="Q37" s="946"/>
      <c r="R37" s="791"/>
      <c r="S37" s="792"/>
      <c r="T37" s="716"/>
      <c r="U37" s="717"/>
      <c r="V37" s="717"/>
      <c r="W37" s="716"/>
      <c r="X37" s="717"/>
      <c r="Y37" s="717"/>
      <c r="Z37" s="718"/>
      <c r="AA37" s="716"/>
      <c r="AB37" s="717"/>
      <c r="AC37" s="717"/>
      <c r="AD37" s="718"/>
      <c r="AE37" s="805"/>
      <c r="AF37" s="805"/>
      <c r="AG37" s="805"/>
      <c r="AH37" s="728"/>
      <c r="AI37" s="765"/>
      <c r="AJ37" s="766"/>
      <c r="AK37" s="766"/>
      <c r="AL37" s="767"/>
      <c r="AM37" s="875"/>
      <c r="AN37" s="825"/>
      <c r="AO37" s="798"/>
      <c r="AP37" s="798"/>
      <c r="AQ37" s="798"/>
      <c r="AR37" s="827"/>
      <c r="AS37" s="827"/>
      <c r="AT37" s="827"/>
      <c r="AU37" s="827"/>
      <c r="AV37" s="22"/>
      <c r="AX37" s="874"/>
      <c r="AY37" s="751"/>
      <c r="AZ37" s="747"/>
      <c r="BA37" s="747"/>
      <c r="BB37" s="871"/>
      <c r="BC37" s="871"/>
      <c r="BD37" s="951"/>
      <c r="BE37" s="871"/>
      <c r="BF37" s="871"/>
      <c r="BG37" s="839"/>
      <c r="BH37" s="751"/>
      <c r="BI37" s="755"/>
      <c r="BJ37" s="751"/>
      <c r="BK37" s="829"/>
      <c r="BL37" s="831"/>
      <c r="BM37" s="836"/>
      <c r="BN37" s="832"/>
      <c r="BO37" s="867"/>
      <c r="BP37" s="837"/>
      <c r="BQ37" s="839"/>
    </row>
    <row r="38" spans="2:69" ht="15.95" customHeight="1">
      <c r="AX38" s="222"/>
    </row>
    <row r="39" spans="2:69" ht="15.95" hidden="1" customHeight="1">
      <c r="AX39" s="222"/>
    </row>
    <row r="40" spans="2:69" ht="15.95" hidden="1" customHeight="1">
      <c r="AX40" s="222"/>
    </row>
    <row r="41" spans="2:69" ht="15.95" hidden="1" customHeight="1">
      <c r="AX41" s="222"/>
    </row>
    <row r="42" spans="2:69" ht="15.95" hidden="1" customHeight="1">
      <c r="AX42" s="222"/>
    </row>
    <row r="43" spans="2:69" ht="15.95" hidden="1" customHeight="1">
      <c r="AX43" s="222"/>
    </row>
    <row r="44" spans="2:69" ht="15.95" hidden="1" customHeight="1">
      <c r="AX44" s="222"/>
    </row>
    <row r="45" spans="2:69" ht="15.95" hidden="1" customHeight="1">
      <c r="AX45" s="222"/>
    </row>
    <row r="46" spans="2:69" ht="15.95" hidden="1" customHeight="1">
      <c r="AX46" s="222"/>
    </row>
    <row r="47" spans="2:69" ht="15.95" hidden="1" customHeight="1">
      <c r="AX47" s="222"/>
    </row>
    <row r="48" spans="2:69"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53" ht="15.95" hidden="1" customHeight="1"/>
    <row r="194" spans="1:53" ht="15.95" hidden="1" customHeight="1"/>
    <row r="195" spans="1:53" ht="15.95" hidden="1" customHeight="1"/>
    <row r="196" spans="1:53" ht="15.95" hidden="1" customHeight="1"/>
    <row r="197" spans="1:53" ht="15.95" hidden="1" customHeight="1"/>
    <row r="198" spans="1:53" ht="15.95" hidden="1" customHeight="1"/>
    <row r="199" spans="1:53" ht="15.95" hidden="1" customHeight="1"/>
    <row r="200" spans="1:53"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c r="AX200" s="760">
        <f>SUM(AX18:AX199)</f>
        <v>0</v>
      </c>
      <c r="AZ200" s="761">
        <f>SUM(AZ18:AZ199)</f>
        <v>0</v>
      </c>
      <c r="BA200" s="762">
        <f>SUM(BA18:BA199)</f>
        <v>0</v>
      </c>
    </row>
    <row r="201" spans="1:53"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c r="AX201" s="760"/>
      <c r="AZ201" s="761"/>
      <c r="BA201" s="762"/>
    </row>
    <row r="202" spans="1:53"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apNhkjskpDiwplE2MsrAvcEj7h19Gm/mOPu0GfSa03m4f87owqfvMLb/qZGdRVusYqqFUex50WQqodkrn65SHA==" saltValue="B0ImFNrytaOqWfH/qvkNUg==" spinCount="100000" sheet="1" objects="1" scenarios="1" selectLockedCells="1"/>
  <mergeCells count="392">
    <mergeCell ref="BQ34:BQ35"/>
    <mergeCell ref="BQ36:BQ37"/>
    <mergeCell ref="BQ16:BQ17"/>
    <mergeCell ref="BQ18:BQ19"/>
    <mergeCell ref="BQ20:BQ21"/>
    <mergeCell ref="BQ22:BQ23"/>
    <mergeCell ref="BQ24:BQ25"/>
    <mergeCell ref="BQ26:BQ27"/>
    <mergeCell ref="BQ28:BQ29"/>
    <mergeCell ref="BQ30:BQ31"/>
    <mergeCell ref="BQ32:BQ33"/>
    <mergeCell ref="W32:Z33"/>
    <mergeCell ref="W34:Z35"/>
    <mergeCell ref="W36:Z37"/>
    <mergeCell ref="Q1:AG3"/>
    <mergeCell ref="AT1:AW3"/>
    <mergeCell ref="A7:E8"/>
    <mergeCell ref="W16:Z17"/>
    <mergeCell ref="W18:Z19"/>
    <mergeCell ref="W20:Z21"/>
    <mergeCell ref="W22:Z23"/>
    <mergeCell ref="W24:Z25"/>
    <mergeCell ref="W26:Z27"/>
    <mergeCell ref="W28:Z29"/>
    <mergeCell ref="W30:Z31"/>
    <mergeCell ref="B36:B37"/>
    <mergeCell ref="B18:B19"/>
    <mergeCell ref="B20:B21"/>
    <mergeCell ref="B22:B23"/>
    <mergeCell ref="B24:B25"/>
    <mergeCell ref="B26:B27"/>
    <mergeCell ref="B28:B29"/>
    <mergeCell ref="B30:B31"/>
    <mergeCell ref="B32:B33"/>
    <mergeCell ref="B34:B35"/>
    <mergeCell ref="BG28:BG29"/>
    <mergeCell ref="BI20:BI21"/>
    <mergeCell ref="BI22:BI23"/>
    <mergeCell ref="BI24:BI25"/>
    <mergeCell ref="BI26:BI27"/>
    <mergeCell ref="BI28:BI29"/>
    <mergeCell ref="BP34:BP35"/>
    <mergeCell ref="BP36:BP37"/>
    <mergeCell ref="BP16:BP17"/>
    <mergeCell ref="BP18:BP19"/>
    <mergeCell ref="BP20:BP21"/>
    <mergeCell ref="BP22:BP23"/>
    <mergeCell ref="BP24:BP25"/>
    <mergeCell ref="BP26:BP27"/>
    <mergeCell ref="BP28:BP29"/>
    <mergeCell ref="BP30:BP31"/>
    <mergeCell ref="BP32:BP33"/>
    <mergeCell ref="BM36:BM37"/>
    <mergeCell ref="BN36:BN37"/>
    <mergeCell ref="BM26:BM27"/>
    <mergeCell ref="BN26:BN27"/>
    <mergeCell ref="BM28:BM29"/>
    <mergeCell ref="BN28:BN29"/>
    <mergeCell ref="BM30:BM31"/>
    <mergeCell ref="BN30:BN31"/>
    <mergeCell ref="BM32:BM33"/>
    <mergeCell ref="BN32:BN33"/>
    <mergeCell ref="BM34:BM35"/>
    <mergeCell ref="BN34:BN35"/>
    <mergeCell ref="BM16:BM17"/>
    <mergeCell ref="BN16:BN17"/>
    <mergeCell ref="BM18:BM19"/>
    <mergeCell ref="BN18:BN19"/>
    <mergeCell ref="BM20:BM21"/>
    <mergeCell ref="BN20:BN21"/>
    <mergeCell ref="BM22:BM23"/>
    <mergeCell ref="BN22:BN23"/>
    <mergeCell ref="BM24:BM25"/>
    <mergeCell ref="BN24:BN25"/>
    <mergeCell ref="BK30:BK31"/>
    <mergeCell ref="BK32:BK33"/>
    <mergeCell ref="BK34:BK35"/>
    <mergeCell ref="BK36:BK37"/>
    <mergeCell ref="BL20:BL21"/>
    <mergeCell ref="BL22:BL23"/>
    <mergeCell ref="BL24:BL25"/>
    <mergeCell ref="BL26:BL27"/>
    <mergeCell ref="BL28:BL29"/>
    <mergeCell ref="BL30:BL31"/>
    <mergeCell ref="BL32:BL33"/>
    <mergeCell ref="BL34:BL35"/>
    <mergeCell ref="BL36:BL37"/>
    <mergeCell ref="BK16:BK17"/>
    <mergeCell ref="BL16:BL17"/>
    <mergeCell ref="BK18:BK19"/>
    <mergeCell ref="BL18:BL19"/>
    <mergeCell ref="BK20:BK21"/>
    <mergeCell ref="BK22:BK23"/>
    <mergeCell ref="BK24:BK25"/>
    <mergeCell ref="BK26:BK27"/>
    <mergeCell ref="BK28:BK29"/>
    <mergeCell ref="C36:N37"/>
    <mergeCell ref="O36:Q37"/>
    <mergeCell ref="O200:AI201"/>
    <mergeCell ref="BJ36:BJ37"/>
    <mergeCell ref="BB36:BB37"/>
    <mergeCell ref="BC36:BC37"/>
    <mergeCell ref="BD36:BD37"/>
    <mergeCell ref="BE36:BE37"/>
    <mergeCell ref="BF36:BF37"/>
    <mergeCell ref="BH36:BH37"/>
    <mergeCell ref="AO36:AQ37"/>
    <mergeCell ref="AX200:AX201"/>
    <mergeCell ref="AZ200:AZ201"/>
    <mergeCell ref="BA200:BA201"/>
    <mergeCell ref="BG36:BG37"/>
    <mergeCell ref="BI36:BI37"/>
    <mergeCell ref="AR36:AU37"/>
    <mergeCell ref="AX36:AX37"/>
    <mergeCell ref="AY36:AY37"/>
    <mergeCell ref="AZ36:AZ37"/>
    <mergeCell ref="BA36:BA37"/>
    <mergeCell ref="BH34:BH35"/>
    <mergeCell ref="BJ34:BJ35"/>
    <mergeCell ref="AE36:AH37"/>
    <mergeCell ref="AI36:AJ37"/>
    <mergeCell ref="AK36:AL37"/>
    <mergeCell ref="AM36:AN37"/>
    <mergeCell ref="BA34:BA35"/>
    <mergeCell ref="BB34:BB35"/>
    <mergeCell ref="BC34:BC35"/>
    <mergeCell ref="BD34:BD35"/>
    <mergeCell ref="BE34:BE35"/>
    <mergeCell ref="BF34:BF35"/>
    <mergeCell ref="AM34:AN35"/>
    <mergeCell ref="AO34:AQ35"/>
    <mergeCell ref="AR34:AU35"/>
    <mergeCell ref="BG34:BG35"/>
    <mergeCell ref="BI34:BI35"/>
    <mergeCell ref="AE32:AH33"/>
    <mergeCell ref="AI32:AJ33"/>
    <mergeCell ref="BC30:BC31"/>
    <mergeCell ref="BD30:BD31"/>
    <mergeCell ref="AX34:AX35"/>
    <mergeCell ref="AY34:AY35"/>
    <mergeCell ref="AZ34:AZ35"/>
    <mergeCell ref="AE34:AH35"/>
    <mergeCell ref="AI34:AJ35"/>
    <mergeCell ref="AK34:AL35"/>
    <mergeCell ref="AZ32:AZ33"/>
    <mergeCell ref="BA32:BA33"/>
    <mergeCell ref="BB32:BB33"/>
    <mergeCell ref="BC32:BC33"/>
    <mergeCell ref="BD32:BD33"/>
    <mergeCell ref="AK32:AL33"/>
    <mergeCell ref="AM32:AN33"/>
    <mergeCell ref="AO32:AQ33"/>
    <mergeCell ref="AR32:AU33"/>
    <mergeCell ref="AX32:AX33"/>
    <mergeCell ref="AY30:AY31"/>
    <mergeCell ref="AZ30:AZ31"/>
    <mergeCell ref="BA30:BA31"/>
    <mergeCell ref="BB30:BB31"/>
    <mergeCell ref="AY32:AY33"/>
    <mergeCell ref="BF32:BF33"/>
    <mergeCell ref="BH32:BH33"/>
    <mergeCell ref="BJ32:BJ33"/>
    <mergeCell ref="BE32:BE33"/>
    <mergeCell ref="BG30:BG31"/>
    <mergeCell ref="BG32:BG33"/>
    <mergeCell ref="BI30:BI31"/>
    <mergeCell ref="BI32:BI33"/>
    <mergeCell ref="BJ28:BJ29"/>
    <mergeCell ref="AE30:AH31"/>
    <mergeCell ref="AI30:AJ31"/>
    <mergeCell ref="AK30:AL31"/>
    <mergeCell ref="AM30:AN31"/>
    <mergeCell ref="AO30:AQ31"/>
    <mergeCell ref="BB28:BB29"/>
    <mergeCell ref="BC28:BC29"/>
    <mergeCell ref="BD28:BD29"/>
    <mergeCell ref="BE28:BE29"/>
    <mergeCell ref="BF28:BF29"/>
    <mergeCell ref="BH28:BH29"/>
    <mergeCell ref="AO28:AQ29"/>
    <mergeCell ref="AR28:AU29"/>
    <mergeCell ref="AX28:AX29"/>
    <mergeCell ref="AY28:AY29"/>
    <mergeCell ref="AZ28:AZ29"/>
    <mergeCell ref="BA28:BA29"/>
    <mergeCell ref="BE30:BE31"/>
    <mergeCell ref="BF30:BF31"/>
    <mergeCell ref="BH30:BH31"/>
    <mergeCell ref="BJ30:BJ31"/>
    <mergeCell ref="AR30:AU31"/>
    <mergeCell ref="AX30:AX31"/>
    <mergeCell ref="AE28:AH29"/>
    <mergeCell ref="AI28:AJ29"/>
    <mergeCell ref="AK28:AL29"/>
    <mergeCell ref="AM28:AN29"/>
    <mergeCell ref="BA26:BA27"/>
    <mergeCell ref="R28:S29"/>
    <mergeCell ref="AA28:AD29"/>
    <mergeCell ref="BB26:BB27"/>
    <mergeCell ref="BC26:BC27"/>
    <mergeCell ref="AM26:AN27"/>
    <mergeCell ref="AO26:AQ27"/>
    <mergeCell ref="AR26:AU27"/>
    <mergeCell ref="AX26:AX27"/>
    <mergeCell ref="AY26:AY27"/>
    <mergeCell ref="AZ26:AZ27"/>
    <mergeCell ref="BJ24:BJ25"/>
    <mergeCell ref="AE26:AH27"/>
    <mergeCell ref="AI26:AJ27"/>
    <mergeCell ref="AK26:AL27"/>
    <mergeCell ref="AZ24:AZ25"/>
    <mergeCell ref="BA24:BA25"/>
    <mergeCell ref="BB24:BB25"/>
    <mergeCell ref="BC24:BC25"/>
    <mergeCell ref="BD24:BD25"/>
    <mergeCell ref="BE24:BE25"/>
    <mergeCell ref="AK24:AL25"/>
    <mergeCell ref="AM24:AN25"/>
    <mergeCell ref="AO24:AQ25"/>
    <mergeCell ref="AR24:AU25"/>
    <mergeCell ref="AX24:AX25"/>
    <mergeCell ref="AY24:AY25"/>
    <mergeCell ref="BH26:BH27"/>
    <mergeCell ref="BJ26:BJ27"/>
    <mergeCell ref="BD26:BD27"/>
    <mergeCell ref="BE26:BE27"/>
    <mergeCell ref="BF26:BF27"/>
    <mergeCell ref="BG24:BG25"/>
    <mergeCell ref="BG26:BG27"/>
    <mergeCell ref="AE24:AH25"/>
    <mergeCell ref="AI24:AJ25"/>
    <mergeCell ref="BC22:BC23"/>
    <mergeCell ref="BD22:BD23"/>
    <mergeCell ref="BE22:BE23"/>
    <mergeCell ref="BF22:BF23"/>
    <mergeCell ref="BH22:BH23"/>
    <mergeCell ref="BF24:BF25"/>
    <mergeCell ref="BH24:BH25"/>
    <mergeCell ref="BG22:BG23"/>
    <mergeCell ref="BJ22:BJ23"/>
    <mergeCell ref="AR22:AU23"/>
    <mergeCell ref="AX22:AX23"/>
    <mergeCell ref="AY22:AY23"/>
    <mergeCell ref="AZ22:AZ23"/>
    <mergeCell ref="BA22:BA23"/>
    <mergeCell ref="BB22:BB23"/>
    <mergeCell ref="BJ20:BJ21"/>
    <mergeCell ref="AE22:AH23"/>
    <mergeCell ref="AI22:AJ23"/>
    <mergeCell ref="AK22:AL23"/>
    <mergeCell ref="AM22:AN23"/>
    <mergeCell ref="AO22:AQ23"/>
    <mergeCell ref="BB20:BB21"/>
    <mergeCell ref="BC20:BC21"/>
    <mergeCell ref="BD20:BD21"/>
    <mergeCell ref="BE20:BE21"/>
    <mergeCell ref="BF20:BF21"/>
    <mergeCell ref="BH20:BH21"/>
    <mergeCell ref="AO20:AQ21"/>
    <mergeCell ref="BG20:BG21"/>
    <mergeCell ref="AR20:AU21"/>
    <mergeCell ref="AX20:AX21"/>
    <mergeCell ref="AY20:AY21"/>
    <mergeCell ref="AZ20:AZ21"/>
    <mergeCell ref="BA20:BA21"/>
    <mergeCell ref="BH18:BH19"/>
    <mergeCell ref="BJ18:BJ19"/>
    <mergeCell ref="AE20:AH21"/>
    <mergeCell ref="AI20:AJ21"/>
    <mergeCell ref="AK20:AL21"/>
    <mergeCell ref="AM20:AN21"/>
    <mergeCell ref="BA18:BA19"/>
    <mergeCell ref="BB18:BB19"/>
    <mergeCell ref="BC18:BC19"/>
    <mergeCell ref="BD18:BD19"/>
    <mergeCell ref="BE18:BE19"/>
    <mergeCell ref="BF18:BF19"/>
    <mergeCell ref="AM18:AN19"/>
    <mergeCell ref="AO18:AQ19"/>
    <mergeCell ref="AR18:AU19"/>
    <mergeCell ref="BG18:BG19"/>
    <mergeCell ref="BI18:BI19"/>
    <mergeCell ref="AX18:AX19"/>
    <mergeCell ref="AY18:AY19"/>
    <mergeCell ref="AZ18:AZ19"/>
    <mergeCell ref="BJ16:BJ17"/>
    <mergeCell ref="AI17:AJ17"/>
    <mergeCell ref="AK17:AL17"/>
    <mergeCell ref="AE18:AH19"/>
    <mergeCell ref="AI18:AJ19"/>
    <mergeCell ref="AK18:AL19"/>
    <mergeCell ref="AZ16:BA16"/>
    <mergeCell ref="BB16:BB17"/>
    <mergeCell ref="BC16:BC17"/>
    <mergeCell ref="BD16:BD17"/>
    <mergeCell ref="BE16:BF16"/>
    <mergeCell ref="BH16:BH17"/>
    <mergeCell ref="AI16:AL16"/>
    <mergeCell ref="AM16:AN17"/>
    <mergeCell ref="AO16:AQ17"/>
    <mergeCell ref="AR16:AU17"/>
    <mergeCell ref="AX16:AX17"/>
    <mergeCell ref="BG16:BG17"/>
    <mergeCell ref="BI16:BI17"/>
    <mergeCell ref="AY16:AY17"/>
    <mergeCell ref="T14:W14"/>
    <mergeCell ref="X14:AA14"/>
    <mergeCell ref="AB14:AE14"/>
    <mergeCell ref="AE16:AH17"/>
    <mergeCell ref="AM13:AU14"/>
    <mergeCell ref="C16:N17"/>
    <mergeCell ref="O16:Q17"/>
    <mergeCell ref="R16:S17"/>
    <mergeCell ref="AA16:AD17"/>
    <mergeCell ref="F1:I3"/>
    <mergeCell ref="J1:M3"/>
    <mergeCell ref="AL1:AO3"/>
    <mergeCell ref="AP1:AS3"/>
    <mergeCell ref="AS5:AW6"/>
    <mergeCell ref="AL9:AO11"/>
    <mergeCell ref="T12:W13"/>
    <mergeCell ref="X12:AA13"/>
    <mergeCell ref="AB12:AE13"/>
    <mergeCell ref="E13:R13"/>
    <mergeCell ref="AS7:AW7"/>
    <mergeCell ref="AS8:AW8"/>
    <mergeCell ref="J9:M11"/>
    <mergeCell ref="N9:Q11"/>
    <mergeCell ref="R9:U11"/>
    <mergeCell ref="V9:Y11"/>
    <mergeCell ref="Z9:AC11"/>
    <mergeCell ref="AD9:AG11"/>
    <mergeCell ref="AH9:AK11"/>
    <mergeCell ref="A4:E6"/>
    <mergeCell ref="O28:Q29"/>
    <mergeCell ref="O30:Q31"/>
    <mergeCell ref="O32:Q33"/>
    <mergeCell ref="O34:Q35"/>
    <mergeCell ref="C18:N19"/>
    <mergeCell ref="C20:N21"/>
    <mergeCell ref="C22:N23"/>
    <mergeCell ref="C24:N25"/>
    <mergeCell ref="C28:N29"/>
    <mergeCell ref="C26:N27"/>
    <mergeCell ref="C30:N31"/>
    <mergeCell ref="C32:N33"/>
    <mergeCell ref="C34:N35"/>
    <mergeCell ref="AA22:AD23"/>
    <mergeCell ref="R24:S25"/>
    <mergeCell ref="AA24:AD25"/>
    <mergeCell ref="R26:S27"/>
    <mergeCell ref="AA26:AD27"/>
    <mergeCell ref="O18:Q19"/>
    <mergeCell ref="O20:Q21"/>
    <mergeCell ref="O22:Q23"/>
    <mergeCell ref="O24:Q25"/>
    <mergeCell ref="O26:Q27"/>
    <mergeCell ref="R30:S31"/>
    <mergeCell ref="AA30:AD31"/>
    <mergeCell ref="R32:S33"/>
    <mergeCell ref="AA32:AD33"/>
    <mergeCell ref="R34:S35"/>
    <mergeCell ref="AA34:AD35"/>
    <mergeCell ref="R36:S37"/>
    <mergeCell ref="AA36:AD37"/>
    <mergeCell ref="T16:V17"/>
    <mergeCell ref="T18:V19"/>
    <mergeCell ref="T20:V21"/>
    <mergeCell ref="T22:V23"/>
    <mergeCell ref="T24:V25"/>
    <mergeCell ref="T26:V27"/>
    <mergeCell ref="T28:V29"/>
    <mergeCell ref="T30:V31"/>
    <mergeCell ref="T32:V33"/>
    <mergeCell ref="T34:V35"/>
    <mergeCell ref="T36:V37"/>
    <mergeCell ref="R18:S19"/>
    <mergeCell ref="R20:S21"/>
    <mergeCell ref="AA18:AD19"/>
    <mergeCell ref="AA20:AD21"/>
    <mergeCell ref="R22:S23"/>
    <mergeCell ref="BO34:BO35"/>
    <mergeCell ref="BO36:BO37"/>
    <mergeCell ref="BO16:BO17"/>
    <mergeCell ref="BO18:BO19"/>
    <mergeCell ref="BO20:BO21"/>
    <mergeCell ref="BO22:BO23"/>
    <mergeCell ref="BO24:BO25"/>
    <mergeCell ref="BO26:BO27"/>
    <mergeCell ref="BO28:BO29"/>
    <mergeCell ref="BO30:BO31"/>
    <mergeCell ref="BO32:BO33"/>
  </mergeCells>
  <conditionalFormatting sqref="R18:V37 AA18:AL37">
    <cfRule type="expression" dxfId="120" priority="23">
      <formula>AND(ISBLANK($C18)=FALSE,OR(ISBLANK(R18)=TRUE,R18=""))</formula>
    </cfRule>
  </conditionalFormatting>
  <conditionalFormatting sqref="AM18:AN37">
    <cfRule type="expression" dxfId="119" priority="1">
      <formula>AM18 &lt;&gt; INDEX(STDMOTORSINC, MATCH(C18, STDMOTORSLIST,0))</formula>
    </cfRule>
  </conditionalFormatting>
  <conditionalFormatting sqref="AR18:AU37">
    <cfRule type="expression" dxfId="118" priority="21" stopIfTrue="1">
      <formula>ISNUMBER($AR18)=FALSE</formula>
    </cfRule>
    <cfRule type="expression" dxfId="117" priority="22">
      <formula>$AR18 &lt;&gt; $BG18</formula>
    </cfRule>
  </conditionalFormatting>
  <conditionalFormatting sqref="AS8:AW8">
    <cfRule type="expression" dxfId="116" priority="24">
      <formula>IF($AS$8=PROJSTATMEASURE,FALSE,TRUE)</formula>
    </cfRule>
  </conditionalFormatting>
  <dataValidations count="7">
    <dataValidation type="list" allowBlank="1" showInputMessage="1" showErrorMessage="1" prompt="Select Efficient Measure. If you do not see your equipment listed, it may qualify as a Custom Measure." sqref="C28 C18 C20 C22 C24 C34 C26 C30 C32 C36" xr:uid="{2B2E0F67-4AA1-4FD6-BE65-294D34A34404}">
      <formula1>STDMOTORSLIST</formula1>
    </dataValidation>
    <dataValidation type="decimal" allowBlank="1" showInputMessage="1" showErrorMessage="1" prompt="This is the TOTAL Labor Cost of the measure, NOT a per unit basis." sqref="AK18:AL37" xr:uid="{E71ABFEA-DDD9-4070-A2F1-66194B4DA9F6}">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R18 R20 R22 R24 R26 R28 R30 R32 R34 R36" xr:uid="{465501A8-A4DE-4332-977A-11F18671AAC6}">
      <formula1>0</formula1>
    </dataValidation>
    <dataValidation type="decimal" allowBlank="1" showInputMessage="1" showErrorMessage="1" prompt="This is the TOTAL Material Cost of the measure, NOT a per unit basis." sqref="AI18:AJ37" xr:uid="{345966F6-1B72-491C-93D4-D0D6BE62F047}">
      <formula1>0</formula1>
      <formula2>999999</formula2>
    </dataValidation>
    <dataValidation allowBlank="1" showInputMessage="1" showErrorMessage="1" prompt="Install Location should describe the area where the equipment installed. (e.g. Room 201, Garage, Mechanical Room)" sqref="AE18:AH37" xr:uid="{8E1A941F-FB2A-431F-8A95-25359090C596}"/>
    <dataValidation allowBlank="1" showInputMessage="1" showErrorMessage="1" prompt="Enter the Brand and Model # as it appears in technical documents and invoices." sqref="AA18 AA20 AA22 AA24 AA26 AA28 AA30 AA32 AA34 AA36 W18 W20 W22 W24 W26 W28 W30 W32 W34 W36" xr:uid="{7A085D4D-C26D-4484-90F7-26EC069014D1}"/>
    <dataValidation type="decimal" showInputMessage="1" showErrorMessage="1" errorTitle="Undefined Value" error="The value entered does not match the defined value range for this measure." sqref="T18:V37" xr:uid="{6B68C986-CC85-475E-A33F-ECBC4FECD5B0}">
      <formula1>INDEX( STDMOTORSHPMIN, MATCH(C18, STDMOTORSLIST, 0), 0)</formula1>
      <formula2>INDEX( STDMOTORSHPMAX, MATCH(C18, STDMOTORSLIST, 0), 0)</formula2>
    </dataValidation>
  </dataValidations>
  <hyperlinks>
    <hyperlink ref="N9:Q11" location="'M03-S03'!C18" tooltip="Lighting Controls" display="'M03-S03'!C18" xr:uid="{80C056ED-A904-4567-8508-108EB6949C0C}"/>
    <hyperlink ref="R9:U11" location="'M03-S04'!C18" tooltip="Refrigeration" display="'M03-S04'!C18" xr:uid="{53421806-9D62-47B3-8E52-C8F6365488B9}"/>
    <hyperlink ref="V9:Y11" location="'M03-S05'!C18" tooltip="HVAC" display="'M03-S05'!C18" xr:uid="{E26F15C7-0CAE-4E61-B216-0CDC10BEC8A3}"/>
    <hyperlink ref="AD9:AG11" location="'M03-S06'!C18" tooltip="Compressed Air / Process" display="'M03-S06'!C18" xr:uid="{C2A52792-766A-499D-AE9B-15EB9245E6E5}"/>
    <hyperlink ref="AH9:AK11" location="'M03-S07'!C18" tooltip="Water Heating / Cooking" display="'M03-S07'!C18" xr:uid="{F9C1675D-6F49-4D0D-83FB-4911ED979DFE}"/>
    <hyperlink ref="Z9:AC11" location="'M03-S08'!C18" tooltip="Motors and Drives" display="'M03-S08'!C18" xr:uid="{72951FFD-E4BA-4574-AE4D-8E35C8F35B1A}"/>
    <hyperlink ref="AL9:AO11" location="'M04-S09'!C18" tooltip="Miscellaneous" display="'M04-S09'!C18" xr:uid="{FF8E85DA-281B-4CBD-8608-10F352E94A08}"/>
    <hyperlink ref="B202" r:id="rId1" xr:uid="{15F2ABED-2551-4A9F-93A2-DEE990590A99}"/>
    <hyperlink ref="J1:M3" location="'M01-S02'!J1" tooltip="Instructions" display="'M01-S02'!J1" xr:uid="{51E139F2-6333-46D5-9D2E-F97B562A0D48}"/>
    <hyperlink ref="AP1:AS3" location="'M05-S05'!AL1" tooltip=" " display="'M05-S05'!AL1" xr:uid="{E1383609-48F7-42D5-BEFC-AD88EDE9D0FC}"/>
    <hyperlink ref="AL1:AO3" location="'M05-S04'!AH1" tooltip=" " display="'M05-S04'!AH1" xr:uid="{768C6CB7-93E2-4310-A914-19512220C505}"/>
    <hyperlink ref="AT1:AW3" location="'M01-S03'!AP1" tooltip="Contact" display="'M01-S03'!AP1" xr:uid="{3208206A-2CED-4489-BA7F-75AF0A5B49E9}"/>
  </hyperlinks>
  <printOptions horizontalCentered="1"/>
  <pageMargins left="0" right="0" top="0" bottom="0" header="0" footer="0"/>
  <pageSetup scale="4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E582A-7EB3-4C39-B960-CEBAFEAB69A7}">
  <sheetPr codeName="Sheet23">
    <tabColor theme="8" tint="0.59999389629810485"/>
    <pageSetUpPr fitToPage="1"/>
  </sheetPr>
  <dimension ref="A1:BQ204"/>
  <sheetViews>
    <sheetView showGridLines="0" showRowColHeaders="0" zoomScale="85" zoomScaleNormal="85" workbookViewId="0">
      <selection activeCell="C18" sqref="C18:Q19"/>
    </sheetView>
  </sheetViews>
  <sheetFormatPr defaultColWidth="0" defaultRowHeight="15" zeroHeight="1"/>
  <cols>
    <col min="1" max="49" width="4.7109375" customWidth="1"/>
    <col min="50" max="50" width="9.5703125" hidden="1"/>
    <col min="51" max="51" width="15.7109375" hidden="1"/>
    <col min="52" max="58" width="9.5703125" hidden="1"/>
    <col min="59" max="61" width="12.7109375" hidden="1"/>
    <col min="62" max="65" width="9.5703125" hidden="1"/>
    <col min="66" max="67" width="13.7109375" hidden="1"/>
    <col min="68" max="68" width="9.5703125" hidden="1"/>
    <col min="69" max="69" width="14.7109375" hidden="1"/>
    <col min="70" max="16384" width="4.7109375" hidden="1"/>
  </cols>
  <sheetData>
    <row r="1" spans="1:6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9"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69" ht="15.95" customHeight="1">
      <c r="A4" s="666">
        <f>INCENTOTAL</f>
        <v>0</v>
      </c>
      <c r="B4" s="666"/>
      <c r="C4" s="666"/>
      <c r="D4" s="666"/>
      <c r="E4" s="666"/>
      <c r="F4" s="203"/>
      <c r="G4" s="203"/>
      <c r="H4" s="203"/>
      <c r="I4" s="203"/>
    </row>
    <row r="5" spans="1:69" ht="15.95" customHeight="1">
      <c r="A5" s="667"/>
      <c r="B5" s="667"/>
      <c r="C5" s="667"/>
      <c r="D5" s="667"/>
      <c r="E5" s="667"/>
      <c r="F5" s="428"/>
      <c r="G5" s="428"/>
      <c r="H5" s="428"/>
      <c r="I5" s="428"/>
      <c r="AS5" s="630">
        <f ca="1">PROGRESSSTATUS</f>
        <v>0</v>
      </c>
      <c r="AT5" s="630"/>
      <c r="AU5" s="630"/>
      <c r="AV5" s="630"/>
      <c r="AW5" s="630"/>
      <c r="AY5" s="22"/>
      <c r="AZ5" s="119" t="s">
        <v>1315</v>
      </c>
      <c r="BA5" s="119" t="s">
        <v>325</v>
      </c>
    </row>
    <row r="6" spans="1:69" ht="15.95" customHeight="1">
      <c r="A6" s="667"/>
      <c r="B6" s="667"/>
      <c r="C6" s="667"/>
      <c r="D6" s="667"/>
      <c r="E6" s="667"/>
      <c r="F6" s="428"/>
      <c r="G6" s="428"/>
      <c r="H6" s="428"/>
      <c r="I6" s="428"/>
      <c r="AS6" s="630"/>
      <c r="AT6" s="630"/>
      <c r="AU6" s="630"/>
      <c r="AV6" s="630"/>
      <c r="AW6" s="630"/>
      <c r="AY6" s="118" t="s">
        <v>1320</v>
      </c>
      <c r="AZ6" s="117" t="str">
        <f>CBPRESE</f>
        <v>NA</v>
      </c>
      <c r="BA6" s="117" t="str">
        <f>PAYPRESE</f>
        <v>NA</v>
      </c>
    </row>
    <row r="7" spans="1:69" ht="15.95" customHeight="1">
      <c r="A7" s="629" t="s">
        <v>83</v>
      </c>
      <c r="B7" s="629"/>
      <c r="C7" s="629"/>
      <c r="D7" s="629"/>
      <c r="E7" s="629"/>
      <c r="F7" s="85"/>
      <c r="G7" s="85"/>
      <c r="H7" s="85"/>
      <c r="I7" s="85"/>
      <c r="AS7" s="629" t="s">
        <v>299</v>
      </c>
      <c r="AT7" s="629"/>
      <c r="AU7" s="629"/>
      <c r="AV7" s="629"/>
      <c r="AW7" s="629"/>
      <c r="AY7" s="118" t="s">
        <v>135</v>
      </c>
      <c r="AZ7" s="117" t="str">
        <f>CBCUSE</f>
        <v>NA</v>
      </c>
      <c r="BA7" s="117" t="str">
        <f>PAYCUSE</f>
        <v>NA</v>
      </c>
    </row>
    <row r="8" spans="1:69" ht="15.95" customHeight="1" thickBot="1">
      <c r="A8" s="632"/>
      <c r="B8" s="632"/>
      <c r="C8" s="632"/>
      <c r="D8" s="632"/>
      <c r="E8" s="632"/>
      <c r="F8" s="429"/>
      <c r="G8" s="429"/>
      <c r="H8" s="429"/>
      <c r="I8" s="429"/>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28" t="str">
        <f ca="1">PROJSTATUS</f>
        <v>Enter Measures</v>
      </c>
      <c r="AT8" s="628"/>
      <c r="AU8" s="628"/>
      <c r="AV8" s="628"/>
      <c r="AW8" s="628"/>
      <c r="AY8" s="118" t="s">
        <v>596</v>
      </c>
      <c r="AZ8" s="117" t="str">
        <f>CBALL</f>
        <v>NA</v>
      </c>
      <c r="BA8" s="117" t="str">
        <f>PAYALL</f>
        <v>NA</v>
      </c>
    </row>
    <row r="9" spans="1:69" s="88" customFormat="1" ht="15.95" customHeight="1">
      <c r="B9" s="89"/>
      <c r="C9" s="89"/>
      <c r="D9" s="89"/>
      <c r="E9" s="89"/>
      <c r="F9" s="89"/>
      <c r="G9"/>
      <c r="J9" s="877"/>
      <c r="K9" s="878"/>
      <c r="L9" s="878"/>
      <c r="M9" s="878"/>
      <c r="N9" s="876" t="str">
        <f>M3S3</f>
        <v>Lighting Controls</v>
      </c>
      <c r="O9" s="817"/>
      <c r="P9" s="817"/>
      <c r="Q9" s="817"/>
      <c r="R9" s="876" t="str">
        <f>M3S4</f>
        <v>Refrigeration</v>
      </c>
      <c r="S9" s="817"/>
      <c r="T9" s="817"/>
      <c r="U9" s="817"/>
      <c r="V9" s="876" t="str">
        <f>M3S5</f>
        <v>HVAC</v>
      </c>
      <c r="W9" s="817"/>
      <c r="X9" s="817"/>
      <c r="Y9" s="817"/>
      <c r="Z9" s="876" t="str">
        <f>M4S8</f>
        <v>Motors and Drives</v>
      </c>
      <c r="AA9" s="817"/>
      <c r="AB9" s="817"/>
      <c r="AC9" s="817"/>
      <c r="AD9" s="819" t="str">
        <f>M3S6</f>
        <v>Compressed Air / Process</v>
      </c>
      <c r="AE9" s="819"/>
      <c r="AF9" s="819"/>
      <c r="AG9" s="819"/>
      <c r="AH9" s="876" t="str">
        <f>M3S7</f>
        <v>Water Heating / Food Services</v>
      </c>
      <c r="AI9" s="817"/>
      <c r="AJ9" s="817"/>
      <c r="AK9" s="817"/>
      <c r="AL9" s="876" t="str">
        <f>M4S9</f>
        <v>Miscellaneous</v>
      </c>
      <c r="AM9" s="817"/>
      <c r="AN9" s="817"/>
      <c r="AO9" s="817"/>
      <c r="AP9" s="89"/>
      <c r="AQ9" s="89"/>
      <c r="AR9" s="89"/>
      <c r="AS9"/>
      <c r="AT9"/>
      <c r="AU9" s="89"/>
      <c r="AV9" s="89"/>
    </row>
    <row r="10" spans="1:69" s="88" customFormat="1" ht="15.95" customHeight="1">
      <c r="B10" s="89"/>
      <c r="C10" s="89"/>
      <c r="D10" s="89"/>
      <c r="E10" s="89"/>
      <c r="F10" s="89"/>
      <c r="G10"/>
      <c r="J10" s="878"/>
      <c r="K10" s="878"/>
      <c r="L10" s="878"/>
      <c r="M10" s="878"/>
      <c r="N10" s="817"/>
      <c r="O10" s="817"/>
      <c r="P10" s="817"/>
      <c r="Q10" s="817"/>
      <c r="R10" s="817"/>
      <c r="S10" s="817"/>
      <c r="T10" s="817"/>
      <c r="U10" s="817"/>
      <c r="V10" s="817"/>
      <c r="W10" s="817"/>
      <c r="X10" s="817"/>
      <c r="Y10" s="817"/>
      <c r="Z10" s="817"/>
      <c r="AA10" s="817"/>
      <c r="AB10" s="817"/>
      <c r="AC10" s="817"/>
      <c r="AD10" s="819"/>
      <c r="AE10" s="819"/>
      <c r="AF10" s="819"/>
      <c r="AG10" s="819"/>
      <c r="AH10" s="817"/>
      <c r="AI10" s="817"/>
      <c r="AJ10" s="817"/>
      <c r="AK10" s="817"/>
      <c r="AL10" s="817"/>
      <c r="AM10" s="817"/>
      <c r="AN10" s="817"/>
      <c r="AO10" s="817"/>
      <c r="AP10" s="89"/>
      <c r="AQ10" s="89"/>
      <c r="AR10" s="89"/>
      <c r="AS10"/>
      <c r="AT10"/>
      <c r="AU10" s="89"/>
      <c r="AV10" s="89"/>
    </row>
    <row r="11" spans="1:69" ht="15.95" customHeight="1">
      <c r="B11" s="106"/>
      <c r="C11" s="106"/>
      <c r="D11" s="106"/>
      <c r="E11" s="106"/>
      <c r="F11" s="106"/>
      <c r="J11" s="878"/>
      <c r="K11" s="878"/>
      <c r="L11" s="878"/>
      <c r="M11" s="878"/>
      <c r="N11" s="817"/>
      <c r="O11" s="817"/>
      <c r="P11" s="817"/>
      <c r="Q11" s="817"/>
      <c r="R11" s="817"/>
      <c r="S11" s="817"/>
      <c r="T11" s="817"/>
      <c r="U11" s="817"/>
      <c r="V11" s="817"/>
      <c r="W11" s="817"/>
      <c r="X11" s="817"/>
      <c r="Y11" s="817"/>
      <c r="Z11" s="817"/>
      <c r="AA11" s="817"/>
      <c r="AB11" s="817"/>
      <c r="AC11" s="817"/>
      <c r="AD11" s="819"/>
      <c r="AE11" s="819"/>
      <c r="AF11" s="819"/>
      <c r="AG11" s="819"/>
      <c r="AH11" s="817"/>
      <c r="AI11" s="817"/>
      <c r="AJ11" s="817"/>
      <c r="AK11" s="817"/>
      <c r="AL11" s="817"/>
      <c r="AM11" s="817"/>
      <c r="AN11" s="817"/>
      <c r="AO11" s="817"/>
      <c r="AP11" s="106"/>
      <c r="AQ11" s="106"/>
      <c r="AR11" s="106"/>
      <c r="AU11" s="106"/>
      <c r="AV11" s="106"/>
    </row>
    <row r="12" spans="1:69" ht="15.95" customHeight="1">
      <c r="A12" s="86"/>
      <c r="B12" s="86"/>
      <c r="C12" s="86"/>
      <c r="D12" s="86"/>
      <c r="E12" s="86"/>
      <c r="F12" s="86"/>
      <c r="G12" s="86"/>
      <c r="T12" s="821">
        <f>SUM(AR18:AU199)</f>
        <v>0</v>
      </c>
      <c r="U12" s="821"/>
      <c r="V12" s="821"/>
      <c r="W12" s="821"/>
      <c r="X12" s="821">
        <f>SUM(AX18:AX199)</f>
        <v>0</v>
      </c>
      <c r="Y12" s="821"/>
      <c r="Z12" s="821"/>
      <c r="AA12" s="821"/>
      <c r="AB12" s="820">
        <f ca="1">SUMIF(AR18:AU199,"&gt;0",AO18:AQ199)</f>
        <v>0</v>
      </c>
      <c r="AC12" s="820"/>
      <c r="AD12" s="820"/>
      <c r="AE12" s="820"/>
    </row>
    <row r="13" spans="1:69" ht="15.95" customHeight="1">
      <c r="A13" s="86"/>
      <c r="B13" s="86"/>
      <c r="C13" s="86"/>
      <c r="D13" s="86"/>
      <c r="E13" s="758" t="s">
        <v>1844</v>
      </c>
      <c r="F13" s="758"/>
      <c r="G13" s="758"/>
      <c r="H13" s="758"/>
      <c r="I13" s="758"/>
      <c r="J13" s="758"/>
      <c r="K13" s="758"/>
      <c r="L13" s="758"/>
      <c r="M13" s="758"/>
      <c r="N13" s="758"/>
      <c r="O13" s="758"/>
      <c r="P13" s="758"/>
      <c r="Q13" s="758"/>
      <c r="R13" s="758"/>
      <c r="T13" s="821"/>
      <c r="U13" s="821"/>
      <c r="V13" s="821"/>
      <c r="W13" s="821"/>
      <c r="X13" s="821"/>
      <c r="Y13" s="821"/>
      <c r="Z13" s="821"/>
      <c r="AA13" s="821"/>
      <c r="AB13" s="820"/>
      <c r="AC13" s="820"/>
      <c r="AD13" s="820"/>
      <c r="AE13" s="820"/>
      <c r="AM13" s="840" t="str">
        <f>IF(IFERROR(MATCH("100% Total Cost", BI:BI, 0), FALSE), "The incentive for one or more measures is capped due to measure cost.", "")</f>
        <v/>
      </c>
      <c r="AN13" s="840"/>
      <c r="AO13" s="840"/>
      <c r="AP13" s="840"/>
      <c r="AQ13" s="840"/>
      <c r="AR13" s="840"/>
      <c r="AS13" s="840"/>
      <c r="AT13" s="840"/>
      <c r="AU13" s="840"/>
    </row>
    <row r="14" spans="1:69" ht="15.95" customHeight="1">
      <c r="T14" s="758" t="s">
        <v>1717</v>
      </c>
      <c r="U14" s="758"/>
      <c r="V14" s="758"/>
      <c r="W14" s="758"/>
      <c r="X14" s="758" t="s">
        <v>67</v>
      </c>
      <c r="Y14" s="758"/>
      <c r="Z14" s="758"/>
      <c r="AA14" s="758"/>
      <c r="AB14" s="758" t="s">
        <v>1161</v>
      </c>
      <c r="AC14" s="758"/>
      <c r="AD14" s="758"/>
      <c r="AE14" s="758"/>
      <c r="AM14" s="840"/>
      <c r="AN14" s="840"/>
      <c r="AO14" s="840"/>
      <c r="AP14" s="840"/>
      <c r="AQ14" s="840"/>
      <c r="AR14" s="840"/>
      <c r="AS14" s="840"/>
      <c r="AT14" s="840"/>
      <c r="AU14" s="840"/>
    </row>
    <row r="15" spans="1:69" ht="15.95" customHeight="1"/>
    <row r="16" spans="1:69" ht="15.95" customHeight="1">
      <c r="C16" s="723" t="s">
        <v>1250</v>
      </c>
      <c r="D16" s="723"/>
      <c r="E16" s="723"/>
      <c r="F16" s="723"/>
      <c r="G16" s="723"/>
      <c r="H16" s="723"/>
      <c r="I16" s="723"/>
      <c r="J16" s="723"/>
      <c r="K16" s="723"/>
      <c r="L16" s="723"/>
      <c r="M16" s="723"/>
      <c r="N16" s="723"/>
      <c r="O16" s="723"/>
      <c r="P16" s="723"/>
      <c r="Q16" s="723"/>
      <c r="R16" s="723" t="s">
        <v>1261</v>
      </c>
      <c r="S16" s="723"/>
      <c r="T16" s="723"/>
      <c r="U16" s="723" t="s">
        <v>74</v>
      </c>
      <c r="V16" s="723"/>
      <c r="W16" s="723" t="s">
        <v>2912</v>
      </c>
      <c r="X16" s="723"/>
      <c r="Y16" s="723"/>
      <c r="Z16" s="723"/>
      <c r="AA16" s="723" t="s">
        <v>2913</v>
      </c>
      <c r="AB16" s="723"/>
      <c r="AC16" s="723"/>
      <c r="AD16" s="723"/>
      <c r="AE16" s="723" t="s">
        <v>1249</v>
      </c>
      <c r="AF16" s="723"/>
      <c r="AG16" s="723"/>
      <c r="AH16" s="723"/>
      <c r="AI16" s="814" t="s">
        <v>1243</v>
      </c>
      <c r="AJ16" s="814"/>
      <c r="AK16" s="814"/>
      <c r="AL16" s="814"/>
      <c r="AM16" s="723" t="s">
        <v>1718</v>
      </c>
      <c r="AN16" s="723"/>
      <c r="AO16" s="723" t="s">
        <v>1108</v>
      </c>
      <c r="AP16" s="723"/>
      <c r="AQ16" s="723"/>
      <c r="AR16" s="723" t="s">
        <v>83</v>
      </c>
      <c r="AS16" s="723"/>
      <c r="AT16" s="723"/>
      <c r="AU16" s="723"/>
      <c r="AX16" s="752" t="s">
        <v>1257</v>
      </c>
      <c r="AY16" s="752" t="s">
        <v>1116</v>
      </c>
      <c r="AZ16" s="759" t="s">
        <v>1253</v>
      </c>
      <c r="BA16" s="759"/>
      <c r="BB16" s="752" t="s">
        <v>1255</v>
      </c>
      <c r="BC16" s="752" t="s">
        <v>1256</v>
      </c>
      <c r="BD16" s="752" t="s">
        <v>1305</v>
      </c>
      <c r="BE16" s="759" t="s">
        <v>1254</v>
      </c>
      <c r="BF16" s="759"/>
      <c r="BG16" s="752" t="s">
        <v>2774</v>
      </c>
      <c r="BH16" s="752" t="s">
        <v>85</v>
      </c>
      <c r="BI16" s="752" t="s">
        <v>1306</v>
      </c>
      <c r="BJ16" s="752" t="s">
        <v>309</v>
      </c>
      <c r="BK16" s="736" t="s">
        <v>88</v>
      </c>
      <c r="BL16" s="736" t="s">
        <v>2130</v>
      </c>
      <c r="BM16" s="833"/>
      <c r="BN16" s="736" t="s">
        <v>2270</v>
      </c>
      <c r="BO16" s="736" t="s">
        <v>1303</v>
      </c>
      <c r="BP16" s="736" t="s">
        <v>2401</v>
      </c>
      <c r="BQ16" s="752" t="s">
        <v>2917</v>
      </c>
    </row>
    <row r="17" spans="1:69" ht="15.95" customHeight="1" thickBot="1">
      <c r="C17" s="724"/>
      <c r="D17" s="724"/>
      <c r="E17" s="724"/>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t="s">
        <v>1241</v>
      </c>
      <c r="AJ17" s="724"/>
      <c r="AK17" s="724" t="s">
        <v>1242</v>
      </c>
      <c r="AL17" s="724"/>
      <c r="AM17" s="724"/>
      <c r="AN17" s="724"/>
      <c r="AO17" s="724"/>
      <c r="AP17" s="724"/>
      <c r="AQ17" s="724"/>
      <c r="AR17" s="724"/>
      <c r="AS17" s="724"/>
      <c r="AT17" s="724"/>
      <c r="AU17" s="724"/>
      <c r="AX17" s="753"/>
      <c r="AY17" s="753"/>
      <c r="AZ17" s="107" t="s">
        <v>1251</v>
      </c>
      <c r="BA17" s="107" t="s">
        <v>1252</v>
      </c>
      <c r="BB17" s="753"/>
      <c r="BC17" s="753" t="s">
        <v>1256</v>
      </c>
      <c r="BD17" s="753"/>
      <c r="BE17" s="107" t="s">
        <v>1251</v>
      </c>
      <c r="BF17" s="107" t="s">
        <v>1465</v>
      </c>
      <c r="BG17" s="753"/>
      <c r="BH17" s="753"/>
      <c r="BI17" s="753"/>
      <c r="BJ17" s="753"/>
      <c r="BK17" s="737"/>
      <c r="BL17" s="737"/>
      <c r="BM17" s="834"/>
      <c r="BN17" s="737"/>
      <c r="BO17" s="737"/>
      <c r="BP17" s="737"/>
      <c r="BQ17" s="753"/>
    </row>
    <row r="18" spans="1:69" ht="15.95" customHeight="1">
      <c r="B18" s="806">
        <v>1</v>
      </c>
      <c r="C18" s="813"/>
      <c r="D18" s="813"/>
      <c r="E18" s="813"/>
      <c r="F18" s="813"/>
      <c r="G18" s="813"/>
      <c r="H18" s="813"/>
      <c r="I18" s="813"/>
      <c r="J18" s="813"/>
      <c r="K18" s="813"/>
      <c r="L18" s="813"/>
      <c r="M18" s="813"/>
      <c r="N18" s="813"/>
      <c r="O18" s="813"/>
      <c r="P18" s="813"/>
      <c r="Q18" s="813"/>
      <c r="R18" s="869" t="str">
        <f>IF(C18="","",INDEX(STDCOMPRESS[Current Unit],MATCH(C18,STDCOMPRESS[Measure Name],0)))</f>
        <v/>
      </c>
      <c r="S18" s="869"/>
      <c r="T18" s="869"/>
      <c r="U18" s="784"/>
      <c r="V18" s="784"/>
      <c r="W18" s="813"/>
      <c r="X18" s="813"/>
      <c r="Y18" s="813"/>
      <c r="Z18" s="813"/>
      <c r="AA18" s="813"/>
      <c r="AB18" s="813"/>
      <c r="AC18" s="813"/>
      <c r="AD18" s="813"/>
      <c r="AE18" s="813"/>
      <c r="AF18" s="813"/>
      <c r="AG18" s="813"/>
      <c r="AH18" s="716"/>
      <c r="AI18" s="952"/>
      <c r="AJ18" s="953"/>
      <c r="AK18" s="953"/>
      <c r="AL18" s="960"/>
      <c r="AM18" s="954" t="str">
        <f>IFERROR(IF(C18="","",INDEX(IF(AND(ACTIVEBONUS = TRUE,INDEX(STDCOMPRESS[Bonus Incentive],MATCH(C18,STDCOMPRESS[Measure Name],0))&lt;&gt; ""),STDCOMPRESS[Bonus Incentive],STDCOMPRESS[Base Incentive]),MATCH(C18,STDCOMPRESS[Measure Name],0))),"")</f>
        <v/>
      </c>
      <c r="AN18" s="955"/>
      <c r="AO18" s="956" t="str">
        <f>IFERROR(IF(OR(C18="",U18="",R18="",AA18="",AE18="",AI18="",AK18=""),"",IF(BN18="Deemed",AZ18,IF(BN18="Calculated",BE18,""))),"")</f>
        <v/>
      </c>
      <c r="AP18" s="956"/>
      <c r="AQ18" s="956"/>
      <c r="AR18" s="957" t="str">
        <f>IFERROR(IF(OR(C18="",U18="",R18="",AA18="",AE18="",AI18="",AK18="",W18=""),"",IF(BJ18&lt;&gt;"",BJ18,IF(BP18&gt;0,BP18,ROUND(IF(AO18&lt;=0,0,MIN(AX18,BG18)),2)))),"")</f>
        <v/>
      </c>
      <c r="AS18" s="958"/>
      <c r="AT18" s="958"/>
      <c r="AU18" s="959"/>
      <c r="AV18" s="22"/>
      <c r="AX18" s="873" t="str">
        <f>IF(OR(C18="",U18="",R18="",AA18="",AE18="",AI18="",AK18="",W18=""),"",IF(AO18=0,"",ROUND(AI18+AK18,2)))</f>
        <v/>
      </c>
      <c r="AY18" s="750" t="str">
        <f>IFERROR(IF(OR(C18="",U18="",R18="",AA18="",AE18="",AI18="",AK18="",W18=""),"",INDEX(STDCOMPRESS[Current Unit],MATCH(C18,STDCOMPRESS[Measure Name],0))),"Err")</f>
        <v/>
      </c>
      <c r="AZ18" s="746" t="str">
        <f>IF(OR(C18="",U18="",R18="",AA18="",AE18="",AI18="",AK18="",W18=""),"",ROUND(U18*INDEX(STDCOMPRESS[Electric Energy Savings (Annual kWh/unit)],MATCH(C18,STDCOMPRESS[Measure Name],0)),4))</f>
        <v/>
      </c>
      <c r="BA18" s="746" t="str">
        <f>IF(OR(C18="",U18="",R18="",AA18="",AE18="",AI18="",AK18="",W18=""),"",ROUND(U18*INDEX(STDCOMPRESS[Coincident Peak Demand Savings (kW/unit)],MATCH(C18,STDCOMPRESS[Measure Name],0)),4))</f>
        <v/>
      </c>
      <c r="BB18" s="870"/>
      <c r="BC18" s="870"/>
      <c r="BD18" s="754" t="str">
        <f>IFERROR(IF(OR(C18="",U18="",R18="",AA18="",AE18="",AI18="",AK18="",W18=""),"",INDEX(STDCOMPRESS[End Use],MATCH(C18,STDCOMPRESS[Measure Name],0))),"Err")</f>
        <v/>
      </c>
      <c r="BE18" s="870"/>
      <c r="BF18" s="870"/>
      <c r="BG18" s="838" t="str">
        <f>IFERROR(ROUND(U18*AM18, 2), "")</f>
        <v/>
      </c>
      <c r="BH18" s="750" t="str">
        <f>IFERROR(IF(OR(C18="",U18="",R18="",AA18="",AE18="",AI18="",AK18="",W18="",ISNUMBER(AR18)=FALSE,AR18=0),"",INDEX(STDCOMPRESS[Measure Number],MATCH(C18,STDCOMPRESS[Measure Name],0))),"Err")</f>
        <v/>
      </c>
      <c r="BI18" s="754" t="str">
        <f>IFERROR(IF(BP18="",IF(AR18 &lt; BG18, "100% Total Cost", ""), ""), "")</f>
        <v/>
      </c>
      <c r="BJ18" s="750" t="str">
        <f>IFERROR(IF(OR(C18="",U18="",AA18="",AE18="",AI18="",AK18="",W18=""),"",
IF(BP18&gt;0,"",
IF(EXPIRATION&lt;&gt;"",PROJSTATEXP,""))),"")</f>
        <v/>
      </c>
      <c r="BK18" s="828" t="str">
        <f>IFERROR(INDEX(STDCOMPRESS[Measure Life (Years)],MATCH(C18,STDCOMPRESS[Measure Name],0)),"")</f>
        <v/>
      </c>
      <c r="BL18" s="830" t="str">
        <f>IFERROR(IF(OR(C18="",U18="",R18="",AA18="",AE18="",AI18="",AK18="",W18=""),"",
ROUND(((1+ELOSS)*((AZ18*INDEX(ELECCB[NPV AEC $/kWh],MATCH(BK18,ELECCB[Year Number],1)))+(BA18*INDEX(ELECCB[NPV ACC $/kW],MATCH(BK18,ELECCB[Year Number],1))))),2)),0)</f>
        <v/>
      </c>
      <c r="BM18" s="835"/>
      <c r="BN18" s="832" t="str">
        <f>IFERROR(IF(OR(C18="",U18="",R18="",AA18="",AE18="",AI18="",AK18="",W18=""),"",INDEX(STDCOMPRESS[Reporting Methodology],MATCH(C18,STDCOMPRESS[Measure Name],0))),"Err")</f>
        <v/>
      </c>
      <c r="BO18" s="867" t="str">
        <f>IFERROR(IF(BH18="","",INDEX(STDCOMPRESS[Incremental Measure Cost ($/Unit)],MATCH(C18,STDCOMPRESS[Measure Name],0))),"Err")</f>
        <v/>
      </c>
      <c r="BP18" s="837"/>
      <c r="BQ18" s="838" t="str">
        <f>_xlfn.LET(
_xlpm.IPU,
IFERROR(IF(C18="","",INDEX(STDCOMPRESS[Base Incentive],MATCH(C18,STDCOMPRESS[Measure Name],0))),""),
IFERROR(ROUND(U18*_xlpm.IPU, 2), ""))</f>
        <v/>
      </c>
    </row>
    <row r="19" spans="1:69" ht="15.95" customHeight="1">
      <c r="B19" s="806"/>
      <c r="C19" s="805"/>
      <c r="D19" s="805"/>
      <c r="E19" s="805"/>
      <c r="F19" s="805"/>
      <c r="G19" s="805"/>
      <c r="H19" s="805"/>
      <c r="I19" s="805"/>
      <c r="J19" s="805"/>
      <c r="K19" s="805"/>
      <c r="L19" s="805"/>
      <c r="M19" s="805"/>
      <c r="N19" s="805"/>
      <c r="O19" s="805"/>
      <c r="P19" s="805"/>
      <c r="Q19" s="805"/>
      <c r="R19" s="868"/>
      <c r="S19" s="868"/>
      <c r="T19" s="868"/>
      <c r="U19" s="785"/>
      <c r="V19" s="785"/>
      <c r="W19" s="805"/>
      <c r="X19" s="805"/>
      <c r="Y19" s="805"/>
      <c r="Z19" s="805"/>
      <c r="AA19" s="805"/>
      <c r="AB19" s="805"/>
      <c r="AC19" s="805"/>
      <c r="AD19" s="805"/>
      <c r="AE19" s="805"/>
      <c r="AF19" s="805"/>
      <c r="AG19" s="805"/>
      <c r="AH19" s="728"/>
      <c r="AI19" s="765"/>
      <c r="AJ19" s="766"/>
      <c r="AK19" s="766"/>
      <c r="AL19" s="767"/>
      <c r="AM19" s="875"/>
      <c r="AN19" s="825"/>
      <c r="AO19" s="798"/>
      <c r="AP19" s="798"/>
      <c r="AQ19" s="798"/>
      <c r="AR19" s="802"/>
      <c r="AS19" s="803"/>
      <c r="AT19" s="803"/>
      <c r="AU19" s="804"/>
      <c r="AV19" s="22"/>
      <c r="AX19" s="874"/>
      <c r="AY19" s="751"/>
      <c r="AZ19" s="747"/>
      <c r="BA19" s="747"/>
      <c r="BB19" s="871"/>
      <c r="BC19" s="871"/>
      <c r="BD19" s="755"/>
      <c r="BE19" s="871"/>
      <c r="BF19" s="871"/>
      <c r="BG19" s="839"/>
      <c r="BH19" s="751"/>
      <c r="BI19" s="755"/>
      <c r="BJ19" s="751"/>
      <c r="BK19" s="829"/>
      <c r="BL19" s="831"/>
      <c r="BM19" s="836"/>
      <c r="BN19" s="832"/>
      <c r="BO19" s="867"/>
      <c r="BP19" s="837"/>
      <c r="BQ19" s="839"/>
    </row>
    <row r="20" spans="1:69" ht="15.95" customHeight="1">
      <c r="A20" s="85"/>
      <c r="B20" s="806">
        <v>2</v>
      </c>
      <c r="C20" s="805"/>
      <c r="D20" s="805"/>
      <c r="E20" s="805"/>
      <c r="F20" s="805"/>
      <c r="G20" s="805"/>
      <c r="H20" s="805"/>
      <c r="I20" s="805"/>
      <c r="J20" s="805"/>
      <c r="K20" s="805"/>
      <c r="L20" s="805"/>
      <c r="M20" s="805"/>
      <c r="N20" s="805"/>
      <c r="O20" s="805"/>
      <c r="P20" s="805"/>
      <c r="Q20" s="805"/>
      <c r="R20" s="868" t="str">
        <f>IF(C20="","",INDEX(STDCOMPRESS[Current Unit],MATCH(C20,STDCOMPRESS[Measure Name],0)))</f>
        <v/>
      </c>
      <c r="S20" s="868"/>
      <c r="T20" s="868"/>
      <c r="U20" s="785"/>
      <c r="V20" s="785"/>
      <c r="W20" s="805"/>
      <c r="X20" s="805"/>
      <c r="Y20" s="805"/>
      <c r="Z20" s="805"/>
      <c r="AA20" s="805"/>
      <c r="AB20" s="805"/>
      <c r="AC20" s="805"/>
      <c r="AD20" s="805"/>
      <c r="AE20" s="805"/>
      <c r="AF20" s="805"/>
      <c r="AG20" s="805"/>
      <c r="AH20" s="728"/>
      <c r="AI20" s="765"/>
      <c r="AJ20" s="766"/>
      <c r="AK20" s="766"/>
      <c r="AL20" s="767"/>
      <c r="AM20" s="793" t="str">
        <f>IFERROR(IF(C20="","",INDEX(IF(AND(ACTIVEBONUS = TRUE,INDEX(STDCOMPRESS[Bonus Incentive],MATCH(C20,STDCOMPRESS[Measure Name],0))&lt;&gt; ""),STDCOMPRESS[Bonus Incentive],STDCOMPRESS[Base Incentive]),MATCH(C20,STDCOMPRESS[Measure Name],0))),"")</f>
        <v/>
      </c>
      <c r="AN20" s="794"/>
      <c r="AO20" s="798" t="str">
        <f>IFERROR(IF(OR(C20="",U20="",R20="",AA20="",AE20="",AI20="",AK20=""),"",IF(BN20="Deemed",AZ20,IF(BN20="Calculated",BE20,""))),"")</f>
        <v/>
      </c>
      <c r="AP20" s="798"/>
      <c r="AQ20" s="798"/>
      <c r="AR20" s="799" t="str">
        <f>IFERROR(IF(OR(C20="",U20="",R20="",AA20="",AE20="",AI20="",AK20=""),"",IF(BJ20&lt;&gt;"",BJ20,IF(BP20&gt;0,BP20,ROUND(IF(AO20&lt;=0,0,MIN(AX20,BG20)),2)))),"")</f>
        <v/>
      </c>
      <c r="AS20" s="800"/>
      <c r="AT20" s="800"/>
      <c r="AU20" s="801"/>
      <c r="AV20" s="22"/>
      <c r="AX20" s="873" t="str">
        <f>IF(OR(C20="",U20="",R20="",AA20="",AE20="",AI20="",AK20=""),"",IF(AO20=0,"",ROUND(AI20+AK20,2)))</f>
        <v/>
      </c>
      <c r="AY20" s="750" t="str">
        <f>IFERROR(IF(OR(C20="",U20="",R20="",AA20="",AE20="",AI20="",AK20=""),"",INDEX(STDCOMPRESS[Current Unit],MATCH(C20,STDCOMPRESS[Measure Name],0))),"Err")</f>
        <v/>
      </c>
      <c r="AZ20" s="746" t="str">
        <f>IF(OR(C20="",U20="",R20="",AA20="",AE20="",AI20="",AK20=""),"",ROUND(U20*INDEX(STDCOMPRESS[Electric Energy Savings (Annual kWh/unit)],MATCH(C20,STDCOMPRESS[Measure Name],0)),4))</f>
        <v/>
      </c>
      <c r="BA20" s="746" t="str">
        <f>IF(OR(C20="",U20="",R20="",AA20="",AE20="",AI20="",AK20=""),"",ROUND(U20*INDEX(STDCOMPRESS[Coincident Peak Demand Savings (kW/unit)],MATCH(C20,STDCOMPRESS[Measure Name],0)),4))</f>
        <v/>
      </c>
      <c r="BB20" s="871"/>
      <c r="BC20" s="871"/>
      <c r="BD20" s="754" t="str">
        <f>IFERROR(IF(OR(C20="",U20="",R20="",AA20="",AE20="",AI20="",AK20=""),"",INDEX(STDCOMPRESS[End Use],MATCH(C20,STDCOMPRESS[Measure Name],0))),"Err")</f>
        <v/>
      </c>
      <c r="BE20" s="871"/>
      <c r="BF20" s="871"/>
      <c r="BG20" s="838" t="str">
        <f>IFERROR(ROUND(U20*AM20, 2), "")</f>
        <v/>
      </c>
      <c r="BH20" s="750" t="str">
        <f>IFERROR(IF(OR(C20="",U20="",R20="",AA20="",AE20="",AI20="",AK20="",ISNUMBER(AR20)=FALSE,AR20=0),"",INDEX(STDCOMPRESS[Measure Number],MATCH(C20,STDCOMPRESS[Measure Name],0))),"Err")</f>
        <v/>
      </c>
      <c r="BI20" s="754" t="str">
        <f t="shared" ref="BI20" si="0">IFERROR(IF(BP20="",IF(AR20 &lt; BG20, "100% Total Cost", ""), ""), "")</f>
        <v/>
      </c>
      <c r="BJ20" s="750" t="str">
        <f>IFERROR(IF(OR(C20="",U20="",AA20="",AE20="",AI20="",AK20=""),"",
IF(BP20&gt;0,"",
IF(EXPIRATION&lt;&gt;"",PROJSTATEXP,""))),"")</f>
        <v/>
      </c>
      <c r="BK20" s="828" t="str">
        <f>IFERROR(INDEX(STDCOMPRESS[Measure Life (Years)],MATCH(C20,STDCOMPRESS[Measure Name],0)),"")</f>
        <v/>
      </c>
      <c r="BL20" s="830" t="str">
        <f>IFERROR(IF(OR(C20="",U20="",R20="",AA20="",AE20="",AI20="",AK20=""),"",
ROUND(((1+ELOSS)*((AZ20*INDEX(ELECCB[NPV AEC $/kWh],MATCH(BK20,ELECCB[Year Number],1)))+(BA20*INDEX(ELECCB[NPV ACC $/kW],MATCH(BK20,ELECCB[Year Number],1))))),2)),0)</f>
        <v/>
      </c>
      <c r="BM20" s="835"/>
      <c r="BN20" s="832" t="str">
        <f>IFERROR(IF(OR(C20="",U20="",R20="",AA20="",AE20="",AI20="",AK20=""),"",INDEX(STDCOMPRESS[Reporting Methodology],MATCH(C20,STDCOMPRESS[Measure Name],0))),"Err")</f>
        <v/>
      </c>
      <c r="BO20" s="867" t="str">
        <f>IFERROR(IF(BH20="","",INDEX(STDCOMPRESS[Incremental Measure Cost ($/Unit)],MATCH(C20,STDCOMPRESS[Measure Name],0))),"Err")</f>
        <v/>
      </c>
      <c r="BP20" s="837"/>
      <c r="BQ20" s="838" t="str">
        <f>_xlfn.LET(
_xlpm.IPU,
IFERROR(IF(C20="","",INDEX(STDCOMPRESS[Base Incentive],MATCH(C20,STDCOMPRESS[Measure Name],0))),""),
IFERROR(ROUND(U20*_xlpm.IPU, 2), ""))</f>
        <v/>
      </c>
    </row>
    <row r="21" spans="1:69" ht="15.95" customHeight="1">
      <c r="B21" s="806"/>
      <c r="C21" s="805"/>
      <c r="D21" s="805"/>
      <c r="E21" s="805"/>
      <c r="F21" s="805"/>
      <c r="G21" s="805"/>
      <c r="H21" s="805"/>
      <c r="I21" s="805"/>
      <c r="J21" s="805"/>
      <c r="K21" s="805"/>
      <c r="L21" s="805"/>
      <c r="M21" s="805"/>
      <c r="N21" s="805"/>
      <c r="O21" s="805"/>
      <c r="P21" s="805"/>
      <c r="Q21" s="805"/>
      <c r="R21" s="868"/>
      <c r="S21" s="868"/>
      <c r="T21" s="868"/>
      <c r="U21" s="785"/>
      <c r="V21" s="785"/>
      <c r="W21" s="805"/>
      <c r="X21" s="805"/>
      <c r="Y21" s="805"/>
      <c r="Z21" s="805"/>
      <c r="AA21" s="805"/>
      <c r="AB21" s="805"/>
      <c r="AC21" s="805"/>
      <c r="AD21" s="805"/>
      <c r="AE21" s="805"/>
      <c r="AF21" s="805"/>
      <c r="AG21" s="805"/>
      <c r="AH21" s="728"/>
      <c r="AI21" s="765"/>
      <c r="AJ21" s="766"/>
      <c r="AK21" s="766"/>
      <c r="AL21" s="767"/>
      <c r="AM21" s="795"/>
      <c r="AN21" s="796"/>
      <c r="AO21" s="798"/>
      <c r="AP21" s="798"/>
      <c r="AQ21" s="798"/>
      <c r="AR21" s="802"/>
      <c r="AS21" s="803"/>
      <c r="AT21" s="803"/>
      <c r="AU21" s="804"/>
      <c r="AV21" s="22"/>
      <c r="AX21" s="874"/>
      <c r="AY21" s="751"/>
      <c r="AZ21" s="747"/>
      <c r="BA21" s="747"/>
      <c r="BB21" s="871"/>
      <c r="BC21" s="871"/>
      <c r="BD21" s="755"/>
      <c r="BE21" s="871"/>
      <c r="BF21" s="871"/>
      <c r="BG21" s="839"/>
      <c r="BH21" s="751"/>
      <c r="BI21" s="755"/>
      <c r="BJ21" s="751"/>
      <c r="BK21" s="829"/>
      <c r="BL21" s="831"/>
      <c r="BM21" s="836"/>
      <c r="BN21" s="832"/>
      <c r="BO21" s="867"/>
      <c r="BP21" s="837"/>
      <c r="BQ21" s="839"/>
    </row>
    <row r="22" spans="1:69" ht="15.95" customHeight="1">
      <c r="A22" s="85"/>
      <c r="B22" s="806">
        <v>3</v>
      </c>
      <c r="C22" s="805"/>
      <c r="D22" s="805"/>
      <c r="E22" s="805"/>
      <c r="F22" s="805"/>
      <c r="G22" s="805"/>
      <c r="H22" s="805"/>
      <c r="I22" s="805"/>
      <c r="J22" s="805"/>
      <c r="K22" s="805"/>
      <c r="L22" s="805"/>
      <c r="M22" s="805"/>
      <c r="N22" s="805"/>
      <c r="O22" s="805"/>
      <c r="P22" s="805"/>
      <c r="Q22" s="805"/>
      <c r="R22" s="868" t="str">
        <f>IF(C22="","",INDEX(STDCOMPRESS[Current Unit],MATCH(C22,STDCOMPRESS[Measure Name],0)))</f>
        <v/>
      </c>
      <c r="S22" s="868"/>
      <c r="T22" s="868"/>
      <c r="U22" s="785"/>
      <c r="V22" s="785"/>
      <c r="W22" s="805"/>
      <c r="X22" s="805"/>
      <c r="Y22" s="805"/>
      <c r="Z22" s="805"/>
      <c r="AA22" s="805"/>
      <c r="AB22" s="805"/>
      <c r="AC22" s="805"/>
      <c r="AD22" s="805"/>
      <c r="AE22" s="805"/>
      <c r="AF22" s="805"/>
      <c r="AG22" s="805"/>
      <c r="AH22" s="728"/>
      <c r="AI22" s="765"/>
      <c r="AJ22" s="766"/>
      <c r="AK22" s="766"/>
      <c r="AL22" s="767"/>
      <c r="AM22" s="793" t="str">
        <f>IFERROR(IF(C22="","",INDEX(IF(AND(ACTIVEBONUS = TRUE,INDEX(STDCOMPRESS[Bonus Incentive],MATCH(C22,STDCOMPRESS[Measure Name],0))&lt;&gt; ""),STDCOMPRESS[Bonus Incentive],STDCOMPRESS[Base Incentive]),MATCH(C22,STDCOMPRESS[Measure Name],0))),"")</f>
        <v/>
      </c>
      <c r="AN22" s="794"/>
      <c r="AO22" s="798" t="str">
        <f>IFERROR(IF(OR(C22="",U22="",R22="",AA22="",AE22="",AI22="",AK22=""),"",IF(BN22="Deemed",AZ22,IF(BN22="Calculated",BE22,""))),"")</f>
        <v/>
      </c>
      <c r="AP22" s="798"/>
      <c r="AQ22" s="798"/>
      <c r="AR22" s="799" t="str">
        <f>IFERROR(IF(OR(C22="",U22="",R22="",AA22="",AE22="",AI22="",AK22=""),"",IF(BJ22&lt;&gt;"",BJ22,IF(BP22&gt;0,BP22,ROUND(IF(AO22&lt;=0,0,MIN(AX22,BG22)),2)))),"")</f>
        <v/>
      </c>
      <c r="AS22" s="800"/>
      <c r="AT22" s="800"/>
      <c r="AU22" s="801"/>
      <c r="AV22" s="22"/>
      <c r="AX22" s="873" t="str">
        <f>IF(OR(C22="",U22="",R22="",AA22="",AE22="",AI22="",AK22=""),"",IF(AO22=0,"",ROUND(AI22+AK22,2)))</f>
        <v/>
      </c>
      <c r="AY22" s="750" t="str">
        <f>IFERROR(IF(OR(C22="",U22="",R22="",AA22="",AE22="",AI22="",AK22=""),"",INDEX(STDCOMPRESS[Current Unit],MATCH(C22,STDCOMPRESS[Measure Name],0))),"Err")</f>
        <v/>
      </c>
      <c r="AZ22" s="746" t="str">
        <f>IF(OR(C22="",U22="",R22="",AA22="",AE22="",AI22="",AK22=""),"",ROUND(U22*INDEX(STDCOMPRESS[Electric Energy Savings (Annual kWh/unit)],MATCH(C22,STDCOMPRESS[Measure Name],0)),4))</f>
        <v/>
      </c>
      <c r="BA22" s="746" t="str">
        <f>IF(OR(C22="",U22="",R22="",AA22="",AE22="",AI22="",AK22=""),"",ROUND(U22*INDEX(STDCOMPRESS[Coincident Peak Demand Savings (kW/unit)],MATCH(C22,STDCOMPRESS[Measure Name],0)),4))</f>
        <v/>
      </c>
      <c r="BB22" s="871"/>
      <c r="BC22" s="871"/>
      <c r="BD22" s="754" t="str">
        <f>IFERROR(IF(OR(C22="",U22="",R22="",AA22="",AE22="",AI22="",AK22=""),"",INDEX(STDCOMPRESS[End Use],MATCH(C22,STDCOMPRESS[Measure Name],0))),"Err")</f>
        <v/>
      </c>
      <c r="BE22" s="871"/>
      <c r="BF22" s="871"/>
      <c r="BG22" s="838" t="str">
        <f>IFERROR(ROUND(U22*AM22, 2), "")</f>
        <v/>
      </c>
      <c r="BH22" s="750" t="str">
        <f>IFERROR(IF(OR(C22="",U22="",R22="",AA22="",AE22="",AI22="",AK22="",ISNUMBER(AR22)=FALSE,AR22=0),"",INDEX(STDCOMPRESS[Measure Number],MATCH(C22,STDCOMPRESS[Measure Name],0))),"Err")</f>
        <v/>
      </c>
      <c r="BI22" s="754" t="str">
        <f t="shared" ref="BI22" si="1">IFERROR(IF(BP22="",IF(AR22 &lt; BG22, "100% Total Cost", ""), ""), "")</f>
        <v/>
      </c>
      <c r="BJ22" s="750" t="str">
        <f>IFERROR(IF(OR(C22="",U22="",AA22="",AE22="",AI22="",AK22=""),"",
IF(BP22&gt;0,"",
IF(EXPIRATION&lt;&gt;"",PROJSTATEXP,""))),"")</f>
        <v/>
      </c>
      <c r="BK22" s="828" t="str">
        <f>IFERROR(INDEX(STDCOMPRESS[Measure Life (Years)],MATCH(C22,STDCOMPRESS[Measure Name],0)),"")</f>
        <v/>
      </c>
      <c r="BL22" s="830" t="str">
        <f>IFERROR(IF(OR(C22="",U22="",R22="",AA22="",AE22="",AI22="",AK22=""),"",
ROUND(((1+ELOSS)*((AZ22*INDEX(ELECCB[NPV AEC $/kWh],MATCH(BK22,ELECCB[Year Number],1)))+(BA22*INDEX(ELECCB[NPV ACC $/kW],MATCH(BK22,ELECCB[Year Number],1))))),2)),0)</f>
        <v/>
      </c>
      <c r="BM22" s="835"/>
      <c r="BN22" s="832" t="str">
        <f>IFERROR(IF(OR(C22="",U22="",R22="",AA22="",AE22="",AI22="",AK22=""),"",INDEX(STDCOMPRESS[Reporting Methodology],MATCH(C22,STDCOMPRESS[Measure Name],0))),"Err")</f>
        <v/>
      </c>
      <c r="BO22" s="867" t="str">
        <f>IFERROR(IF(BH22="","",INDEX(STDCOMPRESS[Incremental Measure Cost ($/Unit)],MATCH(C22,STDCOMPRESS[Measure Name],0))),"Err")</f>
        <v/>
      </c>
      <c r="BP22" s="837"/>
      <c r="BQ22" s="838" t="str">
        <f>_xlfn.LET(
_xlpm.IPU,
IFERROR(IF(C22="","",INDEX(STDCOMPRESS[Base Incentive],MATCH(C22,STDCOMPRESS[Measure Name],0))),""),
IFERROR(ROUND(U22*_xlpm.IPU, 2), ""))</f>
        <v/>
      </c>
    </row>
    <row r="23" spans="1:69" ht="15.95" customHeight="1">
      <c r="B23" s="806"/>
      <c r="C23" s="805"/>
      <c r="D23" s="805"/>
      <c r="E23" s="805"/>
      <c r="F23" s="805"/>
      <c r="G23" s="805"/>
      <c r="H23" s="805"/>
      <c r="I23" s="805"/>
      <c r="J23" s="805"/>
      <c r="K23" s="805"/>
      <c r="L23" s="805"/>
      <c r="M23" s="805"/>
      <c r="N23" s="805"/>
      <c r="O23" s="805"/>
      <c r="P23" s="805"/>
      <c r="Q23" s="805"/>
      <c r="R23" s="868"/>
      <c r="S23" s="868"/>
      <c r="T23" s="868"/>
      <c r="U23" s="785"/>
      <c r="V23" s="785"/>
      <c r="W23" s="805"/>
      <c r="X23" s="805"/>
      <c r="Y23" s="805"/>
      <c r="Z23" s="805"/>
      <c r="AA23" s="805"/>
      <c r="AB23" s="805"/>
      <c r="AC23" s="805"/>
      <c r="AD23" s="805"/>
      <c r="AE23" s="805"/>
      <c r="AF23" s="805"/>
      <c r="AG23" s="805"/>
      <c r="AH23" s="728"/>
      <c r="AI23" s="765"/>
      <c r="AJ23" s="766"/>
      <c r="AK23" s="766"/>
      <c r="AL23" s="767"/>
      <c r="AM23" s="795"/>
      <c r="AN23" s="796"/>
      <c r="AO23" s="798"/>
      <c r="AP23" s="798"/>
      <c r="AQ23" s="798"/>
      <c r="AR23" s="802"/>
      <c r="AS23" s="803"/>
      <c r="AT23" s="803"/>
      <c r="AU23" s="804"/>
      <c r="AV23" s="22"/>
      <c r="AX23" s="874"/>
      <c r="AY23" s="751"/>
      <c r="AZ23" s="747"/>
      <c r="BA23" s="747"/>
      <c r="BB23" s="871"/>
      <c r="BC23" s="871"/>
      <c r="BD23" s="755"/>
      <c r="BE23" s="871"/>
      <c r="BF23" s="871"/>
      <c r="BG23" s="839"/>
      <c r="BH23" s="751"/>
      <c r="BI23" s="755"/>
      <c r="BJ23" s="751"/>
      <c r="BK23" s="829"/>
      <c r="BL23" s="831"/>
      <c r="BM23" s="836"/>
      <c r="BN23" s="832"/>
      <c r="BO23" s="867"/>
      <c r="BP23" s="837"/>
      <c r="BQ23" s="839"/>
    </row>
    <row r="24" spans="1:69" ht="15.95" customHeight="1">
      <c r="B24" s="806">
        <v>4</v>
      </c>
      <c r="C24" s="805"/>
      <c r="D24" s="805"/>
      <c r="E24" s="805"/>
      <c r="F24" s="805"/>
      <c r="G24" s="805"/>
      <c r="H24" s="805"/>
      <c r="I24" s="805"/>
      <c r="J24" s="805"/>
      <c r="K24" s="805"/>
      <c r="L24" s="805"/>
      <c r="M24" s="805"/>
      <c r="N24" s="805"/>
      <c r="O24" s="805"/>
      <c r="P24" s="805"/>
      <c r="Q24" s="805"/>
      <c r="R24" s="868" t="str">
        <f>IF(C24="","",INDEX(STDCOMPRESS[Current Unit],MATCH(C24,STDCOMPRESS[Measure Name],0)))</f>
        <v/>
      </c>
      <c r="S24" s="868"/>
      <c r="T24" s="868"/>
      <c r="U24" s="785"/>
      <c r="V24" s="785"/>
      <c r="W24" s="805"/>
      <c r="X24" s="805"/>
      <c r="Y24" s="805"/>
      <c r="Z24" s="805"/>
      <c r="AA24" s="805"/>
      <c r="AB24" s="805"/>
      <c r="AC24" s="805"/>
      <c r="AD24" s="805"/>
      <c r="AE24" s="805"/>
      <c r="AF24" s="805"/>
      <c r="AG24" s="805"/>
      <c r="AH24" s="728"/>
      <c r="AI24" s="765"/>
      <c r="AJ24" s="766"/>
      <c r="AK24" s="766"/>
      <c r="AL24" s="767"/>
      <c r="AM24" s="793" t="str">
        <f>IFERROR(IF(C24="","",INDEX(IF(AND(ACTIVEBONUS = TRUE,INDEX(STDCOMPRESS[Bonus Incentive],MATCH(C24,STDCOMPRESS[Measure Name],0))&lt;&gt; ""),STDCOMPRESS[Bonus Incentive],STDCOMPRESS[Base Incentive]),MATCH(C24,STDCOMPRESS[Measure Name],0))),"")</f>
        <v/>
      </c>
      <c r="AN24" s="794"/>
      <c r="AO24" s="798" t="str">
        <f>IFERROR(IF(OR(C24="",U24="",R24="",AA24="",AE24="",AI24="",AK24=""),"",IF(BN24="Deemed",AZ24,IF(BN24="Calculated",BE24,""))),"")</f>
        <v/>
      </c>
      <c r="AP24" s="798"/>
      <c r="AQ24" s="798"/>
      <c r="AR24" s="799" t="str">
        <f>IFERROR(IF(OR(C24="",U24="",R24="",AA24="",AE24="",AI24="",AK24=""),"",IF(BJ24&lt;&gt;"",BJ24,IF(BP24&gt;0,BP24,ROUND(IF(AO24&lt;=0,0,MIN(AX24,BG24)),2)))),"")</f>
        <v/>
      </c>
      <c r="AS24" s="800"/>
      <c r="AT24" s="800"/>
      <c r="AU24" s="801"/>
      <c r="AV24" s="22"/>
      <c r="AX24" s="873" t="str">
        <f>IF(OR(C24="",U24="",R24="",AA24="",AE24="",AI24="",AK24=""),"",IF(AO24=0,"",ROUND(AI24+AK24,2)))</f>
        <v/>
      </c>
      <c r="AY24" s="750" t="str">
        <f>IFERROR(IF(OR(C24="",U24="",R24="",AA24="",AE24="",AI24="",AK24=""),"",INDEX(STDCOMPRESS[Current Unit],MATCH(C24,STDCOMPRESS[Measure Name],0))),"Err")</f>
        <v/>
      </c>
      <c r="AZ24" s="746" t="str">
        <f>IF(OR(C24="",U24="",R24="",AA24="",AE24="",AI24="",AK24=""),"",ROUND(U24*INDEX(STDCOMPRESS[Electric Energy Savings (Annual kWh/unit)],MATCH(C24,STDCOMPRESS[Measure Name],0)),4))</f>
        <v/>
      </c>
      <c r="BA24" s="746" t="str">
        <f>IF(OR(C24="",U24="",R24="",AA24="",AE24="",AI24="",AK24=""),"",ROUND(U24*INDEX(STDCOMPRESS[Coincident Peak Demand Savings (kW/unit)],MATCH(C24,STDCOMPRESS[Measure Name],0)),4))</f>
        <v/>
      </c>
      <c r="BB24" s="871"/>
      <c r="BC24" s="871"/>
      <c r="BD24" s="754" t="str">
        <f>IFERROR(IF(OR(C24="",U24="",R24="",AA24="",AE24="",AI24="",AK24=""),"",INDEX(STDCOMPRESS[End Use],MATCH(C24,STDCOMPRESS[Measure Name],0))),"Err")</f>
        <v/>
      </c>
      <c r="BE24" s="871"/>
      <c r="BF24" s="871"/>
      <c r="BG24" s="838" t="str">
        <f>IFERROR(ROUND(U24*AM24, 2), "")</f>
        <v/>
      </c>
      <c r="BH24" s="750" t="str">
        <f>IFERROR(IF(OR(C24="",U24="",R24="",AA24="",AE24="",AI24="",AK24="",ISNUMBER(AR24)=FALSE,AR24=0),"",INDEX(STDCOMPRESS[Measure Number],MATCH(C24,STDCOMPRESS[Measure Name],0))),"Err")</f>
        <v/>
      </c>
      <c r="BI24" s="754" t="str">
        <f t="shared" ref="BI24" si="2">IFERROR(IF(BP24="",IF(AR24 &lt; BG24, "100% Total Cost", ""), ""), "")</f>
        <v/>
      </c>
      <c r="BJ24" s="750" t="str">
        <f>IFERROR(IF(OR(C24="",U24="",AA24="",AE24="",AI24="",AK24=""),"",
IF(BP24&gt;0,"",
IF(EXPIRATION&lt;&gt;"",PROJSTATEXP,""))),"")</f>
        <v/>
      </c>
      <c r="BK24" s="828" t="str">
        <f>IFERROR(INDEX(STDCOMPRESS[Measure Life (Years)],MATCH(C24,STDCOMPRESS[Measure Name],0)),"")</f>
        <v/>
      </c>
      <c r="BL24" s="830" t="str">
        <f>IFERROR(IF(OR(C24="",U24="",R24="",AA24="",AE24="",AI24="",AK24=""),"",
ROUND(((1+ELOSS)*((AZ24*INDEX(ELECCB[NPV AEC $/kWh],MATCH(BK24,ELECCB[Year Number],1)))+(BA24*INDEX(ELECCB[NPV ACC $/kW],MATCH(BK24,ELECCB[Year Number],1))))),2)),0)</f>
        <v/>
      </c>
      <c r="BM24" s="835"/>
      <c r="BN24" s="832" t="str">
        <f>IFERROR(IF(OR(C24="",U24="",R24="",AA24="",AE24="",AI24="",AK24=""),"",INDEX(STDCOMPRESS[Reporting Methodology],MATCH(C24,STDCOMPRESS[Measure Name],0))),"Err")</f>
        <v/>
      </c>
      <c r="BO24" s="867" t="str">
        <f>IFERROR(IF(BH24="","",INDEX(STDCOMPRESS[Incremental Measure Cost ($/Unit)],MATCH(C24,STDCOMPRESS[Measure Name],0))),"Err")</f>
        <v/>
      </c>
      <c r="BP24" s="837"/>
      <c r="BQ24" s="838" t="str">
        <f>_xlfn.LET(
_xlpm.IPU,
IFERROR(IF(C24="","",INDEX(STDCOMPRESS[Base Incentive],MATCH(C24,STDCOMPRESS[Measure Name],0))),""),
IFERROR(ROUND(U24*_xlpm.IPU, 2), ""))</f>
        <v/>
      </c>
    </row>
    <row r="25" spans="1:69" ht="15.95" customHeight="1">
      <c r="A25" s="85"/>
      <c r="B25" s="806"/>
      <c r="C25" s="805"/>
      <c r="D25" s="805"/>
      <c r="E25" s="805"/>
      <c r="F25" s="805"/>
      <c r="G25" s="805"/>
      <c r="H25" s="805"/>
      <c r="I25" s="805"/>
      <c r="J25" s="805"/>
      <c r="K25" s="805"/>
      <c r="L25" s="805"/>
      <c r="M25" s="805"/>
      <c r="N25" s="805"/>
      <c r="O25" s="805"/>
      <c r="P25" s="805"/>
      <c r="Q25" s="805"/>
      <c r="R25" s="868"/>
      <c r="S25" s="868"/>
      <c r="T25" s="868"/>
      <c r="U25" s="785"/>
      <c r="V25" s="785"/>
      <c r="W25" s="805"/>
      <c r="X25" s="805"/>
      <c r="Y25" s="805"/>
      <c r="Z25" s="805"/>
      <c r="AA25" s="805"/>
      <c r="AB25" s="805"/>
      <c r="AC25" s="805"/>
      <c r="AD25" s="805"/>
      <c r="AE25" s="805"/>
      <c r="AF25" s="805"/>
      <c r="AG25" s="805"/>
      <c r="AH25" s="728"/>
      <c r="AI25" s="765"/>
      <c r="AJ25" s="766"/>
      <c r="AK25" s="766"/>
      <c r="AL25" s="767"/>
      <c r="AM25" s="795"/>
      <c r="AN25" s="796"/>
      <c r="AO25" s="798"/>
      <c r="AP25" s="798"/>
      <c r="AQ25" s="798"/>
      <c r="AR25" s="802"/>
      <c r="AS25" s="803"/>
      <c r="AT25" s="803"/>
      <c r="AU25" s="804"/>
      <c r="AV25" s="22"/>
      <c r="AX25" s="874"/>
      <c r="AY25" s="751"/>
      <c r="AZ25" s="747"/>
      <c r="BA25" s="747"/>
      <c r="BB25" s="871"/>
      <c r="BC25" s="871"/>
      <c r="BD25" s="755"/>
      <c r="BE25" s="871"/>
      <c r="BF25" s="871"/>
      <c r="BG25" s="839"/>
      <c r="BH25" s="751"/>
      <c r="BI25" s="755"/>
      <c r="BJ25" s="751"/>
      <c r="BK25" s="829"/>
      <c r="BL25" s="831"/>
      <c r="BM25" s="836"/>
      <c r="BN25" s="832"/>
      <c r="BO25" s="867"/>
      <c r="BP25" s="837"/>
      <c r="BQ25" s="839"/>
    </row>
    <row r="26" spans="1:69" ht="15.95" customHeight="1">
      <c r="B26" s="806">
        <v>5</v>
      </c>
      <c r="C26" s="805"/>
      <c r="D26" s="805"/>
      <c r="E26" s="805"/>
      <c r="F26" s="805"/>
      <c r="G26" s="805"/>
      <c r="H26" s="805"/>
      <c r="I26" s="805"/>
      <c r="J26" s="805"/>
      <c r="K26" s="805"/>
      <c r="L26" s="805"/>
      <c r="M26" s="805"/>
      <c r="N26" s="805"/>
      <c r="O26" s="805"/>
      <c r="P26" s="805"/>
      <c r="Q26" s="805"/>
      <c r="R26" s="868" t="str">
        <f>IF(C26="","",INDEX(STDCOMPRESS[Current Unit],MATCH(C26,STDCOMPRESS[Measure Name],0)))</f>
        <v/>
      </c>
      <c r="S26" s="868"/>
      <c r="T26" s="868"/>
      <c r="U26" s="785"/>
      <c r="V26" s="785"/>
      <c r="W26" s="805"/>
      <c r="X26" s="805"/>
      <c r="Y26" s="805"/>
      <c r="Z26" s="805"/>
      <c r="AA26" s="805"/>
      <c r="AB26" s="805"/>
      <c r="AC26" s="805"/>
      <c r="AD26" s="805"/>
      <c r="AE26" s="805"/>
      <c r="AF26" s="805"/>
      <c r="AG26" s="805"/>
      <c r="AH26" s="728"/>
      <c r="AI26" s="765"/>
      <c r="AJ26" s="766"/>
      <c r="AK26" s="766"/>
      <c r="AL26" s="767"/>
      <c r="AM26" s="793" t="str">
        <f>IFERROR(IF(C26="","",INDEX(IF(AND(ACTIVEBONUS = TRUE,INDEX(STDCOMPRESS[Bonus Incentive],MATCH(C26,STDCOMPRESS[Measure Name],0))&lt;&gt; ""),STDCOMPRESS[Bonus Incentive],STDCOMPRESS[Base Incentive]),MATCH(C26,STDCOMPRESS[Measure Name],0))),"")</f>
        <v/>
      </c>
      <c r="AN26" s="794"/>
      <c r="AO26" s="798" t="str">
        <f>IFERROR(IF(OR(C26="",U26="",R26="",AA26="",AE26="",AI26="",AK26=""),"",IF(BN26="Deemed",AZ26,IF(BN26="Calculated",BE26,""))),"")</f>
        <v/>
      </c>
      <c r="AP26" s="798"/>
      <c r="AQ26" s="798"/>
      <c r="AR26" s="799" t="str">
        <f>IFERROR(IF(OR(C26="",U26="",R26="",AA26="",AE26="",AI26="",AK26=""),"",IF(BJ26&lt;&gt;"",BJ26,IF(BP26&gt;0,BP26,ROUND(IF(AO26&lt;=0,0,MIN(AX26,BG26)),2)))),"")</f>
        <v/>
      </c>
      <c r="AS26" s="800"/>
      <c r="AT26" s="800"/>
      <c r="AU26" s="801"/>
      <c r="AV26" s="22"/>
      <c r="AX26" s="873" t="str">
        <f>IF(OR(C26="",U26="",R26="",AA26="",AE26="",AI26="",AK26=""),"",IF(AO26=0,"",ROUND(AI26+AK26,2)))</f>
        <v/>
      </c>
      <c r="AY26" s="750" t="str">
        <f>IFERROR(IF(OR(C26="",U26="",R26="",AA26="",AE26="",AI26="",AK26=""),"",INDEX(STDCOMPRESS[Current Unit],MATCH(C26,STDCOMPRESS[Measure Name],0))),"Err")</f>
        <v/>
      </c>
      <c r="AZ26" s="746" t="str">
        <f>IF(OR(C26="",U26="",R26="",AA26="",AE26="",AI26="",AK26=""),"",ROUND(U26*INDEX(STDCOMPRESS[Electric Energy Savings (Annual kWh/unit)],MATCH(C26,STDCOMPRESS[Measure Name],0)),4))</f>
        <v/>
      </c>
      <c r="BA26" s="746" t="str">
        <f>IF(OR(C26="",U26="",R26="",AA26="",AE26="",AI26="",AK26=""),"",ROUND(U26*INDEX(STDCOMPRESS[Coincident Peak Demand Savings (kW/unit)],MATCH(C26,STDCOMPRESS[Measure Name],0)),4))</f>
        <v/>
      </c>
      <c r="BB26" s="871"/>
      <c r="BC26" s="871"/>
      <c r="BD26" s="754" t="str">
        <f>IFERROR(IF(OR(C26="",U26="",R26="",AA26="",AE26="",AI26="",AK26=""),"",INDEX(STDCOMPRESS[End Use],MATCH(C26,STDCOMPRESS[Measure Name],0))),"Err")</f>
        <v/>
      </c>
      <c r="BE26" s="871"/>
      <c r="BF26" s="871"/>
      <c r="BG26" s="838" t="str">
        <f>IFERROR(ROUND(U26*AM26, 2), "")</f>
        <v/>
      </c>
      <c r="BH26" s="750" t="str">
        <f>IFERROR(IF(OR(C26="",U26="",R26="",AA26="",AE26="",AI26="",AK26="",ISNUMBER(AR26)=FALSE,AR26=0),"",INDEX(STDCOMPRESS[Measure Number],MATCH(C26,STDCOMPRESS[Measure Name],0))),"Err")</f>
        <v/>
      </c>
      <c r="BI26" s="754" t="str">
        <f t="shared" ref="BI26" si="3">IFERROR(IF(BP26="",IF(AR26 &lt; BG26, "100% Total Cost", ""), ""), "")</f>
        <v/>
      </c>
      <c r="BJ26" s="750" t="str">
        <f>IFERROR(IF(OR(C26="",U26="",AA26="",AE26="",AI26="",AK26=""),"",
IF(BP26&gt;0,"",
IF(EXPIRATION&lt;&gt;"",PROJSTATEXP,""))),"")</f>
        <v/>
      </c>
      <c r="BK26" s="828" t="str">
        <f>IFERROR(INDEX(STDCOMPRESS[Measure Life (Years)],MATCH(C26,STDCOMPRESS[Measure Name],0)),"")</f>
        <v/>
      </c>
      <c r="BL26" s="830" t="str">
        <f>IFERROR(IF(OR(C26="",U26="",R26="",AA26="",AE26="",AI26="",AK26=""),"",
ROUND(((1+ELOSS)*((AZ26*INDEX(ELECCB[NPV AEC $/kWh],MATCH(BK26,ELECCB[Year Number],1)))+(BA26*INDEX(ELECCB[NPV ACC $/kW],MATCH(BK26,ELECCB[Year Number],1))))),2)),0)</f>
        <v/>
      </c>
      <c r="BM26" s="835"/>
      <c r="BN26" s="832" t="str">
        <f>IFERROR(IF(OR(C26="",U26="",R26="",AA26="",AE26="",AI26="",AK26=""),"",INDEX(STDCOMPRESS[Reporting Methodology],MATCH(C26,STDCOMPRESS[Measure Name],0))),"Err")</f>
        <v/>
      </c>
      <c r="BO26" s="867" t="str">
        <f>IFERROR(IF(BH26="","",INDEX(STDCOMPRESS[Incremental Measure Cost ($/Unit)],MATCH(C26,STDCOMPRESS[Measure Name],0))),"Err")</f>
        <v/>
      </c>
      <c r="BP26" s="837"/>
      <c r="BQ26" s="838" t="str">
        <f>_xlfn.LET(
_xlpm.IPU,
IFERROR(IF(C26="","",INDEX(STDCOMPRESS[Base Incentive],MATCH(C26,STDCOMPRESS[Measure Name],0))),""),
IFERROR(ROUND(U26*_xlpm.IPU, 2), ""))</f>
        <v/>
      </c>
    </row>
    <row r="27" spans="1:69" ht="15.95" customHeight="1">
      <c r="B27" s="806"/>
      <c r="C27" s="805"/>
      <c r="D27" s="805"/>
      <c r="E27" s="805"/>
      <c r="F27" s="805"/>
      <c r="G27" s="805"/>
      <c r="H27" s="805"/>
      <c r="I27" s="805"/>
      <c r="J27" s="805"/>
      <c r="K27" s="805"/>
      <c r="L27" s="805"/>
      <c r="M27" s="805"/>
      <c r="N27" s="805"/>
      <c r="O27" s="805"/>
      <c r="P27" s="805"/>
      <c r="Q27" s="805"/>
      <c r="R27" s="868"/>
      <c r="S27" s="868"/>
      <c r="T27" s="868"/>
      <c r="U27" s="785"/>
      <c r="V27" s="785"/>
      <c r="W27" s="805"/>
      <c r="X27" s="805"/>
      <c r="Y27" s="805"/>
      <c r="Z27" s="805"/>
      <c r="AA27" s="805"/>
      <c r="AB27" s="805"/>
      <c r="AC27" s="805"/>
      <c r="AD27" s="805"/>
      <c r="AE27" s="805"/>
      <c r="AF27" s="805"/>
      <c r="AG27" s="805"/>
      <c r="AH27" s="728"/>
      <c r="AI27" s="765"/>
      <c r="AJ27" s="766"/>
      <c r="AK27" s="766"/>
      <c r="AL27" s="767"/>
      <c r="AM27" s="795"/>
      <c r="AN27" s="796"/>
      <c r="AO27" s="798"/>
      <c r="AP27" s="798"/>
      <c r="AQ27" s="798"/>
      <c r="AR27" s="802"/>
      <c r="AS27" s="803"/>
      <c r="AT27" s="803"/>
      <c r="AU27" s="804"/>
      <c r="AV27" s="22"/>
      <c r="AX27" s="874"/>
      <c r="AY27" s="751"/>
      <c r="AZ27" s="747"/>
      <c r="BA27" s="747"/>
      <c r="BB27" s="871"/>
      <c r="BC27" s="871"/>
      <c r="BD27" s="755"/>
      <c r="BE27" s="871"/>
      <c r="BF27" s="871"/>
      <c r="BG27" s="839"/>
      <c r="BH27" s="751"/>
      <c r="BI27" s="755"/>
      <c r="BJ27" s="751"/>
      <c r="BK27" s="829"/>
      <c r="BL27" s="831"/>
      <c r="BM27" s="836"/>
      <c r="BN27" s="832"/>
      <c r="BO27" s="867"/>
      <c r="BP27" s="837"/>
      <c r="BQ27" s="839"/>
    </row>
    <row r="28" spans="1:69" ht="15.95" customHeight="1">
      <c r="B28" s="806">
        <v>6</v>
      </c>
      <c r="C28" s="805"/>
      <c r="D28" s="805"/>
      <c r="E28" s="805"/>
      <c r="F28" s="805"/>
      <c r="G28" s="805"/>
      <c r="H28" s="805"/>
      <c r="I28" s="805"/>
      <c r="J28" s="805"/>
      <c r="K28" s="805"/>
      <c r="L28" s="805"/>
      <c r="M28" s="805"/>
      <c r="N28" s="805"/>
      <c r="O28" s="805"/>
      <c r="P28" s="805"/>
      <c r="Q28" s="805"/>
      <c r="R28" s="868" t="str">
        <f>IF(C28="","",INDEX(STDCOMPRESS[Current Unit],MATCH(C28,STDCOMPRESS[Measure Name],0)))</f>
        <v/>
      </c>
      <c r="S28" s="868"/>
      <c r="T28" s="868"/>
      <c r="U28" s="785"/>
      <c r="V28" s="785"/>
      <c r="W28" s="805"/>
      <c r="X28" s="805"/>
      <c r="Y28" s="805"/>
      <c r="Z28" s="805"/>
      <c r="AA28" s="805"/>
      <c r="AB28" s="805"/>
      <c r="AC28" s="805"/>
      <c r="AD28" s="805"/>
      <c r="AE28" s="805"/>
      <c r="AF28" s="805"/>
      <c r="AG28" s="805"/>
      <c r="AH28" s="728"/>
      <c r="AI28" s="765"/>
      <c r="AJ28" s="766"/>
      <c r="AK28" s="766"/>
      <c r="AL28" s="767"/>
      <c r="AM28" s="793" t="str">
        <f>IFERROR(IF(C28="","",INDEX(IF(AND(ACTIVEBONUS = TRUE,INDEX(STDCOMPRESS[Bonus Incentive],MATCH(C28,STDCOMPRESS[Measure Name],0))&lt;&gt; ""),STDCOMPRESS[Bonus Incentive],STDCOMPRESS[Base Incentive]),MATCH(C28,STDCOMPRESS[Measure Name],0))),"")</f>
        <v/>
      </c>
      <c r="AN28" s="794"/>
      <c r="AO28" s="798" t="str">
        <f>IFERROR(IF(OR(C28="",U28="",R28="",AA28="",AE28="",AI28="",AK28=""),"",IF(BN28="Deemed",AZ28,IF(BN28="Calculated",BE28,""))),"")</f>
        <v/>
      </c>
      <c r="AP28" s="798"/>
      <c r="AQ28" s="798"/>
      <c r="AR28" s="799" t="str">
        <f>IFERROR(IF(OR(C28="",U28="",R28="",AA28="",AE28="",AI28="",AK28=""),"",IF(BJ28&lt;&gt;"",BJ28,IF(BP28&gt;0,BP28,ROUND(IF(AO28&lt;=0,0,MIN(AX28,BG28)),2)))),"")</f>
        <v/>
      </c>
      <c r="AS28" s="800"/>
      <c r="AT28" s="800"/>
      <c r="AU28" s="801"/>
      <c r="AV28" s="22"/>
      <c r="AX28" s="873" t="str">
        <f>IF(OR(C28="",U28="",R28="",AA28="",AE28="",AI28="",AK28=""),"",IF(AO28=0,"",ROUND(AI28+AK28,2)))</f>
        <v/>
      </c>
      <c r="AY28" s="750" t="str">
        <f>IFERROR(IF(OR(C28="",U28="",R28="",AA28="",AE28="",AI28="",AK28=""),"",INDEX(STDCOMPRESS[Current Unit],MATCH(C28,STDCOMPRESS[Measure Name],0))),"Err")</f>
        <v/>
      </c>
      <c r="AZ28" s="746" t="str">
        <f>IF(OR(C28="",U28="",R28="",AA28="",AE28="",AI28="",AK28=""),"",ROUND(U28*INDEX(STDCOMPRESS[Electric Energy Savings (Annual kWh/unit)],MATCH(C28,STDCOMPRESS[Measure Name],0)),4))</f>
        <v/>
      </c>
      <c r="BA28" s="746" t="str">
        <f>IF(OR(C28="",U28="",R28="",AA28="",AE28="",AI28="",AK28=""),"",ROUND(U28*INDEX(STDCOMPRESS[Coincident Peak Demand Savings (kW/unit)],MATCH(C28,STDCOMPRESS[Measure Name],0)),4))</f>
        <v/>
      </c>
      <c r="BB28" s="871"/>
      <c r="BC28" s="871"/>
      <c r="BD28" s="754" t="str">
        <f>IFERROR(IF(OR(C28="",U28="",R28="",AA28="",AE28="",AI28="",AK28=""),"",INDEX(STDCOMPRESS[End Use],MATCH(C28,STDCOMPRESS[Measure Name],0))),"Err")</f>
        <v/>
      </c>
      <c r="BE28" s="871"/>
      <c r="BF28" s="871"/>
      <c r="BG28" s="838" t="str">
        <f>IFERROR(ROUND(U28*AM28, 2), "")</f>
        <v/>
      </c>
      <c r="BH28" s="750" t="str">
        <f>IFERROR(IF(OR(C28="",U28="",R28="",AA28="",AE28="",AI28="",AK28="",ISNUMBER(AR28)=FALSE,AR28=0),"",INDEX(STDCOMPRESS[Measure Number],MATCH(C28,STDCOMPRESS[Measure Name],0))),"Err")</f>
        <v/>
      </c>
      <c r="BI28" s="754" t="str">
        <f t="shared" ref="BI28" si="4">IFERROR(IF(BP28="",IF(AR28 &lt; BG28, "100% Total Cost", ""), ""), "")</f>
        <v/>
      </c>
      <c r="BJ28" s="750" t="str">
        <f>IFERROR(IF(OR(C28="",U28="",AA28="",AE28="",AI28="",AK28=""),"",
IF(BP28&gt;0,"",
IF(EXPIRATION&lt;&gt;"",PROJSTATEXP,""))),"")</f>
        <v/>
      </c>
      <c r="BK28" s="828" t="str">
        <f>IFERROR(INDEX(STDCOMPRESS[Measure Life (Years)],MATCH(C28,STDCOMPRESS[Measure Name],0)),"")</f>
        <v/>
      </c>
      <c r="BL28" s="830" t="str">
        <f>IFERROR(IF(OR(C28="",U28="",R28="",AA28="",AE28="",AI28="",AK28=""),"",
ROUND(((1+ELOSS)*((AZ28*INDEX(ELECCB[NPV AEC $/kWh],MATCH(BK28,ELECCB[Year Number],1)))+(BA28*INDEX(ELECCB[NPV ACC $/kW],MATCH(BK28,ELECCB[Year Number],1))))),2)),0)</f>
        <v/>
      </c>
      <c r="BM28" s="835"/>
      <c r="BN28" s="832" t="str">
        <f>IFERROR(IF(OR(C28="",U28="",R28="",AA28="",AE28="",AI28="",AK28=""),"",INDEX(STDCOMPRESS[Reporting Methodology],MATCH(C28,STDCOMPRESS[Measure Name],0))),"Err")</f>
        <v/>
      </c>
      <c r="BO28" s="867" t="str">
        <f>IFERROR(IF(BH28="","",INDEX(STDCOMPRESS[Incremental Measure Cost ($/Unit)],MATCH(C28,STDCOMPRESS[Measure Name],0))),"Err")</f>
        <v/>
      </c>
      <c r="BP28" s="837"/>
      <c r="BQ28" s="838" t="str">
        <f>_xlfn.LET(
_xlpm.IPU,
IFERROR(IF(C28="","",INDEX(STDCOMPRESS[Base Incentive],MATCH(C28,STDCOMPRESS[Measure Name],0))),""),
IFERROR(ROUND(U28*_xlpm.IPU, 2), ""))</f>
        <v/>
      </c>
    </row>
    <row r="29" spans="1:69" ht="15.95" customHeight="1">
      <c r="B29" s="806"/>
      <c r="C29" s="805"/>
      <c r="D29" s="805"/>
      <c r="E29" s="805"/>
      <c r="F29" s="805"/>
      <c r="G29" s="805"/>
      <c r="H29" s="805"/>
      <c r="I29" s="805"/>
      <c r="J29" s="805"/>
      <c r="K29" s="805"/>
      <c r="L29" s="805"/>
      <c r="M29" s="805"/>
      <c r="N29" s="805"/>
      <c r="O29" s="805"/>
      <c r="P29" s="805"/>
      <c r="Q29" s="805"/>
      <c r="R29" s="868"/>
      <c r="S29" s="868"/>
      <c r="T29" s="868"/>
      <c r="U29" s="785"/>
      <c r="V29" s="785"/>
      <c r="W29" s="805"/>
      <c r="X29" s="805"/>
      <c r="Y29" s="805"/>
      <c r="Z29" s="805"/>
      <c r="AA29" s="805"/>
      <c r="AB29" s="805"/>
      <c r="AC29" s="805"/>
      <c r="AD29" s="805"/>
      <c r="AE29" s="805"/>
      <c r="AF29" s="805"/>
      <c r="AG29" s="805"/>
      <c r="AH29" s="728"/>
      <c r="AI29" s="765"/>
      <c r="AJ29" s="766"/>
      <c r="AK29" s="766"/>
      <c r="AL29" s="767"/>
      <c r="AM29" s="795"/>
      <c r="AN29" s="796"/>
      <c r="AO29" s="798"/>
      <c r="AP29" s="798"/>
      <c r="AQ29" s="798"/>
      <c r="AR29" s="802"/>
      <c r="AS29" s="803"/>
      <c r="AT29" s="803"/>
      <c r="AU29" s="804"/>
      <c r="AV29" s="22"/>
      <c r="AX29" s="874"/>
      <c r="AY29" s="751"/>
      <c r="AZ29" s="747"/>
      <c r="BA29" s="747"/>
      <c r="BB29" s="871"/>
      <c r="BC29" s="871"/>
      <c r="BD29" s="755"/>
      <c r="BE29" s="871"/>
      <c r="BF29" s="871"/>
      <c r="BG29" s="839"/>
      <c r="BH29" s="751"/>
      <c r="BI29" s="755"/>
      <c r="BJ29" s="751"/>
      <c r="BK29" s="829"/>
      <c r="BL29" s="831"/>
      <c r="BM29" s="836"/>
      <c r="BN29" s="832"/>
      <c r="BO29" s="867"/>
      <c r="BP29" s="837"/>
      <c r="BQ29" s="839"/>
    </row>
    <row r="30" spans="1:69" ht="15.95" customHeight="1">
      <c r="B30" s="806">
        <v>7</v>
      </c>
      <c r="C30" s="805"/>
      <c r="D30" s="805"/>
      <c r="E30" s="805"/>
      <c r="F30" s="805"/>
      <c r="G30" s="805"/>
      <c r="H30" s="805"/>
      <c r="I30" s="805"/>
      <c r="J30" s="805"/>
      <c r="K30" s="805"/>
      <c r="L30" s="805"/>
      <c r="M30" s="805"/>
      <c r="N30" s="805"/>
      <c r="O30" s="805"/>
      <c r="P30" s="805"/>
      <c r="Q30" s="805"/>
      <c r="R30" s="868" t="str">
        <f>IF(C30="","",INDEX(STDCOMPRESS[Current Unit],MATCH(C30,STDCOMPRESS[Measure Name],0)))</f>
        <v/>
      </c>
      <c r="S30" s="868"/>
      <c r="T30" s="868"/>
      <c r="U30" s="785"/>
      <c r="V30" s="785"/>
      <c r="W30" s="805"/>
      <c r="X30" s="805"/>
      <c r="Y30" s="805"/>
      <c r="Z30" s="805"/>
      <c r="AA30" s="805"/>
      <c r="AB30" s="805"/>
      <c r="AC30" s="805"/>
      <c r="AD30" s="805"/>
      <c r="AE30" s="805"/>
      <c r="AF30" s="805"/>
      <c r="AG30" s="805"/>
      <c r="AH30" s="728"/>
      <c r="AI30" s="765"/>
      <c r="AJ30" s="766"/>
      <c r="AK30" s="766"/>
      <c r="AL30" s="767"/>
      <c r="AM30" s="793" t="str">
        <f>IFERROR(IF(C30="","",INDEX(IF(AND(ACTIVEBONUS = TRUE,INDEX(STDCOMPRESS[Bonus Incentive],MATCH(C30,STDCOMPRESS[Measure Name],0))&lt;&gt; ""),STDCOMPRESS[Bonus Incentive],STDCOMPRESS[Base Incentive]),MATCH(C30,STDCOMPRESS[Measure Name],0))),"")</f>
        <v/>
      </c>
      <c r="AN30" s="794"/>
      <c r="AO30" s="798" t="str">
        <f>IFERROR(IF(OR(C30="",U30="",R30="",AA30="",AE30="",AI30="",AK30=""),"",IF(BN30="Deemed",AZ30,IF(BN30="Calculated",BE30,""))),"")</f>
        <v/>
      </c>
      <c r="AP30" s="798"/>
      <c r="AQ30" s="798"/>
      <c r="AR30" s="799" t="str">
        <f>IFERROR(IF(OR(C30="",U30="",R30="",AA30="",AE30="",AI30="",AK30=""),"",IF(BJ30&lt;&gt;"",BJ30,IF(BP30&gt;0,BP30,ROUND(IF(AO30&lt;=0,0,MIN(AX30,BG30)),2)))),"")</f>
        <v/>
      </c>
      <c r="AS30" s="800"/>
      <c r="AT30" s="800"/>
      <c r="AU30" s="801"/>
      <c r="AV30" s="22"/>
      <c r="AX30" s="873" t="str">
        <f>IF(OR(C30="",U30="",R30="",AA30="",AE30="",AI30="",AK30=""),"",IF(AO30=0,"",ROUND(AI30+AK30,2)))</f>
        <v/>
      </c>
      <c r="AY30" s="750" t="str">
        <f>IFERROR(IF(OR(C30="",U30="",R30="",AA30="",AE30="",AI30="",AK30=""),"",INDEX(STDCOMPRESS[Current Unit],MATCH(C30,STDCOMPRESS[Measure Name],0))),"Err")</f>
        <v/>
      </c>
      <c r="AZ30" s="746" t="str">
        <f>IF(OR(C30="",U30="",R30="",AA30="",AE30="",AI30="",AK30=""),"",ROUND(U30*INDEX(STDCOMPRESS[Electric Energy Savings (Annual kWh/unit)],MATCH(C30,STDCOMPRESS[Measure Name],0)),4))</f>
        <v/>
      </c>
      <c r="BA30" s="746" t="str">
        <f>IF(OR(C30="",U30="",R30="",AA30="",AE30="",AI30="",AK30=""),"",ROUND(U30*INDEX(STDCOMPRESS[Coincident Peak Demand Savings (kW/unit)],MATCH(C30,STDCOMPRESS[Measure Name],0)),4))</f>
        <v/>
      </c>
      <c r="BB30" s="871"/>
      <c r="BC30" s="871"/>
      <c r="BD30" s="754" t="str">
        <f>IFERROR(IF(OR(C30="",U30="",R30="",AA30="",AE30="",AI30="",AK30=""),"",INDEX(STDCOMPRESS[End Use],MATCH(C30,STDCOMPRESS[Measure Name],0))),"Err")</f>
        <v/>
      </c>
      <c r="BE30" s="871"/>
      <c r="BF30" s="871"/>
      <c r="BG30" s="838" t="str">
        <f>IFERROR(ROUND(U30*AM30, 2), "")</f>
        <v/>
      </c>
      <c r="BH30" s="750" t="str">
        <f>IFERROR(IF(OR(C30="",U30="",R30="",AA30="",AE30="",AI30="",AK30="",ISNUMBER(AR30)=FALSE,AR30=0),"",INDEX(STDCOMPRESS[Measure Number],MATCH(C30,STDCOMPRESS[Measure Name],0))),"Err")</f>
        <v/>
      </c>
      <c r="BI30" s="754" t="str">
        <f t="shared" ref="BI30" si="5">IFERROR(IF(BP30="",IF(AR30 &lt; BG30, "100% Total Cost", ""), ""), "")</f>
        <v/>
      </c>
      <c r="BJ30" s="750" t="str">
        <f>IFERROR(IF(OR(C30="",U30="",AA30="",AE30="",AI30="",AK30=""),"",
IF(BP30&gt;0,"",
IF(EXPIRATION&lt;&gt;"",PROJSTATEXP,""))),"")</f>
        <v/>
      </c>
      <c r="BK30" s="828" t="str">
        <f>IFERROR(INDEX(STDCOMPRESS[Measure Life (Years)],MATCH(C30,STDCOMPRESS[Measure Name],0)),"")</f>
        <v/>
      </c>
      <c r="BL30" s="830" t="str">
        <f>IFERROR(IF(OR(C30="",U30="",R30="",AA30="",AE30="",AI30="",AK30=""),"",
ROUND(((1+ELOSS)*((AZ30*INDEX(ELECCB[NPV AEC $/kWh],MATCH(BK30,ELECCB[Year Number],1)))+(BA30*INDEX(ELECCB[NPV ACC $/kW],MATCH(BK30,ELECCB[Year Number],1))))),2)),0)</f>
        <v/>
      </c>
      <c r="BM30" s="835"/>
      <c r="BN30" s="832" t="str">
        <f>IFERROR(IF(OR(C30="",U30="",R30="",AA30="",AE30="",AI30="",AK30=""),"",INDEX(STDCOMPRESS[Reporting Methodology],MATCH(C30,STDCOMPRESS[Measure Name],0))),"Err")</f>
        <v/>
      </c>
      <c r="BO30" s="867" t="str">
        <f>IFERROR(IF(BH30="","",INDEX(STDCOMPRESS[Incremental Measure Cost ($/Unit)],MATCH(C30,STDCOMPRESS[Measure Name],0))),"Err")</f>
        <v/>
      </c>
      <c r="BP30" s="837"/>
      <c r="BQ30" s="838" t="str">
        <f>_xlfn.LET(
_xlpm.IPU,
IFERROR(IF(C30="","",INDEX(STDCOMPRESS[Base Incentive],MATCH(C30,STDCOMPRESS[Measure Name],0))),""),
IFERROR(ROUND(U30*_xlpm.IPU, 2), ""))</f>
        <v/>
      </c>
    </row>
    <row r="31" spans="1:69" ht="15.95" customHeight="1">
      <c r="B31" s="806"/>
      <c r="C31" s="805"/>
      <c r="D31" s="805"/>
      <c r="E31" s="805"/>
      <c r="F31" s="805"/>
      <c r="G31" s="805"/>
      <c r="H31" s="805"/>
      <c r="I31" s="805"/>
      <c r="J31" s="805"/>
      <c r="K31" s="805"/>
      <c r="L31" s="805"/>
      <c r="M31" s="805"/>
      <c r="N31" s="805"/>
      <c r="O31" s="805"/>
      <c r="P31" s="805"/>
      <c r="Q31" s="805"/>
      <c r="R31" s="868"/>
      <c r="S31" s="868"/>
      <c r="T31" s="868"/>
      <c r="U31" s="785"/>
      <c r="V31" s="785"/>
      <c r="W31" s="805"/>
      <c r="X31" s="805"/>
      <c r="Y31" s="805"/>
      <c r="Z31" s="805"/>
      <c r="AA31" s="805"/>
      <c r="AB31" s="805"/>
      <c r="AC31" s="805"/>
      <c r="AD31" s="805"/>
      <c r="AE31" s="805"/>
      <c r="AF31" s="805"/>
      <c r="AG31" s="805"/>
      <c r="AH31" s="728"/>
      <c r="AI31" s="765"/>
      <c r="AJ31" s="766"/>
      <c r="AK31" s="766"/>
      <c r="AL31" s="767"/>
      <c r="AM31" s="795"/>
      <c r="AN31" s="796"/>
      <c r="AO31" s="798"/>
      <c r="AP31" s="798"/>
      <c r="AQ31" s="798"/>
      <c r="AR31" s="802"/>
      <c r="AS31" s="803"/>
      <c r="AT31" s="803"/>
      <c r="AU31" s="804"/>
      <c r="AV31" s="22"/>
      <c r="AX31" s="874"/>
      <c r="AY31" s="751"/>
      <c r="AZ31" s="747"/>
      <c r="BA31" s="747"/>
      <c r="BB31" s="871"/>
      <c r="BC31" s="871"/>
      <c r="BD31" s="755"/>
      <c r="BE31" s="871"/>
      <c r="BF31" s="871"/>
      <c r="BG31" s="839"/>
      <c r="BH31" s="751"/>
      <c r="BI31" s="755"/>
      <c r="BJ31" s="751"/>
      <c r="BK31" s="829"/>
      <c r="BL31" s="831"/>
      <c r="BM31" s="836"/>
      <c r="BN31" s="832"/>
      <c r="BO31" s="867"/>
      <c r="BP31" s="837"/>
      <c r="BQ31" s="839"/>
    </row>
    <row r="32" spans="1:69" ht="15.95" customHeight="1">
      <c r="B32" s="806">
        <v>8</v>
      </c>
      <c r="C32" s="805"/>
      <c r="D32" s="805"/>
      <c r="E32" s="805"/>
      <c r="F32" s="805"/>
      <c r="G32" s="805"/>
      <c r="H32" s="805"/>
      <c r="I32" s="805"/>
      <c r="J32" s="805"/>
      <c r="K32" s="805"/>
      <c r="L32" s="805"/>
      <c r="M32" s="805"/>
      <c r="N32" s="805"/>
      <c r="O32" s="805"/>
      <c r="P32" s="805"/>
      <c r="Q32" s="805"/>
      <c r="R32" s="868" t="str">
        <f>IF(C32="","",INDEX(STDCOMPRESS[Current Unit],MATCH(C32,STDCOMPRESS[Measure Name],0)))</f>
        <v/>
      </c>
      <c r="S32" s="868"/>
      <c r="T32" s="868"/>
      <c r="U32" s="785"/>
      <c r="V32" s="785"/>
      <c r="W32" s="805"/>
      <c r="X32" s="805"/>
      <c r="Y32" s="805"/>
      <c r="Z32" s="805"/>
      <c r="AA32" s="805"/>
      <c r="AB32" s="805"/>
      <c r="AC32" s="805"/>
      <c r="AD32" s="805"/>
      <c r="AE32" s="805"/>
      <c r="AF32" s="805"/>
      <c r="AG32" s="805"/>
      <c r="AH32" s="728"/>
      <c r="AI32" s="765"/>
      <c r="AJ32" s="766"/>
      <c r="AK32" s="766"/>
      <c r="AL32" s="767"/>
      <c r="AM32" s="793" t="str">
        <f>IFERROR(IF(C32="","",INDEX(IF(AND(ACTIVEBONUS = TRUE,INDEX(STDCOMPRESS[Bonus Incentive],MATCH(C32,STDCOMPRESS[Measure Name],0))&lt;&gt; ""),STDCOMPRESS[Bonus Incentive],STDCOMPRESS[Base Incentive]),MATCH(C32,STDCOMPRESS[Measure Name],0))),"")</f>
        <v/>
      </c>
      <c r="AN32" s="794"/>
      <c r="AO32" s="798" t="str">
        <f>IFERROR(IF(OR(C32="",U32="",R32="",AA32="",AE32="",AI32="",AK32=""),"",IF(BN32="Deemed",AZ32,IF(BN32="Calculated",BE32,""))),"")</f>
        <v/>
      </c>
      <c r="AP32" s="798"/>
      <c r="AQ32" s="798"/>
      <c r="AR32" s="799" t="str">
        <f>IFERROR(IF(OR(C32="",U32="",R32="",AA32="",AE32="",AI32="",AK32=""),"",IF(BJ32&lt;&gt;"",BJ32,IF(BP32&gt;0,BP32,ROUND(IF(AO32&lt;=0,0,MIN(AX32,BG32)),2)))),"")</f>
        <v/>
      </c>
      <c r="AS32" s="800"/>
      <c r="AT32" s="800"/>
      <c r="AU32" s="801"/>
      <c r="AV32" s="22"/>
      <c r="AX32" s="873" t="str">
        <f>IF(OR(C32="",U32="",R32="",AA32="",AE32="",AI32="",AK32=""),"",IF(AO32=0,"",ROUND(AI32+AK32,2)))</f>
        <v/>
      </c>
      <c r="AY32" s="750" t="str">
        <f>IFERROR(IF(OR(C32="",U32="",R32="",AA32="",AE32="",AI32="",AK32=""),"",INDEX(STDCOMPRESS[Current Unit],MATCH(C32,STDCOMPRESS[Measure Name],0))),"Err")</f>
        <v/>
      </c>
      <c r="AZ32" s="746" t="str">
        <f>IF(OR(C32="",U32="",R32="",AA32="",AE32="",AI32="",AK32=""),"",ROUND(U32*INDEX(STDCOMPRESS[Electric Energy Savings (Annual kWh/unit)],MATCH(C32,STDCOMPRESS[Measure Name],0)),4))</f>
        <v/>
      </c>
      <c r="BA32" s="746" t="str">
        <f>IF(OR(C32="",U32="",R32="",AA32="",AE32="",AI32="",AK32=""),"",ROUND(U32*INDEX(STDCOMPRESS[Coincident Peak Demand Savings (kW/unit)],MATCH(C32,STDCOMPRESS[Measure Name],0)),4))</f>
        <v/>
      </c>
      <c r="BB32" s="871"/>
      <c r="BC32" s="871"/>
      <c r="BD32" s="754" t="str">
        <f>IFERROR(IF(OR(C32="",U32="",R32="",AA32="",AE32="",AI32="",AK32=""),"",INDEX(STDCOMPRESS[End Use],MATCH(C32,STDCOMPRESS[Measure Name],0))),"Err")</f>
        <v/>
      </c>
      <c r="BE32" s="871"/>
      <c r="BF32" s="871"/>
      <c r="BG32" s="838" t="str">
        <f>IFERROR(ROUND(U32*AM32, 2), "")</f>
        <v/>
      </c>
      <c r="BH32" s="750" t="str">
        <f>IFERROR(IF(OR(C32="",U32="",R32="",AA32="",AE32="",AI32="",AK32="",ISNUMBER(AR32)=FALSE,AR32=0),"",INDEX(STDCOMPRESS[Measure Number],MATCH(C32,STDCOMPRESS[Measure Name],0))),"Err")</f>
        <v/>
      </c>
      <c r="BI32" s="754" t="str">
        <f t="shared" ref="BI32" si="6">IFERROR(IF(BP32="",IF(AR32 &lt; BG32, "100% Total Cost", ""), ""), "")</f>
        <v/>
      </c>
      <c r="BJ32" s="750" t="str">
        <f>IFERROR(IF(OR(C32="",U32="",AA32="",AE32="",AI32="",AK32=""),"",
IF(BP32&gt;0,"",
IF(EXPIRATION&lt;&gt;"",PROJSTATEXP,""))),"")</f>
        <v/>
      </c>
      <c r="BK32" s="828" t="str">
        <f>IFERROR(INDEX(STDCOMPRESS[Measure Life (Years)],MATCH(C32,STDCOMPRESS[Measure Name],0)),"")</f>
        <v/>
      </c>
      <c r="BL32" s="830" t="str">
        <f>IFERROR(IF(OR(C32="",U32="",R32="",AA32="",AE32="",AI32="",AK32=""),"",
ROUND(((1+ELOSS)*((AZ32*INDEX(ELECCB[NPV AEC $/kWh],MATCH(BK32,ELECCB[Year Number],1)))+(BA32*INDEX(ELECCB[NPV ACC $/kW],MATCH(BK32,ELECCB[Year Number],1))))),2)),0)</f>
        <v/>
      </c>
      <c r="BM32" s="835"/>
      <c r="BN32" s="832" t="str">
        <f>IFERROR(IF(OR(C32="",U32="",R32="",AA32="",AE32="",AI32="",AK32=""),"",INDEX(STDCOMPRESS[Reporting Methodology],MATCH(C32,STDCOMPRESS[Measure Name],0))),"Err")</f>
        <v/>
      </c>
      <c r="BO32" s="867" t="str">
        <f>IFERROR(IF(BH32="","",INDEX(STDCOMPRESS[Incremental Measure Cost ($/Unit)],MATCH(C32,STDCOMPRESS[Measure Name],0))),"Err")</f>
        <v/>
      </c>
      <c r="BP32" s="837"/>
      <c r="BQ32" s="838" t="str">
        <f>_xlfn.LET(
_xlpm.IPU,
IFERROR(IF(C32="","",INDEX(STDCOMPRESS[Base Incentive],MATCH(C32,STDCOMPRESS[Measure Name],0))),""),
IFERROR(ROUND(U32*_xlpm.IPU, 2), ""))</f>
        <v/>
      </c>
    </row>
    <row r="33" spans="2:69" ht="15.95" customHeight="1">
      <c r="B33" s="806"/>
      <c r="C33" s="805"/>
      <c r="D33" s="805"/>
      <c r="E33" s="805"/>
      <c r="F33" s="805"/>
      <c r="G33" s="805"/>
      <c r="H33" s="805"/>
      <c r="I33" s="805"/>
      <c r="J33" s="805"/>
      <c r="K33" s="805"/>
      <c r="L33" s="805"/>
      <c r="M33" s="805"/>
      <c r="N33" s="805"/>
      <c r="O33" s="805"/>
      <c r="P33" s="805"/>
      <c r="Q33" s="805"/>
      <c r="R33" s="868"/>
      <c r="S33" s="868"/>
      <c r="T33" s="868"/>
      <c r="U33" s="785"/>
      <c r="V33" s="785"/>
      <c r="W33" s="805"/>
      <c r="X33" s="805"/>
      <c r="Y33" s="805"/>
      <c r="Z33" s="805"/>
      <c r="AA33" s="805"/>
      <c r="AB33" s="805"/>
      <c r="AC33" s="805"/>
      <c r="AD33" s="805"/>
      <c r="AE33" s="805"/>
      <c r="AF33" s="805"/>
      <c r="AG33" s="805"/>
      <c r="AH33" s="728"/>
      <c r="AI33" s="765"/>
      <c r="AJ33" s="766"/>
      <c r="AK33" s="766"/>
      <c r="AL33" s="767"/>
      <c r="AM33" s="795"/>
      <c r="AN33" s="796"/>
      <c r="AO33" s="798"/>
      <c r="AP33" s="798"/>
      <c r="AQ33" s="798"/>
      <c r="AR33" s="802"/>
      <c r="AS33" s="803"/>
      <c r="AT33" s="803"/>
      <c r="AU33" s="804"/>
      <c r="AV33" s="22"/>
      <c r="AX33" s="874"/>
      <c r="AY33" s="751"/>
      <c r="AZ33" s="747"/>
      <c r="BA33" s="747"/>
      <c r="BB33" s="871"/>
      <c r="BC33" s="871"/>
      <c r="BD33" s="755"/>
      <c r="BE33" s="871"/>
      <c r="BF33" s="871"/>
      <c r="BG33" s="839"/>
      <c r="BH33" s="751"/>
      <c r="BI33" s="755"/>
      <c r="BJ33" s="751"/>
      <c r="BK33" s="829"/>
      <c r="BL33" s="831"/>
      <c r="BM33" s="836"/>
      <c r="BN33" s="832"/>
      <c r="BO33" s="867"/>
      <c r="BP33" s="837"/>
      <c r="BQ33" s="839"/>
    </row>
    <row r="34" spans="2:69" ht="15.95" customHeight="1">
      <c r="B34" s="806">
        <v>9</v>
      </c>
      <c r="C34" s="805"/>
      <c r="D34" s="805"/>
      <c r="E34" s="805"/>
      <c r="F34" s="805"/>
      <c r="G34" s="805"/>
      <c r="H34" s="805"/>
      <c r="I34" s="805"/>
      <c r="J34" s="805"/>
      <c r="K34" s="805"/>
      <c r="L34" s="805"/>
      <c r="M34" s="805"/>
      <c r="N34" s="805"/>
      <c r="O34" s="805"/>
      <c r="P34" s="805"/>
      <c r="Q34" s="805"/>
      <c r="R34" s="868" t="str">
        <f>IF(C34="","",INDEX(STDCOMPRESS[Current Unit],MATCH(C34,STDCOMPRESS[Measure Name],0)))</f>
        <v/>
      </c>
      <c r="S34" s="868"/>
      <c r="T34" s="868"/>
      <c r="U34" s="785"/>
      <c r="V34" s="785"/>
      <c r="W34" s="805"/>
      <c r="X34" s="805"/>
      <c r="Y34" s="805"/>
      <c r="Z34" s="805"/>
      <c r="AA34" s="805"/>
      <c r="AB34" s="805"/>
      <c r="AC34" s="805"/>
      <c r="AD34" s="805"/>
      <c r="AE34" s="805"/>
      <c r="AF34" s="805"/>
      <c r="AG34" s="805"/>
      <c r="AH34" s="728"/>
      <c r="AI34" s="765"/>
      <c r="AJ34" s="766"/>
      <c r="AK34" s="766"/>
      <c r="AL34" s="767"/>
      <c r="AM34" s="793" t="str">
        <f>IFERROR(IF(C34="","",INDEX(IF(AND(ACTIVEBONUS = TRUE,INDEX(STDCOMPRESS[Bonus Incentive],MATCH(C34,STDCOMPRESS[Measure Name],0))&lt;&gt; ""),STDCOMPRESS[Bonus Incentive],STDCOMPRESS[Base Incentive]),MATCH(C34,STDCOMPRESS[Measure Name],0))),"")</f>
        <v/>
      </c>
      <c r="AN34" s="794"/>
      <c r="AO34" s="798" t="str">
        <f>IFERROR(IF(OR(C34="",U34="",R34="",AA34="",AE34="",AI34="",AK34=""),"",IF(BN34="Deemed",AZ34,IF(BN34="Calculated",BE34,""))),"")</f>
        <v/>
      </c>
      <c r="AP34" s="798"/>
      <c r="AQ34" s="798"/>
      <c r="AR34" s="799" t="str">
        <f>IFERROR(IF(OR(C34="",U34="",R34="",AA34="",AE34="",AI34="",AK34=""),"",IF(BJ34&lt;&gt;"",BJ34,IF(BP34&gt;0,BP34,ROUND(IF(AO34&lt;=0,0,MIN(AX34,BG34)),2)))),"")</f>
        <v/>
      </c>
      <c r="AS34" s="800"/>
      <c r="AT34" s="800"/>
      <c r="AU34" s="801"/>
      <c r="AV34" s="22"/>
      <c r="AX34" s="873" t="str">
        <f>IF(OR(C34="",U34="",R34="",AA34="",AE34="",AI34="",AK34=""),"",IF(AO34=0,"",ROUND(AI34+AK34,2)))</f>
        <v/>
      </c>
      <c r="AY34" s="750" t="str">
        <f>IFERROR(IF(OR(C34="",U34="",R34="",AA34="",AE34="",AI34="",AK34=""),"",INDEX(STDCOMPRESS[Current Unit],MATCH(C34,STDCOMPRESS[Measure Name],0))),"Err")</f>
        <v/>
      </c>
      <c r="AZ34" s="746" t="str">
        <f>IF(OR(C34="",U34="",R34="",AA34="",AE34="",AI34="",AK34=""),"",ROUND(U34*INDEX(STDCOMPRESS[Electric Energy Savings (Annual kWh/unit)],MATCH(C34,STDCOMPRESS[Measure Name],0)),4))</f>
        <v/>
      </c>
      <c r="BA34" s="746" t="str">
        <f>IF(OR(C34="",U34="",R34="",AA34="",AE34="",AI34="",AK34=""),"",ROUND(U34*INDEX(STDCOMPRESS[Coincident Peak Demand Savings (kW/unit)],MATCH(C34,STDCOMPRESS[Measure Name],0)),4))</f>
        <v/>
      </c>
      <c r="BB34" s="871"/>
      <c r="BC34" s="871"/>
      <c r="BD34" s="754" t="str">
        <f>IFERROR(IF(OR(C34="",U34="",R34="",AA34="",AE34="",AI34="",AK34=""),"",INDEX(STDCOMPRESS[End Use],MATCH(C34,STDCOMPRESS[Measure Name],0))),"Err")</f>
        <v/>
      </c>
      <c r="BE34" s="871"/>
      <c r="BF34" s="871"/>
      <c r="BG34" s="838" t="str">
        <f>IFERROR(ROUND(U34*AM34, 2), "")</f>
        <v/>
      </c>
      <c r="BH34" s="750" t="str">
        <f>IFERROR(IF(OR(C34="",U34="",R34="",AA34="",AE34="",AI34="",AK34="",ISNUMBER(AR34)=FALSE,AR34=0),"",INDEX(STDCOMPRESS[Measure Number],MATCH(C34,STDCOMPRESS[Measure Name],0))),"Err")</f>
        <v/>
      </c>
      <c r="BI34" s="754" t="str">
        <f t="shared" ref="BI34" si="7">IFERROR(IF(BP34="",IF(AR34 &lt; BG34, "100% Total Cost", ""), ""), "")</f>
        <v/>
      </c>
      <c r="BJ34" s="750" t="str">
        <f>IFERROR(IF(OR(C34="",U34="",AA34="",AE34="",AI34="",AK34=""),"",
IF(BP34&gt;0,"",
IF(EXPIRATION&lt;&gt;"",PROJSTATEXP,""))),"")</f>
        <v/>
      </c>
      <c r="BK34" s="828" t="str">
        <f>IFERROR(INDEX(STDCOMPRESS[Measure Life (Years)],MATCH(C34,STDCOMPRESS[Measure Name],0)),"")</f>
        <v/>
      </c>
      <c r="BL34" s="830" t="str">
        <f>IFERROR(IF(OR(C34="",U34="",R34="",AA34="",AE34="",AI34="",AK34=""),"",
ROUND(((1+ELOSS)*((AZ34*INDEX(ELECCB[NPV AEC $/kWh],MATCH(BK34,ELECCB[Year Number],1)))+(BA34*INDEX(ELECCB[NPV ACC $/kW],MATCH(BK34,ELECCB[Year Number],1))))),2)),0)</f>
        <v/>
      </c>
      <c r="BM34" s="835"/>
      <c r="BN34" s="832" t="str">
        <f>IFERROR(IF(OR(C34="",U34="",R34="",AA34="",AE34="",AI34="",AK34=""),"",INDEX(STDCOMPRESS[Reporting Methodology],MATCH(C34,STDCOMPRESS[Measure Name],0))),"Err")</f>
        <v/>
      </c>
      <c r="BO34" s="867" t="str">
        <f>IFERROR(IF(BH34="","",INDEX(STDCOMPRESS[Incremental Measure Cost ($/Unit)],MATCH(C34,STDCOMPRESS[Measure Name],0))),"Err")</f>
        <v/>
      </c>
      <c r="BP34" s="837"/>
      <c r="BQ34" s="838" t="str">
        <f>_xlfn.LET(
_xlpm.IPU,
IFERROR(IF(C34="","",INDEX(STDCOMPRESS[Base Incentive],MATCH(C34,STDCOMPRESS[Measure Name],0))),""),
IFERROR(ROUND(U34*_xlpm.IPU, 2), ""))</f>
        <v/>
      </c>
    </row>
    <row r="35" spans="2:69" ht="15.95" customHeight="1">
      <c r="B35" s="806"/>
      <c r="C35" s="805"/>
      <c r="D35" s="805"/>
      <c r="E35" s="805"/>
      <c r="F35" s="805"/>
      <c r="G35" s="805"/>
      <c r="H35" s="805"/>
      <c r="I35" s="805"/>
      <c r="J35" s="805"/>
      <c r="K35" s="805"/>
      <c r="L35" s="805"/>
      <c r="M35" s="805"/>
      <c r="N35" s="805"/>
      <c r="O35" s="805"/>
      <c r="P35" s="805"/>
      <c r="Q35" s="805"/>
      <c r="R35" s="868"/>
      <c r="S35" s="868"/>
      <c r="T35" s="868"/>
      <c r="U35" s="785"/>
      <c r="V35" s="785"/>
      <c r="W35" s="805"/>
      <c r="X35" s="805"/>
      <c r="Y35" s="805"/>
      <c r="Z35" s="805"/>
      <c r="AA35" s="805"/>
      <c r="AB35" s="805"/>
      <c r="AC35" s="805"/>
      <c r="AD35" s="805"/>
      <c r="AE35" s="805"/>
      <c r="AF35" s="805"/>
      <c r="AG35" s="805"/>
      <c r="AH35" s="728"/>
      <c r="AI35" s="765"/>
      <c r="AJ35" s="766"/>
      <c r="AK35" s="766"/>
      <c r="AL35" s="767"/>
      <c r="AM35" s="795"/>
      <c r="AN35" s="796"/>
      <c r="AO35" s="798"/>
      <c r="AP35" s="798"/>
      <c r="AQ35" s="798"/>
      <c r="AR35" s="802"/>
      <c r="AS35" s="803"/>
      <c r="AT35" s="803"/>
      <c r="AU35" s="804"/>
      <c r="AV35" s="22"/>
      <c r="AX35" s="874"/>
      <c r="AY35" s="751"/>
      <c r="AZ35" s="747"/>
      <c r="BA35" s="747"/>
      <c r="BB35" s="871"/>
      <c r="BC35" s="871"/>
      <c r="BD35" s="755"/>
      <c r="BE35" s="871"/>
      <c r="BF35" s="871"/>
      <c r="BG35" s="839"/>
      <c r="BH35" s="751"/>
      <c r="BI35" s="755"/>
      <c r="BJ35" s="751"/>
      <c r="BK35" s="829"/>
      <c r="BL35" s="831"/>
      <c r="BM35" s="836"/>
      <c r="BN35" s="832"/>
      <c r="BO35" s="867"/>
      <c r="BP35" s="837"/>
      <c r="BQ35" s="839"/>
    </row>
    <row r="36" spans="2:69" ht="15.95" customHeight="1">
      <c r="B36" s="806">
        <v>10</v>
      </c>
      <c r="C36" s="805"/>
      <c r="D36" s="805"/>
      <c r="E36" s="805"/>
      <c r="F36" s="805"/>
      <c r="G36" s="805"/>
      <c r="H36" s="805"/>
      <c r="I36" s="805"/>
      <c r="J36" s="805"/>
      <c r="K36" s="805"/>
      <c r="L36" s="805"/>
      <c r="M36" s="805"/>
      <c r="N36" s="805"/>
      <c r="O36" s="805"/>
      <c r="P36" s="805"/>
      <c r="Q36" s="805"/>
      <c r="R36" s="868" t="str">
        <f>IF(C36="","",INDEX(STDCOMPRESS[Current Unit],MATCH(C36,STDCOMPRESS[Measure Name],0)))</f>
        <v/>
      </c>
      <c r="S36" s="868"/>
      <c r="T36" s="868"/>
      <c r="U36" s="785"/>
      <c r="V36" s="785"/>
      <c r="W36" s="805"/>
      <c r="X36" s="805"/>
      <c r="Y36" s="805"/>
      <c r="Z36" s="805"/>
      <c r="AA36" s="805"/>
      <c r="AB36" s="805"/>
      <c r="AC36" s="805"/>
      <c r="AD36" s="805"/>
      <c r="AE36" s="805"/>
      <c r="AF36" s="805"/>
      <c r="AG36" s="805"/>
      <c r="AH36" s="728"/>
      <c r="AI36" s="765"/>
      <c r="AJ36" s="766"/>
      <c r="AK36" s="766"/>
      <c r="AL36" s="767"/>
      <c r="AM36" s="793" t="str">
        <f>IFERROR(IF(C36="","",INDEX(IF(AND(ACTIVEBONUS = TRUE,INDEX(STDCOMPRESS[Bonus Incentive],MATCH(C36,STDCOMPRESS[Measure Name],0))&lt;&gt; ""),STDCOMPRESS[Bonus Incentive],STDCOMPRESS[Base Incentive]),MATCH(C36,STDCOMPRESS[Measure Name],0))),"")</f>
        <v/>
      </c>
      <c r="AN36" s="794"/>
      <c r="AO36" s="798" t="str">
        <f>IFERROR(IF(OR(C36="",U36="",R36="",AA36="",AE36="",AI36="",AK36=""),"",IF(BN36="Deemed",AZ36,IF(BN36="Calculated",BE36,""))),"")</f>
        <v/>
      </c>
      <c r="AP36" s="798"/>
      <c r="AQ36" s="798"/>
      <c r="AR36" s="799" t="str">
        <f>IFERROR(IF(OR(C36="",U36="",R36="",AA36="",AE36="",AI36="",AK36=""),"",IF(BJ36&lt;&gt;"",BJ36,IF(BP36&gt;0,BP36,ROUND(IF(AO36&lt;=0,0,MIN(AX36,BG36)),2)))),"")</f>
        <v/>
      </c>
      <c r="AS36" s="800"/>
      <c r="AT36" s="800"/>
      <c r="AU36" s="801"/>
      <c r="AV36" s="22"/>
      <c r="AX36" s="873" t="str">
        <f>IF(OR(C36="",U36="",R36="",AA36="",AE36="",AI36="",AK36=""),"",IF(AO36=0,"",ROUND(AI36+AK36,2)))</f>
        <v/>
      </c>
      <c r="AY36" s="750" t="str">
        <f>IFERROR(IF(OR(C36="",U36="",R36="",AA36="",AE36="",AI36="",AK36=""),"",INDEX(STDCOMPRESS[Current Unit],MATCH(C36,STDCOMPRESS[Measure Name],0))),"Err")</f>
        <v/>
      </c>
      <c r="AZ36" s="746" t="str">
        <f>IF(OR(C36="",U36="",R36="",AA36="",AE36="",AI36="",AK36=""),"",ROUND(U36*INDEX(STDCOMPRESS[Electric Energy Savings (Annual kWh/unit)],MATCH(C36,STDCOMPRESS[Measure Name],0)),4))</f>
        <v/>
      </c>
      <c r="BA36" s="746" t="str">
        <f>IF(OR(C36="",U36="",R36="",AA36="",AE36="",AI36="",AK36=""),"",ROUND(U36*INDEX(STDCOMPRESS[Coincident Peak Demand Savings (kW/unit)],MATCH(C36,STDCOMPRESS[Measure Name],0)),4))</f>
        <v/>
      </c>
      <c r="BB36" s="871"/>
      <c r="BC36" s="871"/>
      <c r="BD36" s="754" t="str">
        <f>IFERROR(IF(OR(C36="",U36="",R36="",AA36="",AE36="",AI36="",AK36=""),"",INDEX(STDCOMPRESS[End Use],MATCH(C36,STDCOMPRESS[Measure Name],0))),"Err")</f>
        <v/>
      </c>
      <c r="BE36" s="871"/>
      <c r="BF36" s="871"/>
      <c r="BG36" s="838" t="str">
        <f>IFERROR(ROUND(U36*AM36, 2), "")</f>
        <v/>
      </c>
      <c r="BH36" s="750" t="str">
        <f>IFERROR(IF(OR(C36="",U36="",R36="",AA36="",AE36="",AI36="",AK36="",ISNUMBER(AR36)=FALSE,AR36=0),"",INDEX(STDCOMPRESS[Measure Number],MATCH(C36,STDCOMPRESS[Measure Name],0))),"Err")</f>
        <v/>
      </c>
      <c r="BI36" s="754" t="str">
        <f t="shared" ref="BI36" si="8">IFERROR(IF(BP36="",IF(AR36 &lt; BG36, "100% Total Cost", ""), ""), "")</f>
        <v/>
      </c>
      <c r="BJ36" s="750" t="str">
        <f>IFERROR(IF(OR(C36="",U36="",AA36="",AE36="",AI36="",AK36=""),"",
IF(BP36&gt;0,"",
IF(EXPIRATION&lt;&gt;"",PROJSTATEXP,""))),"")</f>
        <v/>
      </c>
      <c r="BK36" s="828" t="str">
        <f>IFERROR(INDEX(STDCOMPRESS[Measure Life (Years)],MATCH(C36,STDCOMPRESS[Measure Name],0)),"")</f>
        <v/>
      </c>
      <c r="BL36" s="830" t="str">
        <f>IFERROR(IF(OR(C36="",U36="",R36="",AA36="",AE36="",AI36="",AK36=""),"",
ROUND(((1+ELOSS)*((AZ36*INDEX(ELECCB[NPV AEC $/kWh],MATCH(BK36,ELECCB[Year Number],1)))+(BA36*INDEX(ELECCB[NPV ACC $/kW],MATCH(BK36,ELECCB[Year Number],1))))),2)),0)</f>
        <v/>
      </c>
      <c r="BM36" s="835"/>
      <c r="BN36" s="832" t="str">
        <f>IFERROR(IF(OR(C36="",U36="",R36="",AA36="",AE36="",AI36="",AK36=""),"",INDEX(STDCOMPRESS[Reporting Methodology],MATCH(C36,STDCOMPRESS[Measure Name],0))),"Err")</f>
        <v/>
      </c>
      <c r="BO36" s="867" t="str">
        <f>IFERROR(IF(BH36="","",INDEX(STDCOMPRESS[Incremental Measure Cost ($/Unit)],MATCH(C36,STDCOMPRESS[Measure Name],0))),"Err")</f>
        <v/>
      </c>
      <c r="BP36" s="837"/>
      <c r="BQ36" s="838" t="str">
        <f>_xlfn.LET(
_xlpm.IPU,
IFERROR(IF(C36="","",INDEX(STDCOMPRESS[Base Incentive],MATCH(C36,STDCOMPRESS[Measure Name],0))),""),
IFERROR(ROUND(U36*_xlpm.IPU, 2), ""))</f>
        <v/>
      </c>
    </row>
    <row r="37" spans="2:69" ht="15.95" customHeight="1">
      <c r="B37" s="806"/>
      <c r="C37" s="805"/>
      <c r="D37" s="805"/>
      <c r="E37" s="805"/>
      <c r="F37" s="805"/>
      <c r="G37" s="805"/>
      <c r="H37" s="805"/>
      <c r="I37" s="805"/>
      <c r="J37" s="805"/>
      <c r="K37" s="805"/>
      <c r="L37" s="805"/>
      <c r="M37" s="805"/>
      <c r="N37" s="805"/>
      <c r="O37" s="805"/>
      <c r="P37" s="805"/>
      <c r="Q37" s="805"/>
      <c r="R37" s="868"/>
      <c r="S37" s="868"/>
      <c r="T37" s="868"/>
      <c r="U37" s="785"/>
      <c r="V37" s="785"/>
      <c r="W37" s="805"/>
      <c r="X37" s="805"/>
      <c r="Y37" s="805"/>
      <c r="Z37" s="805"/>
      <c r="AA37" s="805"/>
      <c r="AB37" s="805"/>
      <c r="AC37" s="805"/>
      <c r="AD37" s="805"/>
      <c r="AE37" s="805"/>
      <c r="AF37" s="805"/>
      <c r="AG37" s="805"/>
      <c r="AH37" s="728"/>
      <c r="AI37" s="765"/>
      <c r="AJ37" s="766"/>
      <c r="AK37" s="766"/>
      <c r="AL37" s="767"/>
      <c r="AM37" s="795"/>
      <c r="AN37" s="796"/>
      <c r="AO37" s="798"/>
      <c r="AP37" s="798"/>
      <c r="AQ37" s="798"/>
      <c r="AR37" s="802"/>
      <c r="AS37" s="803"/>
      <c r="AT37" s="803"/>
      <c r="AU37" s="804"/>
      <c r="AV37" s="22"/>
      <c r="AX37" s="874"/>
      <c r="AY37" s="751"/>
      <c r="AZ37" s="747"/>
      <c r="BA37" s="747"/>
      <c r="BB37" s="871"/>
      <c r="BC37" s="871"/>
      <c r="BD37" s="755"/>
      <c r="BE37" s="871"/>
      <c r="BF37" s="871"/>
      <c r="BG37" s="839"/>
      <c r="BH37" s="751"/>
      <c r="BI37" s="755"/>
      <c r="BJ37" s="751"/>
      <c r="BK37" s="829"/>
      <c r="BL37" s="831"/>
      <c r="BM37" s="836"/>
      <c r="BN37" s="832"/>
      <c r="BO37" s="867"/>
      <c r="BP37" s="837"/>
      <c r="BQ37" s="839"/>
    </row>
    <row r="38" spans="2:69" ht="15.95" customHeight="1">
      <c r="AX38" s="222"/>
    </row>
    <row r="39" spans="2:69" ht="15.95" hidden="1" customHeight="1">
      <c r="AX39" s="222"/>
    </row>
    <row r="40" spans="2:69" ht="15.95" hidden="1" customHeight="1">
      <c r="AX40" s="222"/>
    </row>
    <row r="41" spans="2:69" ht="15.95" hidden="1" customHeight="1">
      <c r="AX41" s="222"/>
    </row>
    <row r="42" spans="2:69" ht="15.95" hidden="1" customHeight="1">
      <c r="AX42" s="222"/>
    </row>
    <row r="43" spans="2:69" ht="15.95" hidden="1" customHeight="1">
      <c r="AX43" s="222"/>
    </row>
    <row r="44" spans="2:69" ht="15.95" hidden="1" customHeight="1">
      <c r="AX44" s="222"/>
    </row>
    <row r="45" spans="2:69" ht="15.95" hidden="1" customHeight="1">
      <c r="AX45" s="222"/>
    </row>
    <row r="46" spans="2:69" ht="15.95" hidden="1" customHeight="1">
      <c r="AX46" s="222"/>
    </row>
    <row r="47" spans="2:69" ht="15.95" hidden="1" customHeight="1">
      <c r="AX47" s="222"/>
    </row>
    <row r="48" spans="2:69" ht="15.95" hidden="1" customHeight="1">
      <c r="AZ48" s="31"/>
      <c r="BA48" s="37"/>
    </row>
    <row r="49" spans="52:53" ht="15.95" hidden="1" customHeight="1">
      <c r="AZ49" s="31"/>
      <c r="BA49" s="37"/>
    </row>
    <row r="50" spans="52:53" ht="15.95" hidden="1" customHeight="1">
      <c r="AZ50" s="31"/>
      <c r="BA50" s="37"/>
    </row>
    <row r="51" spans="52:53" ht="15.95" hidden="1" customHeight="1">
      <c r="AZ51" s="31"/>
      <c r="BA51" s="37"/>
    </row>
    <row r="52" spans="52:53" ht="15.95" hidden="1" customHeight="1">
      <c r="AZ52" s="31"/>
      <c r="BA52" s="37"/>
    </row>
    <row r="53" spans="52:53" ht="15.95" hidden="1" customHeight="1">
      <c r="AZ53" s="31"/>
      <c r="BA53" s="37"/>
    </row>
    <row r="54" spans="52:53" ht="15.95" hidden="1" customHeight="1">
      <c r="AZ54" s="31"/>
      <c r="BA54" s="37"/>
    </row>
    <row r="55" spans="52:53" ht="15.95" hidden="1" customHeight="1">
      <c r="AZ55" s="31"/>
      <c r="BA55" s="37"/>
    </row>
    <row r="56" spans="52:53" ht="15.95" hidden="1" customHeight="1">
      <c r="AZ56" s="31"/>
      <c r="BA56" s="37"/>
    </row>
    <row r="57" spans="52:53" ht="15.95" hidden="1" customHeight="1">
      <c r="AZ57" s="31"/>
      <c r="BA57" s="37"/>
    </row>
    <row r="58" spans="52:53" ht="15.95" hidden="1" customHeight="1">
      <c r="AZ58" s="31"/>
      <c r="BA58" s="37"/>
    </row>
    <row r="59" spans="52:53" ht="15.95" hidden="1" customHeight="1">
      <c r="AZ59" s="31"/>
      <c r="BA59" s="37"/>
    </row>
    <row r="60" spans="52:53" ht="15.95" hidden="1" customHeight="1">
      <c r="AZ60" s="31"/>
      <c r="BA60" s="37"/>
    </row>
    <row r="61" spans="52:53" ht="15.95" hidden="1" customHeight="1">
      <c r="AZ61" s="31"/>
      <c r="BA61" s="37"/>
    </row>
    <row r="62" spans="52:53" ht="15.95" hidden="1" customHeight="1">
      <c r="AZ62" s="31"/>
      <c r="BA62" s="37"/>
    </row>
    <row r="63" spans="52:53" ht="15.95" hidden="1" customHeight="1">
      <c r="AZ63" s="31"/>
      <c r="BA63" s="37"/>
    </row>
    <row r="64" spans="52:53" ht="15.95" hidden="1" customHeight="1">
      <c r="AZ64" s="31"/>
      <c r="BA64" s="37"/>
    </row>
    <row r="65" spans="52:53" ht="15.95" hidden="1" customHeight="1">
      <c r="AZ65" s="31"/>
      <c r="BA65" s="37"/>
    </row>
    <row r="66" spans="52:53" ht="15.95" hidden="1" customHeight="1">
      <c r="AZ66" s="31"/>
      <c r="BA66" s="37"/>
    </row>
    <row r="67" spans="52:53" ht="15.95" hidden="1" customHeight="1">
      <c r="AZ67" s="31"/>
      <c r="BA67" s="37"/>
    </row>
    <row r="68" spans="52:53" ht="15.95" hidden="1" customHeight="1">
      <c r="AZ68" s="31"/>
      <c r="BA68" s="37"/>
    </row>
    <row r="69" spans="52:53" ht="15.95" hidden="1" customHeight="1">
      <c r="AZ69" s="31"/>
      <c r="BA69" s="37"/>
    </row>
    <row r="70" spans="52:53" ht="15.95" hidden="1" customHeight="1">
      <c r="AZ70" s="31"/>
      <c r="BA70" s="37"/>
    </row>
    <row r="71" spans="52:53" ht="15.95" hidden="1" customHeight="1">
      <c r="AZ71" s="31"/>
      <c r="BA71" s="37"/>
    </row>
    <row r="72" spans="52:53" ht="15.95" hidden="1" customHeight="1">
      <c r="AZ72" s="31"/>
      <c r="BA72" s="37"/>
    </row>
    <row r="73" spans="52:53" ht="15.95" hidden="1" customHeight="1">
      <c r="AZ73" s="31"/>
      <c r="BA73" s="37"/>
    </row>
    <row r="74" spans="52:53" ht="15.95" hidden="1" customHeight="1">
      <c r="AZ74" s="31"/>
      <c r="BA74" s="37"/>
    </row>
    <row r="75" spans="52:53" ht="15.95" hidden="1" customHeight="1">
      <c r="AZ75" s="31"/>
      <c r="BA75" s="37"/>
    </row>
    <row r="76" spans="52:53" ht="15.95" hidden="1" customHeight="1">
      <c r="AZ76" s="31"/>
      <c r="BA76" s="37"/>
    </row>
    <row r="77" spans="52:53" ht="15.95" hidden="1" customHeight="1">
      <c r="AZ77" s="31"/>
      <c r="BA77" s="37"/>
    </row>
    <row r="78" spans="52:53" ht="15.95" hidden="1" customHeight="1">
      <c r="AZ78" s="31"/>
      <c r="BA78" s="37"/>
    </row>
    <row r="79" spans="52:53" ht="15.95" hidden="1" customHeight="1">
      <c r="AZ79" s="31"/>
      <c r="BA79" s="37"/>
    </row>
    <row r="80" spans="52:53" ht="15.95" hidden="1" customHeight="1">
      <c r="AZ80" s="31"/>
      <c r="BA80" s="37"/>
    </row>
    <row r="81" spans="52:53" ht="15.95" hidden="1" customHeight="1">
      <c r="AZ81" s="31"/>
      <c r="BA81" s="37"/>
    </row>
    <row r="82" spans="52:53" ht="15.95" hidden="1" customHeight="1">
      <c r="AZ82" s="31"/>
      <c r="BA82" s="37"/>
    </row>
    <row r="83" spans="52:53" ht="15.95" hidden="1" customHeight="1">
      <c r="AZ83" s="31"/>
      <c r="BA83" s="37"/>
    </row>
    <row r="84" spans="52:53" ht="15.95" hidden="1" customHeight="1">
      <c r="AZ84" s="31"/>
      <c r="BA84" s="37"/>
    </row>
    <row r="85" spans="52:53" ht="15.95" hidden="1" customHeight="1">
      <c r="AZ85" s="31"/>
      <c r="BA85" s="37"/>
    </row>
    <row r="86" spans="52:53" ht="15.95" hidden="1" customHeight="1">
      <c r="AZ86" s="31"/>
      <c r="BA86" s="37"/>
    </row>
    <row r="87" spans="52:53" ht="15.95" hidden="1" customHeight="1">
      <c r="AZ87" s="31"/>
      <c r="BA87" s="37"/>
    </row>
    <row r="88" spans="52:53" ht="15.95" hidden="1" customHeight="1">
      <c r="AZ88" s="31"/>
      <c r="BA88" s="37"/>
    </row>
    <row r="89" spans="52:53" ht="15.95" hidden="1" customHeight="1">
      <c r="AZ89" s="31"/>
      <c r="BA89" s="37"/>
    </row>
    <row r="90" spans="52:53" ht="15.95" hidden="1" customHeight="1">
      <c r="AZ90" s="31"/>
      <c r="BA90" s="37"/>
    </row>
    <row r="91" spans="52:53" ht="15.95" hidden="1" customHeight="1">
      <c r="AZ91" s="31"/>
      <c r="BA91" s="37"/>
    </row>
    <row r="92" spans="52:53" ht="15.95" hidden="1" customHeight="1">
      <c r="AZ92" s="31"/>
      <c r="BA92" s="37"/>
    </row>
    <row r="93" spans="52:53" ht="15.95" hidden="1" customHeight="1">
      <c r="AZ93" s="31"/>
      <c r="BA93" s="37"/>
    </row>
    <row r="94" spans="52:53" ht="15.95" hidden="1" customHeight="1">
      <c r="AZ94" s="31"/>
      <c r="BA94" s="37"/>
    </row>
    <row r="95" spans="52:53" ht="15.95" hidden="1" customHeight="1">
      <c r="AZ95" s="31"/>
      <c r="BA95" s="37"/>
    </row>
    <row r="96" spans="52:53" ht="15.95" hidden="1" customHeight="1">
      <c r="AZ96" s="31"/>
      <c r="BA96" s="37"/>
    </row>
    <row r="97" spans="52:53" ht="15.95" hidden="1" customHeight="1">
      <c r="AZ97" s="31"/>
      <c r="BA97" s="37"/>
    </row>
    <row r="98" spans="52:53" ht="15.95" hidden="1" customHeight="1">
      <c r="AZ98" s="31"/>
      <c r="BA98" s="37"/>
    </row>
    <row r="99" spans="52:53" ht="15.95" hidden="1" customHeight="1">
      <c r="AZ99" s="31"/>
      <c r="BA99" s="37"/>
    </row>
    <row r="100" spans="52:53" ht="15.95" hidden="1" customHeight="1">
      <c r="AZ100" s="31"/>
      <c r="BA100" s="37"/>
    </row>
    <row r="101" spans="52:53" ht="15.95" hidden="1" customHeight="1">
      <c r="AZ101" s="31"/>
      <c r="BA101" s="37"/>
    </row>
    <row r="102" spans="52:53" ht="15.95" hidden="1" customHeight="1">
      <c r="AZ102" s="31"/>
      <c r="BA102" s="37"/>
    </row>
    <row r="103" spans="52:53" ht="15.95" hidden="1" customHeight="1">
      <c r="AZ103" s="31"/>
      <c r="BA103" s="37"/>
    </row>
    <row r="104" spans="52:53" ht="15.95" hidden="1" customHeight="1">
      <c r="AZ104" s="31"/>
      <c r="BA104" s="37"/>
    </row>
    <row r="105" spans="52:53" ht="15.95" hidden="1" customHeight="1">
      <c r="AZ105" s="31"/>
      <c r="BA105" s="37"/>
    </row>
    <row r="106" spans="52:53" ht="15.95" hidden="1" customHeight="1">
      <c r="AZ106" s="31"/>
      <c r="BA106" s="37"/>
    </row>
    <row r="107" spans="52:53" ht="15.95" hidden="1" customHeight="1">
      <c r="AZ107" s="31"/>
      <c r="BA107" s="37"/>
    </row>
    <row r="108" spans="52:53" ht="15.95" hidden="1" customHeight="1">
      <c r="AZ108" s="31"/>
      <c r="BA108" s="37"/>
    </row>
    <row r="109" spans="52:53" ht="15.95" hidden="1" customHeight="1">
      <c r="AZ109" s="31"/>
      <c r="BA109" s="37"/>
    </row>
    <row r="110" spans="52:53" ht="15.95" hidden="1" customHeight="1">
      <c r="AZ110" s="31"/>
      <c r="BA110" s="37"/>
    </row>
    <row r="111" spans="52:53" ht="15.95" hidden="1" customHeight="1">
      <c r="AZ111" s="31"/>
      <c r="BA111" s="37"/>
    </row>
    <row r="112" spans="52:53" ht="15.95" hidden="1" customHeight="1">
      <c r="AZ112" s="31"/>
      <c r="BA112" s="37"/>
    </row>
    <row r="113" spans="52:53" ht="15.95" hidden="1" customHeight="1">
      <c r="AZ113" s="31"/>
      <c r="BA113" s="37"/>
    </row>
    <row r="114" spans="52:53" ht="15.95" hidden="1" customHeight="1">
      <c r="AZ114" s="31"/>
      <c r="BA114" s="37"/>
    </row>
    <row r="115" spans="52:53" ht="15.95" hidden="1" customHeight="1">
      <c r="AZ115" s="31"/>
      <c r="BA115" s="37"/>
    </row>
    <row r="116" spans="52:53" ht="15.95" hidden="1" customHeight="1">
      <c r="AZ116" s="31"/>
      <c r="BA116" s="37"/>
    </row>
    <row r="117" spans="52:53" ht="15.95" hidden="1" customHeight="1">
      <c r="AZ117" s="31"/>
      <c r="BA117" s="37"/>
    </row>
    <row r="118" spans="52:53" ht="15.95" hidden="1" customHeight="1">
      <c r="AZ118" s="31"/>
      <c r="BA118" s="37"/>
    </row>
    <row r="119" spans="52:53" ht="15.95" hidden="1" customHeight="1">
      <c r="AZ119" s="31"/>
      <c r="BA119" s="37"/>
    </row>
    <row r="120" spans="52:53" ht="15.95" hidden="1" customHeight="1">
      <c r="AZ120" s="31"/>
      <c r="BA120" s="37"/>
    </row>
    <row r="121" spans="52:53" ht="15.95" hidden="1" customHeight="1">
      <c r="AZ121" s="31"/>
      <c r="BA121" s="37"/>
    </row>
    <row r="122" spans="52:53" ht="15.95" hidden="1" customHeight="1">
      <c r="AZ122" s="31"/>
      <c r="BA122" s="37"/>
    </row>
    <row r="123" spans="52:53" ht="15.95" hidden="1" customHeight="1">
      <c r="AZ123" s="31"/>
      <c r="BA123" s="37"/>
    </row>
    <row r="124" spans="52:53" ht="15.95" hidden="1" customHeight="1">
      <c r="AZ124" s="31"/>
      <c r="BA124" s="37"/>
    </row>
    <row r="125" spans="52:53" ht="15.95" hidden="1" customHeight="1">
      <c r="AZ125" s="31"/>
      <c r="BA125" s="37"/>
    </row>
    <row r="126" spans="52:53" ht="15.95" hidden="1" customHeight="1">
      <c r="AZ126" s="31"/>
      <c r="BA126" s="37"/>
    </row>
    <row r="127" spans="52:53" ht="15.95" hidden="1" customHeight="1">
      <c r="AZ127" s="31"/>
      <c r="BA127" s="37"/>
    </row>
    <row r="128" spans="52:53" ht="15.95" hidden="1" customHeight="1">
      <c r="AZ128" s="31"/>
      <c r="BA128" s="37"/>
    </row>
    <row r="129" spans="52:53" ht="15.95" hidden="1" customHeight="1">
      <c r="AZ129" s="31"/>
      <c r="BA129" s="37"/>
    </row>
    <row r="130" spans="52:53" ht="15.95" hidden="1" customHeight="1">
      <c r="AZ130" s="31"/>
      <c r="BA130" s="37"/>
    </row>
    <row r="131" spans="52:53" ht="15.95" hidden="1" customHeight="1">
      <c r="AZ131" s="31"/>
      <c r="BA131" s="37"/>
    </row>
    <row r="132" spans="52:53" ht="15.95" hidden="1" customHeight="1">
      <c r="AZ132" s="31"/>
      <c r="BA132" s="37"/>
    </row>
    <row r="133" spans="52:53" ht="15.95" hidden="1" customHeight="1">
      <c r="AZ133" s="31"/>
      <c r="BA133" s="37"/>
    </row>
    <row r="134" spans="52:53" ht="15.95" hidden="1" customHeight="1">
      <c r="AZ134" s="31"/>
      <c r="BA134" s="37"/>
    </row>
    <row r="135" spans="52:53" ht="15.95" hidden="1" customHeight="1">
      <c r="AZ135" s="31"/>
      <c r="BA135" s="37"/>
    </row>
    <row r="136" spans="52:53" ht="15.95" hidden="1" customHeight="1">
      <c r="AZ136" s="31"/>
      <c r="BA136" s="37"/>
    </row>
    <row r="137" spans="52:53" ht="15.95" hidden="1" customHeight="1">
      <c r="AZ137" s="31"/>
      <c r="BA137" s="37"/>
    </row>
    <row r="138" spans="52:53" ht="15.95" hidden="1" customHeight="1">
      <c r="AZ138" s="31"/>
      <c r="BA138" s="37"/>
    </row>
    <row r="139" spans="52:53" ht="15.95" hidden="1" customHeight="1">
      <c r="AZ139" s="31"/>
      <c r="BA139" s="37"/>
    </row>
    <row r="140" spans="52:53" ht="15.95" hidden="1" customHeight="1">
      <c r="AZ140" s="31"/>
      <c r="BA140" s="37"/>
    </row>
    <row r="141" spans="52:53" ht="15.95" hidden="1" customHeight="1">
      <c r="AZ141" s="31"/>
      <c r="BA141" s="37"/>
    </row>
    <row r="142" spans="52:53" ht="15.95" hidden="1" customHeight="1">
      <c r="AZ142" s="31"/>
      <c r="BA142" s="37"/>
    </row>
    <row r="143" spans="52:53" ht="15.95" hidden="1" customHeight="1">
      <c r="AZ143" s="31"/>
      <c r="BA143" s="37"/>
    </row>
    <row r="144" spans="52:53" ht="15.95" hidden="1" customHeight="1">
      <c r="AZ144" s="31"/>
      <c r="BA144" s="37"/>
    </row>
    <row r="145" spans="52:53" ht="15.95" hidden="1" customHeight="1">
      <c r="AZ145" s="31"/>
      <c r="BA145" s="37"/>
    </row>
    <row r="146" spans="52:53" ht="15.95" hidden="1" customHeight="1">
      <c r="AZ146" s="31"/>
      <c r="BA146" s="37"/>
    </row>
    <row r="147" spans="52:53" ht="15.95" hidden="1" customHeight="1">
      <c r="AZ147" s="31"/>
      <c r="BA147" s="37"/>
    </row>
    <row r="148" spans="52:53" ht="15.95" hidden="1" customHeight="1">
      <c r="AZ148" s="31"/>
      <c r="BA148" s="37"/>
    </row>
    <row r="149" spans="52:53" ht="15.95" hidden="1" customHeight="1">
      <c r="AZ149" s="31"/>
      <c r="BA149" s="37"/>
    </row>
    <row r="150" spans="52:53" ht="15.95" hidden="1" customHeight="1">
      <c r="AZ150" s="31"/>
      <c r="BA150" s="37"/>
    </row>
    <row r="151" spans="52:53" ht="15.95" hidden="1" customHeight="1">
      <c r="AZ151" s="31"/>
      <c r="BA151" s="37"/>
    </row>
    <row r="152" spans="52:53" ht="15.95" hidden="1" customHeight="1">
      <c r="AZ152" s="31"/>
      <c r="BA152" s="37"/>
    </row>
    <row r="153" spans="52:53" ht="15.95" hidden="1" customHeight="1">
      <c r="AZ153" s="31"/>
      <c r="BA153" s="37"/>
    </row>
    <row r="154" spans="52:53" ht="15.95" hidden="1" customHeight="1">
      <c r="AZ154" s="31"/>
      <c r="BA154" s="37"/>
    </row>
    <row r="155" spans="52:53" ht="15.95" hidden="1" customHeight="1">
      <c r="AZ155" s="31"/>
      <c r="BA155" s="37"/>
    </row>
    <row r="156" spans="52:53" ht="15.95" hidden="1" customHeight="1">
      <c r="AZ156" s="31"/>
      <c r="BA156" s="37"/>
    </row>
    <row r="157" spans="52:53" ht="15.95" hidden="1" customHeight="1">
      <c r="AZ157" s="31"/>
      <c r="BA157" s="37"/>
    </row>
    <row r="158" spans="52:53" ht="15.95" hidden="1" customHeight="1">
      <c r="AZ158" s="31"/>
      <c r="BA158" s="37"/>
    </row>
    <row r="159" spans="52:53" ht="15.95" hidden="1" customHeight="1">
      <c r="AZ159" s="31"/>
      <c r="BA159" s="37"/>
    </row>
    <row r="160" spans="52:53" ht="15.95" hidden="1" customHeight="1">
      <c r="AZ160" s="31"/>
      <c r="BA160" s="37"/>
    </row>
    <row r="161" spans="52:53" ht="15.95" hidden="1" customHeight="1">
      <c r="AZ161" s="31"/>
      <c r="BA161" s="37"/>
    </row>
    <row r="162" spans="52:53" ht="15.95" hidden="1" customHeight="1">
      <c r="AZ162" s="31"/>
      <c r="BA162" s="37"/>
    </row>
    <row r="163" spans="52:53" ht="15.95" hidden="1" customHeight="1">
      <c r="AZ163" s="31"/>
      <c r="BA163" s="37"/>
    </row>
    <row r="164" spans="52:53" ht="15.95" hidden="1" customHeight="1">
      <c r="AZ164" s="31"/>
      <c r="BA164" s="37"/>
    </row>
    <row r="165" spans="52:53" ht="15.95" hidden="1" customHeight="1">
      <c r="AZ165" s="31"/>
      <c r="BA165" s="37"/>
    </row>
    <row r="166" spans="52:53" ht="15.95" hidden="1" customHeight="1">
      <c r="AZ166" s="31"/>
      <c r="BA166" s="37"/>
    </row>
    <row r="167" spans="52:53" ht="15.95" hidden="1" customHeight="1">
      <c r="AZ167" s="31"/>
      <c r="BA167" s="37"/>
    </row>
    <row r="168" spans="52:53" ht="15.95" hidden="1" customHeight="1">
      <c r="AZ168" s="31"/>
      <c r="BA168" s="37"/>
    </row>
    <row r="169" spans="52:53" ht="15.95" hidden="1" customHeight="1">
      <c r="AZ169" s="31"/>
      <c r="BA169" s="37"/>
    </row>
    <row r="170" spans="52:53" ht="15.95" hidden="1" customHeight="1">
      <c r="AZ170" s="31"/>
      <c r="BA170" s="37"/>
    </row>
    <row r="171" spans="52:53" ht="15.95" hidden="1" customHeight="1">
      <c r="AZ171" s="31"/>
      <c r="BA171" s="37"/>
    </row>
    <row r="172" spans="52:53" ht="15.95" hidden="1" customHeight="1">
      <c r="AZ172" s="31"/>
      <c r="BA172" s="37"/>
    </row>
    <row r="173" spans="52:53" ht="15.95" hidden="1" customHeight="1">
      <c r="AZ173" s="31"/>
      <c r="BA173" s="37"/>
    </row>
    <row r="174" spans="52:53" ht="15.95" hidden="1" customHeight="1">
      <c r="AZ174" s="31"/>
      <c r="BA174" s="37"/>
    </row>
    <row r="175" spans="52:53" ht="15.95" hidden="1" customHeight="1">
      <c r="AZ175" s="31"/>
      <c r="BA175" s="37"/>
    </row>
    <row r="176" spans="52:53" ht="15.95" hidden="1" customHeight="1">
      <c r="AZ176" s="31"/>
      <c r="BA176" s="37"/>
    </row>
    <row r="177" spans="52:53" ht="15.95" hidden="1" customHeight="1">
      <c r="AZ177" s="31"/>
      <c r="BA177" s="37"/>
    </row>
    <row r="178" spans="52:53" ht="15.95" hidden="1" customHeight="1">
      <c r="AZ178" s="31"/>
      <c r="BA178" s="37"/>
    </row>
    <row r="179" spans="52:53" ht="15.95" hidden="1" customHeight="1">
      <c r="AZ179" s="31"/>
      <c r="BA179" s="37"/>
    </row>
    <row r="180" spans="52:53" ht="15.95" hidden="1" customHeight="1">
      <c r="AZ180" s="31"/>
      <c r="BA180" s="37"/>
    </row>
    <row r="181" spans="52:53" ht="15.95" hidden="1" customHeight="1">
      <c r="AZ181" s="31"/>
      <c r="BA181" s="37"/>
    </row>
    <row r="182" spans="52:53" ht="15.95" hidden="1" customHeight="1">
      <c r="AZ182" s="31"/>
      <c r="BA182" s="37"/>
    </row>
    <row r="183" spans="52:53" ht="15.95" hidden="1" customHeight="1">
      <c r="AZ183" s="31"/>
      <c r="BA183" s="37"/>
    </row>
    <row r="184" spans="52:53" ht="15.95" hidden="1" customHeight="1">
      <c r="AZ184" s="31"/>
      <c r="BA184" s="37"/>
    </row>
    <row r="185" spans="52:53" ht="15.95" hidden="1" customHeight="1">
      <c r="AZ185" s="31"/>
      <c r="BA185" s="37"/>
    </row>
    <row r="186" spans="52:53" ht="15.95" hidden="1" customHeight="1">
      <c r="AZ186" s="31"/>
      <c r="BA186" s="37"/>
    </row>
    <row r="187" spans="52:53" ht="15.95" hidden="1" customHeight="1">
      <c r="AZ187" s="31"/>
      <c r="BA187" s="37"/>
    </row>
    <row r="188" spans="52:53" ht="15.95" hidden="1" customHeight="1">
      <c r="AZ188" s="31"/>
      <c r="BA188" s="37"/>
    </row>
    <row r="189" spans="52:53" ht="15.95" hidden="1" customHeight="1">
      <c r="AZ189" s="31"/>
      <c r="BA189" s="37"/>
    </row>
    <row r="190" spans="52:53" ht="15.95" hidden="1" customHeight="1">
      <c r="AZ190" s="31"/>
      <c r="BA190" s="37"/>
    </row>
    <row r="191" spans="52:53" ht="15.95" hidden="1" customHeight="1">
      <c r="AZ191" s="31"/>
      <c r="BA191" s="37"/>
    </row>
    <row r="192" spans="52:53" ht="15.95" hidden="1" customHeight="1">
      <c r="AZ192" s="31"/>
      <c r="BA192" s="37"/>
    </row>
    <row r="193" spans="1:53" ht="15.95" hidden="1" customHeight="1">
      <c r="AZ193" s="31"/>
      <c r="BA193" s="37"/>
    </row>
    <row r="194" spans="1:53" ht="15.95" hidden="1" customHeight="1">
      <c r="AZ194" s="31"/>
      <c r="BA194" s="37"/>
    </row>
    <row r="195" spans="1:53" ht="15.95" hidden="1" customHeight="1">
      <c r="AZ195" s="31"/>
      <c r="BA195" s="37"/>
    </row>
    <row r="196" spans="1:53" ht="15.95" hidden="1" customHeight="1">
      <c r="AZ196" s="31"/>
      <c r="BA196" s="37"/>
    </row>
    <row r="197" spans="1:53" ht="15.95" hidden="1" customHeight="1">
      <c r="AZ197" s="31"/>
      <c r="BA197" s="37"/>
    </row>
    <row r="198" spans="1:53" ht="15.95" hidden="1" customHeight="1">
      <c r="AZ198" s="31"/>
      <c r="BA198" s="37"/>
    </row>
    <row r="199" spans="1:53" ht="15.95" hidden="1" customHeight="1">
      <c r="AZ199" s="31"/>
      <c r="BA199" s="37"/>
    </row>
    <row r="200" spans="1:53"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c r="AX200" s="760">
        <f>SUM(AX18:AX199)</f>
        <v>0</v>
      </c>
      <c r="AZ200" s="761">
        <f>SUM(AZ18:AZ199)</f>
        <v>0</v>
      </c>
      <c r="BA200" s="762">
        <f>SUM(BA18:BA199)</f>
        <v>0</v>
      </c>
    </row>
    <row r="201" spans="1:53"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c r="AX201" s="760"/>
      <c r="AZ201" s="761"/>
      <c r="BA201" s="762"/>
    </row>
    <row r="202" spans="1:53"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3" ht="15.95" hidden="1" customHeight="1"/>
    <row r="204" spans="1:53" ht="15.95" hidden="1" customHeight="1"/>
  </sheetData>
  <sheetProtection algorithmName="SHA-512" hashValue="Is0zjwZSQVKz1hRUa6073ZT0RYtx2itQCLTaTC1NEP4sxMOFwlYSGEj5Bkk4iPObwqLx4mLFQHBAZSIiA4poFA==" saltValue="S93F6vcJ4PflF5pDhkWk8w==" spinCount="100000" sheet="1" objects="1" scenarios="1" selectLockedCells="1"/>
  <mergeCells count="381">
    <mergeCell ref="BQ34:BQ35"/>
    <mergeCell ref="BQ36:BQ37"/>
    <mergeCell ref="BQ16:BQ17"/>
    <mergeCell ref="BQ18:BQ19"/>
    <mergeCell ref="BQ20:BQ21"/>
    <mergeCell ref="BQ22:BQ23"/>
    <mergeCell ref="BQ24:BQ25"/>
    <mergeCell ref="BQ26:BQ27"/>
    <mergeCell ref="BQ28:BQ29"/>
    <mergeCell ref="BQ30:BQ31"/>
    <mergeCell ref="BQ32:BQ33"/>
    <mergeCell ref="BI16:BI17"/>
    <mergeCell ref="BI18:BI19"/>
    <mergeCell ref="BG20:BG21"/>
    <mergeCell ref="BG22:BG23"/>
    <mergeCell ref="BG24:BG25"/>
    <mergeCell ref="BG26:BG27"/>
    <mergeCell ref="BG28:BG29"/>
    <mergeCell ref="BG30:BG31"/>
    <mergeCell ref="BG32:BG33"/>
    <mergeCell ref="BH16:BH17"/>
    <mergeCell ref="BH18:BH19"/>
    <mergeCell ref="BH20:BH21"/>
    <mergeCell ref="BH22:BH23"/>
    <mergeCell ref="BH26:BH27"/>
    <mergeCell ref="BH28:BH29"/>
    <mergeCell ref="BH30:BH31"/>
    <mergeCell ref="BI20:BI21"/>
    <mergeCell ref="BI22:BI23"/>
    <mergeCell ref="BI24:BI25"/>
    <mergeCell ref="BI26:BI27"/>
    <mergeCell ref="BI28:BI29"/>
    <mergeCell ref="BI30:BI31"/>
    <mergeCell ref="BI32:BI33"/>
    <mergeCell ref="BG16:BG17"/>
    <mergeCell ref="BP34:BP35"/>
    <mergeCell ref="BP36:BP37"/>
    <mergeCell ref="BP16:BP17"/>
    <mergeCell ref="BP18:BP19"/>
    <mergeCell ref="BP20:BP21"/>
    <mergeCell ref="BP22:BP23"/>
    <mergeCell ref="BP24:BP25"/>
    <mergeCell ref="BP26:BP27"/>
    <mergeCell ref="BP28:BP29"/>
    <mergeCell ref="BP30:BP31"/>
    <mergeCell ref="BP32:BP33"/>
    <mergeCell ref="BM36:BM37"/>
    <mergeCell ref="BN36:BN37"/>
    <mergeCell ref="BM26:BM27"/>
    <mergeCell ref="BN26:BN27"/>
    <mergeCell ref="BM28:BM29"/>
    <mergeCell ref="BN28:BN29"/>
    <mergeCell ref="BM30:BM31"/>
    <mergeCell ref="BN30:BN31"/>
    <mergeCell ref="BM32:BM33"/>
    <mergeCell ref="BN32:BN33"/>
    <mergeCell ref="BM34:BM35"/>
    <mergeCell ref="BN34:BN35"/>
    <mergeCell ref="BM16:BM17"/>
    <mergeCell ref="BN16:BN17"/>
    <mergeCell ref="BM18:BM19"/>
    <mergeCell ref="BN18:BN19"/>
    <mergeCell ref="BM20:BM21"/>
    <mergeCell ref="BN20:BN21"/>
    <mergeCell ref="BM22:BM23"/>
    <mergeCell ref="BN22:BN23"/>
    <mergeCell ref="BM24:BM25"/>
    <mergeCell ref="BN24:BN25"/>
    <mergeCell ref="BK36:BK37"/>
    <mergeCell ref="BL36:BL37"/>
    <mergeCell ref="BK26:BK27"/>
    <mergeCell ref="BL26:BL27"/>
    <mergeCell ref="BK28:BK29"/>
    <mergeCell ref="BL28:BL29"/>
    <mergeCell ref="BK30:BK31"/>
    <mergeCell ref="BL30:BL31"/>
    <mergeCell ref="BK32:BK33"/>
    <mergeCell ref="BL32:BL33"/>
    <mergeCell ref="BK34:BK35"/>
    <mergeCell ref="BL34:BL35"/>
    <mergeCell ref="BK16:BK17"/>
    <mergeCell ref="BL16:BL17"/>
    <mergeCell ref="BK18:BK19"/>
    <mergeCell ref="BL18:BL19"/>
    <mergeCell ref="BK20:BK21"/>
    <mergeCell ref="BL20:BL21"/>
    <mergeCell ref="BK22:BK23"/>
    <mergeCell ref="BL22:BL23"/>
    <mergeCell ref="BK24:BK25"/>
    <mergeCell ref="BL24:BL25"/>
    <mergeCell ref="AS7:AW7"/>
    <mergeCell ref="AS8:AW8"/>
    <mergeCell ref="A4:E6"/>
    <mergeCell ref="A7:E8"/>
    <mergeCell ref="BE18:BE19"/>
    <mergeCell ref="AB12:AE13"/>
    <mergeCell ref="E13:R13"/>
    <mergeCell ref="W16:Z17"/>
    <mergeCell ref="AH9:AK11"/>
    <mergeCell ref="AL9:AO11"/>
    <mergeCell ref="J9:M11"/>
    <mergeCell ref="BD16:BD17"/>
    <mergeCell ref="BD18:BD19"/>
    <mergeCell ref="BB16:BB17"/>
    <mergeCell ref="BC16:BC17"/>
    <mergeCell ref="BE16:BF16"/>
    <mergeCell ref="BB18:BB19"/>
    <mergeCell ref="BC18:BC19"/>
    <mergeCell ref="AK18:AL19"/>
    <mergeCell ref="BF18:BF19"/>
    <mergeCell ref="BJ16:BJ17"/>
    <mergeCell ref="AI17:AJ17"/>
    <mergeCell ref="AK17:AL17"/>
    <mergeCell ref="B18:B19"/>
    <mergeCell ref="C18:Q19"/>
    <mergeCell ref="R18:T19"/>
    <mergeCell ref="U18:V19"/>
    <mergeCell ref="AA18:AD19"/>
    <mergeCell ref="AE18:AH19"/>
    <mergeCell ref="AI18:AJ19"/>
    <mergeCell ref="AI16:AL16"/>
    <mergeCell ref="AM16:AN17"/>
    <mergeCell ref="AO16:AQ17"/>
    <mergeCell ref="AR16:AU17"/>
    <mergeCell ref="AX16:AX17"/>
    <mergeCell ref="AZ16:BA16"/>
    <mergeCell ref="BA18:BA19"/>
    <mergeCell ref="BJ18:BJ19"/>
    <mergeCell ref="AM18:AN19"/>
    <mergeCell ref="AO18:AQ19"/>
    <mergeCell ref="AR18:AU19"/>
    <mergeCell ref="AX18:AX19"/>
    <mergeCell ref="AZ18:AZ19"/>
    <mergeCell ref="C16:Q17"/>
    <mergeCell ref="BJ20:BJ21"/>
    <mergeCell ref="B22:B23"/>
    <mergeCell ref="C22:Q23"/>
    <mergeCell ref="R22:T23"/>
    <mergeCell ref="U22:V23"/>
    <mergeCell ref="AA22:AD23"/>
    <mergeCell ref="AE22:AH23"/>
    <mergeCell ref="AI22:AJ23"/>
    <mergeCell ref="AK22:AL23"/>
    <mergeCell ref="AM22:AN23"/>
    <mergeCell ref="AM20:AN21"/>
    <mergeCell ref="AO20:AQ21"/>
    <mergeCell ref="AR20:AU21"/>
    <mergeCell ref="AX20:AX21"/>
    <mergeCell ref="AZ20:AZ21"/>
    <mergeCell ref="BA20:BA21"/>
    <mergeCell ref="B20:B21"/>
    <mergeCell ref="C20:Q21"/>
    <mergeCell ref="R20:T21"/>
    <mergeCell ref="U20:V21"/>
    <mergeCell ref="AA20:AD21"/>
    <mergeCell ref="AE20:AH21"/>
    <mergeCell ref="AI20:AJ21"/>
    <mergeCell ref="AK20:AL21"/>
    <mergeCell ref="BJ22:BJ23"/>
    <mergeCell ref="AM26:AN27"/>
    <mergeCell ref="AO26:AQ27"/>
    <mergeCell ref="AR26:AU27"/>
    <mergeCell ref="AX26:AX27"/>
    <mergeCell ref="AZ26:AZ27"/>
    <mergeCell ref="BB22:BB23"/>
    <mergeCell ref="BC22:BC23"/>
    <mergeCell ref="BE22:BE23"/>
    <mergeCell ref="BF22:BF23"/>
    <mergeCell ref="BB24:BB25"/>
    <mergeCell ref="BC24:BC25"/>
    <mergeCell ref="BE24:BE25"/>
    <mergeCell ref="BF24:BF25"/>
    <mergeCell ref="BB26:BB27"/>
    <mergeCell ref="BC26:BC27"/>
    <mergeCell ref="BE26:BE27"/>
    <mergeCell ref="BF26:BF27"/>
    <mergeCell ref="AZ24:AZ25"/>
    <mergeCell ref="BA24:BA25"/>
    <mergeCell ref="BJ24:BJ25"/>
    <mergeCell ref="AM24:AN25"/>
    <mergeCell ref="BJ26:BJ27"/>
    <mergeCell ref="AX22:AX23"/>
    <mergeCell ref="R24:T25"/>
    <mergeCell ref="U24:V25"/>
    <mergeCell ref="AA24:AD25"/>
    <mergeCell ref="AE24:AH25"/>
    <mergeCell ref="B26:B27"/>
    <mergeCell ref="C26:Q27"/>
    <mergeCell ref="R26:T27"/>
    <mergeCell ref="U26:V27"/>
    <mergeCell ref="AA26:AD27"/>
    <mergeCell ref="AE26:AH27"/>
    <mergeCell ref="W24:Z25"/>
    <mergeCell ref="W26:Z27"/>
    <mergeCell ref="BH24:BH25"/>
    <mergeCell ref="BJ30:BJ31"/>
    <mergeCell ref="BJ28:BJ29"/>
    <mergeCell ref="B30:B31"/>
    <mergeCell ref="C30:Q31"/>
    <mergeCell ref="R30:T31"/>
    <mergeCell ref="U30:V31"/>
    <mergeCell ref="AA30:AD31"/>
    <mergeCell ref="AE30:AH31"/>
    <mergeCell ref="AI30:AJ31"/>
    <mergeCell ref="AK30:AL31"/>
    <mergeCell ref="AM30:AN31"/>
    <mergeCell ref="AM28:AN29"/>
    <mergeCell ref="AO28:AQ29"/>
    <mergeCell ref="AR28:AU29"/>
    <mergeCell ref="AX28:AX29"/>
    <mergeCell ref="AZ28:AZ29"/>
    <mergeCell ref="BA28:BA29"/>
    <mergeCell ref="B28:B29"/>
    <mergeCell ref="C28:Q29"/>
    <mergeCell ref="AI28:AJ29"/>
    <mergeCell ref="B24:B25"/>
    <mergeCell ref="R28:T29"/>
    <mergeCell ref="C24:Q25"/>
    <mergeCell ref="B36:B37"/>
    <mergeCell ref="C36:Q37"/>
    <mergeCell ref="R36:T37"/>
    <mergeCell ref="U36:V37"/>
    <mergeCell ref="AA36:AD37"/>
    <mergeCell ref="AI36:AJ37"/>
    <mergeCell ref="AE36:AH37"/>
    <mergeCell ref="BD28:BD29"/>
    <mergeCell ref="BD30:BD31"/>
    <mergeCell ref="BB30:BB31"/>
    <mergeCell ref="BC30:BC31"/>
    <mergeCell ref="BB32:BB33"/>
    <mergeCell ref="BC32:BC33"/>
    <mergeCell ref="B34:B35"/>
    <mergeCell ref="C34:Q35"/>
    <mergeCell ref="R34:T35"/>
    <mergeCell ref="U34:V35"/>
    <mergeCell ref="AA34:AD35"/>
    <mergeCell ref="AE34:AH35"/>
    <mergeCell ref="AI34:AJ35"/>
    <mergeCell ref="AI32:AJ33"/>
    <mergeCell ref="AK32:AL33"/>
    <mergeCell ref="B32:B33"/>
    <mergeCell ref="C32:Q33"/>
    <mergeCell ref="BD34:BD35"/>
    <mergeCell ref="BD36:BD37"/>
    <mergeCell ref="BJ32:BJ33"/>
    <mergeCell ref="AM32:AN33"/>
    <mergeCell ref="AO32:AQ33"/>
    <mergeCell ref="AR32:AU33"/>
    <mergeCell ref="AX32:AX33"/>
    <mergeCell ref="BD32:BD33"/>
    <mergeCell ref="BF32:BF33"/>
    <mergeCell ref="BG34:BG35"/>
    <mergeCell ref="BH32:BH33"/>
    <mergeCell ref="BE32:BE33"/>
    <mergeCell ref="BG36:BG37"/>
    <mergeCell ref="BI34:BI35"/>
    <mergeCell ref="BI36:BI37"/>
    <mergeCell ref="AI26:AJ27"/>
    <mergeCell ref="AI24:AJ25"/>
    <mergeCell ref="BJ36:BJ37"/>
    <mergeCell ref="AM36:AN37"/>
    <mergeCell ref="AO36:AQ37"/>
    <mergeCell ref="AR36:AU37"/>
    <mergeCell ref="AX36:AX37"/>
    <mergeCell ref="AZ36:AZ37"/>
    <mergeCell ref="BA36:BA37"/>
    <mergeCell ref="BB36:BB37"/>
    <mergeCell ref="AK34:AL35"/>
    <mergeCell ref="BC36:BC37"/>
    <mergeCell ref="BE36:BE37"/>
    <mergeCell ref="BF36:BF37"/>
    <mergeCell ref="BH34:BH35"/>
    <mergeCell ref="BH36:BH37"/>
    <mergeCell ref="AY34:AY35"/>
    <mergeCell ref="AY36:AY37"/>
    <mergeCell ref="BJ34:BJ35"/>
    <mergeCell ref="AM34:AN35"/>
    <mergeCell ref="BB34:BB35"/>
    <mergeCell ref="BC34:BC35"/>
    <mergeCell ref="BE34:BE35"/>
    <mergeCell ref="BF34:BF35"/>
    <mergeCell ref="BE28:BE29"/>
    <mergeCell ref="BE30:BE31"/>
    <mergeCell ref="BA26:BA27"/>
    <mergeCell ref="BD22:BD23"/>
    <mergeCell ref="BD24:BD25"/>
    <mergeCell ref="AK28:AL29"/>
    <mergeCell ref="AO24:AQ25"/>
    <mergeCell ref="AR24:AU25"/>
    <mergeCell ref="AX24:AX25"/>
    <mergeCell ref="AK26:AL27"/>
    <mergeCell ref="AO22:AQ23"/>
    <mergeCell ref="AY22:AY23"/>
    <mergeCell ref="AY24:AY25"/>
    <mergeCell ref="AY26:AY27"/>
    <mergeCell ref="AR22:AU23"/>
    <mergeCell ref="AK24:AL25"/>
    <mergeCell ref="BB28:BB29"/>
    <mergeCell ref="BC28:BC29"/>
    <mergeCell ref="BB20:BB21"/>
    <mergeCell ref="BC20:BC21"/>
    <mergeCell ref="BE20:BE21"/>
    <mergeCell ref="BF20:BF21"/>
    <mergeCell ref="BD20:BD21"/>
    <mergeCell ref="W32:Z33"/>
    <mergeCell ref="W34:Z35"/>
    <mergeCell ref="O200:AI201"/>
    <mergeCell ref="AX200:AX201"/>
    <mergeCell ref="AZ200:AZ201"/>
    <mergeCell ref="BA200:BA201"/>
    <mergeCell ref="BA34:BA35"/>
    <mergeCell ref="AZ34:AZ35"/>
    <mergeCell ref="AZ32:AZ33"/>
    <mergeCell ref="BA32:BA33"/>
    <mergeCell ref="AK36:AL37"/>
    <mergeCell ref="AY32:AY33"/>
    <mergeCell ref="W36:Z37"/>
    <mergeCell ref="AO34:AQ35"/>
    <mergeCell ref="AR34:AU35"/>
    <mergeCell ref="AX34:AX35"/>
    <mergeCell ref="AA32:AD33"/>
    <mergeCell ref="R32:T33"/>
    <mergeCell ref="AE32:AH33"/>
    <mergeCell ref="U32:V33"/>
    <mergeCell ref="BO34:BO35"/>
    <mergeCell ref="BO36:BO37"/>
    <mergeCell ref="BO16:BO17"/>
    <mergeCell ref="BO18:BO19"/>
    <mergeCell ref="BO20:BO21"/>
    <mergeCell ref="BO22:BO23"/>
    <mergeCell ref="BO24:BO25"/>
    <mergeCell ref="BO26:BO27"/>
    <mergeCell ref="BO28:BO29"/>
    <mergeCell ref="BO30:BO31"/>
    <mergeCell ref="BO32:BO33"/>
    <mergeCell ref="BG18:BG19"/>
    <mergeCell ref="AY16:AY17"/>
    <mergeCell ref="AY18:AY19"/>
    <mergeCell ref="AY20:AY21"/>
    <mergeCell ref="U28:V29"/>
    <mergeCell ref="AA28:AD29"/>
    <mergeCell ref="BF28:BF29"/>
    <mergeCell ref="BF30:BF31"/>
    <mergeCell ref="W22:Z23"/>
    <mergeCell ref="BD26:BD27"/>
    <mergeCell ref="AZ22:AZ23"/>
    <mergeCell ref="BA22:BA23"/>
    <mergeCell ref="F1:I3"/>
    <mergeCell ref="J1:M3"/>
    <mergeCell ref="Q1:AG3"/>
    <mergeCell ref="AL1:AO3"/>
    <mergeCell ref="AP1:AS3"/>
    <mergeCell ref="AT1:AW3"/>
    <mergeCell ref="W18:Z19"/>
    <mergeCell ref="W20:Z21"/>
    <mergeCell ref="T14:W14"/>
    <mergeCell ref="X14:AA14"/>
    <mergeCell ref="AM13:AU14"/>
    <mergeCell ref="R16:T17"/>
    <mergeCell ref="U16:V17"/>
    <mergeCell ref="AA16:AD17"/>
    <mergeCell ref="AE16:AH17"/>
    <mergeCell ref="T12:W13"/>
    <mergeCell ref="AB14:AE14"/>
    <mergeCell ref="N9:Q11"/>
    <mergeCell ref="R9:U11"/>
    <mergeCell ref="X12:AA13"/>
    <mergeCell ref="V9:Y11"/>
    <mergeCell ref="Z9:AC11"/>
    <mergeCell ref="AD9:AG11"/>
    <mergeCell ref="AS5:AW6"/>
    <mergeCell ref="W28:Z29"/>
    <mergeCell ref="W30:Z31"/>
    <mergeCell ref="AR30:AU31"/>
    <mergeCell ref="AX30:AX31"/>
    <mergeCell ref="AZ30:AZ31"/>
    <mergeCell ref="BA30:BA31"/>
    <mergeCell ref="AY30:AY31"/>
    <mergeCell ref="AE28:AH29"/>
    <mergeCell ref="AO30:AQ31"/>
    <mergeCell ref="AY28:AY29"/>
  </mergeCells>
  <conditionalFormatting sqref="U18:V37 AA18:AL37">
    <cfRule type="expression" dxfId="115" priority="6">
      <formula>AND(ISBLANK($C18)=FALSE,OR(ISBLANK(U18)=TRUE,U18=""))</formula>
    </cfRule>
  </conditionalFormatting>
  <conditionalFormatting sqref="AM18:AN37">
    <cfRule type="expression" dxfId="114" priority="1">
      <formula>AM18 &lt;&gt; INDEX(STDCOMPRESSINC, MATCH(C18, STDCOMPRESSLIST,0))</formula>
    </cfRule>
  </conditionalFormatting>
  <conditionalFormatting sqref="AR18:AU37">
    <cfRule type="expression" dxfId="113" priority="2" stopIfTrue="1">
      <formula>ISNUMBER($AR18)=FALSE</formula>
    </cfRule>
    <cfRule type="expression" dxfId="112" priority="3">
      <formula>$AR18 &lt;&gt; $BG18</formula>
    </cfRule>
  </conditionalFormatting>
  <conditionalFormatting sqref="AS8:AW8">
    <cfRule type="expression" dxfId="111" priority="7">
      <formula>IF($AS$8=PROJSTATMEASURE,FALSE,TRUE)</formula>
    </cfRule>
  </conditionalFormatting>
  <dataValidations count="6">
    <dataValidation type="custom" allowBlank="1" showInputMessage="1" showErrorMessage="1" errorTitle="Invalid Entry" error="Value must be a whole number greater than zero._x000a_Value must be within defined measure quantity." prompt="Reference the &quot;Quantity Type&quot; column to ensure you enter the correct value." sqref="U18:V37" xr:uid="{D3D71481-7B2D-4CD4-9994-EF2B562D3F7D}">
      <formula1>IF(ISNUMBER(SEARCH("Variable",$C18)),AND($U18&gt;0,$U18&lt;=200),$U18&gt;0)</formula1>
    </dataValidation>
    <dataValidation type="decimal" allowBlank="1" showInputMessage="1" showErrorMessage="1" prompt="This is the TOTAL Labor Cost of the measure, NOT a per unit basis." sqref="AK18:AL37" xr:uid="{5D8B316A-72E1-4C9D-9E65-F5989BF455F6}">
      <formula1>0</formula1>
      <formula2>999999</formula2>
    </dataValidation>
    <dataValidation type="list" allowBlank="1" showInputMessage="1" showErrorMessage="1" prompt="Select Efficient Measure. If you do not see your equipment listed, it may qualify as a Custom Measure." sqref="C18:Q37" xr:uid="{FA787725-6792-4AC0-AD5F-E5C7753BA515}">
      <formula1>STDCOMPRESSLIST</formula1>
    </dataValidation>
    <dataValidation type="decimal" allowBlank="1" showInputMessage="1" showErrorMessage="1" prompt="This is the TOTAL Material Cost of the measure, NOT a per unit basis." sqref="AI18:AJ37" xr:uid="{2F65C060-EA6E-4719-9BB8-2A11B0BE7471}">
      <formula1>0</formula1>
      <formula2>999999</formula2>
    </dataValidation>
    <dataValidation allowBlank="1" showInputMessage="1" showErrorMessage="1" prompt="Install Location should describe the area where the equipment installed. (e.g. Room 201, Garage, Mechanical Room)" sqref="AE18:AH37" xr:uid="{88D906F6-A64B-4068-884B-17C2D1BEF7FA}"/>
    <dataValidation allowBlank="1" showInputMessage="1" showErrorMessage="1" prompt="Enter the Brand and Model # as it appears in technical documents and invoices." sqref="W18:AD37" xr:uid="{0B72C8BB-19E4-4D12-9749-6369719580B2}"/>
  </dataValidations>
  <hyperlinks>
    <hyperlink ref="N9:Q11" location="'M03-S03'!C18" tooltip="Lighting Controls" display="'M03-S03'!C18" xr:uid="{E7FF4846-9558-4945-98C1-FC4687EB9722}"/>
    <hyperlink ref="R9:U11" location="'M03-S04'!C18" tooltip="Refrigeration" display="'M03-S04'!C18" xr:uid="{405AFAD4-0809-4A9C-82A9-1A36FE766D30}"/>
    <hyperlink ref="V9:Y11" location="'M03-S05'!C18" tooltip="HVAC" display="'M03-S05'!C18" xr:uid="{96F90B57-791D-4B4A-A328-6ADA6104BCC8}"/>
    <hyperlink ref="AD9:AG11" location="'M03-S06'!C18" tooltip="Compressed Air / Process" display="'M03-S06'!C18" xr:uid="{4F5E570E-AC9B-427C-9C6A-531C2999D620}"/>
    <hyperlink ref="AH9:AK11" location="'M03-S07'!C18" tooltip="Water Heating / Cooking" display="'M03-S07'!C18" xr:uid="{A84DFC61-A096-417B-AECA-54F03B7B3440}"/>
    <hyperlink ref="Z9:AC11" location="'M03-S08'!C18" tooltip="Motors and Drives" display="'M03-S08'!C18" xr:uid="{63666FF6-6C71-4676-BC51-07D15F2EEE71}"/>
    <hyperlink ref="AL9:AO11" location="'M04-S09'!C18" tooltip="Miscellaneous" display="'M04-S09'!C18" xr:uid="{E4D075CC-123F-4F7F-9A46-AF6264B7147B}"/>
    <hyperlink ref="B202" r:id="rId1" xr:uid="{54BC69C9-2CE0-453A-87D0-9F3BA6FF497C}"/>
    <hyperlink ref="J1:M3" location="'M01-S02'!J1" tooltip="Instructions" display="'M01-S02'!J1" xr:uid="{E6F65217-70B6-4F6B-81BF-78390CAE90F7}"/>
    <hyperlink ref="AP1:AS3" location="'M05-S05'!AL1" tooltip=" " display="'M05-S05'!AL1" xr:uid="{4626746D-9869-4957-8E26-8CACFCD8B2CF}"/>
    <hyperlink ref="AL1:AO3" location="'M05-S04'!AH1" tooltip=" " display="'M05-S04'!AH1" xr:uid="{E0F88901-3545-490A-BD6E-73DA804897A8}"/>
    <hyperlink ref="AT1:AW3" location="'M01-S03'!AP1" tooltip="Contact" display="'M01-S03'!AP1" xr:uid="{3DD723E2-8EFD-44EC-AA3B-7AB9D55922C8}"/>
  </hyperlinks>
  <printOptions horizontalCentered="1"/>
  <pageMargins left="0" right="0" top="0" bottom="0" header="0" footer="0"/>
  <pageSetup scale="4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C52AC-33A2-41FC-AC93-D8FD1664CC12}">
  <sheetPr codeName="Sheet24">
    <tabColor theme="8" tint="0.59999389629810485"/>
    <pageSetUpPr fitToPage="1"/>
  </sheetPr>
  <dimension ref="A1:BQ204"/>
  <sheetViews>
    <sheetView showGridLines="0" showRowColHeaders="0" zoomScale="85" zoomScaleNormal="85" workbookViewId="0">
      <selection activeCell="C18" sqref="C18:Q19"/>
    </sheetView>
  </sheetViews>
  <sheetFormatPr defaultColWidth="0" defaultRowHeight="15" zeroHeight="1"/>
  <cols>
    <col min="1" max="49" width="4.7109375" customWidth="1"/>
    <col min="50" max="50" width="9.5703125" hidden="1"/>
    <col min="51" max="51" width="15.7109375" hidden="1"/>
    <col min="52" max="58" width="9.5703125" hidden="1"/>
    <col min="59" max="61" width="12.7109375" hidden="1"/>
    <col min="62" max="65" width="9.5703125" hidden="1"/>
    <col min="66" max="67" width="13.7109375" hidden="1"/>
    <col min="68" max="68" width="9.5703125" hidden="1"/>
    <col min="69" max="69" width="14.7109375" hidden="1"/>
    <col min="70" max="16384" width="4.7109375" hidden="1"/>
  </cols>
  <sheetData>
    <row r="1" spans="1:6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9"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69" ht="15.95" customHeight="1">
      <c r="A4" s="666">
        <f>INCENTOTAL</f>
        <v>0</v>
      </c>
      <c r="B4" s="666"/>
      <c r="C4" s="666"/>
      <c r="D4" s="666"/>
      <c r="E4" s="666"/>
      <c r="F4" s="203"/>
      <c r="G4" s="203"/>
      <c r="H4" s="203"/>
      <c r="I4" s="203"/>
    </row>
    <row r="5" spans="1:69" ht="15.95" customHeight="1">
      <c r="A5" s="667"/>
      <c r="B5" s="667"/>
      <c r="C5" s="667"/>
      <c r="D5" s="667"/>
      <c r="E5" s="667"/>
      <c r="F5" s="428"/>
      <c r="G5" s="428"/>
      <c r="H5" s="428"/>
      <c r="I5" s="428"/>
      <c r="AS5" s="630">
        <f ca="1">PROGRESSSTATUS</f>
        <v>0</v>
      </c>
      <c r="AT5" s="630"/>
      <c r="AU5" s="630"/>
      <c r="AV5" s="630"/>
      <c r="AW5" s="630"/>
      <c r="AY5" s="22"/>
      <c r="AZ5" s="119" t="s">
        <v>1315</v>
      </c>
      <c r="BA5" s="119" t="s">
        <v>325</v>
      </c>
    </row>
    <row r="6" spans="1:69" ht="15.95" customHeight="1">
      <c r="A6" s="667"/>
      <c r="B6" s="667"/>
      <c r="C6" s="667"/>
      <c r="D6" s="667"/>
      <c r="E6" s="667"/>
      <c r="F6" s="428"/>
      <c r="G6" s="428"/>
      <c r="H6" s="428"/>
      <c r="I6" s="428"/>
      <c r="AS6" s="630"/>
      <c r="AT6" s="630"/>
      <c r="AU6" s="630"/>
      <c r="AV6" s="630"/>
      <c r="AW6" s="630"/>
      <c r="AY6" s="118" t="s">
        <v>1320</v>
      </c>
      <c r="AZ6" s="117" t="str">
        <f>CBPRESE</f>
        <v>NA</v>
      </c>
      <c r="BA6" s="117" t="str">
        <f>PAYPRESE</f>
        <v>NA</v>
      </c>
    </row>
    <row r="7" spans="1:69" ht="15.95" customHeight="1">
      <c r="A7" s="629" t="s">
        <v>83</v>
      </c>
      <c r="B7" s="629"/>
      <c r="C7" s="629"/>
      <c r="D7" s="629"/>
      <c r="E7" s="629"/>
      <c r="F7" s="85"/>
      <c r="G7" s="85"/>
      <c r="H7" s="85"/>
      <c r="I7" s="85"/>
      <c r="AS7" s="629" t="s">
        <v>299</v>
      </c>
      <c r="AT7" s="629"/>
      <c r="AU7" s="629"/>
      <c r="AV7" s="629"/>
      <c r="AW7" s="629"/>
      <c r="AY7" s="118" t="s">
        <v>135</v>
      </c>
      <c r="AZ7" s="117" t="str">
        <f>CBCUSE</f>
        <v>NA</v>
      </c>
      <c r="BA7" s="117" t="str">
        <f>PAYCUSE</f>
        <v>NA</v>
      </c>
    </row>
    <row r="8" spans="1:69" ht="15.95" customHeight="1" thickBot="1">
      <c r="A8" s="632"/>
      <c r="B8" s="632"/>
      <c r="C8" s="632"/>
      <c r="D8" s="632"/>
      <c r="E8" s="632"/>
      <c r="F8" s="429"/>
      <c r="G8" s="429"/>
      <c r="H8" s="429"/>
      <c r="I8" s="85"/>
      <c r="AS8" s="628" t="str">
        <f ca="1">PROJSTATUS</f>
        <v>Enter Measures</v>
      </c>
      <c r="AT8" s="628"/>
      <c r="AU8" s="628"/>
      <c r="AV8" s="628"/>
      <c r="AW8" s="628"/>
      <c r="AY8" s="118" t="s">
        <v>596</v>
      </c>
      <c r="AZ8" s="117" t="str">
        <f>CBALL</f>
        <v>NA</v>
      </c>
      <c r="BA8" s="117" t="str">
        <f>PAYALL</f>
        <v>NA</v>
      </c>
    </row>
    <row r="9" spans="1:69" s="88" customFormat="1" ht="15.95" customHeight="1">
      <c r="B9" s="110"/>
      <c r="C9" s="110"/>
      <c r="D9" s="110"/>
      <c r="E9" s="110"/>
      <c r="F9" s="110"/>
      <c r="G9" s="111"/>
      <c r="H9" s="111"/>
      <c r="I9" s="111"/>
      <c r="J9" s="927"/>
      <c r="K9" s="928"/>
      <c r="L9" s="928"/>
      <c r="M9" s="928"/>
      <c r="N9" s="815" t="str">
        <f>M3S3</f>
        <v>Lighting Controls</v>
      </c>
      <c r="O9" s="816"/>
      <c r="P9" s="816"/>
      <c r="Q9" s="816"/>
      <c r="R9" s="815" t="str">
        <f>M3S4</f>
        <v>Refrigeration</v>
      </c>
      <c r="S9" s="816"/>
      <c r="T9" s="816"/>
      <c r="U9" s="816"/>
      <c r="V9" s="815" t="str">
        <f>M3S5</f>
        <v>HVAC</v>
      </c>
      <c r="W9" s="816"/>
      <c r="X9" s="816"/>
      <c r="Y9" s="816"/>
      <c r="Z9" s="815" t="str">
        <f>M4S8</f>
        <v>Motors and Drives</v>
      </c>
      <c r="AA9" s="816"/>
      <c r="AB9" s="816"/>
      <c r="AC9" s="816"/>
      <c r="AD9" s="815" t="str">
        <f>M3S6</f>
        <v>Compressed Air / Process</v>
      </c>
      <c r="AE9" s="816"/>
      <c r="AF9" s="816"/>
      <c r="AG9" s="816"/>
      <c r="AH9" s="818" t="str">
        <f>M3S7</f>
        <v>Water Heating / Food Services</v>
      </c>
      <c r="AI9" s="818"/>
      <c r="AJ9" s="818"/>
      <c r="AK9" s="818"/>
      <c r="AL9" s="815" t="str">
        <f>M4S9</f>
        <v>Miscellaneous</v>
      </c>
      <c r="AM9" s="816"/>
      <c r="AN9" s="816"/>
      <c r="AO9" s="816"/>
      <c r="AP9" s="112"/>
      <c r="AQ9" s="112"/>
      <c r="AR9" s="112"/>
      <c r="AS9" s="112"/>
      <c r="AT9"/>
      <c r="AU9" s="110"/>
      <c r="AV9" s="110"/>
    </row>
    <row r="10" spans="1:69" s="88" customFormat="1" ht="15.95" customHeight="1">
      <c r="B10" s="89"/>
      <c r="C10" s="89"/>
      <c r="D10" s="89"/>
      <c r="E10" s="89"/>
      <c r="F10" s="89"/>
      <c r="J10" s="878"/>
      <c r="K10" s="878"/>
      <c r="L10" s="878"/>
      <c r="M10" s="878"/>
      <c r="N10" s="817"/>
      <c r="O10" s="817"/>
      <c r="P10" s="817"/>
      <c r="Q10" s="817"/>
      <c r="R10" s="817"/>
      <c r="S10" s="817"/>
      <c r="T10" s="817"/>
      <c r="U10" s="817"/>
      <c r="V10" s="817"/>
      <c r="W10" s="817"/>
      <c r="X10" s="817"/>
      <c r="Y10" s="817"/>
      <c r="Z10" s="817"/>
      <c r="AA10" s="817"/>
      <c r="AB10" s="817"/>
      <c r="AC10" s="817"/>
      <c r="AD10" s="817"/>
      <c r="AE10" s="817"/>
      <c r="AF10" s="817"/>
      <c r="AG10" s="817"/>
      <c r="AH10" s="819"/>
      <c r="AI10" s="819"/>
      <c r="AJ10" s="819"/>
      <c r="AK10" s="819"/>
      <c r="AL10" s="817"/>
      <c r="AM10" s="817"/>
      <c r="AN10" s="817"/>
      <c r="AO10" s="817"/>
      <c r="AP10"/>
      <c r="AQ10"/>
      <c r="AR10"/>
      <c r="AS10"/>
      <c r="AT10"/>
      <c r="AU10" s="89"/>
      <c r="AV10" s="89"/>
    </row>
    <row r="11" spans="1:69" ht="15.95" customHeight="1">
      <c r="B11" s="106"/>
      <c r="C11" s="106"/>
      <c r="D11" s="106"/>
      <c r="E11" s="106"/>
      <c r="F11" s="106"/>
      <c r="J11" s="878"/>
      <c r="K11" s="878"/>
      <c r="L11" s="878"/>
      <c r="M11" s="878"/>
      <c r="N11" s="817"/>
      <c r="O11" s="817"/>
      <c r="P11" s="817"/>
      <c r="Q11" s="817"/>
      <c r="R11" s="817"/>
      <c r="S11" s="817"/>
      <c r="T11" s="817"/>
      <c r="U11" s="817"/>
      <c r="V11" s="817"/>
      <c r="W11" s="817"/>
      <c r="X11" s="817"/>
      <c r="Y11" s="817"/>
      <c r="Z11" s="817"/>
      <c r="AA11" s="817"/>
      <c r="AB11" s="817"/>
      <c r="AC11" s="817"/>
      <c r="AD11" s="817"/>
      <c r="AE11" s="817"/>
      <c r="AF11" s="817"/>
      <c r="AG11" s="817"/>
      <c r="AH11" s="819"/>
      <c r="AI11" s="819"/>
      <c r="AJ11" s="819"/>
      <c r="AK11" s="819"/>
      <c r="AL11" s="817"/>
      <c r="AM11" s="817"/>
      <c r="AN11" s="817"/>
      <c r="AO11" s="817"/>
      <c r="AU11" s="106"/>
      <c r="AV11" s="106"/>
    </row>
    <row r="12" spans="1:69" ht="15.95" customHeight="1">
      <c r="A12" s="86"/>
      <c r="B12" s="86"/>
      <c r="C12" s="86"/>
      <c r="D12" s="86"/>
      <c r="E12" s="86"/>
      <c r="F12" s="86"/>
      <c r="G12" s="86"/>
      <c r="T12" s="821">
        <f>SUM(AR18:AU199)</f>
        <v>0</v>
      </c>
      <c r="U12" s="821"/>
      <c r="V12" s="821"/>
      <c r="W12" s="821"/>
      <c r="X12" s="821">
        <f>SUM(AX18:AX199)</f>
        <v>0</v>
      </c>
      <c r="Y12" s="821"/>
      <c r="Z12" s="821"/>
      <c r="AA12" s="821"/>
      <c r="AB12" s="820">
        <f ca="1">SUMIF(AR18:AU199,"&gt;0",AO18:AQ199)</f>
        <v>0</v>
      </c>
      <c r="AC12" s="820"/>
      <c r="AD12" s="820"/>
      <c r="AE12" s="820"/>
    </row>
    <row r="13" spans="1:69" ht="15.95" customHeight="1">
      <c r="A13" s="86"/>
      <c r="B13" s="86"/>
      <c r="C13" s="86"/>
      <c r="D13" s="86"/>
      <c r="E13" s="758" t="s">
        <v>1844</v>
      </c>
      <c r="F13" s="758"/>
      <c r="G13" s="758"/>
      <c r="H13" s="758"/>
      <c r="I13" s="758"/>
      <c r="J13" s="758"/>
      <c r="K13" s="758"/>
      <c r="L13" s="758"/>
      <c r="M13" s="758"/>
      <c r="N13" s="758"/>
      <c r="O13" s="758"/>
      <c r="P13" s="758"/>
      <c r="Q13" s="758"/>
      <c r="R13" s="758"/>
      <c r="T13" s="821"/>
      <c r="U13" s="821"/>
      <c r="V13" s="821"/>
      <c r="W13" s="821"/>
      <c r="X13" s="821"/>
      <c r="Y13" s="821"/>
      <c r="Z13" s="821"/>
      <c r="AA13" s="821"/>
      <c r="AB13" s="820"/>
      <c r="AC13" s="820"/>
      <c r="AD13" s="820"/>
      <c r="AE13" s="820"/>
      <c r="AM13" s="840" t="str">
        <f>IF(IFERROR(MATCH("100% Total Cost", BI:BI, 0), FALSE), "The incentive for one or more measures is capped due to measure cost.", "")</f>
        <v/>
      </c>
      <c r="AN13" s="840"/>
      <c r="AO13" s="840"/>
      <c r="AP13" s="840"/>
      <c r="AQ13" s="840"/>
      <c r="AR13" s="840"/>
      <c r="AS13" s="840"/>
      <c r="AT13" s="840"/>
      <c r="AU13" s="840"/>
    </row>
    <row r="14" spans="1:69" ht="15.95" customHeight="1">
      <c r="T14" s="758" t="s">
        <v>1717</v>
      </c>
      <c r="U14" s="758"/>
      <c r="V14" s="758"/>
      <c r="W14" s="758"/>
      <c r="X14" s="758" t="s">
        <v>67</v>
      </c>
      <c r="Y14" s="758"/>
      <c r="Z14" s="758"/>
      <c r="AA14" s="758"/>
      <c r="AB14" s="758" t="s">
        <v>1161</v>
      </c>
      <c r="AC14" s="758"/>
      <c r="AD14" s="758"/>
      <c r="AE14" s="758"/>
      <c r="AM14" s="840"/>
      <c r="AN14" s="840"/>
      <c r="AO14" s="840"/>
      <c r="AP14" s="840"/>
      <c r="AQ14" s="840"/>
      <c r="AR14" s="840"/>
      <c r="AS14" s="840"/>
      <c r="AT14" s="840"/>
      <c r="AU14" s="840"/>
    </row>
    <row r="15" spans="1:69" ht="15.95" customHeight="1"/>
    <row r="16" spans="1:69" ht="15.95" customHeight="1">
      <c r="C16" s="723" t="s">
        <v>1250</v>
      </c>
      <c r="D16" s="723"/>
      <c r="E16" s="723"/>
      <c r="F16" s="723"/>
      <c r="G16" s="723"/>
      <c r="H16" s="723"/>
      <c r="I16" s="723"/>
      <c r="J16" s="723"/>
      <c r="K16" s="723"/>
      <c r="L16" s="723"/>
      <c r="M16" s="723"/>
      <c r="N16" s="723"/>
      <c r="O16" s="723"/>
      <c r="P16" s="723"/>
      <c r="Q16" s="723"/>
      <c r="R16" s="723" t="s">
        <v>1261</v>
      </c>
      <c r="S16" s="723"/>
      <c r="T16" s="723"/>
      <c r="U16" s="723" t="s">
        <v>74</v>
      </c>
      <c r="V16" s="723"/>
      <c r="W16" s="723" t="s">
        <v>2912</v>
      </c>
      <c r="X16" s="723"/>
      <c r="Y16" s="723"/>
      <c r="Z16" s="723"/>
      <c r="AA16" s="723" t="s">
        <v>2913</v>
      </c>
      <c r="AB16" s="723"/>
      <c r="AC16" s="723"/>
      <c r="AD16" s="723"/>
      <c r="AE16" s="723" t="s">
        <v>1249</v>
      </c>
      <c r="AF16" s="723"/>
      <c r="AG16" s="723"/>
      <c r="AH16" s="723"/>
      <c r="AI16" s="814" t="s">
        <v>1243</v>
      </c>
      <c r="AJ16" s="814"/>
      <c r="AK16" s="814"/>
      <c r="AL16" s="814"/>
      <c r="AM16" s="723" t="s">
        <v>1718</v>
      </c>
      <c r="AN16" s="723"/>
      <c r="AO16" s="723" t="s">
        <v>1108</v>
      </c>
      <c r="AP16" s="723"/>
      <c r="AQ16" s="723"/>
      <c r="AR16" s="723" t="s">
        <v>83</v>
      </c>
      <c r="AS16" s="723"/>
      <c r="AT16" s="723"/>
      <c r="AU16" s="723"/>
      <c r="AX16" s="752" t="s">
        <v>1257</v>
      </c>
      <c r="AY16" s="752" t="s">
        <v>1116</v>
      </c>
      <c r="AZ16" s="759" t="s">
        <v>1253</v>
      </c>
      <c r="BA16" s="759"/>
      <c r="BB16" s="752" t="s">
        <v>1255</v>
      </c>
      <c r="BC16" s="752" t="s">
        <v>1256</v>
      </c>
      <c r="BD16" s="752" t="s">
        <v>1305</v>
      </c>
      <c r="BE16" s="759" t="s">
        <v>1254</v>
      </c>
      <c r="BF16" s="759"/>
      <c r="BG16" s="752" t="s">
        <v>2774</v>
      </c>
      <c r="BH16" s="752" t="s">
        <v>85</v>
      </c>
      <c r="BI16" s="752" t="s">
        <v>1306</v>
      </c>
      <c r="BJ16" s="752" t="s">
        <v>309</v>
      </c>
      <c r="BK16" s="736" t="s">
        <v>88</v>
      </c>
      <c r="BL16" s="736" t="s">
        <v>2130</v>
      </c>
      <c r="BM16" s="833"/>
      <c r="BN16" s="736" t="s">
        <v>2270</v>
      </c>
      <c r="BO16" s="736" t="s">
        <v>1303</v>
      </c>
      <c r="BP16" s="736" t="s">
        <v>2401</v>
      </c>
      <c r="BQ16" s="752" t="s">
        <v>2917</v>
      </c>
    </row>
    <row r="17" spans="1:69" ht="15.95" customHeight="1" thickBot="1">
      <c r="C17" s="724"/>
      <c r="D17" s="724"/>
      <c r="E17" s="724"/>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t="s">
        <v>1241</v>
      </c>
      <c r="AJ17" s="724"/>
      <c r="AK17" s="724" t="s">
        <v>1242</v>
      </c>
      <c r="AL17" s="724"/>
      <c r="AM17" s="724"/>
      <c r="AN17" s="724"/>
      <c r="AO17" s="724"/>
      <c r="AP17" s="724"/>
      <c r="AQ17" s="724"/>
      <c r="AR17" s="724"/>
      <c r="AS17" s="724"/>
      <c r="AT17" s="724"/>
      <c r="AU17" s="724"/>
      <c r="AX17" s="753"/>
      <c r="AY17" s="753"/>
      <c r="AZ17" s="107" t="s">
        <v>1251</v>
      </c>
      <c r="BA17" s="107" t="s">
        <v>1252</v>
      </c>
      <c r="BB17" s="753"/>
      <c r="BC17" s="753" t="s">
        <v>1256</v>
      </c>
      <c r="BD17" s="753"/>
      <c r="BE17" s="107" t="s">
        <v>1251</v>
      </c>
      <c r="BF17" s="107" t="s">
        <v>1465</v>
      </c>
      <c r="BG17" s="753"/>
      <c r="BH17" s="753"/>
      <c r="BI17" s="753"/>
      <c r="BJ17" s="753"/>
      <c r="BK17" s="737"/>
      <c r="BL17" s="737"/>
      <c r="BM17" s="834"/>
      <c r="BN17" s="737"/>
      <c r="BO17" s="737"/>
      <c r="BP17" s="737"/>
      <c r="BQ17" s="753"/>
    </row>
    <row r="18" spans="1:69" ht="15.95" customHeight="1">
      <c r="B18" s="806">
        <v>1</v>
      </c>
      <c r="C18" s="813"/>
      <c r="D18" s="813"/>
      <c r="E18" s="813"/>
      <c r="F18" s="813"/>
      <c r="G18" s="813"/>
      <c r="H18" s="813"/>
      <c r="I18" s="813"/>
      <c r="J18" s="813"/>
      <c r="K18" s="813"/>
      <c r="L18" s="813"/>
      <c r="M18" s="813"/>
      <c r="N18" s="813"/>
      <c r="O18" s="813"/>
      <c r="P18" s="813"/>
      <c r="Q18" s="813"/>
      <c r="R18" s="869" t="str">
        <f>IF(C18="","",INDEX(STDWATER[Current Unit],MATCH(C18,STDWATER[Measure Name],0)))</f>
        <v/>
      </c>
      <c r="S18" s="869"/>
      <c r="T18" s="869"/>
      <c r="U18" s="784"/>
      <c r="V18" s="784"/>
      <c r="W18" s="813"/>
      <c r="X18" s="813"/>
      <c r="Y18" s="813"/>
      <c r="Z18" s="813"/>
      <c r="AA18" s="813"/>
      <c r="AB18" s="813"/>
      <c r="AC18" s="813"/>
      <c r="AD18" s="813"/>
      <c r="AE18" s="813"/>
      <c r="AF18" s="813"/>
      <c r="AG18" s="813"/>
      <c r="AH18" s="716"/>
      <c r="AI18" s="952"/>
      <c r="AJ18" s="953"/>
      <c r="AK18" s="953"/>
      <c r="AL18" s="960"/>
      <c r="AM18" s="954" t="str">
        <f>IFERROR(IF(C18="","",INDEX(IF(AND(ACTIVEBONUS = TRUE,INDEX(STDWATER[Bonus Incentive],MATCH(C18,STDWATER[Measure Name],0))&lt;&gt; ""),STDWATER[Bonus Incentive],STDWATER[Base Incentive]),MATCH(C18,STDWATER[Measure Name],0))),"")</f>
        <v/>
      </c>
      <c r="AN18" s="955"/>
      <c r="AO18" s="956" t="str">
        <f>IFERROR(IF(OR(C18="",U18="",R18="",AA18="",AE18="",AI18="",AK18="",W18=""),"",IF(BN18="Deemed",AZ18,IF(BN18="Calculated",BE18,""))),"")</f>
        <v/>
      </c>
      <c r="AP18" s="956"/>
      <c r="AQ18" s="956"/>
      <c r="AR18" s="799" t="str">
        <f>IFERROR(IF(OR(C18="",U18="",R18="",AA18="",AE18="",AI18="",AK18="",W18=""),"",IF(BJ18&lt;&gt;"",BJ18,IF(BP18&gt;0,BP18,ROUND(IF(AO18&lt;=0,0,MIN(AX18,BG18)),2)))),"")</f>
        <v/>
      </c>
      <c r="AS18" s="800"/>
      <c r="AT18" s="800"/>
      <c r="AU18" s="801"/>
      <c r="AV18" s="22"/>
      <c r="AX18" s="873" t="str">
        <f>IF(OR(C18="",U18="",R18="",AA18="",AE18="",AI18="",AK18="",W18=""),"",IF(AO18=0,"",ROUND(AI18+AK18,2)))</f>
        <v/>
      </c>
      <c r="AY18" s="750" t="str">
        <f>IFERROR(IF(OR(C18="",U18="",R18="",AA18="",AE18="",AI18="",AK18="",W18=""),"",INDEX(STDWATER[Current Unit],MATCH(C18,STDWATER[Measure Name],0))),"Err")</f>
        <v/>
      </c>
      <c r="AZ18" s="961" t="str">
        <f>IF(OR(C18="",U18="",R18="",AA18="",AE18="",AI18="",AK18="",W18=""),"",ROUND(U18*INDEX(STDWATER[Electric Energy Savings (Annual kWh/unit)],MATCH(C18,STDWATER[Measure Name],0)),4))</f>
        <v/>
      </c>
      <c r="BA18" s="746" t="str">
        <f>IF(OR(C18="",U18="",R18="",AA18="",AE18="",AI18="",AK18="",W18=""),"",ROUND(U18*INDEX(STDWATER[Coincident Peak Demand Savings (kW/unit)],MATCH(C18,STDWATER[Measure Name],0)),4))</f>
        <v/>
      </c>
      <c r="BB18" s="870"/>
      <c r="BC18" s="870"/>
      <c r="BD18" s="754" t="str">
        <f>IFERROR(IF(OR(C18="",U18="",R18="",AA18="",AE18="",AI18="",AK18="",W18=""),"",INDEX(STDWATER[End Use],MATCH(C18,STDWATER[Measure Name],0))),"Err")</f>
        <v/>
      </c>
      <c r="BE18" s="870"/>
      <c r="BF18" s="870"/>
      <c r="BG18" s="838" t="str">
        <f>IFERROR(ROUND(U18*AM18, 2), "")</f>
        <v/>
      </c>
      <c r="BH18" s="750" t="str">
        <f>IFERROR(IF(OR(C18="",U18="",R18="",AA18="",AE18="",AI18="",AK18="",W18="",ISNUMBER(AR18)=FALSE,AR18=0),"",INDEX(STDWATER[Measure Number],MATCH(C18,STDWATER[Measure Name],0))),"Err")</f>
        <v/>
      </c>
      <c r="BI18" s="754" t="str">
        <f>IFERROR(IF(BP18="",IF(AR18 &lt; BG18, "100% Total Cost", ""), ""), "")</f>
        <v/>
      </c>
      <c r="BJ18" s="750" t="str">
        <f>IFERROR(IF(OR(C18="",U18="",AA18="",AE18="",AI18="",AK18="",W18=""),"",
IF(BP18&gt;0,"",
IF(EXPIRATION&lt;&gt;"",PROJSTATEXP,""))),"")</f>
        <v/>
      </c>
      <c r="BK18" s="828" t="str">
        <f>IFERROR(INDEX(STDWATER[Measure Life (Years)],MATCH(C18,STDWATER[Measure Name],0)),"")</f>
        <v/>
      </c>
      <c r="BL18" s="830" t="str">
        <f>IFERROR(IF(OR(C18="",U18="",R18="",AA18="",AE18="",AI18="",AK18="",W18=""),"",
ROUND(((1+ELOSS)*((AZ18*INDEX(ELECCB[NPV AEC $/kWh],MATCH(BK18,ELECCB[Year Number],1)))+(BA18*INDEX(ELECCB[NPV ACC $/kW],MATCH(BK18,ELECCB[Year Number],1))))),2)),0)</f>
        <v/>
      </c>
      <c r="BM18" s="835"/>
      <c r="BN18" s="832" t="str">
        <f>IFERROR(IF(OR(C18="",U18="",R18="",AA18="",AE18="",AI18="",AK18="",W18=""),"",INDEX(STDWATER[Reporting Methodology],MATCH(C18,STDWATER[Measure Name],0))),"Err")</f>
        <v/>
      </c>
      <c r="BO18" s="867" t="str">
        <f>IFERROR(IF(BH18="","",INDEX(STDWATER[Incremental Measure Cost ($/Unit)],MATCH(C18,STDWATER[Measure Name],0))),"Err")</f>
        <v/>
      </c>
      <c r="BP18" s="837"/>
      <c r="BQ18" s="838" t="str">
        <f>_xlfn.LET(
_xlpm.IPU,
IFERROR(IF(C18="","",INDEX(STDWATER[Base Incentive],MATCH(C18,STDWATER[Measure Name],0))),""),
IFERROR(ROUND(U18*_xlpm.IPU, 2), ""))</f>
        <v/>
      </c>
    </row>
    <row r="19" spans="1:69" ht="15.95" customHeight="1">
      <c r="B19" s="806"/>
      <c r="C19" s="805"/>
      <c r="D19" s="805"/>
      <c r="E19" s="805"/>
      <c r="F19" s="805"/>
      <c r="G19" s="805"/>
      <c r="H19" s="805"/>
      <c r="I19" s="805"/>
      <c r="J19" s="805"/>
      <c r="K19" s="805"/>
      <c r="L19" s="805"/>
      <c r="M19" s="805"/>
      <c r="N19" s="805"/>
      <c r="O19" s="805"/>
      <c r="P19" s="805"/>
      <c r="Q19" s="805"/>
      <c r="R19" s="868"/>
      <c r="S19" s="868"/>
      <c r="T19" s="868"/>
      <c r="U19" s="785"/>
      <c r="V19" s="785"/>
      <c r="W19" s="805"/>
      <c r="X19" s="805"/>
      <c r="Y19" s="805"/>
      <c r="Z19" s="805"/>
      <c r="AA19" s="805"/>
      <c r="AB19" s="805"/>
      <c r="AC19" s="805"/>
      <c r="AD19" s="805"/>
      <c r="AE19" s="805"/>
      <c r="AF19" s="805"/>
      <c r="AG19" s="805"/>
      <c r="AH19" s="728"/>
      <c r="AI19" s="765"/>
      <c r="AJ19" s="766"/>
      <c r="AK19" s="766"/>
      <c r="AL19" s="767"/>
      <c r="AM19" s="875"/>
      <c r="AN19" s="825"/>
      <c r="AO19" s="798"/>
      <c r="AP19" s="798"/>
      <c r="AQ19" s="798"/>
      <c r="AR19" s="802"/>
      <c r="AS19" s="803"/>
      <c r="AT19" s="803"/>
      <c r="AU19" s="804"/>
      <c r="AV19" s="22"/>
      <c r="AX19" s="874"/>
      <c r="AY19" s="751"/>
      <c r="AZ19" s="962"/>
      <c r="BA19" s="747"/>
      <c r="BB19" s="871"/>
      <c r="BC19" s="871"/>
      <c r="BD19" s="755"/>
      <c r="BE19" s="871"/>
      <c r="BF19" s="871"/>
      <c r="BG19" s="839"/>
      <c r="BH19" s="751"/>
      <c r="BI19" s="755"/>
      <c r="BJ19" s="751"/>
      <c r="BK19" s="829"/>
      <c r="BL19" s="831"/>
      <c r="BM19" s="836"/>
      <c r="BN19" s="832"/>
      <c r="BO19" s="867"/>
      <c r="BP19" s="837"/>
      <c r="BQ19" s="839"/>
    </row>
    <row r="20" spans="1:69" ht="15.95" customHeight="1">
      <c r="A20" s="85"/>
      <c r="B20" s="806">
        <v>2</v>
      </c>
      <c r="C20" s="805"/>
      <c r="D20" s="805"/>
      <c r="E20" s="805"/>
      <c r="F20" s="805"/>
      <c r="G20" s="805"/>
      <c r="H20" s="805"/>
      <c r="I20" s="805"/>
      <c r="J20" s="805"/>
      <c r="K20" s="805"/>
      <c r="L20" s="805"/>
      <c r="M20" s="805"/>
      <c r="N20" s="805"/>
      <c r="O20" s="805"/>
      <c r="P20" s="805"/>
      <c r="Q20" s="805"/>
      <c r="R20" s="868" t="str">
        <f>IF(C20="","",INDEX(STDWATER[Current Unit],MATCH(C20,STDWATER[Measure Name],0)))</f>
        <v/>
      </c>
      <c r="S20" s="868"/>
      <c r="T20" s="868"/>
      <c r="U20" s="785"/>
      <c r="V20" s="785"/>
      <c r="W20" s="805"/>
      <c r="X20" s="805"/>
      <c r="Y20" s="805"/>
      <c r="Z20" s="805"/>
      <c r="AA20" s="805"/>
      <c r="AB20" s="805"/>
      <c r="AC20" s="805"/>
      <c r="AD20" s="805"/>
      <c r="AE20" s="805"/>
      <c r="AF20" s="805"/>
      <c r="AG20" s="805"/>
      <c r="AH20" s="728"/>
      <c r="AI20" s="765"/>
      <c r="AJ20" s="766"/>
      <c r="AK20" s="766"/>
      <c r="AL20" s="767"/>
      <c r="AM20" s="793" t="str">
        <f>IFERROR(IF(C20="","",INDEX(IF(AND(ACTIVEBONUS = TRUE,INDEX(STDWATER[Bonus Incentive],MATCH(C20,STDWATER[Measure Name],0))&lt;&gt; ""),STDWATER[Bonus Incentive],STDWATER[Base Incentive]),MATCH(C20,STDWATER[Measure Name],0))),"")</f>
        <v/>
      </c>
      <c r="AN20" s="794"/>
      <c r="AO20" s="798" t="str">
        <f>IFERROR(IF(OR(C20="",U20="",R20="",AA20="",AE20="",AI20="",AK20=""),"",IF(BN20="Deemed",AZ20,IF(BN20="Calculated",BE20,""))),"")</f>
        <v/>
      </c>
      <c r="AP20" s="798"/>
      <c r="AQ20" s="798"/>
      <c r="AR20" s="799" t="str">
        <f>IFERROR(IF(OR(C20="",U20="",R20="",AA20="",AE20="",AI20="",AK20=""),"",IF(BJ20&lt;&gt;"",BJ20,IF(BP20&gt;0,BP20,ROUND(IF(AO20&lt;=0,0,MIN(AX20,BG20)),2)))),"")</f>
        <v/>
      </c>
      <c r="AS20" s="800"/>
      <c r="AT20" s="800"/>
      <c r="AU20" s="801"/>
      <c r="AV20" s="22"/>
      <c r="AX20" s="873" t="str">
        <f>IF(OR(C20="",U20="",R20="",AA20="",AE20="",AI20="",AK20=""),"",IF(AO20=0,"",ROUND(AI20+AK20,2)))</f>
        <v/>
      </c>
      <c r="AY20" s="750" t="str">
        <f>IFERROR(IF(OR(C20="",U20="",R20="",AA20="",AE20="",AI20="",AK20=""),"",INDEX(STDWATER[Current Unit],MATCH(C20,STDWATER[Measure Name],0))),"Err")</f>
        <v/>
      </c>
      <c r="AZ20" s="961" t="str">
        <f>IF(OR(C20="",U20="",R20="",AA20="",AE20="",AI20="",AK20=""),"",ROUND(U20*INDEX(STDWATER[Electric Energy Savings (Annual kWh/unit)],MATCH(C20,STDWATER[Measure Name],0)),4))</f>
        <v/>
      </c>
      <c r="BA20" s="746" t="str">
        <f>IF(OR(C20="",U20="",R20="",AA20="",AE20="",AI20="",AK20=""),"",ROUND(U20*INDEX(STDWATER[Coincident Peak Demand Savings (kW/unit)],MATCH(C20,STDWATER[Measure Name],0)),4))</f>
        <v/>
      </c>
      <c r="BB20" s="871"/>
      <c r="BC20" s="871"/>
      <c r="BD20" s="754" t="str">
        <f>IFERROR(IF(OR(C20="",U20="",R20="",AA20="",AE20="",AI20="",AK20=""),"",INDEX(STDWATER[End Use],MATCH(C20,STDWATER[Measure Name],0))),"Err")</f>
        <v/>
      </c>
      <c r="BE20" s="871"/>
      <c r="BF20" s="871"/>
      <c r="BG20" s="838" t="str">
        <f>IFERROR(ROUND(U20*AM20, 2), "")</f>
        <v/>
      </c>
      <c r="BH20" s="750" t="str">
        <f>IFERROR(IF(OR(C20="",U20="",R20="",AA20="",AE20="",AI20="",AK20="",ISNUMBER(AR20)=FALSE,AR20=0),"",INDEX(STDWATER[Measure Number],MATCH(C20,STDWATER[Measure Name],0))),"Err")</f>
        <v/>
      </c>
      <c r="BI20" s="754" t="str">
        <f t="shared" ref="BI20" si="0">IFERROR(IF(BP20="",IF(AR20 &lt; BG20, "100% Total Cost", ""), ""), "")</f>
        <v/>
      </c>
      <c r="BJ20" s="750" t="str">
        <f>IFERROR(IF(OR(C20="",U20="",AA20="",AE20="",AI20="",AK20=""),"",
IF(BP20&gt;0,"",
IF(EXPIRATION&lt;&gt;"",PROJSTATEXP,""))),"")</f>
        <v/>
      </c>
      <c r="BK20" s="828" t="str">
        <f>IFERROR(INDEX(STDWATER[Measure Life (Years)],MATCH(C20,STDWATER[Measure Name],0)),"")</f>
        <v/>
      </c>
      <c r="BL20" s="830" t="str">
        <f>IFERROR(IF(OR(C20="",U20="",R20="",AA20="",AE20="",AI20="",AK20=""),"",
ROUND(((1+ELOSS)*((AZ20*INDEX(ELECCB[NPV AEC $/kWh],MATCH(BK20,ELECCB[Year Number],1)))+(BA20*INDEX(ELECCB[NPV ACC $/kW],MATCH(BK20,ELECCB[Year Number],1))))),2)),0)</f>
        <v/>
      </c>
      <c r="BM20" s="835"/>
      <c r="BN20" s="832" t="str">
        <f>IFERROR(IF(OR(C20="",U20="",R20="",AA20="",AE20="",AI20="",AK20=""),"",INDEX(STDWATER[Reporting Methodology],MATCH(C20,STDWATER[Measure Name],0))),"Err")</f>
        <v/>
      </c>
      <c r="BO20" s="867" t="str">
        <f>IFERROR(IF(BH20="","",INDEX(STDWATER[Incremental Measure Cost ($/Unit)],MATCH(C20,STDWATER[Measure Name],0))),"Err")</f>
        <v/>
      </c>
      <c r="BP20" s="837"/>
      <c r="BQ20" s="838" t="str">
        <f>_xlfn.LET(
_xlpm.IPU,
IFERROR(IF(C20="","",INDEX(STDWATER[Base Incentive],MATCH(C20,STDWATER[Measure Name],0))),""),
IFERROR(ROUND(U20*_xlpm.IPU, 2), ""))</f>
        <v/>
      </c>
    </row>
    <row r="21" spans="1:69" ht="15.95" customHeight="1">
      <c r="B21" s="806"/>
      <c r="C21" s="805"/>
      <c r="D21" s="805"/>
      <c r="E21" s="805"/>
      <c r="F21" s="805"/>
      <c r="G21" s="805"/>
      <c r="H21" s="805"/>
      <c r="I21" s="805"/>
      <c r="J21" s="805"/>
      <c r="K21" s="805"/>
      <c r="L21" s="805"/>
      <c r="M21" s="805"/>
      <c r="N21" s="805"/>
      <c r="O21" s="805"/>
      <c r="P21" s="805"/>
      <c r="Q21" s="805"/>
      <c r="R21" s="868"/>
      <c r="S21" s="868"/>
      <c r="T21" s="868"/>
      <c r="U21" s="785"/>
      <c r="V21" s="785"/>
      <c r="W21" s="805"/>
      <c r="X21" s="805"/>
      <c r="Y21" s="805"/>
      <c r="Z21" s="805"/>
      <c r="AA21" s="805"/>
      <c r="AB21" s="805"/>
      <c r="AC21" s="805"/>
      <c r="AD21" s="805"/>
      <c r="AE21" s="805"/>
      <c r="AF21" s="805"/>
      <c r="AG21" s="805"/>
      <c r="AH21" s="728"/>
      <c r="AI21" s="765"/>
      <c r="AJ21" s="766"/>
      <c r="AK21" s="766"/>
      <c r="AL21" s="767"/>
      <c r="AM21" s="795"/>
      <c r="AN21" s="796"/>
      <c r="AO21" s="798"/>
      <c r="AP21" s="798"/>
      <c r="AQ21" s="798"/>
      <c r="AR21" s="802"/>
      <c r="AS21" s="803"/>
      <c r="AT21" s="803"/>
      <c r="AU21" s="804"/>
      <c r="AV21" s="22"/>
      <c r="AX21" s="874"/>
      <c r="AY21" s="751"/>
      <c r="AZ21" s="962"/>
      <c r="BA21" s="747"/>
      <c r="BB21" s="871"/>
      <c r="BC21" s="871"/>
      <c r="BD21" s="755"/>
      <c r="BE21" s="871"/>
      <c r="BF21" s="871"/>
      <c r="BG21" s="839"/>
      <c r="BH21" s="751"/>
      <c r="BI21" s="755"/>
      <c r="BJ21" s="751"/>
      <c r="BK21" s="829"/>
      <c r="BL21" s="831"/>
      <c r="BM21" s="836"/>
      <c r="BN21" s="832"/>
      <c r="BO21" s="867"/>
      <c r="BP21" s="837"/>
      <c r="BQ21" s="839"/>
    </row>
    <row r="22" spans="1:69" ht="15.95" customHeight="1">
      <c r="A22" s="85"/>
      <c r="B22" s="806">
        <v>3</v>
      </c>
      <c r="C22" s="805"/>
      <c r="D22" s="805"/>
      <c r="E22" s="805"/>
      <c r="F22" s="805"/>
      <c r="G22" s="805"/>
      <c r="H22" s="805"/>
      <c r="I22" s="805"/>
      <c r="J22" s="805"/>
      <c r="K22" s="805"/>
      <c r="L22" s="805"/>
      <c r="M22" s="805"/>
      <c r="N22" s="805"/>
      <c r="O22" s="805"/>
      <c r="P22" s="805"/>
      <c r="Q22" s="805"/>
      <c r="R22" s="868" t="str">
        <f>IF(C22="","",INDEX(STDWATER[Current Unit],MATCH(C22,STDWATER[Measure Name],0)))</f>
        <v/>
      </c>
      <c r="S22" s="868"/>
      <c r="T22" s="868"/>
      <c r="U22" s="785"/>
      <c r="V22" s="785"/>
      <c r="W22" s="805"/>
      <c r="X22" s="805"/>
      <c r="Y22" s="805"/>
      <c r="Z22" s="805"/>
      <c r="AA22" s="805"/>
      <c r="AB22" s="805"/>
      <c r="AC22" s="805"/>
      <c r="AD22" s="805"/>
      <c r="AE22" s="805"/>
      <c r="AF22" s="805"/>
      <c r="AG22" s="805"/>
      <c r="AH22" s="728"/>
      <c r="AI22" s="765"/>
      <c r="AJ22" s="766"/>
      <c r="AK22" s="766"/>
      <c r="AL22" s="767"/>
      <c r="AM22" s="793" t="str">
        <f>IFERROR(IF(C22="","",INDEX(IF(AND(ACTIVEBONUS = TRUE,INDEX(STDWATER[Bonus Incentive],MATCH(C22,STDWATER[Measure Name],0))&lt;&gt; ""),STDWATER[Bonus Incentive],STDWATER[Base Incentive]),MATCH(C22,STDWATER[Measure Name],0))),"")</f>
        <v/>
      </c>
      <c r="AN22" s="794"/>
      <c r="AO22" s="798" t="str">
        <f>IFERROR(IF(OR(C22="",U22="",R22="",AA22="",AE22="",AI22="",AK22=""),"",IF(BN22="Deemed",AZ22,IF(BN22="Calculated",BE22,""))),"")</f>
        <v/>
      </c>
      <c r="AP22" s="798"/>
      <c r="AQ22" s="798"/>
      <c r="AR22" s="799" t="str">
        <f>IFERROR(IF(OR(C22="",U22="",R22="",AA22="",AE22="",AI22="",AK22=""),"",IF(BJ22&lt;&gt;"",BJ22,IF(BP22&gt;0,BP22,ROUND(IF(AO22&lt;=0,0,MIN(AX22,BG22)),2)))),"")</f>
        <v/>
      </c>
      <c r="AS22" s="800"/>
      <c r="AT22" s="800"/>
      <c r="AU22" s="801"/>
      <c r="AV22" s="22"/>
      <c r="AX22" s="873" t="str">
        <f>IF(OR(C22="",U22="",R22="",AA22="",AE22="",AI22="",AK22=""),"",IF(AO22=0,"",ROUND(AI22+AK22,2)))</f>
        <v/>
      </c>
      <c r="AY22" s="750" t="str">
        <f>IFERROR(IF(OR(C22="",U22="",R22="",AA22="",AE22="",AI22="",AK22=""),"",INDEX(STDWATER[Current Unit],MATCH(C22,STDWATER[Measure Name],0))),"Err")</f>
        <v/>
      </c>
      <c r="AZ22" s="961" t="str">
        <f>IF(OR(C22="",U22="",R22="",AA22="",AE22="",AI22="",AK22=""),"",ROUND(U22*INDEX(STDWATER[Electric Energy Savings (Annual kWh/unit)],MATCH(C22,STDWATER[Measure Name],0)),4))</f>
        <v/>
      </c>
      <c r="BA22" s="746" t="str">
        <f>IF(OR(C22="",U22="",R22="",AA22="",AE22="",AI22="",AK22=""),"",ROUND(U22*INDEX(STDWATER[Coincident Peak Demand Savings (kW/unit)],MATCH(C22,STDWATER[Measure Name],0)),4))</f>
        <v/>
      </c>
      <c r="BB22" s="871"/>
      <c r="BC22" s="871"/>
      <c r="BD22" s="754" t="str">
        <f>IFERROR(IF(OR(C22="",U22="",R22="",AA22="",AE22="",AI22="",AK22=""),"",INDEX(STDWATER[End Use],MATCH(C22,STDWATER[Measure Name],0))),"Err")</f>
        <v/>
      </c>
      <c r="BE22" s="871"/>
      <c r="BF22" s="871"/>
      <c r="BG22" s="838" t="str">
        <f>IFERROR(ROUND(U22*AM22, 2), "")</f>
        <v/>
      </c>
      <c r="BH22" s="750" t="str">
        <f>IFERROR(IF(OR(C22="",U22="",R22="",AA22="",AE22="",AI22="",AK22="",ISNUMBER(AR22)=FALSE,AR22=0),"",INDEX(STDWATER[Measure Number],MATCH(C22,STDWATER[Measure Name],0))),"Err")</f>
        <v/>
      </c>
      <c r="BI22" s="754" t="str">
        <f t="shared" ref="BI22" si="1">IFERROR(IF(BP22="",IF(AR22 &lt; BG22, "100% Total Cost", ""), ""), "")</f>
        <v/>
      </c>
      <c r="BJ22" s="750" t="str">
        <f>IFERROR(IF(OR(C22="",U22="",AA22="",AE22="",AI22="",AK22=""),"",
IF(BP22&gt;0,"",
IF(EXPIRATION&lt;&gt;"",PROJSTATEXP,""))),"")</f>
        <v/>
      </c>
      <c r="BK22" s="828" t="str">
        <f>IFERROR(INDEX(STDWATER[Measure Life (Years)],MATCH(C22,STDWATER[Measure Name],0)),"")</f>
        <v/>
      </c>
      <c r="BL22" s="830" t="str">
        <f>IFERROR(IF(OR(C22="",U22="",R22="",AA22="",AE22="",AI22="",AK22=""),"",
ROUND(((1+ELOSS)*((AZ22*INDEX(ELECCB[NPV AEC $/kWh],MATCH(BK22,ELECCB[Year Number],1)))+(BA22*INDEX(ELECCB[NPV ACC $/kW],MATCH(BK22,ELECCB[Year Number],1))))),2)),0)</f>
        <v/>
      </c>
      <c r="BM22" s="835"/>
      <c r="BN22" s="832" t="str">
        <f>IFERROR(IF(OR(C22="",U22="",R22="",AA22="",AE22="",AI22="",AK22=""),"",INDEX(STDWATER[Reporting Methodology],MATCH(C22,STDWATER[Measure Name],0))),"Err")</f>
        <v/>
      </c>
      <c r="BO22" s="867" t="str">
        <f>IFERROR(IF(BH22="","",INDEX(STDWATER[Incremental Measure Cost ($/Unit)],MATCH(C22,STDWATER[Measure Name],0))),"Err")</f>
        <v/>
      </c>
      <c r="BP22" s="837"/>
      <c r="BQ22" s="838" t="str">
        <f>_xlfn.LET(
_xlpm.IPU,
IFERROR(IF(C22="","",INDEX(STDWATER[Base Incentive],MATCH(C22,STDWATER[Measure Name],0))),""),
IFERROR(ROUND(U22*_xlpm.IPU, 2), ""))</f>
        <v/>
      </c>
    </row>
    <row r="23" spans="1:69" ht="15.95" customHeight="1">
      <c r="B23" s="806"/>
      <c r="C23" s="805"/>
      <c r="D23" s="805"/>
      <c r="E23" s="805"/>
      <c r="F23" s="805"/>
      <c r="G23" s="805"/>
      <c r="H23" s="805"/>
      <c r="I23" s="805"/>
      <c r="J23" s="805"/>
      <c r="K23" s="805"/>
      <c r="L23" s="805"/>
      <c r="M23" s="805"/>
      <c r="N23" s="805"/>
      <c r="O23" s="805"/>
      <c r="P23" s="805"/>
      <c r="Q23" s="805"/>
      <c r="R23" s="868"/>
      <c r="S23" s="868"/>
      <c r="T23" s="868"/>
      <c r="U23" s="785"/>
      <c r="V23" s="785"/>
      <c r="W23" s="805"/>
      <c r="X23" s="805"/>
      <c r="Y23" s="805"/>
      <c r="Z23" s="805"/>
      <c r="AA23" s="805"/>
      <c r="AB23" s="805"/>
      <c r="AC23" s="805"/>
      <c r="AD23" s="805"/>
      <c r="AE23" s="805"/>
      <c r="AF23" s="805"/>
      <c r="AG23" s="805"/>
      <c r="AH23" s="728"/>
      <c r="AI23" s="765"/>
      <c r="AJ23" s="766"/>
      <c r="AK23" s="766"/>
      <c r="AL23" s="767"/>
      <c r="AM23" s="795"/>
      <c r="AN23" s="796"/>
      <c r="AO23" s="798"/>
      <c r="AP23" s="798"/>
      <c r="AQ23" s="798"/>
      <c r="AR23" s="802"/>
      <c r="AS23" s="803"/>
      <c r="AT23" s="803"/>
      <c r="AU23" s="804"/>
      <c r="AV23" s="22"/>
      <c r="AX23" s="874"/>
      <c r="AY23" s="751"/>
      <c r="AZ23" s="962"/>
      <c r="BA23" s="747"/>
      <c r="BB23" s="871"/>
      <c r="BC23" s="871"/>
      <c r="BD23" s="755"/>
      <c r="BE23" s="871"/>
      <c r="BF23" s="871"/>
      <c r="BG23" s="839"/>
      <c r="BH23" s="751"/>
      <c r="BI23" s="755"/>
      <c r="BJ23" s="751"/>
      <c r="BK23" s="829"/>
      <c r="BL23" s="831"/>
      <c r="BM23" s="836"/>
      <c r="BN23" s="832"/>
      <c r="BO23" s="867"/>
      <c r="BP23" s="837"/>
      <c r="BQ23" s="839"/>
    </row>
    <row r="24" spans="1:69" ht="15.95" customHeight="1">
      <c r="B24" s="806">
        <v>4</v>
      </c>
      <c r="C24" s="805"/>
      <c r="D24" s="805"/>
      <c r="E24" s="805"/>
      <c r="F24" s="805"/>
      <c r="G24" s="805"/>
      <c r="H24" s="805"/>
      <c r="I24" s="805"/>
      <c r="J24" s="805"/>
      <c r="K24" s="805"/>
      <c r="L24" s="805"/>
      <c r="M24" s="805"/>
      <c r="N24" s="805"/>
      <c r="O24" s="805"/>
      <c r="P24" s="805"/>
      <c r="Q24" s="805"/>
      <c r="R24" s="868" t="str">
        <f>IF(C24="","",INDEX(STDWATER[Current Unit],MATCH(C24,STDWATER[Measure Name],0)))</f>
        <v/>
      </c>
      <c r="S24" s="868"/>
      <c r="T24" s="868"/>
      <c r="U24" s="785"/>
      <c r="V24" s="785"/>
      <c r="W24" s="805"/>
      <c r="X24" s="805"/>
      <c r="Y24" s="805"/>
      <c r="Z24" s="805"/>
      <c r="AA24" s="805"/>
      <c r="AB24" s="805"/>
      <c r="AC24" s="805"/>
      <c r="AD24" s="805"/>
      <c r="AE24" s="805"/>
      <c r="AF24" s="805"/>
      <c r="AG24" s="805"/>
      <c r="AH24" s="728"/>
      <c r="AI24" s="765"/>
      <c r="AJ24" s="766"/>
      <c r="AK24" s="766"/>
      <c r="AL24" s="767"/>
      <c r="AM24" s="793" t="str">
        <f>IFERROR(IF(C24="","",INDEX(IF(AND(ACTIVEBONUS = TRUE,INDEX(STDWATER[Bonus Incentive],MATCH(C24,STDWATER[Measure Name],0))&lt;&gt; ""),STDWATER[Bonus Incentive],STDWATER[Base Incentive]),MATCH(C24,STDWATER[Measure Name],0))),"")</f>
        <v/>
      </c>
      <c r="AN24" s="794"/>
      <c r="AO24" s="798" t="str">
        <f>IFERROR(IF(OR(C24="",U24="",R24="",AA24="",AE24="",AI24="",AK24=""),"",IF(BN24="Deemed",AZ24,IF(BN24="Calculated",BE24,""))),"")</f>
        <v/>
      </c>
      <c r="AP24" s="798"/>
      <c r="AQ24" s="798"/>
      <c r="AR24" s="799" t="str">
        <f>IFERROR(IF(OR(C24="",U24="",R24="",AA24="",AE24="",AI24="",AK24=""),"",IF(BJ24&lt;&gt;"",BJ24,IF(BP24&gt;0,BP24,ROUND(IF(AO24&lt;=0,0,MIN(AX24,BG24)),2)))),"")</f>
        <v/>
      </c>
      <c r="AS24" s="800"/>
      <c r="AT24" s="800"/>
      <c r="AU24" s="801"/>
      <c r="AV24" s="22"/>
      <c r="AX24" s="873" t="str">
        <f>IF(OR(C24="",U24="",R24="",AA24="",AE24="",AI24="",AK24=""),"",IF(AO24=0,"",ROUND(AI24+AK24,2)))</f>
        <v/>
      </c>
      <c r="AY24" s="750" t="str">
        <f>IFERROR(IF(OR(C24="",U24="",R24="",AA24="",AE24="",AI24="",AK24=""),"",INDEX(STDWATER[Current Unit],MATCH(C24,STDWATER[Measure Name],0))),"Err")</f>
        <v/>
      </c>
      <c r="AZ24" s="961" t="str">
        <f>IF(OR(C24="",U24="",R24="",AA24="",AE24="",AI24="",AK24=""),"",ROUND(U24*INDEX(STDWATER[Electric Energy Savings (Annual kWh/unit)],MATCH(C24,STDWATER[Measure Name],0)),4))</f>
        <v/>
      </c>
      <c r="BA24" s="746" t="str">
        <f>IF(OR(C24="",U24="",R24="",AA24="",AE24="",AI24="",AK24=""),"",ROUND(U24*INDEX(STDWATER[Coincident Peak Demand Savings (kW/unit)],MATCH(C24,STDWATER[Measure Name],0)),4))</f>
        <v/>
      </c>
      <c r="BB24" s="871"/>
      <c r="BC24" s="871"/>
      <c r="BD24" s="754" t="str">
        <f>IFERROR(IF(OR(C24="",U24="",R24="",AA24="",AE24="",AI24="",AK24=""),"",INDEX(STDWATER[End Use],MATCH(C24,STDWATER[Measure Name],0))),"Err")</f>
        <v/>
      </c>
      <c r="BE24" s="871"/>
      <c r="BF24" s="871"/>
      <c r="BG24" s="838" t="str">
        <f>IFERROR(ROUND(U24*AM24, 2), "")</f>
        <v/>
      </c>
      <c r="BH24" s="750" t="str">
        <f>IFERROR(IF(OR(C24="",U24="",R24="",AA24="",AE24="",AI24="",AK24="",ISNUMBER(AR24)=FALSE,AR24=0),"",INDEX(STDWATER[Measure Number],MATCH(C24,STDWATER[Measure Name],0))),"Err")</f>
        <v/>
      </c>
      <c r="BI24" s="754" t="str">
        <f t="shared" ref="BI24" si="2">IFERROR(IF(BP24="",IF(AR24 &lt; BG24, "100% Total Cost", ""), ""), "")</f>
        <v/>
      </c>
      <c r="BJ24" s="750" t="str">
        <f>IFERROR(IF(OR(C24="",U24="",AA24="",AE24="",AI24="",AK24=""),"",
IF(BP24&gt;0,"",
IF(EXPIRATION&lt;&gt;"",PROJSTATEXP,""))),"")</f>
        <v/>
      </c>
      <c r="BK24" s="828" t="str">
        <f>IFERROR(INDEX(STDWATER[Measure Life (Years)],MATCH(C24,STDWATER[Measure Name],0)),"")</f>
        <v/>
      </c>
      <c r="BL24" s="830" t="str">
        <f>IFERROR(IF(OR(C24="",U24="",R24="",AA24="",AE24="",AI24="",AK24=""),"",
ROUND(((1+ELOSS)*((AZ24*INDEX(ELECCB[NPV AEC $/kWh],MATCH(BK24,ELECCB[Year Number],1)))+(BA24*INDEX(ELECCB[NPV ACC $/kW],MATCH(BK24,ELECCB[Year Number],1))))),2)),0)</f>
        <v/>
      </c>
      <c r="BM24" s="835"/>
      <c r="BN24" s="832" t="str">
        <f>IFERROR(IF(OR(C24="",U24="",R24="",AA24="",AE24="",AI24="",AK24=""),"",INDEX(STDWATER[Reporting Methodology],MATCH(C24,STDWATER[Measure Name],0))),"Err")</f>
        <v/>
      </c>
      <c r="BO24" s="867" t="str">
        <f>IFERROR(IF(BH24="","",INDEX(STDWATER[Incremental Measure Cost ($/Unit)],MATCH(C24,STDWATER[Measure Name],0))),"Err")</f>
        <v/>
      </c>
      <c r="BP24" s="837"/>
      <c r="BQ24" s="838" t="str">
        <f>_xlfn.LET(
_xlpm.IPU,
IFERROR(IF(C24="","",INDEX(STDWATER[Base Incentive],MATCH(C24,STDWATER[Measure Name],0))),""),
IFERROR(ROUND(U24*_xlpm.IPU, 2), ""))</f>
        <v/>
      </c>
    </row>
    <row r="25" spans="1:69" ht="15.95" customHeight="1">
      <c r="A25" s="85"/>
      <c r="B25" s="806"/>
      <c r="C25" s="805"/>
      <c r="D25" s="805"/>
      <c r="E25" s="805"/>
      <c r="F25" s="805"/>
      <c r="G25" s="805"/>
      <c r="H25" s="805"/>
      <c r="I25" s="805"/>
      <c r="J25" s="805"/>
      <c r="K25" s="805"/>
      <c r="L25" s="805"/>
      <c r="M25" s="805"/>
      <c r="N25" s="805"/>
      <c r="O25" s="805"/>
      <c r="P25" s="805"/>
      <c r="Q25" s="805"/>
      <c r="R25" s="868"/>
      <c r="S25" s="868"/>
      <c r="T25" s="868"/>
      <c r="U25" s="785"/>
      <c r="V25" s="785"/>
      <c r="W25" s="805"/>
      <c r="X25" s="805"/>
      <c r="Y25" s="805"/>
      <c r="Z25" s="805"/>
      <c r="AA25" s="805"/>
      <c r="AB25" s="805"/>
      <c r="AC25" s="805"/>
      <c r="AD25" s="805"/>
      <c r="AE25" s="805"/>
      <c r="AF25" s="805"/>
      <c r="AG25" s="805"/>
      <c r="AH25" s="728"/>
      <c r="AI25" s="765"/>
      <c r="AJ25" s="766"/>
      <c r="AK25" s="766"/>
      <c r="AL25" s="767"/>
      <c r="AM25" s="795"/>
      <c r="AN25" s="796"/>
      <c r="AO25" s="798"/>
      <c r="AP25" s="798"/>
      <c r="AQ25" s="798"/>
      <c r="AR25" s="802"/>
      <c r="AS25" s="803"/>
      <c r="AT25" s="803"/>
      <c r="AU25" s="804"/>
      <c r="AV25" s="22"/>
      <c r="AX25" s="874"/>
      <c r="AY25" s="751"/>
      <c r="AZ25" s="962"/>
      <c r="BA25" s="747"/>
      <c r="BB25" s="871"/>
      <c r="BC25" s="871"/>
      <c r="BD25" s="755"/>
      <c r="BE25" s="871"/>
      <c r="BF25" s="871"/>
      <c r="BG25" s="839"/>
      <c r="BH25" s="751"/>
      <c r="BI25" s="755"/>
      <c r="BJ25" s="751"/>
      <c r="BK25" s="829"/>
      <c r="BL25" s="831"/>
      <c r="BM25" s="836"/>
      <c r="BN25" s="832"/>
      <c r="BO25" s="867"/>
      <c r="BP25" s="837"/>
      <c r="BQ25" s="839"/>
    </row>
    <row r="26" spans="1:69" ht="15.95" customHeight="1">
      <c r="B26" s="806">
        <v>5</v>
      </c>
      <c r="C26" s="805"/>
      <c r="D26" s="805"/>
      <c r="E26" s="805"/>
      <c r="F26" s="805"/>
      <c r="G26" s="805"/>
      <c r="H26" s="805"/>
      <c r="I26" s="805"/>
      <c r="J26" s="805"/>
      <c r="K26" s="805"/>
      <c r="L26" s="805"/>
      <c r="M26" s="805"/>
      <c r="N26" s="805"/>
      <c r="O26" s="805"/>
      <c r="P26" s="805"/>
      <c r="Q26" s="805"/>
      <c r="R26" s="868" t="str">
        <f>IF(C26="","",INDEX(STDWATER[Current Unit],MATCH(C26,STDWATER[Measure Name],0)))</f>
        <v/>
      </c>
      <c r="S26" s="868"/>
      <c r="T26" s="868"/>
      <c r="U26" s="785"/>
      <c r="V26" s="785"/>
      <c r="W26" s="805"/>
      <c r="X26" s="805"/>
      <c r="Y26" s="805"/>
      <c r="Z26" s="805"/>
      <c r="AA26" s="805"/>
      <c r="AB26" s="805"/>
      <c r="AC26" s="805"/>
      <c r="AD26" s="805"/>
      <c r="AE26" s="805"/>
      <c r="AF26" s="805"/>
      <c r="AG26" s="805"/>
      <c r="AH26" s="728"/>
      <c r="AI26" s="765"/>
      <c r="AJ26" s="766"/>
      <c r="AK26" s="766"/>
      <c r="AL26" s="767"/>
      <c r="AM26" s="793" t="str">
        <f>IFERROR(IF(C26="","",INDEX(IF(AND(ACTIVEBONUS = TRUE,INDEX(STDWATER[Bonus Incentive],MATCH(C26,STDWATER[Measure Name],0))&lt;&gt; ""),STDWATER[Bonus Incentive],STDWATER[Base Incentive]),MATCH(C26,STDWATER[Measure Name],0))),"")</f>
        <v/>
      </c>
      <c r="AN26" s="794"/>
      <c r="AO26" s="798" t="str">
        <f>IFERROR(IF(OR(C26="",U26="",R26="",AA26="",AE26="",AI26="",AK26=""),"",IF(BN26="Deemed",AZ26,IF(BN26="Calculated",BE26,""))),"")</f>
        <v/>
      </c>
      <c r="AP26" s="798"/>
      <c r="AQ26" s="798"/>
      <c r="AR26" s="799" t="str">
        <f>IFERROR(IF(OR(C26="",U26="",R26="",AA26="",AE26="",AI26="",AK26=""),"",IF(BJ26&lt;&gt;"",BJ26,IF(BP26&gt;0,BP26,ROUND(IF(AO26&lt;=0,0,MIN(AX26,BG26)),2)))),"")</f>
        <v/>
      </c>
      <c r="AS26" s="800"/>
      <c r="AT26" s="800"/>
      <c r="AU26" s="801"/>
      <c r="AV26" s="22"/>
      <c r="AX26" s="873" t="str">
        <f>IF(OR(C26="",U26="",R26="",AA26="",AE26="",AI26="",AK26=""),"",IF(AO26=0,"",ROUND(AI26+AK26,2)))</f>
        <v/>
      </c>
      <c r="AY26" s="750" t="str">
        <f>IFERROR(IF(OR(C26="",U26="",R26="",AA26="",AE26="",AI26="",AK26=""),"",INDEX(STDWATER[Current Unit],MATCH(C26,STDWATER[Measure Name],0))),"Err")</f>
        <v/>
      </c>
      <c r="AZ26" s="961" t="str">
        <f>IF(OR(C26="",U26="",R26="",AA26="",AE26="",AI26="",AK26=""),"",ROUND(U26*INDEX(STDWATER[Electric Energy Savings (Annual kWh/unit)],MATCH(C26,STDWATER[Measure Name],0)),4))</f>
        <v/>
      </c>
      <c r="BA26" s="746" t="str">
        <f>IF(OR(C26="",U26="",R26="",AA26="",AE26="",AI26="",AK26=""),"",ROUND(U26*INDEX(STDWATER[Coincident Peak Demand Savings (kW/unit)],MATCH(C26,STDWATER[Measure Name],0)),4))</f>
        <v/>
      </c>
      <c r="BB26" s="871"/>
      <c r="BC26" s="871"/>
      <c r="BD26" s="754" t="str">
        <f>IFERROR(IF(OR(C26="",U26="",R26="",AA26="",AE26="",AI26="",AK26=""),"",INDEX(STDWATER[End Use],MATCH(C26,STDWATER[Measure Name],0))),"Err")</f>
        <v/>
      </c>
      <c r="BE26" s="871"/>
      <c r="BF26" s="871"/>
      <c r="BG26" s="838" t="str">
        <f>IFERROR(ROUND(U26*AM26, 2), "")</f>
        <v/>
      </c>
      <c r="BH26" s="750" t="str">
        <f>IFERROR(IF(OR(C26="",U26="",R26="",AA26="",AE26="",AI26="",AK26="",ISNUMBER(AR26)=FALSE,AR26=0),"",INDEX(STDWATER[Measure Number],MATCH(C26,STDWATER[Measure Name],0))),"Err")</f>
        <v/>
      </c>
      <c r="BI26" s="754" t="str">
        <f t="shared" ref="BI26" si="3">IFERROR(IF(BP26="",IF(AR26 &lt; BG26, "100% Total Cost", ""), ""), "")</f>
        <v/>
      </c>
      <c r="BJ26" s="750" t="str">
        <f>IFERROR(IF(OR(C26="",U26="",AA26="",AE26="",AI26="",AK26=""),"",
IF(BP26&gt;0,"",
IF(EXPIRATION&lt;&gt;"",PROJSTATEXP,""))),"")</f>
        <v/>
      </c>
      <c r="BK26" s="828" t="str">
        <f>IFERROR(INDEX(STDWATER[Measure Life (Years)],MATCH(C26,STDWATER[Measure Name],0)),"")</f>
        <v/>
      </c>
      <c r="BL26" s="830" t="str">
        <f>IFERROR(IF(OR(C26="",U26="",R26="",AA26="",AE26="",AI26="",AK26=""),"",
ROUND(((1+ELOSS)*((AZ26*INDEX(ELECCB[NPV AEC $/kWh],MATCH(BK26,ELECCB[Year Number],1)))+(BA26*INDEX(ELECCB[NPV ACC $/kW],MATCH(BK26,ELECCB[Year Number],1))))),2)),0)</f>
        <v/>
      </c>
      <c r="BM26" s="835"/>
      <c r="BN26" s="832" t="str">
        <f>IFERROR(IF(OR(C26="",U26="",R26="",AA26="",AE26="",AI26="",AK26=""),"",INDEX(STDWATER[Reporting Methodology],MATCH(C26,STDWATER[Measure Name],0))),"Err")</f>
        <v/>
      </c>
      <c r="BO26" s="867" t="str">
        <f>IFERROR(IF(BH26="","",INDEX(STDWATER[Incremental Measure Cost ($/Unit)],MATCH(C26,STDWATER[Measure Name],0))),"Err")</f>
        <v/>
      </c>
      <c r="BP26" s="837"/>
      <c r="BQ26" s="838" t="str">
        <f>_xlfn.LET(
_xlpm.IPU,
IFERROR(IF(C26="","",INDEX(STDWATER[Base Incentive],MATCH(C26,STDWATER[Measure Name],0))),""),
IFERROR(ROUND(U26*_xlpm.IPU, 2), ""))</f>
        <v/>
      </c>
    </row>
    <row r="27" spans="1:69" ht="15.95" customHeight="1">
      <c r="B27" s="806"/>
      <c r="C27" s="805"/>
      <c r="D27" s="805"/>
      <c r="E27" s="805"/>
      <c r="F27" s="805"/>
      <c r="G27" s="805"/>
      <c r="H27" s="805"/>
      <c r="I27" s="805"/>
      <c r="J27" s="805"/>
      <c r="K27" s="805"/>
      <c r="L27" s="805"/>
      <c r="M27" s="805"/>
      <c r="N27" s="805"/>
      <c r="O27" s="805"/>
      <c r="P27" s="805"/>
      <c r="Q27" s="805"/>
      <c r="R27" s="868"/>
      <c r="S27" s="868"/>
      <c r="T27" s="868"/>
      <c r="U27" s="785"/>
      <c r="V27" s="785"/>
      <c r="W27" s="805"/>
      <c r="X27" s="805"/>
      <c r="Y27" s="805"/>
      <c r="Z27" s="805"/>
      <c r="AA27" s="805"/>
      <c r="AB27" s="805"/>
      <c r="AC27" s="805"/>
      <c r="AD27" s="805"/>
      <c r="AE27" s="805"/>
      <c r="AF27" s="805"/>
      <c r="AG27" s="805"/>
      <c r="AH27" s="728"/>
      <c r="AI27" s="765"/>
      <c r="AJ27" s="766"/>
      <c r="AK27" s="766"/>
      <c r="AL27" s="767"/>
      <c r="AM27" s="795"/>
      <c r="AN27" s="796"/>
      <c r="AO27" s="798"/>
      <c r="AP27" s="798"/>
      <c r="AQ27" s="798"/>
      <c r="AR27" s="802"/>
      <c r="AS27" s="803"/>
      <c r="AT27" s="803"/>
      <c r="AU27" s="804"/>
      <c r="AV27" s="22"/>
      <c r="AX27" s="874"/>
      <c r="AY27" s="751"/>
      <c r="AZ27" s="962"/>
      <c r="BA27" s="747"/>
      <c r="BB27" s="871"/>
      <c r="BC27" s="871"/>
      <c r="BD27" s="755"/>
      <c r="BE27" s="871"/>
      <c r="BF27" s="871"/>
      <c r="BG27" s="839"/>
      <c r="BH27" s="751"/>
      <c r="BI27" s="755"/>
      <c r="BJ27" s="751"/>
      <c r="BK27" s="829"/>
      <c r="BL27" s="831"/>
      <c r="BM27" s="836"/>
      <c r="BN27" s="832"/>
      <c r="BO27" s="867"/>
      <c r="BP27" s="837"/>
      <c r="BQ27" s="839"/>
    </row>
    <row r="28" spans="1:69" ht="15.95" customHeight="1">
      <c r="B28" s="806">
        <v>6</v>
      </c>
      <c r="C28" s="805"/>
      <c r="D28" s="805"/>
      <c r="E28" s="805"/>
      <c r="F28" s="805"/>
      <c r="G28" s="805"/>
      <c r="H28" s="805"/>
      <c r="I28" s="805"/>
      <c r="J28" s="805"/>
      <c r="K28" s="805"/>
      <c r="L28" s="805"/>
      <c r="M28" s="805"/>
      <c r="N28" s="805"/>
      <c r="O28" s="805"/>
      <c r="P28" s="805"/>
      <c r="Q28" s="805"/>
      <c r="R28" s="868" t="str">
        <f>IF(C28="","",INDEX(STDWATER[Current Unit],MATCH(C28,STDWATER[Measure Name],0)))</f>
        <v/>
      </c>
      <c r="S28" s="868"/>
      <c r="T28" s="868"/>
      <c r="U28" s="785"/>
      <c r="V28" s="785"/>
      <c r="W28" s="805"/>
      <c r="X28" s="805"/>
      <c r="Y28" s="805"/>
      <c r="Z28" s="805"/>
      <c r="AA28" s="805"/>
      <c r="AB28" s="805"/>
      <c r="AC28" s="805"/>
      <c r="AD28" s="805"/>
      <c r="AE28" s="805"/>
      <c r="AF28" s="805"/>
      <c r="AG28" s="805"/>
      <c r="AH28" s="728"/>
      <c r="AI28" s="765"/>
      <c r="AJ28" s="766"/>
      <c r="AK28" s="766"/>
      <c r="AL28" s="767"/>
      <c r="AM28" s="793" t="str">
        <f>IFERROR(IF(C28="","",INDEX(IF(AND(ACTIVEBONUS = TRUE,INDEX(STDWATER[Bonus Incentive],MATCH(C28,STDWATER[Measure Name],0))&lt;&gt; ""),STDWATER[Bonus Incentive],STDWATER[Base Incentive]),MATCH(C28,STDWATER[Measure Name],0))),"")</f>
        <v/>
      </c>
      <c r="AN28" s="794"/>
      <c r="AO28" s="798" t="str">
        <f>IFERROR(IF(OR(C28="",U28="",R28="",AA28="",AE28="",AI28="",AK28=""),"",IF(BN28="Deemed",AZ28,IF(BN28="Calculated",BE28,""))),"")</f>
        <v/>
      </c>
      <c r="AP28" s="798"/>
      <c r="AQ28" s="798"/>
      <c r="AR28" s="799" t="str">
        <f>IFERROR(IF(OR(C28="",U28="",R28="",AA28="",AE28="",AI28="",AK28=""),"",IF(BJ28&lt;&gt;"",BJ28,IF(BP28&gt;0,BP28,ROUND(IF(AO28&lt;=0,0,MIN(AX28,BG28)),2)))),"")</f>
        <v/>
      </c>
      <c r="AS28" s="800"/>
      <c r="AT28" s="800"/>
      <c r="AU28" s="801"/>
      <c r="AV28" s="22"/>
      <c r="AX28" s="873" t="str">
        <f>IF(OR(C28="",U28="",R28="",AA28="",AE28="",AI28="",AK28=""),"",IF(AO28=0,"",ROUND(AI28+AK28,2)))</f>
        <v/>
      </c>
      <c r="AY28" s="750" t="str">
        <f>IFERROR(IF(OR(C28="",U28="",R28="",AA28="",AE28="",AI28="",AK28=""),"",INDEX(STDWATER[Current Unit],MATCH(C28,STDWATER[Measure Name],0))),"Err")</f>
        <v/>
      </c>
      <c r="AZ28" s="961" t="str">
        <f>IF(OR(C28="",U28="",R28="",AA28="",AE28="",AI28="",AK28=""),"",ROUND(U28*INDEX(STDWATER[Electric Energy Savings (Annual kWh/unit)],MATCH(C28,STDWATER[Measure Name],0)),4))</f>
        <v/>
      </c>
      <c r="BA28" s="746" t="str">
        <f>IF(OR(C28="",U28="",R28="",AA28="",AE28="",AI28="",AK28=""),"",ROUND(U28*INDEX(STDWATER[Coincident Peak Demand Savings (kW/unit)],MATCH(C28,STDWATER[Measure Name],0)),4))</f>
        <v/>
      </c>
      <c r="BB28" s="871"/>
      <c r="BC28" s="871"/>
      <c r="BD28" s="754" t="str">
        <f>IFERROR(IF(OR(C28="",U28="",R28="",AA28="",AE28="",AI28="",AK28=""),"",INDEX(STDWATER[End Use],MATCH(C28,STDWATER[Measure Name],0))),"Err")</f>
        <v/>
      </c>
      <c r="BE28" s="871"/>
      <c r="BF28" s="871"/>
      <c r="BG28" s="838" t="str">
        <f>IFERROR(ROUND(U28*AM28, 2), "")</f>
        <v/>
      </c>
      <c r="BH28" s="750" t="str">
        <f>IFERROR(IF(OR(C28="",U28="",R28="",AA28="",AE28="",AI28="",AK28="",ISNUMBER(AR28)=FALSE,AR28=0),"",INDEX(STDWATER[Measure Number],MATCH(C28,STDWATER[Measure Name],0))),"Err")</f>
        <v/>
      </c>
      <c r="BI28" s="754" t="str">
        <f t="shared" ref="BI28" si="4">IFERROR(IF(BP28="",IF(AR28 &lt; BG28, "100% Total Cost", ""), ""), "")</f>
        <v/>
      </c>
      <c r="BJ28" s="750" t="str">
        <f>IFERROR(IF(OR(C28="",U28="",AA28="",AE28="",AI28="",AK28=""),"",
IF(BP28&gt;0,"",
IF(EXPIRATION&lt;&gt;"",PROJSTATEXP,""))),"")</f>
        <v/>
      </c>
      <c r="BK28" s="828" t="str">
        <f>IFERROR(INDEX(STDWATER[Measure Life (Years)],MATCH(C28,STDWATER[Measure Name],0)),"")</f>
        <v/>
      </c>
      <c r="BL28" s="830" t="str">
        <f>IFERROR(IF(OR(C28="",U28="",R28="",AA28="",AE28="",AI28="",AK28=""),"",
ROUND(((1+ELOSS)*((AZ28*INDEX(ELECCB[NPV AEC $/kWh],MATCH(BK28,ELECCB[Year Number],1)))+(BA28*INDEX(ELECCB[NPV ACC $/kW],MATCH(BK28,ELECCB[Year Number],1))))),2)),0)</f>
        <v/>
      </c>
      <c r="BM28" s="835"/>
      <c r="BN28" s="832" t="str">
        <f>IFERROR(IF(OR(C28="",U28="",R28="",AA28="",AE28="",AI28="",AK28=""),"",INDEX(STDWATER[Reporting Methodology],MATCH(C28,STDWATER[Measure Name],0))),"Err")</f>
        <v/>
      </c>
      <c r="BO28" s="867" t="str">
        <f>IFERROR(IF(BH28="","",INDEX(STDWATER[Incremental Measure Cost ($/Unit)],MATCH(C28,STDWATER[Measure Name],0))),"Err")</f>
        <v/>
      </c>
      <c r="BP28" s="837"/>
      <c r="BQ28" s="838" t="str">
        <f>_xlfn.LET(
_xlpm.IPU,
IFERROR(IF(C28="","",INDEX(STDWATER[Base Incentive],MATCH(C28,STDWATER[Measure Name],0))),""),
IFERROR(ROUND(U28*_xlpm.IPU, 2), ""))</f>
        <v/>
      </c>
    </row>
    <row r="29" spans="1:69" ht="15.95" customHeight="1">
      <c r="B29" s="806"/>
      <c r="C29" s="805"/>
      <c r="D29" s="805"/>
      <c r="E29" s="805"/>
      <c r="F29" s="805"/>
      <c r="G29" s="805"/>
      <c r="H29" s="805"/>
      <c r="I29" s="805"/>
      <c r="J29" s="805"/>
      <c r="K29" s="805"/>
      <c r="L29" s="805"/>
      <c r="M29" s="805"/>
      <c r="N29" s="805"/>
      <c r="O29" s="805"/>
      <c r="P29" s="805"/>
      <c r="Q29" s="805"/>
      <c r="R29" s="868"/>
      <c r="S29" s="868"/>
      <c r="T29" s="868"/>
      <c r="U29" s="785"/>
      <c r="V29" s="785"/>
      <c r="W29" s="805"/>
      <c r="X29" s="805"/>
      <c r="Y29" s="805"/>
      <c r="Z29" s="805"/>
      <c r="AA29" s="805"/>
      <c r="AB29" s="805"/>
      <c r="AC29" s="805"/>
      <c r="AD29" s="805"/>
      <c r="AE29" s="805"/>
      <c r="AF29" s="805"/>
      <c r="AG29" s="805"/>
      <c r="AH29" s="728"/>
      <c r="AI29" s="765"/>
      <c r="AJ29" s="766"/>
      <c r="AK29" s="766"/>
      <c r="AL29" s="767"/>
      <c r="AM29" s="795"/>
      <c r="AN29" s="796"/>
      <c r="AO29" s="798"/>
      <c r="AP29" s="798"/>
      <c r="AQ29" s="798"/>
      <c r="AR29" s="802"/>
      <c r="AS29" s="803"/>
      <c r="AT29" s="803"/>
      <c r="AU29" s="804"/>
      <c r="AV29" s="22"/>
      <c r="AX29" s="874"/>
      <c r="AY29" s="751"/>
      <c r="AZ29" s="962"/>
      <c r="BA29" s="747"/>
      <c r="BB29" s="871"/>
      <c r="BC29" s="871"/>
      <c r="BD29" s="755"/>
      <c r="BE29" s="871"/>
      <c r="BF29" s="871"/>
      <c r="BG29" s="839"/>
      <c r="BH29" s="751"/>
      <c r="BI29" s="755"/>
      <c r="BJ29" s="751"/>
      <c r="BK29" s="829"/>
      <c r="BL29" s="831"/>
      <c r="BM29" s="836"/>
      <c r="BN29" s="832"/>
      <c r="BO29" s="867"/>
      <c r="BP29" s="837"/>
      <c r="BQ29" s="839"/>
    </row>
    <row r="30" spans="1:69" ht="15.95" customHeight="1">
      <c r="B30" s="806">
        <v>7</v>
      </c>
      <c r="C30" s="805"/>
      <c r="D30" s="805"/>
      <c r="E30" s="805"/>
      <c r="F30" s="805"/>
      <c r="G30" s="805"/>
      <c r="H30" s="805"/>
      <c r="I30" s="805"/>
      <c r="J30" s="805"/>
      <c r="K30" s="805"/>
      <c r="L30" s="805"/>
      <c r="M30" s="805"/>
      <c r="N30" s="805"/>
      <c r="O30" s="805"/>
      <c r="P30" s="805"/>
      <c r="Q30" s="805"/>
      <c r="R30" s="868" t="str">
        <f>IF(C30="","",INDEX(STDWATER[Current Unit],MATCH(C30,STDWATER[Measure Name],0)))</f>
        <v/>
      </c>
      <c r="S30" s="868"/>
      <c r="T30" s="868"/>
      <c r="U30" s="785"/>
      <c r="V30" s="785"/>
      <c r="W30" s="805"/>
      <c r="X30" s="805"/>
      <c r="Y30" s="805"/>
      <c r="Z30" s="805"/>
      <c r="AA30" s="805"/>
      <c r="AB30" s="805"/>
      <c r="AC30" s="805"/>
      <c r="AD30" s="805"/>
      <c r="AE30" s="805"/>
      <c r="AF30" s="805"/>
      <c r="AG30" s="805"/>
      <c r="AH30" s="728"/>
      <c r="AI30" s="765"/>
      <c r="AJ30" s="766"/>
      <c r="AK30" s="766"/>
      <c r="AL30" s="767"/>
      <c r="AM30" s="793" t="str">
        <f>IFERROR(IF(C30="","",INDEX(IF(AND(ACTIVEBONUS = TRUE,INDEX(STDWATER[Bonus Incentive],MATCH(C30,STDWATER[Measure Name],0))&lt;&gt; ""),STDWATER[Bonus Incentive],STDWATER[Base Incentive]),MATCH(C30,STDWATER[Measure Name],0))),"")</f>
        <v/>
      </c>
      <c r="AN30" s="794"/>
      <c r="AO30" s="798" t="str">
        <f>IFERROR(IF(OR(C30="",U30="",R30="",AA30="",AE30="",AI30="",AK30=""),"",IF(BN30="Deemed",AZ30,IF(BN30="Calculated",BE30,""))),"")</f>
        <v/>
      </c>
      <c r="AP30" s="798"/>
      <c r="AQ30" s="798"/>
      <c r="AR30" s="799" t="str">
        <f>IFERROR(IF(OR(C30="",U30="",R30="",AA30="",AE30="",AI30="",AK30=""),"",IF(BJ30&lt;&gt;"",BJ30,IF(BP30&gt;0,BP30,ROUND(IF(AO30&lt;=0,0,MIN(AX30,BG30)),2)))),"")</f>
        <v/>
      </c>
      <c r="AS30" s="800"/>
      <c r="AT30" s="800"/>
      <c r="AU30" s="801"/>
      <c r="AV30" s="22"/>
      <c r="AX30" s="873" t="str">
        <f>IF(OR(C30="",U30="",R30="",AA30="",AE30="",AI30="",AK30=""),"",IF(AO30=0,"",ROUND(AI30+AK30,2)))</f>
        <v/>
      </c>
      <c r="AY30" s="750" t="str">
        <f>IFERROR(IF(OR(C30="",U30="",R30="",AA30="",AE30="",AI30="",AK30=""),"",INDEX(STDWATER[Current Unit],MATCH(C30,STDWATER[Measure Name],0))),"Err")</f>
        <v/>
      </c>
      <c r="AZ30" s="961" t="str">
        <f>IF(OR(C30="",U30="",R30="",AA30="",AE30="",AI30="",AK30=""),"",ROUND(U30*INDEX(STDWATER[Electric Energy Savings (Annual kWh/unit)],MATCH(C30,STDWATER[Measure Name],0)),4))</f>
        <v/>
      </c>
      <c r="BA30" s="746" t="str">
        <f>IF(OR(C30="",U30="",R30="",AA30="",AE30="",AI30="",AK30=""),"",ROUND(U30*INDEX(STDWATER[Coincident Peak Demand Savings (kW/unit)],MATCH(C30,STDWATER[Measure Name],0)),4))</f>
        <v/>
      </c>
      <c r="BB30" s="871"/>
      <c r="BC30" s="871"/>
      <c r="BD30" s="754" t="str">
        <f>IFERROR(IF(OR(C30="",U30="",R30="",AA30="",AE30="",AI30="",AK30=""),"",INDEX(STDWATER[End Use],MATCH(C30,STDWATER[Measure Name],0))),"Err")</f>
        <v/>
      </c>
      <c r="BE30" s="871"/>
      <c r="BF30" s="871"/>
      <c r="BG30" s="838" t="str">
        <f>IFERROR(ROUND(U30*AM30, 2), "")</f>
        <v/>
      </c>
      <c r="BH30" s="750" t="str">
        <f>IFERROR(IF(OR(C30="",U30="",R30="",AA30="",AE30="",AI30="",AK30="",ISNUMBER(AR30)=FALSE,AR30=0),"",INDEX(STDWATER[Measure Number],MATCH(C30,STDWATER[Measure Name],0))),"Err")</f>
        <v/>
      </c>
      <c r="BI30" s="754" t="str">
        <f t="shared" ref="BI30" si="5">IFERROR(IF(BP30="",IF(AR30 &lt; BG30, "100% Total Cost", ""), ""), "")</f>
        <v/>
      </c>
      <c r="BJ30" s="750" t="str">
        <f>IFERROR(IF(OR(C30="",U30="",AA30="",AE30="",AI30="",AK30=""),"",
IF(BP30&gt;0,"",
IF(EXPIRATION&lt;&gt;"",PROJSTATEXP,""))),"")</f>
        <v/>
      </c>
      <c r="BK30" s="828" t="str">
        <f>IFERROR(INDEX(STDWATER[Measure Life (Years)],MATCH(C30,STDWATER[Measure Name],0)),"")</f>
        <v/>
      </c>
      <c r="BL30" s="830" t="str">
        <f>IFERROR(IF(OR(C30="",U30="",R30="",AA30="",AE30="",AI30="",AK30=""),"",
ROUND(((1+ELOSS)*((AZ30*INDEX(ELECCB[NPV AEC $/kWh],MATCH(BK30,ELECCB[Year Number],1)))+(BA30*INDEX(ELECCB[NPV ACC $/kW],MATCH(BK30,ELECCB[Year Number],1))))),2)),0)</f>
        <v/>
      </c>
      <c r="BM30" s="835"/>
      <c r="BN30" s="832" t="str">
        <f>IFERROR(IF(OR(C30="",U30="",R30="",AA30="",AE30="",AI30="",AK30=""),"",INDEX(STDWATER[Reporting Methodology],MATCH(C30,STDWATER[Measure Name],0))),"Err")</f>
        <v/>
      </c>
      <c r="BO30" s="867" t="str">
        <f>IFERROR(IF(BH30="","",INDEX(STDWATER[Incremental Measure Cost ($/Unit)],MATCH(C30,STDWATER[Measure Name],0))),"Err")</f>
        <v/>
      </c>
      <c r="BP30" s="837"/>
      <c r="BQ30" s="838" t="str">
        <f>_xlfn.LET(
_xlpm.IPU,
IFERROR(IF(C30="","",INDEX(STDWATER[Base Incentive],MATCH(C30,STDWATER[Measure Name],0))),""),
IFERROR(ROUND(U30*_xlpm.IPU, 2), ""))</f>
        <v/>
      </c>
    </row>
    <row r="31" spans="1:69" ht="15.95" customHeight="1">
      <c r="B31" s="806"/>
      <c r="C31" s="805"/>
      <c r="D31" s="805"/>
      <c r="E31" s="805"/>
      <c r="F31" s="805"/>
      <c r="G31" s="805"/>
      <c r="H31" s="805"/>
      <c r="I31" s="805"/>
      <c r="J31" s="805"/>
      <c r="K31" s="805"/>
      <c r="L31" s="805"/>
      <c r="M31" s="805"/>
      <c r="N31" s="805"/>
      <c r="O31" s="805"/>
      <c r="P31" s="805"/>
      <c r="Q31" s="805"/>
      <c r="R31" s="868"/>
      <c r="S31" s="868"/>
      <c r="T31" s="868"/>
      <c r="U31" s="785"/>
      <c r="V31" s="785"/>
      <c r="W31" s="805"/>
      <c r="X31" s="805"/>
      <c r="Y31" s="805"/>
      <c r="Z31" s="805"/>
      <c r="AA31" s="805"/>
      <c r="AB31" s="805"/>
      <c r="AC31" s="805"/>
      <c r="AD31" s="805"/>
      <c r="AE31" s="805"/>
      <c r="AF31" s="805"/>
      <c r="AG31" s="805"/>
      <c r="AH31" s="728"/>
      <c r="AI31" s="765"/>
      <c r="AJ31" s="766"/>
      <c r="AK31" s="766"/>
      <c r="AL31" s="767"/>
      <c r="AM31" s="795"/>
      <c r="AN31" s="796"/>
      <c r="AO31" s="798"/>
      <c r="AP31" s="798"/>
      <c r="AQ31" s="798"/>
      <c r="AR31" s="802"/>
      <c r="AS31" s="803"/>
      <c r="AT31" s="803"/>
      <c r="AU31" s="804"/>
      <c r="AV31" s="22"/>
      <c r="AX31" s="874"/>
      <c r="AY31" s="751"/>
      <c r="AZ31" s="962"/>
      <c r="BA31" s="747"/>
      <c r="BB31" s="871"/>
      <c r="BC31" s="871"/>
      <c r="BD31" s="755"/>
      <c r="BE31" s="871"/>
      <c r="BF31" s="871"/>
      <c r="BG31" s="839"/>
      <c r="BH31" s="751"/>
      <c r="BI31" s="755"/>
      <c r="BJ31" s="751"/>
      <c r="BK31" s="829"/>
      <c r="BL31" s="831"/>
      <c r="BM31" s="836"/>
      <c r="BN31" s="832"/>
      <c r="BO31" s="867"/>
      <c r="BP31" s="837"/>
      <c r="BQ31" s="839"/>
    </row>
    <row r="32" spans="1:69" ht="15.95" customHeight="1">
      <c r="B32" s="806">
        <v>8</v>
      </c>
      <c r="C32" s="805"/>
      <c r="D32" s="805"/>
      <c r="E32" s="805"/>
      <c r="F32" s="805"/>
      <c r="G32" s="805"/>
      <c r="H32" s="805"/>
      <c r="I32" s="805"/>
      <c r="J32" s="805"/>
      <c r="K32" s="805"/>
      <c r="L32" s="805"/>
      <c r="M32" s="805"/>
      <c r="N32" s="805"/>
      <c r="O32" s="805"/>
      <c r="P32" s="805"/>
      <c r="Q32" s="805"/>
      <c r="R32" s="868" t="str">
        <f>IF(C32="","",INDEX(STDWATER[Current Unit],MATCH(C32,STDWATER[Measure Name],0)))</f>
        <v/>
      </c>
      <c r="S32" s="868"/>
      <c r="T32" s="868"/>
      <c r="U32" s="785"/>
      <c r="V32" s="785"/>
      <c r="W32" s="805"/>
      <c r="X32" s="805"/>
      <c r="Y32" s="805"/>
      <c r="Z32" s="805"/>
      <c r="AA32" s="805"/>
      <c r="AB32" s="805"/>
      <c r="AC32" s="805"/>
      <c r="AD32" s="805"/>
      <c r="AE32" s="805"/>
      <c r="AF32" s="805"/>
      <c r="AG32" s="805"/>
      <c r="AH32" s="728"/>
      <c r="AI32" s="765"/>
      <c r="AJ32" s="766"/>
      <c r="AK32" s="766"/>
      <c r="AL32" s="767"/>
      <c r="AM32" s="793" t="str">
        <f>IFERROR(IF(C32="","",INDEX(IF(AND(ACTIVEBONUS = TRUE,INDEX(STDWATER[Bonus Incentive],MATCH(C32,STDWATER[Measure Name],0))&lt;&gt; ""),STDWATER[Bonus Incentive],STDWATER[Base Incentive]),MATCH(C32,STDWATER[Measure Name],0))),"")</f>
        <v/>
      </c>
      <c r="AN32" s="794"/>
      <c r="AO32" s="798" t="str">
        <f>IFERROR(IF(OR(C32="",U32="",R32="",AA32="",AE32="",AI32="",AK32=""),"",IF(BN32="Deemed",AZ32,IF(BN32="Calculated",BE32,""))),"")</f>
        <v/>
      </c>
      <c r="AP32" s="798"/>
      <c r="AQ32" s="798"/>
      <c r="AR32" s="799" t="str">
        <f>IFERROR(IF(OR(C32="",U32="",R32="",AA32="",AE32="",AI32="",AK32=""),"",IF(BJ32&lt;&gt;"",BJ32,IF(BP32&gt;0,BP32,ROUND(IF(AO32&lt;=0,0,MIN(AX32,BG32)),2)))),"")</f>
        <v/>
      </c>
      <c r="AS32" s="800"/>
      <c r="AT32" s="800"/>
      <c r="AU32" s="801"/>
      <c r="AV32" s="22"/>
      <c r="AX32" s="873" t="str">
        <f>IF(OR(C32="",U32="",R32="",AA32="",AE32="",AI32="",AK32=""),"",IF(AO32=0,"",ROUND(AI32+AK32,2)))</f>
        <v/>
      </c>
      <c r="AY32" s="750" t="str">
        <f>IFERROR(IF(OR(C32="",U32="",R32="",AA32="",AE32="",AI32="",AK32=""),"",INDEX(STDWATER[Current Unit],MATCH(C32,STDWATER[Measure Name],0))),"Err")</f>
        <v/>
      </c>
      <c r="AZ32" s="961" t="str">
        <f>IF(OR(C32="",U32="",R32="",AA32="",AE32="",AI32="",AK32=""),"",ROUND(U32*INDEX(STDWATER[Electric Energy Savings (Annual kWh/unit)],MATCH(C32,STDWATER[Measure Name],0)),4))</f>
        <v/>
      </c>
      <c r="BA32" s="746" t="str">
        <f>IF(OR(C32="",U32="",R32="",AA32="",AE32="",AI32="",AK32=""),"",ROUND(U32*INDEX(STDWATER[Coincident Peak Demand Savings (kW/unit)],MATCH(C32,STDWATER[Measure Name],0)),4))</f>
        <v/>
      </c>
      <c r="BB32" s="871"/>
      <c r="BC32" s="871"/>
      <c r="BD32" s="754" t="str">
        <f>IFERROR(IF(OR(C32="",U32="",R32="",AA32="",AE32="",AI32="",AK32=""),"",INDEX(STDWATER[End Use],MATCH(C32,STDWATER[Measure Name],0))),"Err")</f>
        <v/>
      </c>
      <c r="BE32" s="871"/>
      <c r="BF32" s="871"/>
      <c r="BG32" s="838" t="str">
        <f>IFERROR(ROUND(U32*AM32, 2), "")</f>
        <v/>
      </c>
      <c r="BH32" s="750" t="str">
        <f>IFERROR(IF(OR(C32="",U32="",R32="",AA32="",AE32="",AI32="",AK32="",ISNUMBER(AR32)=FALSE,AR32=0),"",INDEX(STDWATER[Measure Number],MATCH(C32,STDWATER[Measure Name],0))),"Err")</f>
        <v/>
      </c>
      <c r="BI32" s="754" t="str">
        <f t="shared" ref="BI32" si="6">IFERROR(IF(BP32="",IF(AR32 &lt; BG32, "100% Total Cost", ""), ""), "")</f>
        <v/>
      </c>
      <c r="BJ32" s="750" t="str">
        <f>IFERROR(IF(OR(C32="",U32="",AA32="",AE32="",AI32="",AK32=""),"",
IF(BP32&gt;0,"",
IF(EXPIRATION&lt;&gt;"",PROJSTATEXP,""))),"")</f>
        <v/>
      </c>
      <c r="BK32" s="828" t="str">
        <f>IFERROR(INDEX(STDWATER[Measure Life (Years)],MATCH(C32,STDWATER[Measure Name],0)),"")</f>
        <v/>
      </c>
      <c r="BL32" s="830" t="str">
        <f>IFERROR(IF(OR(C32="",U32="",R32="",AA32="",AE32="",AI32="",AK32=""),"",
ROUND(((1+ELOSS)*((AZ32*INDEX(ELECCB[NPV AEC $/kWh],MATCH(BK32,ELECCB[Year Number],1)))+(BA32*INDEX(ELECCB[NPV ACC $/kW],MATCH(BK32,ELECCB[Year Number],1))))),2)),0)</f>
        <v/>
      </c>
      <c r="BM32" s="835"/>
      <c r="BN32" s="832" t="str">
        <f>IFERROR(IF(OR(C32="",U32="",R32="",AA32="",AE32="",AI32="",AK32=""),"",INDEX(STDWATER[Reporting Methodology],MATCH(C32,STDWATER[Measure Name],0))),"Err")</f>
        <v/>
      </c>
      <c r="BO32" s="867" t="str">
        <f>IFERROR(IF(BH32="","",INDEX(STDWATER[Incremental Measure Cost ($/Unit)],MATCH(C32,STDWATER[Measure Name],0))),"Err")</f>
        <v/>
      </c>
      <c r="BP32" s="837"/>
      <c r="BQ32" s="838" t="str">
        <f>_xlfn.LET(
_xlpm.IPU,
IFERROR(IF(C32="","",INDEX(STDWATER[Base Incentive],MATCH(C32,STDWATER[Measure Name],0))),""),
IFERROR(ROUND(U32*_xlpm.IPU, 2), ""))</f>
        <v/>
      </c>
    </row>
    <row r="33" spans="2:69" ht="15.95" customHeight="1">
      <c r="B33" s="806"/>
      <c r="C33" s="805"/>
      <c r="D33" s="805"/>
      <c r="E33" s="805"/>
      <c r="F33" s="805"/>
      <c r="G33" s="805"/>
      <c r="H33" s="805"/>
      <c r="I33" s="805"/>
      <c r="J33" s="805"/>
      <c r="K33" s="805"/>
      <c r="L33" s="805"/>
      <c r="M33" s="805"/>
      <c r="N33" s="805"/>
      <c r="O33" s="805"/>
      <c r="P33" s="805"/>
      <c r="Q33" s="805"/>
      <c r="R33" s="868"/>
      <c r="S33" s="868"/>
      <c r="T33" s="868"/>
      <c r="U33" s="785"/>
      <c r="V33" s="785"/>
      <c r="W33" s="805"/>
      <c r="X33" s="805"/>
      <c r="Y33" s="805"/>
      <c r="Z33" s="805"/>
      <c r="AA33" s="805"/>
      <c r="AB33" s="805"/>
      <c r="AC33" s="805"/>
      <c r="AD33" s="805"/>
      <c r="AE33" s="805"/>
      <c r="AF33" s="805"/>
      <c r="AG33" s="805"/>
      <c r="AH33" s="728"/>
      <c r="AI33" s="765"/>
      <c r="AJ33" s="766"/>
      <c r="AK33" s="766"/>
      <c r="AL33" s="767"/>
      <c r="AM33" s="795"/>
      <c r="AN33" s="796"/>
      <c r="AO33" s="798"/>
      <c r="AP33" s="798"/>
      <c r="AQ33" s="798"/>
      <c r="AR33" s="802"/>
      <c r="AS33" s="803"/>
      <c r="AT33" s="803"/>
      <c r="AU33" s="804"/>
      <c r="AV33" s="22"/>
      <c r="AX33" s="874"/>
      <c r="AY33" s="751"/>
      <c r="AZ33" s="962"/>
      <c r="BA33" s="747"/>
      <c r="BB33" s="871"/>
      <c r="BC33" s="871"/>
      <c r="BD33" s="755"/>
      <c r="BE33" s="871"/>
      <c r="BF33" s="871"/>
      <c r="BG33" s="839"/>
      <c r="BH33" s="751"/>
      <c r="BI33" s="755"/>
      <c r="BJ33" s="751"/>
      <c r="BK33" s="829"/>
      <c r="BL33" s="831"/>
      <c r="BM33" s="836"/>
      <c r="BN33" s="832"/>
      <c r="BO33" s="867"/>
      <c r="BP33" s="837"/>
      <c r="BQ33" s="839"/>
    </row>
    <row r="34" spans="2:69" ht="15.95" customHeight="1">
      <c r="B34" s="806">
        <v>9</v>
      </c>
      <c r="C34" s="805"/>
      <c r="D34" s="805"/>
      <c r="E34" s="805"/>
      <c r="F34" s="805"/>
      <c r="G34" s="805"/>
      <c r="H34" s="805"/>
      <c r="I34" s="805"/>
      <c r="J34" s="805"/>
      <c r="K34" s="805"/>
      <c r="L34" s="805"/>
      <c r="M34" s="805"/>
      <c r="N34" s="805"/>
      <c r="O34" s="805"/>
      <c r="P34" s="805"/>
      <c r="Q34" s="805"/>
      <c r="R34" s="868" t="str">
        <f>IF(C34="","",INDEX(STDWATER[Current Unit],MATCH(C34,STDWATER[Measure Name],0)))</f>
        <v/>
      </c>
      <c r="S34" s="868"/>
      <c r="T34" s="868"/>
      <c r="U34" s="785"/>
      <c r="V34" s="785"/>
      <c r="W34" s="805"/>
      <c r="X34" s="805"/>
      <c r="Y34" s="805"/>
      <c r="Z34" s="805"/>
      <c r="AA34" s="805"/>
      <c r="AB34" s="805"/>
      <c r="AC34" s="805"/>
      <c r="AD34" s="805"/>
      <c r="AE34" s="805"/>
      <c r="AF34" s="805"/>
      <c r="AG34" s="805"/>
      <c r="AH34" s="728"/>
      <c r="AI34" s="765"/>
      <c r="AJ34" s="766"/>
      <c r="AK34" s="766"/>
      <c r="AL34" s="767"/>
      <c r="AM34" s="793" t="str">
        <f>IFERROR(IF(C34="","",INDEX(IF(AND(ACTIVEBONUS = TRUE,INDEX(STDWATER[Bonus Incentive],MATCH(C34,STDWATER[Measure Name],0))&lt;&gt; ""),STDWATER[Bonus Incentive],STDWATER[Base Incentive]),MATCH(C34,STDWATER[Measure Name],0))),"")</f>
        <v/>
      </c>
      <c r="AN34" s="794"/>
      <c r="AO34" s="798" t="str">
        <f>IFERROR(IF(OR(C34="",U34="",R34="",AA34="",AE34="",AI34="",AK34=""),"",IF(BN34="Deemed",AZ34,IF(BN34="Calculated",BE34,""))),"")</f>
        <v/>
      </c>
      <c r="AP34" s="798"/>
      <c r="AQ34" s="798"/>
      <c r="AR34" s="799" t="str">
        <f>IFERROR(IF(OR(C34="",U34="",R34="",AA34="",AE34="",AI34="",AK34=""),"",IF(BJ34&lt;&gt;"",BJ34,IF(BP34&gt;0,BP34,ROUND(IF(AO34&lt;=0,0,MIN(AX34,BG34)),2)))),"")</f>
        <v/>
      </c>
      <c r="AS34" s="800"/>
      <c r="AT34" s="800"/>
      <c r="AU34" s="801"/>
      <c r="AV34" s="22"/>
      <c r="AX34" s="873" t="str">
        <f>IF(OR(C34="",U34="",R34="",AA34="",AE34="",AI34="",AK34=""),"",IF(AO34=0,"",ROUND(AI34+AK34,2)))</f>
        <v/>
      </c>
      <c r="AY34" s="750" t="str">
        <f>IFERROR(IF(OR(C34="",U34="",R34="",AA34="",AE34="",AI34="",AK34=""),"",INDEX(STDWATER[Current Unit],MATCH(C34,STDWATER[Measure Name],0))),"Err")</f>
        <v/>
      </c>
      <c r="AZ34" s="961" t="str">
        <f>IF(OR(C34="",U34="",R34="",AA34="",AE34="",AI34="",AK34=""),"",ROUND(U34*INDEX(STDWATER[Electric Energy Savings (Annual kWh/unit)],MATCH(C34,STDWATER[Measure Name],0)),4))</f>
        <v/>
      </c>
      <c r="BA34" s="746" t="str">
        <f>IF(OR(C34="",U34="",R34="",AA34="",AE34="",AI34="",AK34=""),"",ROUND(U34*INDEX(STDWATER[Coincident Peak Demand Savings (kW/unit)],MATCH(C34,STDWATER[Measure Name],0)),4))</f>
        <v/>
      </c>
      <c r="BB34" s="871"/>
      <c r="BC34" s="871"/>
      <c r="BD34" s="754" t="str">
        <f>IFERROR(IF(OR(C34="",U34="",R34="",AA34="",AE34="",AI34="",AK34=""),"",INDEX(STDWATER[End Use],MATCH(C34,STDWATER[Measure Name],0))),"Err")</f>
        <v/>
      </c>
      <c r="BE34" s="871"/>
      <c r="BF34" s="871"/>
      <c r="BG34" s="838" t="str">
        <f>IFERROR(ROUND(U34*AM34, 2), "")</f>
        <v/>
      </c>
      <c r="BH34" s="750" t="str">
        <f>IFERROR(IF(OR(C34="",U34="",R34="",AA34="",AE34="",AI34="",AK34="",ISNUMBER(AR34)=FALSE,AR34=0),"",INDEX(STDWATER[Measure Number],MATCH(C34,STDWATER[Measure Name],0))),"Err")</f>
        <v/>
      </c>
      <c r="BI34" s="754" t="str">
        <f t="shared" ref="BI34" si="7">IFERROR(IF(BP34="",IF(AR34 &lt; BG34, "100% Total Cost", ""), ""), "")</f>
        <v/>
      </c>
      <c r="BJ34" s="750" t="str">
        <f>IFERROR(IF(OR(C34="",U34="",AA34="",AE34="",AI34="",AK34=""),"",
IF(BP34&gt;0,"",
IF(EXPIRATION&lt;&gt;"",PROJSTATEXP,""))),"")</f>
        <v/>
      </c>
      <c r="BK34" s="828" t="str">
        <f>IFERROR(INDEX(STDWATER[Measure Life (Years)],MATCH(C34,STDWATER[Measure Name],0)),"")</f>
        <v/>
      </c>
      <c r="BL34" s="830" t="str">
        <f>IFERROR(IF(OR(C34="",U34="",R34="",AA34="",AE34="",AI34="",AK34=""),"",
ROUND(((1+ELOSS)*((AZ34*INDEX(ELECCB[NPV AEC $/kWh],MATCH(BK34,ELECCB[Year Number],1)))+(BA34*INDEX(ELECCB[NPV ACC $/kW],MATCH(BK34,ELECCB[Year Number],1))))),2)),0)</f>
        <v/>
      </c>
      <c r="BM34" s="835"/>
      <c r="BN34" s="832" t="str">
        <f>IFERROR(IF(OR(C34="",U34="",R34="",AA34="",AE34="",AI34="",AK34=""),"",INDEX(STDWATER[Reporting Methodology],MATCH(C34,STDWATER[Measure Name],0))),"Err")</f>
        <v/>
      </c>
      <c r="BO34" s="867" t="str">
        <f>IFERROR(IF(BH34="","",INDEX(STDWATER[Incremental Measure Cost ($/Unit)],MATCH(C34,STDWATER[Measure Name],0))),"Err")</f>
        <v/>
      </c>
      <c r="BP34" s="837"/>
      <c r="BQ34" s="838" t="str">
        <f>_xlfn.LET(
_xlpm.IPU,
IFERROR(IF(C34="","",INDEX(STDWATER[Base Incentive],MATCH(C34,STDWATER[Measure Name],0))),""),
IFERROR(ROUND(U34*_xlpm.IPU, 2), ""))</f>
        <v/>
      </c>
    </row>
    <row r="35" spans="2:69" ht="15.95" customHeight="1">
      <c r="B35" s="806"/>
      <c r="C35" s="805"/>
      <c r="D35" s="805"/>
      <c r="E35" s="805"/>
      <c r="F35" s="805"/>
      <c r="G35" s="805"/>
      <c r="H35" s="805"/>
      <c r="I35" s="805"/>
      <c r="J35" s="805"/>
      <c r="K35" s="805"/>
      <c r="L35" s="805"/>
      <c r="M35" s="805"/>
      <c r="N35" s="805"/>
      <c r="O35" s="805"/>
      <c r="P35" s="805"/>
      <c r="Q35" s="805"/>
      <c r="R35" s="868"/>
      <c r="S35" s="868"/>
      <c r="T35" s="868"/>
      <c r="U35" s="785"/>
      <c r="V35" s="785"/>
      <c r="W35" s="805"/>
      <c r="X35" s="805"/>
      <c r="Y35" s="805"/>
      <c r="Z35" s="805"/>
      <c r="AA35" s="805"/>
      <c r="AB35" s="805"/>
      <c r="AC35" s="805"/>
      <c r="AD35" s="805"/>
      <c r="AE35" s="805"/>
      <c r="AF35" s="805"/>
      <c r="AG35" s="805"/>
      <c r="AH35" s="728"/>
      <c r="AI35" s="765"/>
      <c r="AJ35" s="766"/>
      <c r="AK35" s="766"/>
      <c r="AL35" s="767"/>
      <c r="AM35" s="795"/>
      <c r="AN35" s="796"/>
      <c r="AO35" s="798"/>
      <c r="AP35" s="798"/>
      <c r="AQ35" s="798"/>
      <c r="AR35" s="802"/>
      <c r="AS35" s="803"/>
      <c r="AT35" s="803"/>
      <c r="AU35" s="804"/>
      <c r="AV35" s="22"/>
      <c r="AX35" s="874"/>
      <c r="AY35" s="751"/>
      <c r="AZ35" s="962"/>
      <c r="BA35" s="747"/>
      <c r="BB35" s="871"/>
      <c r="BC35" s="871"/>
      <c r="BD35" s="755"/>
      <c r="BE35" s="871"/>
      <c r="BF35" s="871"/>
      <c r="BG35" s="839"/>
      <c r="BH35" s="751"/>
      <c r="BI35" s="755"/>
      <c r="BJ35" s="751"/>
      <c r="BK35" s="829"/>
      <c r="BL35" s="831"/>
      <c r="BM35" s="836"/>
      <c r="BN35" s="832"/>
      <c r="BO35" s="867"/>
      <c r="BP35" s="837"/>
      <c r="BQ35" s="839"/>
    </row>
    <row r="36" spans="2:69" ht="15.95" customHeight="1">
      <c r="B36" s="806">
        <v>10</v>
      </c>
      <c r="C36" s="805"/>
      <c r="D36" s="805"/>
      <c r="E36" s="805"/>
      <c r="F36" s="805"/>
      <c r="G36" s="805"/>
      <c r="H36" s="805"/>
      <c r="I36" s="805"/>
      <c r="J36" s="805"/>
      <c r="K36" s="805"/>
      <c r="L36" s="805"/>
      <c r="M36" s="805"/>
      <c r="N36" s="805"/>
      <c r="O36" s="805"/>
      <c r="P36" s="805"/>
      <c r="Q36" s="805"/>
      <c r="R36" s="868" t="str">
        <f>IF(C36="","",INDEX(STDWATER[Current Unit],MATCH(C36,STDWATER[Measure Name],0)))</f>
        <v/>
      </c>
      <c r="S36" s="868"/>
      <c r="T36" s="868"/>
      <c r="U36" s="785"/>
      <c r="V36" s="785"/>
      <c r="W36" s="805"/>
      <c r="X36" s="805"/>
      <c r="Y36" s="805"/>
      <c r="Z36" s="805"/>
      <c r="AA36" s="805"/>
      <c r="AB36" s="805"/>
      <c r="AC36" s="805"/>
      <c r="AD36" s="805"/>
      <c r="AE36" s="805"/>
      <c r="AF36" s="805"/>
      <c r="AG36" s="805"/>
      <c r="AH36" s="728"/>
      <c r="AI36" s="765"/>
      <c r="AJ36" s="766"/>
      <c r="AK36" s="766"/>
      <c r="AL36" s="767"/>
      <c r="AM36" s="793" t="str">
        <f>IFERROR(IF(C36="","",INDEX(IF(AND(ACTIVEBONUS = TRUE,INDEX(STDWATER[Bonus Incentive],MATCH(C36,STDWATER[Measure Name],0))&lt;&gt; ""),STDWATER[Bonus Incentive],STDWATER[Base Incentive]),MATCH(C36,STDWATER[Measure Name],0))),"")</f>
        <v/>
      </c>
      <c r="AN36" s="794"/>
      <c r="AO36" s="798" t="str">
        <f>IFERROR(IF(OR(C36="",U36="",R36="",AA36="",AE36="",AI36="",AK36=""),"",IF(BN36="Deemed",AZ36,IF(BN36="Calculated",BE36,""))),"")</f>
        <v/>
      </c>
      <c r="AP36" s="798"/>
      <c r="AQ36" s="798"/>
      <c r="AR36" s="799" t="str">
        <f>IFERROR(IF(OR(C36="",U36="",R36="",AA36="",AE36="",AI36="",AK36=""),"",IF(BJ36&lt;&gt;"",BJ36,IF(BP36&gt;0,BP36,ROUND(IF(AO36&lt;=0,0,MIN(AX36,BG36)),2)))),"")</f>
        <v/>
      </c>
      <c r="AS36" s="800"/>
      <c r="AT36" s="800"/>
      <c r="AU36" s="801"/>
      <c r="AV36" s="22"/>
      <c r="AX36" s="873" t="str">
        <f>IF(OR(C36="",U36="",R36="",AA36="",AE36="",AI36="",AK36=""),"",IF(AO36=0,"",ROUND(AI36+AK36,2)))</f>
        <v/>
      </c>
      <c r="AY36" s="750" t="str">
        <f>IFERROR(IF(OR(C36="",U36="",R36="",AA36="",AE36="",AI36="",AK36=""),"",INDEX(STDWATER[Current Unit],MATCH(C36,STDWATER[Measure Name],0))),"Err")</f>
        <v/>
      </c>
      <c r="AZ36" s="961" t="str">
        <f>IF(OR(C36="",U36="",R36="",AA36="",AE36="",AI36="",AK36=""),"",ROUND(U36*INDEX(STDWATER[Electric Energy Savings (Annual kWh/unit)],MATCH(C36,STDWATER[Measure Name],0)),4))</f>
        <v/>
      </c>
      <c r="BA36" s="746" t="str">
        <f>IF(OR(C36="",U36="",R36="",AA36="",AE36="",AI36="",AK36=""),"",ROUND(U36*INDEX(STDWATER[Coincident Peak Demand Savings (kW/unit)],MATCH(C36,STDWATER[Measure Name],0)),4))</f>
        <v/>
      </c>
      <c r="BB36" s="871"/>
      <c r="BC36" s="871"/>
      <c r="BD36" s="754" t="str">
        <f>IFERROR(IF(OR(C36="",U36="",R36="",AA36="",AE36="",AI36="",AK36=""),"",INDEX(STDWATER[End Use],MATCH(C36,STDWATER[Measure Name],0))),"Err")</f>
        <v/>
      </c>
      <c r="BE36" s="871"/>
      <c r="BF36" s="871"/>
      <c r="BG36" s="838" t="str">
        <f>IFERROR(ROUND(U36*AM36, 2), "")</f>
        <v/>
      </c>
      <c r="BH36" s="750" t="str">
        <f>IFERROR(IF(OR(C36="",U36="",R36="",AA36="",AE36="",AI36="",AK36="",ISNUMBER(AR36)=FALSE,AR36=0),"",INDEX(STDWATER[Measure Number],MATCH(C36,STDWATER[Measure Name],0))),"Err")</f>
        <v/>
      </c>
      <c r="BI36" s="754" t="str">
        <f t="shared" ref="BI36" si="8">IFERROR(IF(BP36="",IF(AR36 &lt; BG36, "100% Total Cost", ""), ""), "")</f>
        <v/>
      </c>
      <c r="BJ36" s="750" t="str">
        <f>IFERROR(IF(OR(C36="",U36="",AA36="",AE36="",AI36="",AK36=""),"",
IF(BP36&gt;0,"",
IF(EXPIRATION&lt;&gt;"",PROJSTATEXP,""))),"")</f>
        <v/>
      </c>
      <c r="BK36" s="828" t="str">
        <f>IFERROR(INDEX(STDWATER[Measure Life (Years)],MATCH(C36,STDWATER[Measure Name],0)),"")</f>
        <v/>
      </c>
      <c r="BL36" s="830" t="str">
        <f>IFERROR(IF(OR(C36="",U36="",R36="",AA36="",AE36="",AI36="",AK36=""),"",
ROUND(((1+ELOSS)*((AZ36*INDEX(ELECCB[NPV AEC $/kWh],MATCH(BK36,ELECCB[Year Number],1)))+(BA36*INDEX(ELECCB[NPV ACC $/kW],MATCH(BK36,ELECCB[Year Number],1))))),2)),0)</f>
        <v/>
      </c>
      <c r="BM36" s="835"/>
      <c r="BN36" s="832" t="str">
        <f>IFERROR(IF(OR(C36="",U36="",R36="",AA36="",AE36="",AI36="",AK36=""),"",INDEX(STDWATER[Reporting Methodology],MATCH(C36,STDWATER[Measure Name],0))),"Err")</f>
        <v/>
      </c>
      <c r="BO36" s="867" t="str">
        <f>IFERROR(IF(BH36="","",INDEX(STDWATER[Incremental Measure Cost ($/Unit)],MATCH(C36,STDWATER[Measure Name],0))),"Err")</f>
        <v/>
      </c>
      <c r="BP36" s="837"/>
      <c r="BQ36" s="838" t="str">
        <f>_xlfn.LET(
_xlpm.IPU,
IFERROR(IF(C36="","",INDEX(STDWATER[Base Incentive],MATCH(C36,STDWATER[Measure Name],0))),""),
IFERROR(ROUND(U36*_xlpm.IPU, 2), ""))</f>
        <v/>
      </c>
    </row>
    <row r="37" spans="2:69" ht="15.95" customHeight="1">
      <c r="B37" s="806"/>
      <c r="C37" s="805"/>
      <c r="D37" s="805"/>
      <c r="E37" s="805"/>
      <c r="F37" s="805"/>
      <c r="G37" s="805"/>
      <c r="H37" s="805"/>
      <c r="I37" s="805"/>
      <c r="J37" s="805"/>
      <c r="K37" s="805"/>
      <c r="L37" s="805"/>
      <c r="M37" s="805"/>
      <c r="N37" s="805"/>
      <c r="O37" s="805"/>
      <c r="P37" s="805"/>
      <c r="Q37" s="805"/>
      <c r="R37" s="868"/>
      <c r="S37" s="868"/>
      <c r="T37" s="868"/>
      <c r="U37" s="785"/>
      <c r="V37" s="785"/>
      <c r="W37" s="805"/>
      <c r="X37" s="805"/>
      <c r="Y37" s="805"/>
      <c r="Z37" s="805"/>
      <c r="AA37" s="805"/>
      <c r="AB37" s="805"/>
      <c r="AC37" s="805"/>
      <c r="AD37" s="805"/>
      <c r="AE37" s="805"/>
      <c r="AF37" s="805"/>
      <c r="AG37" s="805"/>
      <c r="AH37" s="728"/>
      <c r="AI37" s="765"/>
      <c r="AJ37" s="766"/>
      <c r="AK37" s="766"/>
      <c r="AL37" s="767"/>
      <c r="AM37" s="795"/>
      <c r="AN37" s="796"/>
      <c r="AO37" s="798"/>
      <c r="AP37" s="798"/>
      <c r="AQ37" s="798"/>
      <c r="AR37" s="802"/>
      <c r="AS37" s="803"/>
      <c r="AT37" s="803"/>
      <c r="AU37" s="804"/>
      <c r="AV37" s="22"/>
      <c r="AX37" s="874"/>
      <c r="AY37" s="751"/>
      <c r="AZ37" s="962"/>
      <c r="BA37" s="747"/>
      <c r="BB37" s="871"/>
      <c r="BC37" s="871"/>
      <c r="BD37" s="755"/>
      <c r="BE37" s="871"/>
      <c r="BF37" s="871"/>
      <c r="BG37" s="839"/>
      <c r="BH37" s="751"/>
      <c r="BI37" s="755"/>
      <c r="BJ37" s="751"/>
      <c r="BK37" s="829"/>
      <c r="BL37" s="831"/>
      <c r="BM37" s="836"/>
      <c r="BN37" s="832"/>
      <c r="BO37" s="867"/>
      <c r="BP37" s="837"/>
      <c r="BQ37" s="839"/>
    </row>
    <row r="38" spans="2:69" ht="15.95" customHeight="1">
      <c r="AX38" s="222"/>
    </row>
    <row r="39" spans="2:69" ht="15.95" hidden="1" customHeight="1">
      <c r="AX39" s="222"/>
    </row>
    <row r="40" spans="2:69" ht="15.95" hidden="1" customHeight="1">
      <c r="AX40" s="222"/>
    </row>
    <row r="41" spans="2:69" ht="15.95" hidden="1" customHeight="1">
      <c r="AX41" s="222"/>
    </row>
    <row r="42" spans="2:69" ht="15.95" hidden="1" customHeight="1">
      <c r="AX42" s="222"/>
    </row>
    <row r="43" spans="2:69" ht="15.95" hidden="1" customHeight="1">
      <c r="AX43" s="222"/>
    </row>
    <row r="44" spans="2:69" ht="15.95" hidden="1" customHeight="1">
      <c r="AX44" s="222"/>
    </row>
    <row r="45" spans="2:69" ht="15.95" hidden="1" customHeight="1">
      <c r="AX45" s="222"/>
    </row>
    <row r="46" spans="2:69" ht="15.95" hidden="1" customHeight="1">
      <c r="AX46" s="222"/>
    </row>
    <row r="47" spans="2:69" ht="15.95" hidden="1" customHeight="1">
      <c r="AX47" s="222"/>
    </row>
    <row r="48" spans="2:69" ht="15.95" hidden="1" customHeight="1">
      <c r="AZ48" s="31"/>
      <c r="BA48" s="37"/>
    </row>
    <row r="49" spans="52:53" ht="15.95" hidden="1" customHeight="1">
      <c r="AZ49" s="31"/>
      <c r="BA49" s="37"/>
    </row>
    <row r="50" spans="52:53" ht="15.95" hidden="1" customHeight="1">
      <c r="AZ50" s="31"/>
      <c r="BA50" s="37"/>
    </row>
    <row r="51" spans="52:53" ht="15.95" hidden="1" customHeight="1">
      <c r="AZ51" s="31"/>
      <c r="BA51" s="37"/>
    </row>
    <row r="52" spans="52:53" ht="15.95" hidden="1" customHeight="1">
      <c r="AZ52" s="31"/>
      <c r="BA52" s="37"/>
    </row>
    <row r="53" spans="52:53" ht="15.95" hidden="1" customHeight="1">
      <c r="AZ53" s="31"/>
      <c r="BA53" s="37"/>
    </row>
    <row r="54" spans="52:53" ht="15.95" hidden="1" customHeight="1">
      <c r="AZ54" s="31"/>
      <c r="BA54" s="37"/>
    </row>
    <row r="55" spans="52:53" ht="15.95" hidden="1" customHeight="1">
      <c r="AZ55" s="31"/>
      <c r="BA55" s="37"/>
    </row>
    <row r="56" spans="52:53" ht="15.95" hidden="1" customHeight="1">
      <c r="AZ56" s="31"/>
      <c r="BA56" s="37"/>
    </row>
    <row r="57" spans="52:53" ht="15.95" hidden="1" customHeight="1">
      <c r="AZ57" s="31"/>
      <c r="BA57" s="37"/>
    </row>
    <row r="58" spans="52:53" ht="15.95" hidden="1" customHeight="1">
      <c r="AZ58" s="31"/>
      <c r="BA58" s="37"/>
    </row>
    <row r="59" spans="52:53" ht="15.95" hidden="1" customHeight="1">
      <c r="AZ59" s="31"/>
      <c r="BA59" s="37"/>
    </row>
    <row r="60" spans="52:53" ht="15.95" hidden="1" customHeight="1">
      <c r="AZ60" s="31"/>
      <c r="BA60" s="37"/>
    </row>
    <row r="61" spans="52:53" ht="15.95" hidden="1" customHeight="1">
      <c r="AZ61" s="31"/>
      <c r="BA61" s="37"/>
    </row>
    <row r="62" spans="52:53" ht="15.95" hidden="1" customHeight="1">
      <c r="AZ62" s="31"/>
      <c r="BA62" s="37"/>
    </row>
    <row r="63" spans="52:53" ht="15.95" hidden="1" customHeight="1">
      <c r="AZ63" s="31"/>
      <c r="BA63" s="37"/>
    </row>
    <row r="64" spans="52:53" ht="15.95" hidden="1" customHeight="1">
      <c r="AZ64" s="31"/>
      <c r="BA64" s="37"/>
    </row>
    <row r="65" spans="52:53" ht="15.95" hidden="1" customHeight="1">
      <c r="AZ65" s="31"/>
      <c r="BA65" s="37"/>
    </row>
    <row r="66" spans="52:53" ht="15.95" hidden="1" customHeight="1">
      <c r="AZ66" s="31"/>
      <c r="BA66" s="37"/>
    </row>
    <row r="67" spans="52:53" ht="15.95" hidden="1" customHeight="1">
      <c r="AZ67" s="31"/>
      <c r="BA67" s="37"/>
    </row>
    <row r="68" spans="52:53" ht="15.95" hidden="1" customHeight="1">
      <c r="AZ68" s="31"/>
      <c r="BA68" s="37"/>
    </row>
    <row r="69" spans="52:53" ht="15.95" hidden="1" customHeight="1">
      <c r="AZ69" s="31"/>
      <c r="BA69" s="37"/>
    </row>
    <row r="70" spans="52:53" ht="15.95" hidden="1" customHeight="1">
      <c r="AZ70" s="31"/>
      <c r="BA70" s="37"/>
    </row>
    <row r="71" spans="52:53" ht="15.95" hidden="1" customHeight="1">
      <c r="AZ71" s="31"/>
      <c r="BA71" s="37"/>
    </row>
    <row r="72" spans="52:53" ht="15.95" hidden="1" customHeight="1">
      <c r="AZ72" s="31"/>
      <c r="BA72" s="37"/>
    </row>
    <row r="73" spans="52:53" ht="15.95" hidden="1" customHeight="1">
      <c r="AZ73" s="31"/>
      <c r="BA73" s="37"/>
    </row>
    <row r="74" spans="52:53" ht="15.95" hidden="1" customHeight="1">
      <c r="AZ74" s="31"/>
      <c r="BA74" s="37"/>
    </row>
    <row r="75" spans="52:53" ht="15.95" hidden="1" customHeight="1">
      <c r="AZ75" s="31"/>
      <c r="BA75" s="37"/>
    </row>
    <row r="76" spans="52:53" ht="15.95" hidden="1" customHeight="1">
      <c r="AZ76" s="31"/>
      <c r="BA76" s="37"/>
    </row>
    <row r="77" spans="52:53" ht="15.95" hidden="1" customHeight="1">
      <c r="AZ77" s="31"/>
      <c r="BA77" s="37"/>
    </row>
    <row r="78" spans="52:53" ht="15.95" hidden="1" customHeight="1">
      <c r="AZ78" s="31"/>
      <c r="BA78" s="37"/>
    </row>
    <row r="79" spans="52:53" ht="15.95" hidden="1" customHeight="1">
      <c r="AZ79" s="31"/>
      <c r="BA79" s="37"/>
    </row>
    <row r="80" spans="52:53" ht="15.95" hidden="1" customHeight="1">
      <c r="AZ80" s="31"/>
      <c r="BA80" s="37"/>
    </row>
    <row r="81" spans="52:53" ht="15.95" hidden="1" customHeight="1">
      <c r="AZ81" s="31"/>
      <c r="BA81" s="37"/>
    </row>
    <row r="82" spans="52:53" ht="15.95" hidden="1" customHeight="1">
      <c r="AZ82" s="31"/>
      <c r="BA82" s="37"/>
    </row>
    <row r="83" spans="52:53" ht="15.95" hidden="1" customHeight="1">
      <c r="AZ83" s="31"/>
      <c r="BA83" s="37"/>
    </row>
    <row r="84" spans="52:53" ht="15.95" hidden="1" customHeight="1">
      <c r="AZ84" s="31"/>
      <c r="BA84" s="37"/>
    </row>
    <row r="85" spans="52:53" ht="15.95" hidden="1" customHeight="1">
      <c r="AZ85" s="31"/>
      <c r="BA85" s="37"/>
    </row>
    <row r="86" spans="52:53" ht="15.95" hidden="1" customHeight="1">
      <c r="AZ86" s="31"/>
      <c r="BA86" s="37"/>
    </row>
    <row r="87" spans="52:53" ht="15.95" hidden="1" customHeight="1">
      <c r="AZ87" s="31"/>
      <c r="BA87" s="37"/>
    </row>
    <row r="88" spans="52:53" ht="15.95" hidden="1" customHeight="1">
      <c r="AZ88" s="31"/>
      <c r="BA88" s="37"/>
    </row>
    <row r="89" spans="52:53" ht="15.95" hidden="1" customHeight="1">
      <c r="AZ89" s="31"/>
      <c r="BA89" s="37"/>
    </row>
    <row r="90" spans="52:53" ht="15.95" hidden="1" customHeight="1">
      <c r="AZ90" s="31"/>
      <c r="BA90" s="37"/>
    </row>
    <row r="91" spans="52:53" ht="15.95" hidden="1" customHeight="1">
      <c r="AZ91" s="31"/>
      <c r="BA91" s="37"/>
    </row>
    <row r="92" spans="52:53" ht="15.95" hidden="1" customHeight="1">
      <c r="AZ92" s="31"/>
      <c r="BA92" s="37"/>
    </row>
    <row r="93" spans="52:53" ht="15.95" hidden="1" customHeight="1">
      <c r="AZ93" s="31"/>
      <c r="BA93" s="37"/>
    </row>
    <row r="94" spans="52:53" ht="15.95" hidden="1" customHeight="1">
      <c r="AZ94" s="31"/>
      <c r="BA94" s="37"/>
    </row>
    <row r="95" spans="52:53" ht="15.95" hidden="1" customHeight="1">
      <c r="AZ95" s="31"/>
      <c r="BA95" s="37"/>
    </row>
    <row r="96" spans="52:53" ht="15.95" hidden="1" customHeight="1">
      <c r="AZ96" s="31"/>
      <c r="BA96" s="37"/>
    </row>
    <row r="97" spans="52:53" ht="15.95" hidden="1" customHeight="1">
      <c r="AZ97" s="31"/>
      <c r="BA97" s="37"/>
    </row>
    <row r="98" spans="52:53" ht="15.95" hidden="1" customHeight="1">
      <c r="AZ98" s="31"/>
      <c r="BA98" s="37"/>
    </row>
    <row r="99" spans="52:53" ht="15.95" hidden="1" customHeight="1">
      <c r="AZ99" s="31"/>
      <c r="BA99" s="37"/>
    </row>
    <row r="100" spans="52:53" ht="15.95" hidden="1" customHeight="1">
      <c r="AZ100" s="31"/>
      <c r="BA100" s="37"/>
    </row>
    <row r="101" spans="52:53" ht="15.95" hidden="1" customHeight="1">
      <c r="AZ101" s="31"/>
      <c r="BA101" s="37"/>
    </row>
    <row r="102" spans="52:53" ht="15.95" hidden="1" customHeight="1">
      <c r="AZ102" s="31"/>
      <c r="BA102" s="37"/>
    </row>
    <row r="103" spans="52:53" ht="15.95" hidden="1" customHeight="1">
      <c r="AZ103" s="31"/>
      <c r="BA103" s="37"/>
    </row>
    <row r="104" spans="52:53" ht="15.95" hidden="1" customHeight="1">
      <c r="AZ104" s="31"/>
      <c r="BA104" s="37"/>
    </row>
    <row r="105" spans="52:53" ht="15.95" hidden="1" customHeight="1">
      <c r="AZ105" s="31"/>
      <c r="BA105" s="37"/>
    </row>
    <row r="106" spans="52:53" ht="15.95" hidden="1" customHeight="1">
      <c r="AZ106" s="31"/>
      <c r="BA106" s="37"/>
    </row>
    <row r="107" spans="52:53" ht="15.95" hidden="1" customHeight="1">
      <c r="AZ107" s="31"/>
      <c r="BA107" s="37"/>
    </row>
    <row r="108" spans="52:53" ht="15.95" hidden="1" customHeight="1">
      <c r="AZ108" s="31"/>
      <c r="BA108" s="37"/>
    </row>
    <row r="109" spans="52:53" ht="15.95" hidden="1" customHeight="1">
      <c r="AZ109" s="31"/>
      <c r="BA109" s="37"/>
    </row>
    <row r="110" spans="52:53" ht="15.95" hidden="1" customHeight="1">
      <c r="AZ110" s="31"/>
      <c r="BA110" s="37"/>
    </row>
    <row r="111" spans="52:53" ht="15.95" hidden="1" customHeight="1">
      <c r="AZ111" s="31"/>
      <c r="BA111" s="37"/>
    </row>
    <row r="112" spans="52:53" ht="15.95" hidden="1" customHeight="1">
      <c r="AZ112" s="31"/>
      <c r="BA112" s="37"/>
    </row>
    <row r="113" spans="52:53" ht="15.95" hidden="1" customHeight="1">
      <c r="AZ113" s="31"/>
      <c r="BA113" s="37"/>
    </row>
    <row r="114" spans="52:53" ht="15.95" hidden="1" customHeight="1">
      <c r="AZ114" s="31"/>
      <c r="BA114" s="37"/>
    </row>
    <row r="115" spans="52:53" ht="15.95" hidden="1" customHeight="1">
      <c r="AZ115" s="31"/>
      <c r="BA115" s="37"/>
    </row>
    <row r="116" spans="52:53" ht="15.95" hidden="1" customHeight="1">
      <c r="AZ116" s="31"/>
      <c r="BA116" s="37"/>
    </row>
    <row r="117" spans="52:53" ht="15.95" hidden="1" customHeight="1">
      <c r="AZ117" s="31"/>
      <c r="BA117" s="37"/>
    </row>
    <row r="118" spans="52:53" ht="15.95" hidden="1" customHeight="1">
      <c r="AZ118" s="31"/>
      <c r="BA118" s="37"/>
    </row>
    <row r="119" spans="52:53" ht="15.95" hidden="1" customHeight="1">
      <c r="AZ119" s="31"/>
      <c r="BA119" s="37"/>
    </row>
    <row r="120" spans="52:53" ht="15.95" hidden="1" customHeight="1">
      <c r="AZ120" s="31"/>
      <c r="BA120" s="37"/>
    </row>
    <row r="121" spans="52:53" ht="15.95" hidden="1" customHeight="1">
      <c r="AZ121" s="31"/>
      <c r="BA121" s="37"/>
    </row>
    <row r="122" spans="52:53" ht="15.95" hidden="1" customHeight="1">
      <c r="AZ122" s="31"/>
      <c r="BA122" s="37"/>
    </row>
    <row r="123" spans="52:53" ht="15.95" hidden="1" customHeight="1">
      <c r="AZ123" s="31"/>
      <c r="BA123" s="37"/>
    </row>
    <row r="124" spans="52:53" ht="15.95" hidden="1" customHeight="1">
      <c r="AZ124" s="31"/>
      <c r="BA124" s="37"/>
    </row>
    <row r="125" spans="52:53" ht="15.95" hidden="1" customHeight="1">
      <c r="AZ125" s="31"/>
      <c r="BA125" s="37"/>
    </row>
    <row r="126" spans="52:53" ht="15.95" hidden="1" customHeight="1">
      <c r="AZ126" s="31"/>
      <c r="BA126" s="37"/>
    </row>
    <row r="127" spans="52:53" ht="15.95" hidden="1" customHeight="1">
      <c r="AZ127" s="31"/>
      <c r="BA127" s="37"/>
    </row>
    <row r="128" spans="52:53" ht="15.95" hidden="1" customHeight="1">
      <c r="AZ128" s="31"/>
      <c r="BA128" s="37"/>
    </row>
    <row r="129" spans="52:53" ht="15.95" hidden="1" customHeight="1">
      <c r="AZ129" s="31"/>
      <c r="BA129" s="37"/>
    </row>
    <row r="130" spans="52:53" ht="15.95" hidden="1" customHeight="1">
      <c r="AZ130" s="31"/>
      <c r="BA130" s="37"/>
    </row>
    <row r="131" spans="52:53" ht="15.95" hidden="1" customHeight="1">
      <c r="AZ131" s="31"/>
      <c r="BA131" s="37"/>
    </row>
    <row r="132" spans="52:53" ht="15.95" hidden="1" customHeight="1">
      <c r="AZ132" s="31"/>
      <c r="BA132" s="37"/>
    </row>
    <row r="133" spans="52:53" ht="15.95" hidden="1" customHeight="1">
      <c r="AZ133" s="31"/>
      <c r="BA133" s="37"/>
    </row>
    <row r="134" spans="52:53" ht="15.95" hidden="1" customHeight="1">
      <c r="AZ134" s="31"/>
      <c r="BA134" s="37"/>
    </row>
    <row r="135" spans="52:53" ht="15.95" hidden="1" customHeight="1">
      <c r="AZ135" s="31"/>
      <c r="BA135" s="37"/>
    </row>
    <row r="136" spans="52:53" ht="15.95" hidden="1" customHeight="1">
      <c r="AZ136" s="31"/>
      <c r="BA136" s="37"/>
    </row>
    <row r="137" spans="52:53" ht="15.95" hidden="1" customHeight="1">
      <c r="AZ137" s="31"/>
      <c r="BA137" s="37"/>
    </row>
    <row r="138" spans="52:53" ht="15.95" hidden="1" customHeight="1">
      <c r="AZ138" s="31"/>
      <c r="BA138" s="37"/>
    </row>
    <row r="139" spans="52:53" ht="15.95" hidden="1" customHeight="1">
      <c r="AZ139" s="31"/>
      <c r="BA139" s="37"/>
    </row>
    <row r="140" spans="52:53" ht="15.95" hidden="1" customHeight="1">
      <c r="AZ140" s="31"/>
      <c r="BA140" s="37"/>
    </row>
    <row r="141" spans="52:53" ht="15.95" hidden="1" customHeight="1">
      <c r="AZ141" s="31"/>
      <c r="BA141" s="37"/>
    </row>
    <row r="142" spans="52:53" ht="15.95" hidden="1" customHeight="1">
      <c r="AZ142" s="31"/>
      <c r="BA142" s="37"/>
    </row>
    <row r="143" spans="52:53" ht="15.95" hidden="1" customHeight="1">
      <c r="AZ143" s="31"/>
      <c r="BA143" s="37"/>
    </row>
    <row r="144" spans="52:53" ht="15.95" hidden="1" customHeight="1">
      <c r="AZ144" s="31"/>
      <c r="BA144" s="37"/>
    </row>
    <row r="145" spans="52:53" ht="15.95" hidden="1" customHeight="1">
      <c r="AZ145" s="31"/>
      <c r="BA145" s="37"/>
    </row>
    <row r="146" spans="52:53" ht="15.95" hidden="1" customHeight="1">
      <c r="AZ146" s="31"/>
      <c r="BA146" s="37"/>
    </row>
    <row r="147" spans="52:53" ht="15.95" hidden="1" customHeight="1">
      <c r="AZ147" s="31"/>
      <c r="BA147" s="37"/>
    </row>
    <row r="148" spans="52:53" ht="15.95" hidden="1" customHeight="1">
      <c r="AZ148" s="31"/>
      <c r="BA148" s="37"/>
    </row>
    <row r="149" spans="52:53" ht="15.95" hidden="1" customHeight="1">
      <c r="AZ149" s="31"/>
      <c r="BA149" s="37"/>
    </row>
    <row r="150" spans="52:53" ht="15.95" hidden="1" customHeight="1">
      <c r="AZ150" s="31"/>
      <c r="BA150" s="37"/>
    </row>
    <row r="151" spans="52:53" ht="15.95" hidden="1" customHeight="1">
      <c r="AZ151" s="31"/>
      <c r="BA151" s="37"/>
    </row>
    <row r="152" spans="52:53" ht="15.95" hidden="1" customHeight="1">
      <c r="AZ152" s="31"/>
      <c r="BA152" s="37"/>
    </row>
    <row r="153" spans="52:53" ht="15.95" hidden="1" customHeight="1">
      <c r="AZ153" s="31"/>
      <c r="BA153" s="37"/>
    </row>
    <row r="154" spans="52:53" ht="15.95" hidden="1" customHeight="1">
      <c r="AZ154" s="31"/>
      <c r="BA154" s="37"/>
    </row>
    <row r="155" spans="52:53" ht="15.95" hidden="1" customHeight="1">
      <c r="AZ155" s="31"/>
      <c r="BA155" s="37"/>
    </row>
    <row r="156" spans="52:53" ht="15.95" hidden="1" customHeight="1">
      <c r="AZ156" s="31"/>
      <c r="BA156" s="37"/>
    </row>
    <row r="157" spans="52:53" ht="15.95" hidden="1" customHeight="1">
      <c r="AZ157" s="31"/>
      <c r="BA157" s="37"/>
    </row>
    <row r="158" spans="52:53" ht="15.95" hidden="1" customHeight="1">
      <c r="AZ158" s="31"/>
      <c r="BA158" s="37"/>
    </row>
    <row r="159" spans="52:53" ht="15.95" hidden="1" customHeight="1">
      <c r="AZ159" s="31"/>
      <c r="BA159" s="37"/>
    </row>
    <row r="160" spans="52:53" ht="15.95" hidden="1" customHeight="1">
      <c r="AZ160" s="31"/>
      <c r="BA160" s="37"/>
    </row>
    <row r="161" spans="52:53" ht="15.95" hidden="1" customHeight="1">
      <c r="AZ161" s="31"/>
      <c r="BA161" s="37"/>
    </row>
    <row r="162" spans="52:53" ht="15.95" hidden="1" customHeight="1">
      <c r="AZ162" s="31"/>
      <c r="BA162" s="37"/>
    </row>
    <row r="163" spans="52:53" ht="15.95" hidden="1" customHeight="1">
      <c r="AZ163" s="31"/>
      <c r="BA163" s="37"/>
    </row>
    <row r="164" spans="52:53" ht="15.95" hidden="1" customHeight="1">
      <c r="AZ164" s="31"/>
      <c r="BA164" s="37"/>
    </row>
    <row r="165" spans="52:53" ht="15.95" hidden="1" customHeight="1">
      <c r="AZ165" s="31"/>
      <c r="BA165" s="37"/>
    </row>
    <row r="166" spans="52:53" ht="15.95" hidden="1" customHeight="1">
      <c r="AZ166" s="31"/>
      <c r="BA166" s="37"/>
    </row>
    <row r="167" spans="52:53" ht="15.95" hidden="1" customHeight="1">
      <c r="AZ167" s="31"/>
      <c r="BA167" s="37"/>
    </row>
    <row r="168" spans="52:53" ht="15.95" hidden="1" customHeight="1">
      <c r="AZ168" s="31"/>
      <c r="BA168" s="37"/>
    </row>
    <row r="169" spans="52:53" ht="15.95" hidden="1" customHeight="1">
      <c r="AZ169" s="31"/>
      <c r="BA169" s="37"/>
    </row>
    <row r="170" spans="52:53" ht="15.95" hidden="1" customHeight="1">
      <c r="AZ170" s="31"/>
      <c r="BA170" s="37"/>
    </row>
    <row r="171" spans="52:53" ht="15.95" hidden="1" customHeight="1">
      <c r="AZ171" s="31"/>
      <c r="BA171" s="37"/>
    </row>
    <row r="172" spans="52:53" ht="15.95" hidden="1" customHeight="1">
      <c r="AZ172" s="31"/>
      <c r="BA172" s="37"/>
    </row>
    <row r="173" spans="52:53" ht="15.95" hidden="1" customHeight="1">
      <c r="AZ173" s="31"/>
      <c r="BA173" s="37"/>
    </row>
    <row r="174" spans="52:53" ht="15.95" hidden="1" customHeight="1">
      <c r="AZ174" s="31"/>
      <c r="BA174" s="37"/>
    </row>
    <row r="175" spans="52:53" ht="15.95" hidden="1" customHeight="1">
      <c r="AZ175" s="31"/>
      <c r="BA175" s="37"/>
    </row>
    <row r="176" spans="52:53" ht="15.95" hidden="1" customHeight="1">
      <c r="AZ176" s="31"/>
      <c r="BA176" s="37"/>
    </row>
    <row r="177" spans="52:53" ht="15.95" hidden="1" customHeight="1">
      <c r="AZ177" s="31"/>
      <c r="BA177" s="37"/>
    </row>
    <row r="178" spans="52:53" ht="15.95" hidden="1" customHeight="1">
      <c r="AZ178" s="31"/>
      <c r="BA178" s="37"/>
    </row>
    <row r="179" spans="52:53" ht="15.95" hidden="1" customHeight="1">
      <c r="AZ179" s="31"/>
      <c r="BA179" s="37"/>
    </row>
    <row r="180" spans="52:53" ht="15.95" hidden="1" customHeight="1">
      <c r="AZ180" s="31"/>
      <c r="BA180" s="37"/>
    </row>
    <row r="181" spans="52:53" ht="15.95" hidden="1" customHeight="1">
      <c r="AZ181" s="31"/>
      <c r="BA181" s="37"/>
    </row>
    <row r="182" spans="52:53" ht="15.95" hidden="1" customHeight="1">
      <c r="AZ182" s="31"/>
      <c r="BA182" s="37"/>
    </row>
    <row r="183" spans="52:53" ht="15.95" hidden="1" customHeight="1">
      <c r="AZ183" s="31"/>
      <c r="BA183" s="37"/>
    </row>
    <row r="184" spans="52:53" ht="15.95" hidden="1" customHeight="1">
      <c r="AZ184" s="31"/>
      <c r="BA184" s="37"/>
    </row>
    <row r="185" spans="52:53" ht="15.95" hidden="1" customHeight="1">
      <c r="AZ185" s="31"/>
      <c r="BA185" s="37"/>
    </row>
    <row r="186" spans="52:53" ht="15.95" hidden="1" customHeight="1">
      <c r="AZ186" s="31"/>
      <c r="BA186" s="37"/>
    </row>
    <row r="187" spans="52:53" ht="15.95" hidden="1" customHeight="1">
      <c r="AZ187" s="31"/>
      <c r="BA187" s="37"/>
    </row>
    <row r="188" spans="52:53" ht="15.95" hidden="1" customHeight="1">
      <c r="AZ188" s="31"/>
      <c r="BA188" s="37"/>
    </row>
    <row r="189" spans="52:53" ht="15.95" hidden="1" customHeight="1">
      <c r="AZ189" s="31"/>
      <c r="BA189" s="37"/>
    </row>
    <row r="190" spans="52:53" ht="15.95" hidden="1" customHeight="1">
      <c r="AZ190" s="31"/>
      <c r="BA190" s="37"/>
    </row>
    <row r="191" spans="52:53" ht="15.95" hidden="1" customHeight="1">
      <c r="AZ191" s="31"/>
      <c r="BA191" s="37"/>
    </row>
    <row r="192" spans="52:53" ht="15.95" hidden="1" customHeight="1">
      <c r="AZ192" s="31"/>
      <c r="BA192" s="37"/>
    </row>
    <row r="193" spans="1:53" ht="15.95" hidden="1" customHeight="1">
      <c r="AZ193" s="31"/>
      <c r="BA193" s="37"/>
    </row>
    <row r="194" spans="1:53" ht="15.95" hidden="1" customHeight="1">
      <c r="AZ194" s="31"/>
      <c r="BA194" s="37"/>
    </row>
    <row r="195" spans="1:53" ht="15.95" hidden="1" customHeight="1">
      <c r="AZ195" s="31"/>
      <c r="BA195" s="37"/>
    </row>
    <row r="196" spans="1:53" ht="15.95" hidden="1" customHeight="1">
      <c r="AZ196" s="31"/>
      <c r="BA196" s="37"/>
    </row>
    <row r="197" spans="1:53" ht="15.95" hidden="1" customHeight="1">
      <c r="AZ197" s="31"/>
      <c r="BA197" s="37"/>
    </row>
    <row r="198" spans="1:53" ht="15.95" hidden="1" customHeight="1">
      <c r="AZ198" s="31"/>
      <c r="BA198" s="37"/>
    </row>
    <row r="199" spans="1:53" ht="15.95" hidden="1" customHeight="1">
      <c r="AZ199" s="31"/>
      <c r="BA199" s="37"/>
    </row>
    <row r="200" spans="1:53"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c r="AX200" s="760">
        <f>SUM(AX18:AX199)</f>
        <v>0</v>
      </c>
      <c r="AZ200" s="762">
        <f>SUM(AZ18:AZ199)</f>
        <v>0</v>
      </c>
      <c r="BA200" s="762">
        <f>SUM(BA18:BA199)</f>
        <v>0</v>
      </c>
    </row>
    <row r="201" spans="1:53"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c r="AX201" s="760"/>
      <c r="AZ201" s="762"/>
      <c r="BA201" s="762"/>
    </row>
    <row r="202" spans="1:53"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3" ht="15.95" hidden="1" customHeight="1"/>
    <row r="204" spans="1:53" ht="15.95" hidden="1" customHeight="1"/>
  </sheetData>
  <sheetProtection algorithmName="SHA-512" hashValue="367xl173/z4gfyyWracEPyNADeydIWSRSmnSKdECadFLgHQFHiIhsijvI7z8TULZZaYeNO2mwFwBqUuELfvwtA==" saltValue="UBl2MBp0t5uIwOh0n9eN+A==" spinCount="100000" sheet="1" objects="1" scenarios="1" selectLockedCells="1"/>
  <mergeCells count="381">
    <mergeCell ref="BQ34:BQ35"/>
    <mergeCell ref="BQ36:BQ37"/>
    <mergeCell ref="BQ16:BQ17"/>
    <mergeCell ref="BQ18:BQ19"/>
    <mergeCell ref="BQ20:BQ21"/>
    <mergeCell ref="BQ22:BQ23"/>
    <mergeCell ref="BQ24:BQ25"/>
    <mergeCell ref="BQ26:BQ27"/>
    <mergeCell ref="BQ28:BQ29"/>
    <mergeCell ref="BQ30:BQ31"/>
    <mergeCell ref="BQ32:BQ33"/>
    <mergeCell ref="BI22:BI23"/>
    <mergeCell ref="BI24:BI25"/>
    <mergeCell ref="BI26:BI27"/>
    <mergeCell ref="BI28:BI29"/>
    <mergeCell ref="BI30:BI31"/>
    <mergeCell ref="BI32:BI33"/>
    <mergeCell ref="BI34:BI35"/>
    <mergeCell ref="BI36:BI37"/>
    <mergeCell ref="BG20:BG21"/>
    <mergeCell ref="BG22:BG23"/>
    <mergeCell ref="BG24:BG25"/>
    <mergeCell ref="BG26:BG27"/>
    <mergeCell ref="BG28:BG29"/>
    <mergeCell ref="BG30:BG31"/>
    <mergeCell ref="BG32:BG33"/>
    <mergeCell ref="BH22:BH23"/>
    <mergeCell ref="BH26:BH27"/>
    <mergeCell ref="BH28:BH29"/>
    <mergeCell ref="BH30:BH31"/>
    <mergeCell ref="BH32:BH33"/>
    <mergeCell ref="BH34:BH35"/>
    <mergeCell ref="BH36:BH37"/>
    <mergeCell ref="BP34:BP35"/>
    <mergeCell ref="BP36:BP37"/>
    <mergeCell ref="BP16:BP17"/>
    <mergeCell ref="BP18:BP19"/>
    <mergeCell ref="BP20:BP21"/>
    <mergeCell ref="BP22:BP23"/>
    <mergeCell ref="BP24:BP25"/>
    <mergeCell ref="BP26:BP27"/>
    <mergeCell ref="BP28:BP29"/>
    <mergeCell ref="BP30:BP31"/>
    <mergeCell ref="BP32:BP33"/>
    <mergeCell ref="BM36:BM37"/>
    <mergeCell ref="BN36:BN37"/>
    <mergeCell ref="BM26:BM27"/>
    <mergeCell ref="BN26:BN27"/>
    <mergeCell ref="BM28:BM29"/>
    <mergeCell ref="BN28:BN29"/>
    <mergeCell ref="BM30:BM31"/>
    <mergeCell ref="BN30:BN31"/>
    <mergeCell ref="BM32:BM33"/>
    <mergeCell ref="BN32:BN33"/>
    <mergeCell ref="BM34:BM35"/>
    <mergeCell ref="BN34:BN35"/>
    <mergeCell ref="BM16:BM17"/>
    <mergeCell ref="BN16:BN17"/>
    <mergeCell ref="BM18:BM19"/>
    <mergeCell ref="BN18:BN19"/>
    <mergeCell ref="BM20:BM21"/>
    <mergeCell ref="BN20:BN21"/>
    <mergeCell ref="BM22:BM23"/>
    <mergeCell ref="BN22:BN23"/>
    <mergeCell ref="BM24:BM25"/>
    <mergeCell ref="BN24:BN25"/>
    <mergeCell ref="BK22:BK23"/>
    <mergeCell ref="BL22:BL23"/>
    <mergeCell ref="BK24:BK25"/>
    <mergeCell ref="BL24:BL25"/>
    <mergeCell ref="BK36:BK37"/>
    <mergeCell ref="BL36:BL37"/>
    <mergeCell ref="BK26:BK27"/>
    <mergeCell ref="BL26:BL27"/>
    <mergeCell ref="BK28:BK29"/>
    <mergeCell ref="BL28:BL29"/>
    <mergeCell ref="BK30:BK31"/>
    <mergeCell ref="BL30:BL31"/>
    <mergeCell ref="BK32:BK33"/>
    <mergeCell ref="BL32:BL33"/>
    <mergeCell ref="BK34:BK35"/>
    <mergeCell ref="BL34:BL35"/>
    <mergeCell ref="BK16:BK17"/>
    <mergeCell ref="BL16:BL17"/>
    <mergeCell ref="BK18:BK19"/>
    <mergeCell ref="BL18:BL19"/>
    <mergeCell ref="BK20:BK21"/>
    <mergeCell ref="BL20:BL21"/>
    <mergeCell ref="BI16:BI17"/>
    <mergeCell ref="BI18:BI19"/>
    <mergeCell ref="BJ16:BJ17"/>
    <mergeCell ref="BJ20:BJ21"/>
    <mergeCell ref="BI20:BI21"/>
    <mergeCell ref="AD9:AG11"/>
    <mergeCell ref="AS5:AW6"/>
    <mergeCell ref="AS7:AW7"/>
    <mergeCell ref="AS8:AW8"/>
    <mergeCell ref="A4:E6"/>
    <mergeCell ref="A7:E8"/>
    <mergeCell ref="BB18:BB19"/>
    <mergeCell ref="BC18:BC19"/>
    <mergeCell ref="BE18:BE19"/>
    <mergeCell ref="AM13:AU14"/>
    <mergeCell ref="AI17:AJ17"/>
    <mergeCell ref="AK17:AL17"/>
    <mergeCell ref="B18:B19"/>
    <mergeCell ref="C18:Q19"/>
    <mergeCell ref="R18:T19"/>
    <mergeCell ref="U18:V19"/>
    <mergeCell ref="AA18:AD19"/>
    <mergeCell ref="AE18:AH19"/>
    <mergeCell ref="AI18:AJ19"/>
    <mergeCell ref="AI16:AL16"/>
    <mergeCell ref="AM16:AN17"/>
    <mergeCell ref="AO16:AQ17"/>
    <mergeCell ref="AR16:AU17"/>
    <mergeCell ref="AX16:AX17"/>
    <mergeCell ref="AZ16:BA16"/>
    <mergeCell ref="BA18:BA19"/>
    <mergeCell ref="BJ18:BJ19"/>
    <mergeCell ref="AM18:AN19"/>
    <mergeCell ref="AO18:AQ19"/>
    <mergeCell ref="AR18:AU19"/>
    <mergeCell ref="AX18:AX19"/>
    <mergeCell ref="AZ18:AZ19"/>
    <mergeCell ref="C16:Q17"/>
    <mergeCell ref="R16:T17"/>
    <mergeCell ref="U16:V17"/>
    <mergeCell ref="W16:Z17"/>
    <mergeCell ref="BH16:BH17"/>
    <mergeCell ref="BH18:BH19"/>
    <mergeCell ref="AY16:AY17"/>
    <mergeCell ref="BB16:BB17"/>
    <mergeCell ref="BC16:BC17"/>
    <mergeCell ref="BD16:BD17"/>
    <mergeCell ref="BD18:BD19"/>
    <mergeCell ref="BG16:BG17"/>
    <mergeCell ref="BG18:BG19"/>
    <mergeCell ref="BE16:BF16"/>
    <mergeCell ref="BF18:BF19"/>
    <mergeCell ref="B20:B21"/>
    <mergeCell ref="C20:Q21"/>
    <mergeCell ref="R20:T21"/>
    <mergeCell ref="U20:V21"/>
    <mergeCell ref="AA20:AD21"/>
    <mergeCell ref="AE20:AH21"/>
    <mergeCell ref="AI20:AJ21"/>
    <mergeCell ref="AK20:AL21"/>
    <mergeCell ref="B22:B23"/>
    <mergeCell ref="C22:Q23"/>
    <mergeCell ref="R22:T23"/>
    <mergeCell ref="U22:V23"/>
    <mergeCell ref="AA22:AD23"/>
    <mergeCell ref="AE22:AH23"/>
    <mergeCell ref="AI22:AJ23"/>
    <mergeCell ref="AK22:AL23"/>
    <mergeCell ref="BJ22:BJ23"/>
    <mergeCell ref="AM26:AN27"/>
    <mergeCell ref="AO26:AQ27"/>
    <mergeCell ref="AR26:AU27"/>
    <mergeCell ref="AX26:AX27"/>
    <mergeCell ref="AZ26:AZ27"/>
    <mergeCell ref="BB22:BB23"/>
    <mergeCell ref="BC22:BC23"/>
    <mergeCell ref="BE22:BE23"/>
    <mergeCell ref="BF22:BF23"/>
    <mergeCell ref="BB24:BB25"/>
    <mergeCell ref="BC24:BC25"/>
    <mergeCell ref="BE24:BE25"/>
    <mergeCell ref="BF24:BF25"/>
    <mergeCell ref="BB26:BB27"/>
    <mergeCell ref="BC26:BC27"/>
    <mergeCell ref="BE26:BE27"/>
    <mergeCell ref="BF26:BF27"/>
    <mergeCell ref="AZ24:AZ25"/>
    <mergeCell ref="BA24:BA25"/>
    <mergeCell ref="BJ24:BJ25"/>
    <mergeCell ref="AM24:AN25"/>
    <mergeCell ref="BD22:BD23"/>
    <mergeCell ref="BD24:BD25"/>
    <mergeCell ref="C24:Q25"/>
    <mergeCell ref="R24:T25"/>
    <mergeCell ref="U24:V25"/>
    <mergeCell ref="AA24:AD25"/>
    <mergeCell ref="AE24:AH25"/>
    <mergeCell ref="B26:B27"/>
    <mergeCell ref="C26:Q27"/>
    <mergeCell ref="R26:T27"/>
    <mergeCell ref="U26:V27"/>
    <mergeCell ref="AA26:AD27"/>
    <mergeCell ref="AE26:AH27"/>
    <mergeCell ref="BJ26:BJ27"/>
    <mergeCell ref="AK26:AL27"/>
    <mergeCell ref="BH24:BH25"/>
    <mergeCell ref="BJ30:BJ31"/>
    <mergeCell ref="BJ28:BJ29"/>
    <mergeCell ref="B30:B31"/>
    <mergeCell ref="C30:Q31"/>
    <mergeCell ref="R30:T31"/>
    <mergeCell ref="U30:V31"/>
    <mergeCell ref="AA30:AD31"/>
    <mergeCell ref="AE30:AH31"/>
    <mergeCell ref="AI30:AJ31"/>
    <mergeCell ref="AK30:AL31"/>
    <mergeCell ref="AM30:AN31"/>
    <mergeCell ref="AM28:AN29"/>
    <mergeCell ref="AO28:AQ29"/>
    <mergeCell ref="AR28:AU29"/>
    <mergeCell ref="AX28:AX29"/>
    <mergeCell ref="AZ28:AZ29"/>
    <mergeCell ref="BA28:BA29"/>
    <mergeCell ref="B28:B29"/>
    <mergeCell ref="C28:Q29"/>
    <mergeCell ref="AI28:AJ29"/>
    <mergeCell ref="B24:B25"/>
    <mergeCell ref="BD28:BD29"/>
    <mergeCell ref="BD30:BD31"/>
    <mergeCell ref="BB30:BB31"/>
    <mergeCell ref="BC30:BC31"/>
    <mergeCell ref="BB32:BB33"/>
    <mergeCell ref="BC32:BC33"/>
    <mergeCell ref="R28:T29"/>
    <mergeCell ref="U28:V29"/>
    <mergeCell ref="AA28:AD29"/>
    <mergeCell ref="AE28:AH29"/>
    <mergeCell ref="AO30:AQ31"/>
    <mergeCell ref="BB28:BB29"/>
    <mergeCell ref="BC28:BC29"/>
    <mergeCell ref="AA32:AD33"/>
    <mergeCell ref="AE32:AH33"/>
    <mergeCell ref="AY30:AY31"/>
    <mergeCell ref="AY32:AY33"/>
    <mergeCell ref="AM32:AN33"/>
    <mergeCell ref="AO32:AQ33"/>
    <mergeCell ref="AR32:AU33"/>
    <mergeCell ref="AX32:AX33"/>
    <mergeCell ref="AX34:AX35"/>
    <mergeCell ref="B36:B37"/>
    <mergeCell ref="C36:Q37"/>
    <mergeCell ref="R36:T37"/>
    <mergeCell ref="U36:V37"/>
    <mergeCell ref="AA36:AD37"/>
    <mergeCell ref="AI36:AJ37"/>
    <mergeCell ref="AE36:AH37"/>
    <mergeCell ref="BG36:BG37"/>
    <mergeCell ref="BB36:BB37"/>
    <mergeCell ref="BC36:BC37"/>
    <mergeCell ref="BE36:BE37"/>
    <mergeCell ref="BF36:BF37"/>
    <mergeCell ref="AY36:AY37"/>
    <mergeCell ref="BD36:BD37"/>
    <mergeCell ref="BG34:BG35"/>
    <mergeCell ref="B32:B33"/>
    <mergeCell ref="C32:Q33"/>
    <mergeCell ref="R32:T33"/>
    <mergeCell ref="BD32:BD33"/>
    <mergeCell ref="BF32:BF33"/>
    <mergeCell ref="BE32:BE33"/>
    <mergeCell ref="U32:V33"/>
    <mergeCell ref="B34:B35"/>
    <mergeCell ref="C34:Q35"/>
    <mergeCell ref="R34:T35"/>
    <mergeCell ref="U34:V35"/>
    <mergeCell ref="AA34:AD35"/>
    <mergeCell ref="AE34:AH35"/>
    <mergeCell ref="AI34:AJ35"/>
    <mergeCell ref="AI32:AJ33"/>
    <mergeCell ref="AK32:AL33"/>
    <mergeCell ref="AK34:AL35"/>
    <mergeCell ref="AY34:AY35"/>
    <mergeCell ref="AM34:AN35"/>
    <mergeCell ref="BB34:BB35"/>
    <mergeCell ref="BC34:BC35"/>
    <mergeCell ref="BE34:BE35"/>
    <mergeCell ref="BF34:BF35"/>
    <mergeCell ref="BD34:BD35"/>
    <mergeCell ref="AB14:AE14"/>
    <mergeCell ref="AK28:AL29"/>
    <mergeCell ref="AO24:AQ25"/>
    <mergeCell ref="AR24:AU25"/>
    <mergeCell ref="AX24:AX25"/>
    <mergeCell ref="AI26:AJ27"/>
    <mergeCell ref="AI24:AJ25"/>
    <mergeCell ref="AK24:AL25"/>
    <mergeCell ref="AA16:AD17"/>
    <mergeCell ref="AE16:AH17"/>
    <mergeCell ref="AM20:AN21"/>
    <mergeCell ref="AO20:AQ21"/>
    <mergeCell ref="AR20:AU21"/>
    <mergeCell ref="AX20:AX21"/>
    <mergeCell ref="AM22:AN23"/>
    <mergeCell ref="O200:AI201"/>
    <mergeCell ref="AX200:AX201"/>
    <mergeCell ref="AZ200:AZ201"/>
    <mergeCell ref="BA200:BA201"/>
    <mergeCell ref="BA34:BA35"/>
    <mergeCell ref="AZ34:AZ35"/>
    <mergeCell ref="AZ32:AZ33"/>
    <mergeCell ref="BA32:BA33"/>
    <mergeCell ref="AR30:AU31"/>
    <mergeCell ref="AX30:AX31"/>
    <mergeCell ref="AK36:AL37"/>
    <mergeCell ref="AZ30:AZ31"/>
    <mergeCell ref="BA30:BA31"/>
    <mergeCell ref="W36:Z37"/>
    <mergeCell ref="AO34:AQ35"/>
    <mergeCell ref="AR34:AU35"/>
    <mergeCell ref="W32:Z33"/>
    <mergeCell ref="W34:Z35"/>
    <mergeCell ref="AM36:AN37"/>
    <mergeCell ref="AO36:AQ37"/>
    <mergeCell ref="AR36:AU37"/>
    <mergeCell ref="AX36:AX37"/>
    <mergeCell ref="AZ36:AZ37"/>
    <mergeCell ref="BA36:BA37"/>
    <mergeCell ref="BB20:BB21"/>
    <mergeCell ref="W24:Z25"/>
    <mergeCell ref="W26:Z27"/>
    <mergeCell ref="W28:Z29"/>
    <mergeCell ref="W30:Z31"/>
    <mergeCell ref="AY18:AY19"/>
    <mergeCell ref="AY20:AY21"/>
    <mergeCell ref="AY22:AY23"/>
    <mergeCell ref="AY24:AY25"/>
    <mergeCell ref="AY26:AY27"/>
    <mergeCell ref="AY28:AY29"/>
    <mergeCell ref="AR22:AU23"/>
    <mergeCell ref="AX22:AX23"/>
    <mergeCell ref="AZ20:AZ21"/>
    <mergeCell ref="BA20:BA21"/>
    <mergeCell ref="BA26:BA27"/>
    <mergeCell ref="AZ22:AZ23"/>
    <mergeCell ref="BA22:BA23"/>
    <mergeCell ref="BD20:BD21"/>
    <mergeCell ref="BD26:BD27"/>
    <mergeCell ref="BC20:BC21"/>
    <mergeCell ref="BF28:BF29"/>
    <mergeCell ref="BF30:BF31"/>
    <mergeCell ref="BO34:BO35"/>
    <mergeCell ref="BO36:BO37"/>
    <mergeCell ref="BO16:BO17"/>
    <mergeCell ref="BO18:BO19"/>
    <mergeCell ref="BO20:BO21"/>
    <mergeCell ref="BO22:BO23"/>
    <mergeCell ref="BO24:BO25"/>
    <mergeCell ref="BO26:BO27"/>
    <mergeCell ref="BO28:BO29"/>
    <mergeCell ref="BO30:BO31"/>
    <mergeCell ref="BO32:BO33"/>
    <mergeCell ref="BE28:BE29"/>
    <mergeCell ref="BE30:BE31"/>
    <mergeCell ref="BH20:BH21"/>
    <mergeCell ref="BE20:BE21"/>
    <mergeCell ref="BF20:BF21"/>
    <mergeCell ref="BJ36:BJ37"/>
    <mergeCell ref="BJ34:BJ35"/>
    <mergeCell ref="BJ32:BJ33"/>
    <mergeCell ref="F1:I3"/>
    <mergeCell ref="J1:M3"/>
    <mergeCell ref="Q1:AG3"/>
    <mergeCell ref="AL1:AO3"/>
    <mergeCell ref="AP1:AS3"/>
    <mergeCell ref="AT1:AW3"/>
    <mergeCell ref="W18:Z19"/>
    <mergeCell ref="W20:Z21"/>
    <mergeCell ref="W22:Z23"/>
    <mergeCell ref="AO22:AQ23"/>
    <mergeCell ref="AK18:AL19"/>
    <mergeCell ref="T14:W14"/>
    <mergeCell ref="X14:AA14"/>
    <mergeCell ref="T12:W13"/>
    <mergeCell ref="X12:AA13"/>
    <mergeCell ref="AB12:AE13"/>
    <mergeCell ref="E13:R13"/>
    <mergeCell ref="AH9:AK11"/>
    <mergeCell ref="AL9:AO11"/>
    <mergeCell ref="J9:M11"/>
    <mergeCell ref="N9:Q11"/>
    <mergeCell ref="R9:U11"/>
    <mergeCell ref="V9:Y11"/>
    <mergeCell ref="Z9:AC11"/>
  </mergeCells>
  <conditionalFormatting sqref="U18:V37 AA18:AL37">
    <cfRule type="expression" dxfId="110" priority="5">
      <formula>AND(ISBLANK($C18)=FALSE,OR(ISBLANK(U18)=TRUE,U18=""))</formula>
    </cfRule>
  </conditionalFormatting>
  <conditionalFormatting sqref="AM18:AN37">
    <cfRule type="expression" dxfId="109" priority="1">
      <formula>AM18 &lt;&gt; INDEX(STDWATERINC, MATCH(C18, STDWATERLIST,0))</formula>
    </cfRule>
  </conditionalFormatting>
  <conditionalFormatting sqref="AR18:AU37">
    <cfRule type="expression" dxfId="108" priority="2" stopIfTrue="1">
      <formula>ISNUMBER($AR18)=FALSE</formula>
    </cfRule>
    <cfRule type="expression" dxfId="107" priority="3">
      <formula>$AR18 &lt;&gt; $BG18</formula>
    </cfRule>
  </conditionalFormatting>
  <conditionalFormatting sqref="AS8:AW8">
    <cfRule type="expression" dxfId="106" priority="6">
      <formula>IF($AS$8=PROJSTATMEASURE,FALSE,TRUE)</formula>
    </cfRule>
  </conditionalFormatting>
  <dataValidations count="6">
    <dataValidation type="list" allowBlank="1" showInputMessage="1" showErrorMessage="1" prompt="Select Efficient Measure. If you do not see your equipment listed, it may qualify as a Custom Measure." sqref="C18:Q37" xr:uid="{986F47D1-EFEB-41AA-8483-368E2257FB50}">
      <formula1>STDWATERLIST</formula1>
    </dataValidation>
    <dataValidation type="decimal" allowBlank="1" showInputMessage="1" showErrorMessage="1" prompt="This is the TOTAL Labor Cost of the measure, NOT a per unit basis." sqref="AK18:AL37" xr:uid="{84B56016-9045-4E26-85E9-663E1D6F2B8C}">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U18:V37" xr:uid="{0ED6D37F-BFC7-4AA9-B30C-C18AB2B60DA4}">
      <formula1>0</formula1>
    </dataValidation>
    <dataValidation type="decimal" allowBlank="1" showInputMessage="1" showErrorMessage="1" prompt="This is the TOTAL Material Cost of the measure, NOT a per unit basis." sqref="AI18:AJ37" xr:uid="{187875EE-3C0B-41DC-B881-14AAF245B769}">
      <formula1>0</formula1>
      <formula2>999999</formula2>
    </dataValidation>
    <dataValidation allowBlank="1" showInputMessage="1" showErrorMessage="1" prompt="Install Location should describe the area where the equipment installed. (e.g. Room 201, Garage, Mechanical Room)" sqref="AE18:AH37" xr:uid="{37ED8118-EEB8-4CB0-B7B0-AED125D6E9A3}"/>
    <dataValidation allowBlank="1" showInputMessage="1" showErrorMessage="1" prompt="Enter the Brand and Model # as it appears in technical documents and invoices." sqref="W18:AD37" xr:uid="{98D99CE3-4B31-42D7-B902-31895D13D8A6}"/>
  </dataValidations>
  <hyperlinks>
    <hyperlink ref="N9:Q11" location="'M03-S03'!C18" tooltip="Lighting Controls" display="'M03-S03'!C18" xr:uid="{32D60A0E-8AC4-479D-A5E5-FF16704B2392}"/>
    <hyperlink ref="R9:U11" location="'M03-S04'!C18" tooltip="Refrigeration" display="'M03-S04'!C18" xr:uid="{08AB5F9D-64DE-4279-9ACF-7F92C7EC1AC1}"/>
    <hyperlink ref="V9:Y11" location="'M03-S05'!C18" tooltip="HVAC" display="'M03-S05'!C18" xr:uid="{FE5AD64E-4A37-4494-90BE-0002E62C3BF5}"/>
    <hyperlink ref="AD9:AG11" location="'M03-S06'!C18" tooltip="Compressed Air / Process" display="'M03-S06'!C18" xr:uid="{A24C2292-0D82-4801-90B5-D54797D97602}"/>
    <hyperlink ref="AH9:AK11" location="'M03-S07'!C18" tooltip="Water Heating / Cooking" display="'M03-S07'!C18" xr:uid="{7803F5BA-164F-474C-A50E-25D4ADBC4E57}"/>
    <hyperlink ref="Z9:AC11" location="'M03-S08'!C18" tooltip="Motors and Drives" display="'M03-S08'!C18" xr:uid="{178401CF-58A3-4E89-986C-F01DCE11F533}"/>
    <hyperlink ref="AL9:AO11" location="'M04-S09'!C18" tooltip="Miscellaneous" display="'M04-S09'!C18" xr:uid="{CB8E586D-8FB2-40E7-9F11-32D845067A68}"/>
    <hyperlink ref="B202" r:id="rId1" xr:uid="{9A4DB520-8245-4120-AEBC-4C229B09ED19}"/>
    <hyperlink ref="J1:M3" location="'M01-S02'!J1" tooltip="Instructions" display="'M01-S02'!J1" xr:uid="{DBC4A58D-8DC1-4E35-8283-76CDBC582279}"/>
    <hyperlink ref="AP1:AS3" location="'M05-S05'!AL1" tooltip=" " display="'M05-S05'!AL1" xr:uid="{C3E0F0F2-6F7E-46EF-A9FF-EC69562F0E48}"/>
    <hyperlink ref="AL1:AO3" location="'M05-S04'!AH1" tooltip=" " display="'M05-S04'!AH1" xr:uid="{EC0DA4FC-AB73-4096-BE6E-C11E42723381}"/>
    <hyperlink ref="AT1:AW3" location="'M01-S03'!AP1" tooltip="Contact" display="'M01-S03'!AP1" xr:uid="{0BFD79E4-00CD-4E40-B9E1-D375773EA057}"/>
  </hyperlinks>
  <printOptions horizontalCentered="1"/>
  <pageMargins left="0" right="0" top="0" bottom="0" header="0" footer="0"/>
  <pageSetup scale="4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2E5C-A001-4DE2-AA43-41CF039070A3}">
  <sheetPr codeName="Sheet26">
    <tabColor theme="8" tint="0.59999389629810485"/>
    <pageSetUpPr fitToPage="1"/>
  </sheetPr>
  <dimension ref="A1:BW204"/>
  <sheetViews>
    <sheetView showGridLines="0" showRowColHeaders="0" zoomScale="85" zoomScaleNormal="85" workbookViewId="0">
      <selection activeCell="Z20" sqref="Z20:AC21"/>
    </sheetView>
  </sheetViews>
  <sheetFormatPr defaultColWidth="0" defaultRowHeight="15" zeroHeight="1"/>
  <cols>
    <col min="1" max="49" width="4.7109375" customWidth="1"/>
    <col min="50" max="51" width="9.42578125" hidden="1"/>
    <col min="52" max="52" width="15.7109375" hidden="1"/>
    <col min="53" max="57" width="9.42578125" hidden="1"/>
    <col min="58" max="58" width="14.7109375" hidden="1"/>
    <col min="59" max="66" width="9.42578125" hidden="1"/>
    <col min="67" max="75" width="8.85546875" hidden="1"/>
    <col min="76" max="16384" width="4.7109375" hidden="1"/>
  </cols>
  <sheetData>
    <row r="1" spans="1:66"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6"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6"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66" ht="15.95" customHeight="1">
      <c r="A4" s="666">
        <f>INCENTOTAL</f>
        <v>0</v>
      </c>
      <c r="B4" s="666"/>
      <c r="C4" s="666"/>
      <c r="D4" s="666"/>
      <c r="E4" s="666"/>
      <c r="F4" s="203"/>
      <c r="G4" s="203"/>
      <c r="H4" s="203"/>
      <c r="I4" s="203"/>
      <c r="BD4" s="88"/>
    </row>
    <row r="5" spans="1:66" ht="15.95" customHeight="1">
      <c r="A5" s="667"/>
      <c r="B5" s="667"/>
      <c r="C5" s="667"/>
      <c r="D5" s="667"/>
      <c r="E5" s="667"/>
      <c r="F5" s="432"/>
      <c r="G5" s="432"/>
      <c r="H5" s="432"/>
      <c r="I5" s="432"/>
      <c r="AS5" s="1059">
        <f ca="1">PROGRESSSTATUS</f>
        <v>0</v>
      </c>
      <c r="AT5" s="1059"/>
      <c r="AU5" s="1059"/>
      <c r="AV5" s="1059"/>
      <c r="AW5" s="1059"/>
      <c r="AX5" s="22"/>
      <c r="AY5" s="119" t="s">
        <v>1315</v>
      </c>
      <c r="AZ5" s="119" t="s">
        <v>325</v>
      </c>
      <c r="BA5" s="52"/>
      <c r="BB5" s="52"/>
    </row>
    <row r="6" spans="1:66" ht="15.95" customHeight="1">
      <c r="A6" s="667"/>
      <c r="B6" s="667"/>
      <c r="C6" s="667"/>
      <c r="D6" s="667"/>
      <c r="E6" s="667"/>
      <c r="F6" s="432"/>
      <c r="G6" s="432"/>
      <c r="H6" s="432"/>
      <c r="I6" s="432"/>
      <c r="AS6" s="1059"/>
      <c r="AT6" s="1059"/>
      <c r="AU6" s="1059"/>
      <c r="AV6" s="1059"/>
      <c r="AW6" s="1059"/>
      <c r="AX6" s="118" t="s">
        <v>1320</v>
      </c>
      <c r="AY6" s="117" t="str">
        <f>CBPRESE</f>
        <v>NA</v>
      </c>
      <c r="AZ6" s="181" t="str">
        <f>PAYPRESE</f>
        <v>NA</v>
      </c>
      <c r="BA6" s="52"/>
      <c r="BB6" s="52"/>
    </row>
    <row r="7" spans="1:66" ht="15.95" customHeight="1">
      <c r="A7" s="629" t="s">
        <v>83</v>
      </c>
      <c r="B7" s="629"/>
      <c r="C7" s="629"/>
      <c r="D7" s="629"/>
      <c r="E7" s="629"/>
      <c r="F7" s="85"/>
      <c r="G7" s="85"/>
      <c r="H7" s="85"/>
      <c r="I7" s="85"/>
      <c r="AS7" s="629" t="s">
        <v>299</v>
      </c>
      <c r="AT7" s="629"/>
      <c r="AU7" s="629"/>
      <c r="AV7" s="629"/>
      <c r="AW7" s="629"/>
      <c r="AX7" s="118" t="s">
        <v>135</v>
      </c>
      <c r="AY7" s="117" t="str">
        <f>CBCUSE</f>
        <v>NA</v>
      </c>
      <c r="AZ7" s="181" t="str">
        <f>PAYCUSE</f>
        <v>NA</v>
      </c>
      <c r="BA7" s="52"/>
      <c r="BB7" s="52"/>
    </row>
    <row r="8" spans="1:66" ht="15.95" customHeight="1" thickBot="1">
      <c r="A8" s="632"/>
      <c r="B8" s="632"/>
      <c r="C8" s="632"/>
      <c r="D8" s="632"/>
      <c r="E8" s="632"/>
      <c r="F8" s="429"/>
      <c r="G8" s="429"/>
      <c r="H8" s="429"/>
      <c r="I8" s="85"/>
      <c r="AS8" s="628" t="str">
        <f ca="1">PROJSTATUS</f>
        <v>Enter Measures</v>
      </c>
      <c r="AT8" s="628"/>
      <c r="AU8" s="628"/>
      <c r="AV8" s="628"/>
      <c r="AW8" s="628"/>
      <c r="AX8" s="118" t="s">
        <v>596</v>
      </c>
      <c r="AY8" s="117" t="str">
        <f>CBALL</f>
        <v>NA</v>
      </c>
      <c r="AZ8" s="181" t="str">
        <f>PAYALL</f>
        <v>NA</v>
      </c>
      <c r="BA8" s="52"/>
      <c r="BB8" s="52"/>
    </row>
    <row r="9" spans="1:66" s="88" customFormat="1" ht="15.95" customHeight="1">
      <c r="B9" s="89"/>
      <c r="C9" s="89"/>
      <c r="D9" s="89"/>
      <c r="E9" s="89"/>
      <c r="F9" s="89"/>
      <c r="G9" s="111"/>
      <c r="H9" s="111"/>
      <c r="I9" s="111"/>
      <c r="J9" s="818" t="str">
        <f>M3S2</f>
        <v>Lighting</v>
      </c>
      <c r="K9" s="818"/>
      <c r="L9" s="818"/>
      <c r="M9" s="818"/>
      <c r="N9" s="815" t="str">
        <f>M3S3</f>
        <v>Lighting Controls</v>
      </c>
      <c r="O9" s="816"/>
      <c r="P9" s="816"/>
      <c r="Q9" s="816"/>
      <c r="R9" s="815" t="str">
        <f>M3S4</f>
        <v>Refrigeration</v>
      </c>
      <c r="S9" s="816"/>
      <c r="T9" s="816"/>
      <c r="U9" s="816"/>
      <c r="V9" s="815" t="str">
        <f>M3S5</f>
        <v>HVAC</v>
      </c>
      <c r="W9" s="816"/>
      <c r="X9" s="816"/>
      <c r="Y9" s="816"/>
      <c r="Z9" s="815" t="str">
        <f>M4S8</f>
        <v>Motors and Drives</v>
      </c>
      <c r="AA9" s="816"/>
      <c r="AB9" s="816"/>
      <c r="AC9" s="816"/>
      <c r="AD9" s="815" t="str">
        <f>M3S6</f>
        <v>Compressed Air / Process</v>
      </c>
      <c r="AE9" s="816"/>
      <c r="AF9" s="816"/>
      <c r="AG9" s="816"/>
      <c r="AH9" s="815" t="str">
        <f>M3S7</f>
        <v>Water Heating / Food Services</v>
      </c>
      <c r="AI9" s="816"/>
      <c r="AJ9" s="816"/>
      <c r="AK9" s="816"/>
      <c r="AL9" s="815" t="str">
        <f>M4S9</f>
        <v>Miscellaneous</v>
      </c>
      <c r="AM9" s="816"/>
      <c r="AN9" s="816"/>
      <c r="AO9" s="816"/>
      <c r="AP9" s="110"/>
      <c r="AQ9" s="110"/>
      <c r="AR9" s="110"/>
      <c r="AS9" s="110"/>
      <c r="AT9" s="110"/>
      <c r="AU9" s="110"/>
      <c r="AV9" s="110"/>
    </row>
    <row r="10" spans="1:66" s="88" customFormat="1" ht="15.95" customHeight="1">
      <c r="B10" s="89"/>
      <c r="C10" s="89"/>
      <c r="D10" s="89"/>
      <c r="E10" s="89"/>
      <c r="F10" s="89"/>
      <c r="J10" s="819"/>
      <c r="K10" s="819"/>
      <c r="L10" s="819"/>
      <c r="M10" s="819"/>
      <c r="N10" s="817"/>
      <c r="O10" s="817"/>
      <c r="P10" s="817"/>
      <c r="Q10" s="817"/>
      <c r="R10" s="817"/>
      <c r="S10" s="817"/>
      <c r="T10" s="817"/>
      <c r="U10" s="817"/>
      <c r="V10" s="817"/>
      <c r="W10" s="817"/>
      <c r="X10" s="817"/>
      <c r="Y10" s="817"/>
      <c r="Z10" s="817"/>
      <c r="AA10" s="817"/>
      <c r="AB10" s="817"/>
      <c r="AC10" s="817"/>
      <c r="AD10" s="817"/>
      <c r="AE10" s="817"/>
      <c r="AF10" s="817"/>
      <c r="AG10" s="817"/>
      <c r="AH10" s="817"/>
      <c r="AI10" s="817"/>
      <c r="AJ10" s="817"/>
      <c r="AK10" s="817"/>
      <c r="AL10" s="817"/>
      <c r="AM10" s="817"/>
      <c r="AN10" s="817"/>
      <c r="AO10" s="817"/>
      <c r="AP10" s="89"/>
      <c r="AQ10" s="89"/>
      <c r="AR10" s="89"/>
      <c r="AS10" s="89"/>
      <c r="AT10" s="89"/>
      <c r="AU10" s="89"/>
      <c r="AV10" s="89"/>
    </row>
    <row r="11" spans="1:66" ht="15.95" customHeight="1">
      <c r="B11" s="106"/>
      <c r="C11" s="106"/>
      <c r="D11" s="106"/>
      <c r="E11" s="106"/>
      <c r="F11" s="106"/>
      <c r="J11" s="819"/>
      <c r="K11" s="819"/>
      <c r="L11" s="819"/>
      <c r="M11" s="819"/>
      <c r="N11" s="817"/>
      <c r="O11" s="817"/>
      <c r="P11" s="817"/>
      <c r="Q11" s="817"/>
      <c r="R11" s="817"/>
      <c r="S11" s="817"/>
      <c r="T11" s="817"/>
      <c r="U11" s="817"/>
      <c r="V11" s="817"/>
      <c r="W11" s="817"/>
      <c r="X11" s="817"/>
      <c r="Y11" s="817"/>
      <c r="Z11" s="817"/>
      <c r="AA11" s="817"/>
      <c r="AB11" s="817"/>
      <c r="AC11" s="817"/>
      <c r="AD11" s="817"/>
      <c r="AE11" s="817"/>
      <c r="AF11" s="817"/>
      <c r="AG11" s="817"/>
      <c r="AH11" s="817"/>
      <c r="AI11" s="817"/>
      <c r="AJ11" s="817"/>
      <c r="AK11" s="817"/>
      <c r="AL11" s="817"/>
      <c r="AM11" s="817"/>
      <c r="AN11" s="817"/>
      <c r="AO11" s="817"/>
      <c r="AP11" s="106"/>
      <c r="AQ11" s="106"/>
      <c r="AR11" s="106"/>
      <c r="AS11" s="106"/>
      <c r="AT11" s="106"/>
      <c r="AU11" s="106"/>
      <c r="AV11" s="106"/>
    </row>
    <row r="12" spans="1:66" ht="15.95" customHeight="1">
      <c r="A12" s="86"/>
      <c r="B12" s="86"/>
      <c r="C12" s="86"/>
      <c r="D12" s="86"/>
      <c r="E12" s="86"/>
      <c r="F12" s="86"/>
      <c r="G12" s="86"/>
      <c r="T12" s="821">
        <f>SUM(AR18:AU184)</f>
        <v>0</v>
      </c>
      <c r="U12" s="821"/>
      <c r="V12" s="821"/>
      <c r="W12" s="821"/>
      <c r="X12" s="821">
        <f ca="1">SUMIF(AR18:AU184,"&gt;0",AL18:AN184)</f>
        <v>0</v>
      </c>
      <c r="Y12" s="821"/>
      <c r="Z12" s="821"/>
      <c r="AA12" s="821"/>
      <c r="AB12" s="820">
        <f ca="1">SUMIF(AR18:AU184,"&gt;0",AO18:AQ184)</f>
        <v>0</v>
      </c>
      <c r="AC12" s="820"/>
      <c r="AD12" s="820"/>
      <c r="AE12" s="820"/>
      <c r="AT12" s="377"/>
      <c r="BC12" s="14"/>
    </row>
    <row r="13" spans="1:66" ht="15.95" customHeight="1">
      <c r="A13" s="86"/>
      <c r="B13" s="86"/>
      <c r="C13" s="86"/>
      <c r="D13" s="86"/>
      <c r="E13" s="1035" t="s">
        <v>3058</v>
      </c>
      <c r="F13" s="1035"/>
      <c r="G13" s="1035"/>
      <c r="H13" s="1035"/>
      <c r="I13" s="1035"/>
      <c r="J13" s="1035"/>
      <c r="K13" s="1035"/>
      <c r="L13" s="1035"/>
      <c r="M13" s="1035"/>
      <c r="N13" s="1035"/>
      <c r="O13" s="1035"/>
      <c r="P13" s="1035"/>
      <c r="Q13" s="1035"/>
      <c r="R13" s="1035"/>
      <c r="T13" s="821"/>
      <c r="U13" s="821"/>
      <c r="V13" s="821"/>
      <c r="W13" s="821"/>
      <c r="X13" s="821"/>
      <c r="Y13" s="821"/>
      <c r="Z13" s="821"/>
      <c r="AA13" s="821"/>
      <c r="AB13" s="820"/>
      <c r="AC13" s="820"/>
      <c r="AD13" s="820"/>
      <c r="AE13" s="820"/>
      <c r="AM13" s="840" t="str">
        <f>IF(OR(IFERROR(MATCH("75% Total Cost",BK:BK, 0), FALSE), IFERROR(MATCH("100% Incremental Cost",BK:BK, 0), FALSE)), "The incentive for one or more measures is capped due to measure cost.", "")</f>
        <v/>
      </c>
      <c r="AN13" s="840"/>
      <c r="AO13" s="840"/>
      <c r="AP13" s="840"/>
      <c r="AQ13" s="840"/>
      <c r="AR13" s="840"/>
      <c r="AS13" s="840"/>
      <c r="AT13" s="840"/>
      <c r="AU13" s="840"/>
    </row>
    <row r="14" spans="1:66" ht="15.95" customHeight="1">
      <c r="T14" s="758" t="s">
        <v>1717</v>
      </c>
      <c r="U14" s="758"/>
      <c r="V14" s="758"/>
      <c r="W14" s="758"/>
      <c r="X14" s="758" t="s">
        <v>67</v>
      </c>
      <c r="Y14" s="758"/>
      <c r="Z14" s="758"/>
      <c r="AA14" s="758"/>
      <c r="AB14" s="758" t="s">
        <v>1161</v>
      </c>
      <c r="AC14" s="758"/>
      <c r="AD14" s="758"/>
      <c r="AE14" s="758"/>
      <c r="AM14" s="840"/>
      <c r="AN14" s="840"/>
      <c r="AO14" s="840"/>
      <c r="AP14" s="840"/>
      <c r="AQ14" s="840"/>
      <c r="AR14" s="840"/>
      <c r="AS14" s="840"/>
      <c r="AT14" s="840"/>
      <c r="AU14" s="840"/>
    </row>
    <row r="15" spans="1:66" ht="15.95" customHeight="1"/>
    <row r="16" spans="1:66" ht="15.95" customHeight="1">
      <c r="C16" s="723" t="s">
        <v>1249</v>
      </c>
      <c r="D16" s="723"/>
      <c r="E16" s="723" t="s">
        <v>1299</v>
      </c>
      <c r="F16" s="723"/>
      <c r="G16" s="723" t="s">
        <v>2594</v>
      </c>
      <c r="H16" s="723"/>
      <c r="I16" s="723"/>
      <c r="J16" s="723"/>
      <c r="K16" s="723" t="s">
        <v>1325</v>
      </c>
      <c r="L16" s="723"/>
      <c r="M16" s="723" t="s">
        <v>2595</v>
      </c>
      <c r="N16" s="723"/>
      <c r="O16" s="723" t="s">
        <v>1321</v>
      </c>
      <c r="P16" s="723"/>
      <c r="Q16" s="723" t="s">
        <v>1322</v>
      </c>
      <c r="R16" s="723"/>
      <c r="S16" s="723" t="s">
        <v>1323</v>
      </c>
      <c r="T16" s="723"/>
      <c r="U16" s="723"/>
      <c r="V16" s="723"/>
      <c r="W16" s="723" t="s">
        <v>2912</v>
      </c>
      <c r="X16" s="723"/>
      <c r="Y16" s="723"/>
      <c r="Z16" s="723" t="s">
        <v>2913</v>
      </c>
      <c r="AA16" s="723"/>
      <c r="AB16" s="723"/>
      <c r="AC16" s="723"/>
      <c r="AD16" s="723" t="s">
        <v>1324</v>
      </c>
      <c r="AE16" s="723"/>
      <c r="AF16" s="723" t="s">
        <v>1321</v>
      </c>
      <c r="AG16" s="723"/>
      <c r="AH16" s="814" t="s">
        <v>1257</v>
      </c>
      <c r="AI16" s="814"/>
      <c r="AJ16" s="814"/>
      <c r="AK16" s="814"/>
      <c r="AL16" s="1027" t="s">
        <v>1304</v>
      </c>
      <c r="AM16" s="1027"/>
      <c r="AN16" s="1027"/>
      <c r="AO16" s="1027" t="s">
        <v>1108</v>
      </c>
      <c r="AP16" s="1027"/>
      <c r="AQ16" s="1027"/>
      <c r="AR16" s="1027" t="s">
        <v>83</v>
      </c>
      <c r="AS16" s="1027"/>
      <c r="AT16" s="1027"/>
      <c r="AU16" s="1027"/>
      <c r="AX16" s="736" t="s">
        <v>132</v>
      </c>
      <c r="AY16" s="736" t="s">
        <v>325</v>
      </c>
      <c r="AZ16" s="736" t="s">
        <v>1116</v>
      </c>
      <c r="BA16" s="736" t="s">
        <v>635</v>
      </c>
      <c r="BB16" s="736" t="s">
        <v>1256</v>
      </c>
      <c r="BC16" s="736" t="s">
        <v>88</v>
      </c>
      <c r="BD16" s="736" t="s">
        <v>1305</v>
      </c>
      <c r="BE16" s="736" t="s">
        <v>1307</v>
      </c>
      <c r="BF16" s="736" t="s">
        <v>1466</v>
      </c>
      <c r="BG16" s="736" t="s">
        <v>2125</v>
      </c>
      <c r="BH16" s="736" t="s">
        <v>703</v>
      </c>
      <c r="BI16" s="756" t="s">
        <v>1765</v>
      </c>
      <c r="BJ16" s="736" t="s">
        <v>85</v>
      </c>
      <c r="BK16" s="736" t="s">
        <v>1306</v>
      </c>
      <c r="BL16" s="736" t="s">
        <v>309</v>
      </c>
      <c r="BM16" s="736" t="s">
        <v>2130</v>
      </c>
      <c r="BN16" s="736" t="s">
        <v>2401</v>
      </c>
    </row>
    <row r="17" spans="1:66" ht="15.95" customHeight="1" thickBot="1">
      <c r="C17" s="724"/>
      <c r="D17" s="724"/>
      <c r="E17" s="724"/>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t="s">
        <v>1241</v>
      </c>
      <c r="AI17" s="724"/>
      <c r="AJ17" s="724" t="s">
        <v>1242</v>
      </c>
      <c r="AK17" s="724"/>
      <c r="AL17" s="1028"/>
      <c r="AM17" s="1028"/>
      <c r="AN17" s="1028"/>
      <c r="AO17" s="1028"/>
      <c r="AP17" s="1028"/>
      <c r="AQ17" s="1028"/>
      <c r="AR17" s="1028"/>
      <c r="AS17" s="1028"/>
      <c r="AT17" s="1028"/>
      <c r="AU17" s="1028"/>
      <c r="AX17" s="737"/>
      <c r="AY17" s="737"/>
      <c r="AZ17" s="737"/>
      <c r="BA17" s="737"/>
      <c r="BB17" s="737"/>
      <c r="BC17" s="737"/>
      <c r="BD17" s="737"/>
      <c r="BE17" s="737"/>
      <c r="BF17" s="737"/>
      <c r="BG17" s="737"/>
      <c r="BH17" s="737"/>
      <c r="BI17" s="757"/>
      <c r="BJ17" s="737"/>
      <c r="BK17" s="737"/>
      <c r="BL17" s="737"/>
      <c r="BM17" s="737"/>
      <c r="BN17" s="737"/>
    </row>
    <row r="18" spans="1:66" ht="15.95" customHeight="1">
      <c r="B18" s="806">
        <v>1</v>
      </c>
      <c r="C18" s="1013"/>
      <c r="D18" s="1013"/>
      <c r="E18" s="1013"/>
      <c r="F18" s="991"/>
      <c r="G18" s="1012"/>
      <c r="H18" s="1013"/>
      <c r="I18" s="1013"/>
      <c r="J18" s="1013"/>
      <c r="K18" s="1013"/>
      <c r="L18" s="1013"/>
      <c r="M18" s="1016"/>
      <c r="N18" s="1016"/>
      <c r="O18" s="1017" t="str">
        <f>IFERROR(IF(G18="","",INDEX(CMLIGHTBASE[Base Watt 1],MATCH(G18,CMLIGHTBASE[Base Desc 1],0))),"")</f>
        <v/>
      </c>
      <c r="P18" s="1017"/>
      <c r="Q18" s="1040"/>
      <c r="R18" s="1041"/>
      <c r="S18" s="993"/>
      <c r="T18" s="1013"/>
      <c r="U18" s="1013"/>
      <c r="V18" s="1013"/>
      <c r="W18" s="994"/>
      <c r="X18" s="726"/>
      <c r="Y18" s="726"/>
      <c r="Z18" s="994"/>
      <c r="AA18" s="726"/>
      <c r="AB18" s="726"/>
      <c r="AC18" s="995"/>
      <c r="AD18" s="1016"/>
      <c r="AE18" s="1016"/>
      <c r="AF18" s="1021"/>
      <c r="AG18" s="1022"/>
      <c r="AH18" s="1018"/>
      <c r="AI18" s="1019"/>
      <c r="AJ18" s="1019"/>
      <c r="AK18" s="1036"/>
      <c r="AL18" s="1057" t="str">
        <f>IF(OR(C18="",E18="",G18="",K18="",M18="",O18="",Q18="",S18="",Z18="",AD18="",AF18="",AH18="",AJ18=""),"",ROUND(AH18+AJ18,2))</f>
        <v/>
      </c>
      <c r="AM18" s="1058"/>
      <c r="AN18" s="1058"/>
      <c r="AO18" s="1033" t="str">
        <f>IF(OR(C18="",E18="",G18="",K18="",M18="",O18="",Q18="",S18="",Z18="",AD18="",AF18="",AH18="",AJ18=""),"",IF(BA18-BB18&lt;=0,0,BA18-BB18))</f>
        <v/>
      </c>
      <c r="AP18" s="1033"/>
      <c r="AQ18" s="1033"/>
      <c r="AR18" s="996" t="str">
        <f>IF(OR(C18="",E18="",G18="",K18="",M18="",O18="",Q18="",S18="",Z18="",AD18="",AF18="",AH18="",AJ18=""),"", IF(BL18&lt;&gt;"", BL18, IF(BN18&gt;0,BN18, IF(ACTIVEBLOCK="Yes",ROUND(MIN(AL18*0.75,AO18*BLOCKBIDRATE),2),ROUND(MIN(AL18*0.75,BG18),2)))))</f>
        <v/>
      </c>
      <c r="AS18" s="996"/>
      <c r="AT18" s="996"/>
      <c r="AU18" s="996"/>
      <c r="AX18" s="974" t="str">
        <f>IFERROR(IF(OR(C18="",E18="",G18="",K18="",M18="",O18="",Q18="",S18="",Z18="",AD18="",AF18="",AH18="",AJ18=""),"",
ROUND(((1+ELOSS)*((AO18*INDEX(ELECCB[NPV AEC $/kWh],MATCH(BC18,ELECCB[Year Number],1)))+(BE18*INDEX(ELECCB[NPV ACC $/kW],MATCH(BC18,ELECCB[Year Number],1))))/AL18),2)),0)</f>
        <v/>
      </c>
      <c r="AY18" s="974" t="str">
        <f>IFERROR(AL18/M02S04F06/AO18,"")</f>
        <v/>
      </c>
      <c r="AZ18" s="967" t="str">
        <f>IF(S18="","",
_xlfn.LET( _xlpm.Unit, INDEX(CMLIGHTEFF[Unit],MATCH(S18,CMLIGHTEFF[Eff Desc 1],0)),
IFERROR(_xlpm.Unit,"")))</f>
        <v/>
      </c>
      <c r="BA18" s="976" t="str">
        <f>IF(OR(C18="",E18="",G18="",K18="",M18="",O18="",Q18="",S18="",Z18="",AD18="",AF18="",AH18="",AJ18=""),"",
IF(OR(ISNUMBER(SEARCH("Exterior",E18)),ISNUMBER(SEARCH("Garage",E18)),M02S04F22="Unconditioned",M02S04F22="Electric Heat Only",M02S04F22="Natural Gas Heat Only"),ROUND(M18*O18*Q18/1000,4),
ROUND(M18*O18*Q18/1000*INDEX(BUILDINGTYPE[Waste Heat Factor (e)],MATCH(M02S04F19,BUILDINGTYPE[Building Type],0)),4)))</f>
        <v/>
      </c>
      <c r="BB18" s="976" t="str">
        <f>IF(OR(C18="",E18="",G18="",K18="",M18="",O18="",Q18="",S18="",Z18="",AD18="",AF18="",AH18="",AJ18=""),"",
IF(OR(ISNUMBER(SEARCH("Exterior",E18)),ISNUMBER(SEARCH("Garage",E18)),M02S04F22="Unconditioned",M02S04F22="Electric Heat Only",M02S04F22="Natural Gas Heat Only"),ROUND(AD18*AF18*Q18/1000,4),
ROUND(AD18*AF18*Q18/1000*INDEX(BUILDINGTYPE[Waste Heat Factor (e)],MATCH(M02S04F19,BUILDINGTYPE[Building Type],0)),4)))</f>
        <v/>
      </c>
      <c r="BC18" s="978" t="str">
        <f>IF(OR(G18="",S18=""),"",IF(INDEX(CMLIGHTEFF[EUL],MATCH(S18,CMLIGHTEFF[Eff Desc 1],0))="","",INDEX(CMLIGHTEFF[EUL],MATCH(S18,CMLIGHTEFF[Eff Desc 1],0))))</f>
        <v/>
      </c>
      <c r="BD18" s="980" t="str">
        <f>IF(OR(E18="",G18="",S18=""),"",IF(ISNUMBER(SEARCH("24/7",E18)),"Ext Lighting w/ Peak ",IF(E18="Interior","Interior Lighting",IF(OR(E18="Garage",E18="Exterior"),"Ext Lighting w/o Peak","Err"))))</f>
        <v/>
      </c>
      <c r="BE18" s="972" t="str">
        <f>IFERROR(IF(OR(C18="",E18="",G18="",K18="",M18="",O18="",Q18="",Z18="",AD18="",AF18="",AH18="",AJ18=""),"",ROUND(AO18*INDEX(ENDUSEALL[Factor],MATCH(BD18,ENDUSEALL[End Use to Coincident Peak Demand Factors],0)),4)),"")</f>
        <v/>
      </c>
      <c r="BF18" s="972" t="str">
        <f>IFERROR(IF(OR(C18="",E18="",G18="",K18="",M18="",O18="",Q18="",Z18="",AD18="",AF18="",AH18="",AJ18=""),"",IF(OR(E18="Garage",E18="Exterior"),0,
IF(OR(ISNUMBER(SEARCH("Garage",E18)),M02S04F22="Unconditioned",M02S04F22="Electric Heat Only",M02S04F22="Natural Gas Heat Only"),ROUND((((M18*O18)-(AD18*AF18))/1000)*INDEX(BUILDINGTYPE[Lighting Coincidence Factor],MATCH(M02S04F19,BUILDINGTYPE[Building Type],0)),4),
ROUND((((M18*O18)-(AD18*AF18))/1000)*INDEX(BUILDINGTYPE[WHFd],MATCH(M02S04F19,BUILDINGTYPE[Building Type],0))*INDEX(BUILDINGTYPE[Lighting Coincidence Factor],MATCH(M02S04F19,BUILDINGTYPE[Building Type],0)),4)))),"")</f>
        <v/>
      </c>
      <c r="BG18" s="830" t="str">
        <f>IFERROR(ROUND(AO18*BH18,2),"")</f>
        <v/>
      </c>
      <c r="BH18" s="830" t="str">
        <f>_xlfn.LET(_xlpm.ROWS,MATCH(BD18,ENDUSEALL[End Use to Coincident Peak Demand Factors],0),IFERROR(INDEX(IF(AND(ACTIVEBONUS = TRUE,INDEX(ENDUSEALL[Bonus Rate ($/kWh)],_xlpm.ROWS)&lt;&gt;""),ENDUSEALL[Bonus Rate ($/kWh)],ENDUSEALL[Rate ($/kWh)]),_xlpm.ROWS),""))</f>
        <v/>
      </c>
      <c r="BI18" s="830" t="str">
        <f>_xlfn.LET(_xlpm.BONUS_RATE,INDEX(ENDUSEALL[Bonus Rate ($/kWh)],MATCH(BD18,ENDUSEALL[End Use to Coincident Peak Demand Factors],0)),_xlpm.BASE_RATE,INDEX(ENDUSEALL[Rate ($/kWh)],MATCH(BD18,ENDUSEALL[End Use to Coincident Peak Demand Factors],0)),IFERROR(IF(OR(ACTIVEBONUS &lt;&gt; TRUE,ISNUMBER(AR18) = FALSE,BN18 &lt;&gt; ""),"",AR18-(AO18*_xlpm.BASE_RATE)),""))</f>
        <v/>
      </c>
      <c r="BJ18" s="965" t="str">
        <f>IF(OR(C18="",E18="",G18="",K18="",M18="",O18="",Q18="",Z18="",AD18="",AF18="",AH18="",AJ18=""),"",IF(BL18&lt;&gt;"",SPILLOVERNUMBER,
221&amp;INDEX(LOCATIONTYPE[Measure Number],MATCH(E18,LOCATIONTYPE[Location Type],0))&amp;INDEX(ENDUSEALL[Measure Number Indicator],MATCH(BD18,ENDUSEALL[End Use to Coincident Peak Demand Factors],0))&amp;INDEX(CMLIGHTEFF[Measure Number],MATCH(S18,CMLIGHTEFF[Eff Desc 1],0))))</f>
        <v/>
      </c>
      <c r="BK18" s="967" t="str">
        <f>IFERROR(IF(BN18="", IF(AND(ROUND(AR18/AL18,2)=TOTCOSTCAP, BG18/AL18&gt;TOTCOSTCAP),"75% Total Cost",
IF(FALSE,"100% Incremental Cost",
IF(BH18&lt;KWHRATEMIN, "kWh Incentive Rate Min",
IF(BH18&gt;KWHRATEMAX,"kWh Incentive Rate Cap",
IF(AR18=BI18,"Bonus Incentive",
"kWh Incentive"))))), ""),"")</f>
        <v/>
      </c>
      <c r="BL18" s="967" t="str">
        <f ca="1">IFERROR(
IF(EXPIRATION&lt;&gt;"",PROJSTATEXP,
IF(BN18&gt;0,"",
IF(OR(M02S04F06="",M02S04F06="Select Rate Code",M02S04F06=0),MEASURERATE,
IF(M02S04F19="",MEASUREBLDG,
IF(BA18-BB18&lt;=0,MEASURESAVE,
IF(PAYCUSE&lt;PAYBACKREQ,PROJECTSTATPAYBACK,
IF(CBCUSE&lt;CBREQ,PROJECTSTATCB,""))))))),
MEASURESUBMIT)</f>
        <v>Enter Utility Rate (Building Info Tab)</v>
      </c>
      <c r="BM18" s="830" t="str">
        <f>IFERROR(IF(OR(C18="",E18="",G18="",K18="",M18="",O18="",Q18="",Z18="",AD18="",AF18="",AH18="",AJ18=""),"",
ROUND(((1+ELOSS)*((AO18*INDEX(ELECCB[NPV AEC $/kWh],MATCH(BC18,ELECCB[Year Number],1)))+(BE18*INDEX(ELECCB[NPV ACC $/kW],MATCH(BC18,ELECCB[Year Number],1))))),2)),0)</f>
        <v/>
      </c>
      <c r="BN18" s="969"/>
    </row>
    <row r="19" spans="1:66" ht="15.95" customHeight="1">
      <c r="B19" s="806"/>
      <c r="C19" s="1015"/>
      <c r="D19" s="1015"/>
      <c r="E19" s="1015"/>
      <c r="F19" s="1020"/>
      <c r="G19" s="1014"/>
      <c r="H19" s="1015"/>
      <c r="I19" s="1015"/>
      <c r="J19" s="1015"/>
      <c r="K19" s="1015"/>
      <c r="L19" s="1015"/>
      <c r="M19" s="1011"/>
      <c r="N19" s="1011"/>
      <c r="O19" s="1017"/>
      <c r="P19" s="1017"/>
      <c r="Q19" s="1042"/>
      <c r="R19" s="1043"/>
      <c r="S19" s="1044"/>
      <c r="T19" s="1015"/>
      <c r="U19" s="1015"/>
      <c r="V19" s="1015"/>
      <c r="W19" s="991"/>
      <c r="X19" s="992"/>
      <c r="Y19" s="992"/>
      <c r="Z19" s="991"/>
      <c r="AA19" s="992"/>
      <c r="AB19" s="992"/>
      <c r="AC19" s="993"/>
      <c r="AD19" s="1011"/>
      <c r="AE19" s="1011"/>
      <c r="AF19" s="1009"/>
      <c r="AG19" s="1010"/>
      <c r="AH19" s="998"/>
      <c r="AI19" s="999"/>
      <c r="AJ19" s="999"/>
      <c r="AK19" s="1000"/>
      <c r="AL19" s="1001"/>
      <c r="AM19" s="1002"/>
      <c r="AN19" s="1002"/>
      <c r="AO19" s="1034"/>
      <c r="AP19" s="1034"/>
      <c r="AQ19" s="1034"/>
      <c r="AR19" s="997"/>
      <c r="AS19" s="997"/>
      <c r="AT19" s="997"/>
      <c r="AU19" s="997"/>
      <c r="AX19" s="982"/>
      <c r="AY19" s="982"/>
      <c r="AZ19" s="983"/>
      <c r="BA19" s="984"/>
      <c r="BB19" s="984"/>
      <c r="BC19" s="985"/>
      <c r="BD19" s="986"/>
      <c r="BE19" s="970"/>
      <c r="BF19" s="970"/>
      <c r="BG19" s="831"/>
      <c r="BH19" s="831"/>
      <c r="BI19" s="831"/>
      <c r="BJ19" s="987"/>
      <c r="BK19" s="983"/>
      <c r="BL19" s="983"/>
      <c r="BM19" s="831"/>
      <c r="BN19" s="981"/>
    </row>
    <row r="20" spans="1:66" ht="15.95" customHeight="1">
      <c r="A20" s="85"/>
      <c r="B20" s="806">
        <v>2</v>
      </c>
      <c r="C20" s="1013"/>
      <c r="D20" s="1013"/>
      <c r="E20" s="1013"/>
      <c r="F20" s="991"/>
      <c r="G20" s="1014"/>
      <c r="H20" s="1015"/>
      <c r="I20" s="1015"/>
      <c r="J20" s="1015"/>
      <c r="K20" s="1015"/>
      <c r="L20" s="1015"/>
      <c r="M20" s="1011"/>
      <c r="N20" s="1011"/>
      <c r="O20" s="1017" t="str">
        <f>IFERROR(IF(G20="","",INDEX(CMLIGHTBASE[Base Watt 1],MATCH(G20,CMLIGHTBASE[Base Desc 1],0))),"")</f>
        <v/>
      </c>
      <c r="P20" s="1017"/>
      <c r="Q20" s="1042"/>
      <c r="R20" s="1043"/>
      <c r="S20" s="1044"/>
      <c r="T20" s="1015"/>
      <c r="U20" s="1015"/>
      <c r="V20" s="1015"/>
      <c r="W20" s="988"/>
      <c r="X20" s="989"/>
      <c r="Y20" s="989"/>
      <c r="Z20" s="988"/>
      <c r="AA20" s="989"/>
      <c r="AB20" s="989"/>
      <c r="AC20" s="990"/>
      <c r="AD20" s="1011"/>
      <c r="AE20" s="1011"/>
      <c r="AF20" s="1009"/>
      <c r="AG20" s="1010"/>
      <c r="AH20" s="998"/>
      <c r="AI20" s="999"/>
      <c r="AJ20" s="999"/>
      <c r="AK20" s="1000"/>
      <c r="AL20" s="1001" t="str">
        <f>IF(OR(C20="",E20="",G20="",K20="",M20="",O20="",Q20="",S20="",Z20="",AD20="",AF20="",AH20="",AJ20=""),"",ROUND(AH20+AJ20,2))</f>
        <v/>
      </c>
      <c r="AM20" s="1002"/>
      <c r="AN20" s="1002"/>
      <c r="AO20" s="1003" t="str">
        <f t="shared" ref="AO20" si="0">IF(OR(C20="",E20="",G20="",K20="",M20="",O20="",Q20="",S20="",Z20="",AD20="",AF20="",AH20="",AJ20=""),"",IF(BA20-BB20&lt;=0,0,BA20-BB20))</f>
        <v/>
      </c>
      <c r="AP20" s="1004"/>
      <c r="AQ20" s="1005"/>
      <c r="AR20" s="996" t="str">
        <f>IF(OR(C20="",E20="",G20="",K20="",M20="",O20="",Q20="",S20="",Z20="",AD20="",AF20="",AH20="",AJ20=""),"", IF(BL20&lt;&gt;"", BL20, IF(BN20&gt;0,BN20, IF(ACTIVEBLOCK="Yes",ROUND(MIN(AL20*0.75,AO20*BLOCKBIDRATE),2),ROUND(MIN(AL20*0.75,BG20),2)))))</f>
        <v/>
      </c>
      <c r="AS20" s="996"/>
      <c r="AT20" s="996"/>
      <c r="AU20" s="996"/>
      <c r="AX20" s="973" t="str">
        <f>IFERROR(IF(OR(C20="",E20="",G20="",K20="",M20="",O20="",Q20="",S20="",Z20="",AD20="",AF20="",AH20="",AJ20=""),"",
ROUND(((1+ELOSS)*((AO20*INDEX(ELECCB[NPV AEC $/kWh],MATCH(BC20,ELECCB[Year Number],1)))+(BE20*INDEX(ELECCB[NPV ACC $/kW],MATCH(BC20,ELECCB[Year Number],1))))/AL20),2)),0)</f>
        <v/>
      </c>
      <c r="AY20" s="973" t="str">
        <f>IFERROR(AL20/M02S04F06/AO20,"")</f>
        <v/>
      </c>
      <c r="AZ20" s="966" t="str">
        <f>IF(S20="","",
_xlfn.LET( _xlpm.Unit, INDEX(CMLIGHTEFF[Unit],MATCH(S20,CMLIGHTEFF[Eff Desc 1],0)),
IFERROR(_xlpm.Unit,"")))</f>
        <v/>
      </c>
      <c r="BA20" s="975" t="str">
        <f>IF(OR(C20="",E20="",G20="",K20="",M20="",O20="",Q20="",S20="",Z20="",AD20="",AF20="",AH20="",AJ20=""),"",
IF(OR(ISNUMBER(SEARCH("Exterior",E20)),ISNUMBER(SEARCH("Garage",E20)),M02S04F22="Unconditioned",M02S04F22="Electric Heat Only",M02S04F22="Natural Gas Heat Only"),ROUND(M20*O20*Q20/1000,4),
ROUND(M20*O20*Q20/1000*INDEX(BUILDINGTYPE[Waste Heat Factor (e)],MATCH(M02S04F19,BUILDINGTYPE[Building Type],0)),4)))</f>
        <v/>
      </c>
      <c r="BB20" s="975" t="str">
        <f>IF(OR(C20="",E20="",G20="",K20="",M20="",O20="",Q20="",S20="",Z20="",AD20="",AF20="",AH20="",AJ20=""),"",
IF(OR(ISNUMBER(SEARCH("Exterior",E20)),ISNUMBER(SEARCH("Garage",E20)),M02S04F22="Unconditioned",M02S04F22="Electric Heat Only",M02S04F22="Natural Gas Heat Only"),ROUND(AD20*AF20*Q20/1000,4),
ROUND(AD20*AF20*Q20/1000*INDEX(BUILDINGTYPE[Waste Heat Factor (e)],MATCH(M02S04F19,BUILDINGTYPE[Building Type],0)),4)))</f>
        <v/>
      </c>
      <c r="BC20" s="977" t="str">
        <f>IF(OR(G20="",S20=""),"",IF(INDEX(CMLIGHTEFF[EUL],MATCH(S20,CMLIGHTEFF[Eff Desc 1],0))="","",INDEX(CMLIGHTEFF[EUL],MATCH(S20,CMLIGHTEFF[Eff Desc 1],0))))</f>
        <v/>
      </c>
      <c r="BD20" s="979" t="str">
        <f t="shared" ref="BD20" si="1">IF(OR(E20="",G20="",S20=""),"",IF(ISNUMBER(SEARCH("24/7",E20)),"Ext Lighting w/ Peak ",IF(E20="Interior","Interior Lighting",IF(OR(E20="Garage",E20="Exterior"),"Ext Lighting w/o Peak","Err"))))</f>
        <v/>
      </c>
      <c r="BE20" s="971" t="str">
        <f>IFERROR(IF(OR(C20="",E20="",G20="",K20="",M20="",O20="",Q20="",Z20="",AD20="",AF20="",AH20="",AJ20=""),"",ROUND(AO20*INDEX(ENDUSEALL[Factor],MATCH(BD20,ENDUSEALL[End Use to Coincident Peak Demand Factors],0)),4)),"")</f>
        <v/>
      </c>
      <c r="BF20" s="971" t="str">
        <f>IFERROR(IF(OR(C20="",E20="",G20="",K20="",M20="",O20="",Q20="",Z20="",AD20="",AF20="",AH20="",AJ20=""),"",IF(OR(E20="Garage",E20="Exterior"),0,
IF(OR(ISNUMBER(SEARCH("Garage",E20)),M02S04F22="Unconditioned",M02S04F22="Electric Heat Only",M02S04F22="Natural Gas Heat Only"),ROUND((((M20*O20)-(AD20*AF20))/1000)*INDEX(BUILDINGTYPE[Lighting Coincidence Factor],MATCH(M02S04F19,BUILDINGTYPE[Building Type],0)),4),
ROUND((((M20*O20)-(AD20*AF20))/1000)*INDEX(BUILDINGTYPE[WHFd],MATCH(M02S04F19,BUILDINGTYPE[Building Type],0))*INDEX(BUILDINGTYPE[Lighting Coincidence Factor],MATCH(M02S04F19,BUILDINGTYPE[Building Type],0)),4)))),"")</f>
        <v/>
      </c>
      <c r="BG20" s="963" t="str">
        <f t="shared" ref="BG20" si="2">IFERROR(ROUND(AO20*BH20,2),"")</f>
        <v/>
      </c>
      <c r="BH20" s="963" t="str">
        <f>_xlfn.LET(_xlpm.ROWS,MATCH(BD20,ENDUSEALL[End Use to Coincident Peak Demand Factors],0),IFERROR(INDEX(IF(AND(ACTIVEBONUS = TRUE,INDEX(ENDUSEALL[Bonus Rate ($/kWh)],_xlpm.ROWS)&lt;&gt;""),ENDUSEALL[Bonus Rate ($/kWh)],ENDUSEALL[Rate ($/kWh)]),_xlpm.ROWS),""))</f>
        <v/>
      </c>
      <c r="BI20" s="963" t="str">
        <f>_xlfn.LET(_xlpm.BONUS_RATE,INDEX(ENDUSEALL[Bonus Rate ($/kWh)],MATCH(BD20,ENDUSEALL[End Use to Coincident Peak Demand Factors],0)),_xlpm.BASE_RATE,INDEX(ENDUSEALL[Rate ($/kWh)],MATCH(BD20,ENDUSEALL[End Use to Coincident Peak Demand Factors],0)),IFERROR(IF(OR(ACTIVEBONUS &lt;&gt; TRUE,ISNUMBER(AR20) = FALSE,BN20 &lt;&gt; ""),"",AR20-(AO20*_xlpm.BASE_RATE)),""))</f>
        <v/>
      </c>
      <c r="BJ20" s="964" t="str">
        <f>IF(OR(C20="",E20="",G20="",K20="",M20="",O20="",Q20="",Z20="",AD20="",AF20="",AH20="",AJ20=""),"",IF(BL20&lt;&gt;"",SPILLOVERNUMBER,
221&amp;INDEX(LOCATIONTYPE[Measure Number],MATCH(E20,LOCATIONTYPE[Location Type],0))&amp;INDEX(ENDUSEALL[Measure Number Indicator],MATCH(BD20,ENDUSEALL[End Use to Coincident Peak Demand Factors],0))&amp;INDEX(CMLIGHTEFF[Measure Number],MATCH(S20,CMLIGHTEFF[Eff Desc 1],0))))</f>
        <v/>
      </c>
      <c r="BK20" s="966" t="str">
        <f>IFERROR(IF(BN20="", IF(AND(ROUND(AR20/AL20,2)=TOTCOSTCAP, BG20/AL20&gt;TOTCOSTCAP),"75% Total Cost",
IF(FALSE,"100% Incremental Cost",
IF(BH20&lt;KWHRATEMIN, "kWh Incentive Rate Min",
IF(BH20&gt;KWHRATEMAX,"kWh Incentive Rate Cap",
IF(AR20=BI20,"Bonus Incentive",
"kWh Incentive"))))), ""),"")</f>
        <v/>
      </c>
      <c r="BL20" s="966" t="str">
        <f ca="1">IFERROR(
IF(EXPIRATION&lt;&gt;"",PROJSTATEXP,
IF(BN20&gt;0,"",
IF(OR(M02S04F06="",M02S04F06="Select Rate Code",M02S04F06=0),MEASURERATE,
IF(M02S04F19="",MEASUREBLDG,
IF(BA20-BB20&lt;=0,MEASURESAVE,
IF(PAYCUSE&lt;PAYBACKREQ,PROJECTSTATPAYBACK,
IF(CBCUSE&lt;CBREQ,PROJECTSTATCB,""))))))),
MEASURESUBMIT)</f>
        <v>Enter Utility Rate (Building Info Tab)</v>
      </c>
      <c r="BM20" s="963" t="str">
        <f>IFERROR(IF(OR(C20="",E20="",G20="",K20="",M20="",O20="",Q20="",Z20="",AD20="",AF20="",AH20="",AJ20=""),"",
ROUND(((1+ELOSS)*((AO20*INDEX(ELECCB[NPV AEC $/kWh],MATCH(BC20,ELECCB[Year Number],1)))+(BE20*INDEX(ELECCB[NPV ACC $/kW],MATCH(BC20,ELECCB[Year Number],1))))),2)),0)</f>
        <v/>
      </c>
      <c r="BN20" s="968"/>
    </row>
    <row r="21" spans="1:66" ht="15.95" customHeight="1">
      <c r="B21" s="806"/>
      <c r="C21" s="1015"/>
      <c r="D21" s="1015"/>
      <c r="E21" s="1015"/>
      <c r="F21" s="1020"/>
      <c r="G21" s="1014"/>
      <c r="H21" s="1015"/>
      <c r="I21" s="1015"/>
      <c r="J21" s="1015"/>
      <c r="K21" s="1015"/>
      <c r="L21" s="1015"/>
      <c r="M21" s="1011"/>
      <c r="N21" s="1011"/>
      <c r="O21" s="1017"/>
      <c r="P21" s="1017"/>
      <c r="Q21" s="1042"/>
      <c r="R21" s="1043"/>
      <c r="S21" s="1044"/>
      <c r="T21" s="1015"/>
      <c r="U21" s="1015"/>
      <c r="V21" s="1015"/>
      <c r="W21" s="991"/>
      <c r="X21" s="992"/>
      <c r="Y21" s="992"/>
      <c r="Z21" s="991"/>
      <c r="AA21" s="992"/>
      <c r="AB21" s="992"/>
      <c r="AC21" s="993"/>
      <c r="AD21" s="1011"/>
      <c r="AE21" s="1011"/>
      <c r="AF21" s="1009"/>
      <c r="AG21" s="1010"/>
      <c r="AH21" s="998"/>
      <c r="AI21" s="999"/>
      <c r="AJ21" s="999"/>
      <c r="AK21" s="1000"/>
      <c r="AL21" s="1001"/>
      <c r="AM21" s="1002"/>
      <c r="AN21" s="1002"/>
      <c r="AO21" s="1006"/>
      <c r="AP21" s="1007"/>
      <c r="AQ21" s="1008"/>
      <c r="AR21" s="997"/>
      <c r="AS21" s="997"/>
      <c r="AT21" s="997"/>
      <c r="AU21" s="997"/>
      <c r="AX21" s="974"/>
      <c r="AY21" s="974"/>
      <c r="AZ21" s="967"/>
      <c r="BA21" s="976"/>
      <c r="BB21" s="976"/>
      <c r="BC21" s="978"/>
      <c r="BD21" s="980"/>
      <c r="BE21" s="972"/>
      <c r="BF21" s="972"/>
      <c r="BG21" s="830"/>
      <c r="BH21" s="830"/>
      <c r="BI21" s="830"/>
      <c r="BJ21" s="965"/>
      <c r="BK21" s="967"/>
      <c r="BL21" s="967"/>
      <c r="BM21" s="830"/>
      <c r="BN21" s="969"/>
    </row>
    <row r="22" spans="1:66" ht="15.95" customHeight="1">
      <c r="A22" s="85"/>
      <c r="B22" s="806">
        <v>3</v>
      </c>
      <c r="C22" s="988"/>
      <c r="D22" s="990"/>
      <c r="E22" s="988"/>
      <c r="F22" s="1023"/>
      <c r="G22" s="1025"/>
      <c r="H22" s="989"/>
      <c r="I22" s="989"/>
      <c r="J22" s="990"/>
      <c r="K22" s="988"/>
      <c r="L22" s="990"/>
      <c r="M22" s="1029"/>
      <c r="N22" s="1030"/>
      <c r="O22" s="1017" t="str">
        <f>IFERROR(IF(G22="","",INDEX(CMLIGHTBASE[Base Watt 1],MATCH(G22,CMLIGHTBASE[Base Desc 1],0))),"")</f>
        <v/>
      </c>
      <c r="P22" s="1017"/>
      <c r="Q22" s="1053"/>
      <c r="R22" s="1054"/>
      <c r="S22" s="1025"/>
      <c r="T22" s="989"/>
      <c r="U22" s="989"/>
      <c r="V22" s="990"/>
      <c r="W22" s="988"/>
      <c r="X22" s="989"/>
      <c r="Y22" s="989"/>
      <c r="Z22" s="988"/>
      <c r="AA22" s="989"/>
      <c r="AB22" s="989"/>
      <c r="AC22" s="990"/>
      <c r="AD22" s="1029"/>
      <c r="AE22" s="1030"/>
      <c r="AF22" s="1037"/>
      <c r="AG22" s="1038"/>
      <c r="AH22" s="1045"/>
      <c r="AI22" s="1046"/>
      <c r="AJ22" s="1049"/>
      <c r="AK22" s="1050"/>
      <c r="AL22" s="1001" t="str">
        <f>IF(OR(C22="",E22="",G22="",K22="",M22="",O22="",Q22="",S22="",Z22="",AD22="",AF22="",AH22="",AJ22=""),"",ROUND(AH22+AJ22,2))</f>
        <v/>
      </c>
      <c r="AM22" s="1002"/>
      <c r="AN22" s="1002"/>
      <c r="AO22" s="1003" t="str">
        <f t="shared" ref="AO22" si="3">IF(OR(C22="",E22="",G22="",K22="",M22="",O22="",Q22="",S22="",Z22="",AD22="",AF22="",AH22="",AJ22=""),"",IF(BA22-BB22&lt;=0,0,BA22-BB22))</f>
        <v/>
      </c>
      <c r="AP22" s="1004"/>
      <c r="AQ22" s="1005"/>
      <c r="AR22" s="996" t="str">
        <f>IF(OR(C22="",E22="",G22="",K22="",M22="",O22="",Q22="",S22="",Z22="",AD22="",AF22="",AH22="",AJ22=""),"", IF(BL22&lt;&gt;"", BL22, IF(BN22&gt;0,BN22, IF(ACTIVEBLOCK="Yes",ROUND(MIN(AL22*0.75,AO22*BLOCKBIDRATE),2),ROUND(MIN(AL22*0.75,BG22),2)))))</f>
        <v/>
      </c>
      <c r="AS22" s="996"/>
      <c r="AT22" s="996"/>
      <c r="AU22" s="996"/>
      <c r="AX22" s="973" t="str">
        <f>IFERROR(IF(OR(C22="",E22="",G22="",K22="",M22="",O22="",Q22="",S22="",Z22="",AD22="",AF22="",AH22="",AJ22=""),"",
ROUND(((1+ELOSS)*((AO22*INDEX(ELECCB[NPV AEC $/kWh],MATCH(BC22,ELECCB[Year Number],1)))+(BE22*INDEX(ELECCB[NPV ACC $/kW],MATCH(BC22,ELECCB[Year Number],1))))/AL22),2)),0)</f>
        <v/>
      </c>
      <c r="AY22" s="973" t="str">
        <f>IFERROR(AL22/M02S04F06/AO22,"")</f>
        <v/>
      </c>
      <c r="AZ22" s="966" t="str">
        <f>IF(S22="","",
_xlfn.LET( _xlpm.Unit, INDEX(CMLIGHTEFF[Unit],MATCH(S22,CMLIGHTEFF[Eff Desc 1],0)),
IFERROR(_xlpm.Unit,"")))</f>
        <v/>
      </c>
      <c r="BA22" s="975" t="str">
        <f>IF(OR(C22="",E22="",G22="",K22="",M22="",O22="",Q22="",S22="",Z22="",AD22="",AF22="",AH22="",AJ22=""),"",
IF(OR(ISNUMBER(SEARCH("Exterior",E22)),ISNUMBER(SEARCH("Garage",E22)),M02S04F22="Unconditioned",M02S04F22="Electric Heat Only",M02S04F22="Natural Gas Heat Only"),ROUND(M22*O22*Q22/1000,4),
ROUND(M22*O22*Q22/1000*INDEX(BUILDINGTYPE[Waste Heat Factor (e)],MATCH(M02S04F19,BUILDINGTYPE[Building Type],0)),4)))</f>
        <v/>
      </c>
      <c r="BB22" s="975" t="str">
        <f>IF(OR(C22="",E22="",G22="",K22="",M22="",O22="",Q22="",S22="",Z22="",AD22="",AF22="",AH22="",AJ22=""),"",
IF(OR(ISNUMBER(SEARCH("Exterior",E22)),ISNUMBER(SEARCH("Garage",E22)),M02S04F22="Unconditioned",M02S04F22="Electric Heat Only",M02S04F22="Natural Gas Heat Only"),ROUND(AD22*AF22*Q22/1000,4),
ROUND(AD22*AF22*Q22/1000*INDEX(BUILDINGTYPE[Waste Heat Factor (e)],MATCH(M02S04F19,BUILDINGTYPE[Building Type],0)),4)))</f>
        <v/>
      </c>
      <c r="BC22" s="977" t="str">
        <f>IF(OR(G22="",S22=""),"",IF(INDEX(CMLIGHTEFF[EUL],MATCH(S22,CMLIGHTEFF[Eff Desc 1],0))="","",INDEX(CMLIGHTEFF[EUL],MATCH(S22,CMLIGHTEFF[Eff Desc 1],0))))</f>
        <v/>
      </c>
      <c r="BD22" s="979" t="str">
        <f t="shared" ref="BD22" si="4">IF(OR(E22="",G22="",S22=""),"",IF(ISNUMBER(SEARCH("24/7",E22)),"Ext Lighting w/ Peak ",IF(E22="Interior","Interior Lighting",IF(OR(E22="Garage",E22="Exterior"),"Ext Lighting w/o Peak","Err"))))</f>
        <v/>
      </c>
      <c r="BE22" s="971" t="str">
        <f>IFERROR(IF(OR(C22="",E22="",G22="",K22="",M22="",O22="",Q22="",Z22="",AD22="",AF22="",AH22="",AJ22=""),"",ROUND(AO22*INDEX(ENDUSEALL[Factor],MATCH(BD22,ENDUSEALL[End Use to Coincident Peak Demand Factors],0)),4)),"")</f>
        <v/>
      </c>
      <c r="BF22" s="971" t="str">
        <f>IFERROR(IF(OR(C22="",E22="",G22="",K22="",M22="",O22="",Q22="",Z22="",AD22="",AF22="",AH22="",AJ22=""),"",IF(OR(E22="Garage",E22="Exterior"),0,
IF(OR(ISNUMBER(SEARCH("Garage",E22)),M02S04F22="Unconditioned",M02S04F22="Electric Heat Only",M02S04F22="Natural Gas Heat Only"),ROUND((((M22*O22)-(AD22*AF22))/1000)*INDEX(BUILDINGTYPE[Lighting Coincidence Factor],MATCH(M02S04F19,BUILDINGTYPE[Building Type],0)),4),
ROUND((((M22*O22)-(AD22*AF22))/1000)*INDEX(BUILDINGTYPE[WHFd],MATCH(M02S04F19,BUILDINGTYPE[Building Type],0))*INDEX(BUILDINGTYPE[Lighting Coincidence Factor],MATCH(M02S04F19,BUILDINGTYPE[Building Type],0)),4)))),"")</f>
        <v/>
      </c>
      <c r="BG22" s="963" t="str">
        <f t="shared" ref="BG22" si="5">IFERROR(ROUND(AO22*BH22,2),"")</f>
        <v/>
      </c>
      <c r="BH22" s="963" t="str">
        <f>_xlfn.LET(_xlpm.ROWS,MATCH(BD22,ENDUSEALL[End Use to Coincident Peak Demand Factors],0),IFERROR(INDEX(IF(AND(ACTIVEBONUS = TRUE,INDEX(ENDUSEALL[Bonus Rate ($/kWh)],_xlpm.ROWS)&lt;&gt;""),ENDUSEALL[Bonus Rate ($/kWh)],ENDUSEALL[Rate ($/kWh)]),_xlpm.ROWS),""))</f>
        <v/>
      </c>
      <c r="BI22" s="963" t="str">
        <f>_xlfn.LET(_xlpm.BONUS_RATE,INDEX(ENDUSEALL[Bonus Rate ($/kWh)],MATCH(BD22,ENDUSEALL[End Use to Coincident Peak Demand Factors],0)),_xlpm.BASE_RATE,INDEX(ENDUSEALL[Rate ($/kWh)],MATCH(BD22,ENDUSEALL[End Use to Coincident Peak Demand Factors],0)),IFERROR(IF(OR(ACTIVEBONUS &lt;&gt; TRUE,ISNUMBER(AR22) = FALSE,BN22 &lt;&gt; ""),"",AR22-(AO22*_xlpm.BASE_RATE)),""))</f>
        <v/>
      </c>
      <c r="BJ22" s="964" t="str">
        <f>IF(OR(C22="",E22="",G22="",K22="",M22="",O22="",Q22="",Z22="",AD22="",AF22="",AH22="",AJ22=""),"",IF(BL22&lt;&gt;"",SPILLOVERNUMBER,
221&amp;INDEX(LOCATIONTYPE[Measure Number],MATCH(E22,LOCATIONTYPE[Location Type],0))&amp;INDEX(ENDUSEALL[Measure Number Indicator],MATCH(BD22,ENDUSEALL[End Use to Coincident Peak Demand Factors],0))&amp;INDEX(CMLIGHTEFF[Measure Number],MATCH(S22,CMLIGHTEFF[Eff Desc 1],0))))</f>
        <v/>
      </c>
      <c r="BK22" s="966" t="str">
        <f>IFERROR(IF(BN22="", IF(AND(ROUND(AR22/AL22,2)=TOTCOSTCAP, BG22/AL22&gt;TOTCOSTCAP),"75% Total Cost",
IF(FALSE,"100% Incremental Cost",
IF(BH22&lt;KWHRATEMIN, "kWh Incentive Rate Min",
IF(BH22&gt;KWHRATEMAX,"kWh Incentive Rate Cap",
IF(AR22=BI22,"Bonus Incentive",
"kWh Incentive"))))), ""),"")</f>
        <v/>
      </c>
      <c r="BL22" s="966" t="str">
        <f ca="1">IFERROR(
IF(EXPIRATION&lt;&gt;"",PROJSTATEXP,
IF(BN22&gt;0,"",
IF(OR(M02S04F06="",M02S04F06="Select Rate Code",M02S04F06=0),MEASURERATE,
IF(M02S04F19="",MEASUREBLDG,
IF(BA22-BB22&lt;=0,MEASURESAVE,
IF(PAYCUSE&lt;PAYBACKREQ,PROJECTSTATPAYBACK,
IF(CBCUSE&lt;CBREQ,PROJECTSTATCB,""))))))),
MEASURESUBMIT)</f>
        <v>Enter Utility Rate (Building Info Tab)</v>
      </c>
      <c r="BM22" s="963" t="str">
        <f>IFERROR(IF(OR(C22="",E22="",G22="",K22="",M22="",O22="",Q22="",Z22="",AD22="",AF22="",AH22="",AJ22=""),"",
ROUND(((1+ELOSS)*((AO22*INDEX(ELECCB[NPV AEC $/kWh],MATCH(BC22,ELECCB[Year Number],1)))+(BE22*INDEX(ELECCB[NPV ACC $/kW],MATCH(BC22,ELECCB[Year Number],1))))),2)),0)</f>
        <v/>
      </c>
      <c r="BN22" s="968"/>
    </row>
    <row r="23" spans="1:66" ht="15.95" customHeight="1">
      <c r="B23" s="806"/>
      <c r="C23" s="991"/>
      <c r="D23" s="993"/>
      <c r="E23" s="991"/>
      <c r="F23" s="1024"/>
      <c r="G23" s="1026"/>
      <c r="H23" s="992"/>
      <c r="I23" s="992"/>
      <c r="J23" s="993"/>
      <c r="K23" s="991"/>
      <c r="L23" s="993"/>
      <c r="M23" s="1031"/>
      <c r="N23" s="1032"/>
      <c r="O23" s="1017"/>
      <c r="P23" s="1017"/>
      <c r="Q23" s="1055"/>
      <c r="R23" s="1056"/>
      <c r="S23" s="1026"/>
      <c r="T23" s="992"/>
      <c r="U23" s="992"/>
      <c r="V23" s="993"/>
      <c r="W23" s="991"/>
      <c r="X23" s="992"/>
      <c r="Y23" s="992"/>
      <c r="Z23" s="991"/>
      <c r="AA23" s="992"/>
      <c r="AB23" s="992"/>
      <c r="AC23" s="993"/>
      <c r="AD23" s="1031"/>
      <c r="AE23" s="1032"/>
      <c r="AF23" s="1022"/>
      <c r="AG23" s="1039"/>
      <c r="AH23" s="1047"/>
      <c r="AI23" s="1048"/>
      <c r="AJ23" s="1051"/>
      <c r="AK23" s="1052"/>
      <c r="AL23" s="1001"/>
      <c r="AM23" s="1002"/>
      <c r="AN23" s="1002"/>
      <c r="AO23" s="1006"/>
      <c r="AP23" s="1007"/>
      <c r="AQ23" s="1008"/>
      <c r="AR23" s="997"/>
      <c r="AS23" s="997"/>
      <c r="AT23" s="997"/>
      <c r="AU23" s="997"/>
      <c r="AX23" s="974"/>
      <c r="AY23" s="974"/>
      <c r="AZ23" s="967"/>
      <c r="BA23" s="976"/>
      <c r="BB23" s="976"/>
      <c r="BC23" s="978"/>
      <c r="BD23" s="980"/>
      <c r="BE23" s="972"/>
      <c r="BF23" s="972"/>
      <c r="BG23" s="830"/>
      <c r="BH23" s="830"/>
      <c r="BI23" s="830"/>
      <c r="BJ23" s="965"/>
      <c r="BK23" s="967"/>
      <c r="BL23" s="967"/>
      <c r="BM23" s="830"/>
      <c r="BN23" s="969"/>
    </row>
    <row r="24" spans="1:66" ht="15.95" customHeight="1">
      <c r="B24" s="806">
        <v>4</v>
      </c>
      <c r="C24" s="1013"/>
      <c r="D24" s="1013"/>
      <c r="E24" s="1013"/>
      <c r="F24" s="991"/>
      <c r="G24" s="1014"/>
      <c r="H24" s="1015"/>
      <c r="I24" s="1015"/>
      <c r="J24" s="1015"/>
      <c r="K24" s="1015"/>
      <c r="L24" s="1015"/>
      <c r="M24" s="1011"/>
      <c r="N24" s="1011"/>
      <c r="O24" s="1017" t="str">
        <f>IFERROR(IF(G24="","",INDEX(CMLIGHTBASE[Base Watt 1],MATCH(G24,CMLIGHTBASE[Base Desc 1],0))),"")</f>
        <v/>
      </c>
      <c r="P24" s="1017"/>
      <c r="Q24" s="1042"/>
      <c r="R24" s="1043"/>
      <c r="S24" s="1044"/>
      <c r="T24" s="1015"/>
      <c r="U24" s="1015"/>
      <c r="V24" s="1015"/>
      <c r="W24" s="988"/>
      <c r="X24" s="989"/>
      <c r="Y24" s="989"/>
      <c r="Z24" s="988"/>
      <c r="AA24" s="989"/>
      <c r="AB24" s="989"/>
      <c r="AC24" s="990"/>
      <c r="AD24" s="1011"/>
      <c r="AE24" s="1011"/>
      <c r="AF24" s="1009"/>
      <c r="AG24" s="1010"/>
      <c r="AH24" s="998"/>
      <c r="AI24" s="999"/>
      <c r="AJ24" s="999"/>
      <c r="AK24" s="1000"/>
      <c r="AL24" s="1001" t="str">
        <f>IF(OR(C24="",E24="",G24="",K24="",M24="",O24="",Q24="",S24="",Z24="",AD24="",AF24="",AH24="",AJ24=""),"",ROUND(AH24+AJ24,2))</f>
        <v/>
      </c>
      <c r="AM24" s="1002"/>
      <c r="AN24" s="1002"/>
      <c r="AO24" s="1003" t="str">
        <f t="shared" ref="AO24" si="6">IF(OR(C24="",E24="",G24="",K24="",M24="",O24="",Q24="",S24="",Z24="",AD24="",AF24="",AH24="",AJ24=""),"",IF(BA24-BB24&lt;=0,0,BA24-BB24))</f>
        <v/>
      </c>
      <c r="AP24" s="1004"/>
      <c r="AQ24" s="1005"/>
      <c r="AR24" s="996" t="str">
        <f>IF(OR(C24="",E24="",G24="",K24="",M24="",O24="",Q24="",S24="",Z24="",AD24="",AF24="",AH24="",AJ24=""),"", IF(BL24&lt;&gt;"", BL24, IF(BN24&gt;0,BN24, IF(ACTIVEBLOCK="Yes",ROUND(MIN(AL24*0.75,AO24*BLOCKBIDRATE),2),ROUND(MIN(AL24*0.75,BG24),2)))))</f>
        <v/>
      </c>
      <c r="AS24" s="996"/>
      <c r="AT24" s="996"/>
      <c r="AU24" s="996"/>
      <c r="AX24" s="973" t="str">
        <f>IFERROR(IF(OR(C24="",E24="",G24="",K24="",M24="",O24="",Q24="",S24="",Z24="",AD24="",AF24="",AH24="",AJ24=""),"",
ROUND(((1+ELOSS)*((AO24*INDEX(ELECCB[NPV AEC $/kWh],MATCH(BC24,ELECCB[Year Number],1)))+(BE24*INDEX(ELECCB[NPV ACC $/kW],MATCH(BC24,ELECCB[Year Number],1))))/AL24),2)),0)</f>
        <v/>
      </c>
      <c r="AY24" s="973" t="str">
        <f>IFERROR(AL24/M02S04F06/AO24,"")</f>
        <v/>
      </c>
      <c r="AZ24" s="966" t="str">
        <f>IF(S24="","",
_xlfn.LET( _xlpm.Unit, INDEX(CMLIGHTEFF[Unit],MATCH(S24,CMLIGHTEFF[Eff Desc 1],0)),
IFERROR(_xlpm.Unit,"")))</f>
        <v/>
      </c>
      <c r="BA24" s="975" t="str">
        <f>IF(OR(C24="",E24="",G24="",K24="",M24="",O24="",Q24="",S24="",Z24="",AD24="",AF24="",AH24="",AJ24=""),"",
IF(OR(ISNUMBER(SEARCH("Exterior",E24)),ISNUMBER(SEARCH("Garage",E24)),M02S04F22="Unconditioned",M02S04F22="Electric Heat Only",M02S04F22="Natural Gas Heat Only"),ROUND(M24*O24*Q24/1000,4),
ROUND(M24*O24*Q24/1000*INDEX(BUILDINGTYPE[Waste Heat Factor (e)],MATCH(M02S04F19,BUILDINGTYPE[Building Type],0)),4)))</f>
        <v/>
      </c>
      <c r="BB24" s="975" t="str">
        <f>IF(OR(C24="",E24="",G24="",K24="",M24="",O24="",Q24="",S24="",Z24="",AD24="",AF24="",AH24="",AJ24=""),"",
IF(OR(ISNUMBER(SEARCH("Exterior",E24)),ISNUMBER(SEARCH("Garage",E24)),M02S04F22="Unconditioned",M02S04F22="Electric Heat Only",M02S04F22="Natural Gas Heat Only"),ROUND(AD24*AF24*Q24/1000,4),
ROUND(AD24*AF24*Q24/1000*INDEX(BUILDINGTYPE[Waste Heat Factor (e)],MATCH(M02S04F19,BUILDINGTYPE[Building Type],0)),4)))</f>
        <v/>
      </c>
      <c r="BC24" s="977" t="str">
        <f>IF(OR(G24="",S24=""),"",IF(INDEX(CMLIGHTEFF[EUL],MATCH(S24,CMLIGHTEFF[Eff Desc 1],0))="","",INDEX(CMLIGHTEFF[EUL],MATCH(S24,CMLIGHTEFF[Eff Desc 1],0))))</f>
        <v/>
      </c>
      <c r="BD24" s="979" t="str">
        <f t="shared" ref="BD24" si="7">IF(OR(E24="",G24="",S24=""),"",IF(ISNUMBER(SEARCH("24/7",E24)),"Ext Lighting w/ Peak ",IF(E24="Interior","Interior Lighting",IF(OR(E24="Garage",E24="Exterior"),"Ext Lighting w/o Peak","Err"))))</f>
        <v/>
      </c>
      <c r="BE24" s="971" t="str">
        <f>IFERROR(IF(OR(C24="",E24="",G24="",K24="",M24="",O24="",Q24="",Z24="",AD24="",AF24="",AH24="",AJ24=""),"",ROUND(AO24*INDEX(ENDUSEALL[Factor],MATCH(BD24,ENDUSEALL[End Use to Coincident Peak Demand Factors],0)),4)),"")</f>
        <v/>
      </c>
      <c r="BF24" s="971" t="str">
        <f>IFERROR(IF(OR(C24="",E24="",G24="",K24="",M24="",O24="",Q24="",Z24="",AD24="",AF24="",AH24="",AJ24=""),"",IF(OR(E24="Garage",E24="Exterior"),0,
IF(OR(ISNUMBER(SEARCH("Garage",E24)),M02S04F22="Unconditioned",M02S04F22="Electric Heat Only",M02S04F22="Natural Gas Heat Only"),ROUND((((M24*O24)-(AD24*AF24))/1000)*INDEX(BUILDINGTYPE[Lighting Coincidence Factor],MATCH(M02S04F19,BUILDINGTYPE[Building Type],0)),4),
ROUND((((M24*O24)-(AD24*AF24))/1000)*INDEX(BUILDINGTYPE[WHFd],MATCH(M02S04F19,BUILDINGTYPE[Building Type],0))*INDEX(BUILDINGTYPE[Lighting Coincidence Factor],MATCH(M02S04F19,BUILDINGTYPE[Building Type],0)),4)))),"")</f>
        <v/>
      </c>
      <c r="BG24" s="963" t="str">
        <f t="shared" ref="BG24" si="8">IFERROR(ROUND(AO24*BH24,2),"")</f>
        <v/>
      </c>
      <c r="BH24" s="963" t="str">
        <f>_xlfn.LET(_xlpm.ROWS,MATCH(BD24,ENDUSEALL[End Use to Coincident Peak Demand Factors],0),IFERROR(INDEX(IF(AND(ACTIVEBONUS = TRUE,INDEX(ENDUSEALL[Bonus Rate ($/kWh)],_xlpm.ROWS)&lt;&gt;""),ENDUSEALL[Bonus Rate ($/kWh)],ENDUSEALL[Rate ($/kWh)]),_xlpm.ROWS),""))</f>
        <v/>
      </c>
      <c r="BI24" s="963" t="str">
        <f>_xlfn.LET(_xlpm.BONUS_RATE,INDEX(ENDUSEALL[Bonus Rate ($/kWh)],MATCH(BD24,ENDUSEALL[End Use to Coincident Peak Demand Factors],0)),_xlpm.BASE_RATE,INDEX(ENDUSEALL[Rate ($/kWh)],MATCH(BD24,ENDUSEALL[End Use to Coincident Peak Demand Factors],0)),IFERROR(IF(OR(ACTIVEBONUS &lt;&gt; TRUE,ISNUMBER(AR24) = FALSE,BN24 &lt;&gt; ""),"",AR24-(AO24*_xlpm.BASE_RATE)),""))</f>
        <v/>
      </c>
      <c r="BJ24" s="964" t="str">
        <f>IF(OR(C24="",E24="",G24="",K24="",M24="",O24="",Q24="",Z24="",AD24="",AF24="",AH24="",AJ24=""),"",IF(BL24&lt;&gt;"",SPILLOVERNUMBER,
221&amp;INDEX(LOCATIONTYPE[Measure Number],MATCH(E24,LOCATIONTYPE[Location Type],0))&amp;INDEX(ENDUSEALL[Measure Number Indicator],MATCH(BD24,ENDUSEALL[End Use to Coincident Peak Demand Factors],0))&amp;INDEX(CMLIGHTEFF[Measure Number],MATCH(S24,CMLIGHTEFF[Eff Desc 1],0))))</f>
        <v/>
      </c>
      <c r="BK24" s="966" t="str">
        <f>IFERROR(IF(BN24="", IF(AND(ROUND(AR24/AL24,2)=TOTCOSTCAP, BG24/AL24&gt;TOTCOSTCAP),"75% Total Cost",
IF(FALSE,"100% Incremental Cost",
IF(BH24&lt;KWHRATEMIN, "kWh Incentive Rate Min",
IF(BH24&gt;KWHRATEMAX,"kWh Incentive Rate Cap",
IF(AR24=BI24,"Bonus Incentive",
"kWh Incentive"))))), ""),"")</f>
        <v/>
      </c>
      <c r="BL24" s="966" t="str">
        <f ca="1">IFERROR(
IF(EXPIRATION&lt;&gt;"",PROJSTATEXP,
IF(BN24&gt;0,"",
IF(OR(M02S04F06="",M02S04F06="Select Rate Code",M02S04F06=0),MEASURERATE,
IF(M02S04F19="",MEASUREBLDG,
IF(BA24-BB24&lt;=0,MEASURESAVE,
IF(PAYCUSE&lt;PAYBACKREQ,PROJECTSTATPAYBACK,
IF(CBCUSE&lt;CBREQ,PROJECTSTATCB,""))))))),
MEASURESUBMIT)</f>
        <v>Enter Utility Rate (Building Info Tab)</v>
      </c>
      <c r="BM24" s="963" t="str">
        <f>IFERROR(IF(OR(C24="",E24="",G24="",K24="",M24="",O24="",Q24="",Z24="",AD24="",AF24="",AH24="",AJ24=""),"",
ROUND(((1+ELOSS)*((AO24*INDEX(ELECCB[NPV AEC $/kWh],MATCH(BC24,ELECCB[Year Number],1)))+(BE24*INDEX(ELECCB[NPV ACC $/kW],MATCH(BC24,ELECCB[Year Number],1))))),2)),0)</f>
        <v/>
      </c>
      <c r="BN24" s="968"/>
    </row>
    <row r="25" spans="1:66" ht="15.95" customHeight="1">
      <c r="A25" s="85"/>
      <c r="B25" s="806"/>
      <c r="C25" s="1015"/>
      <c r="D25" s="1015"/>
      <c r="E25" s="1015"/>
      <c r="F25" s="1020"/>
      <c r="G25" s="1014"/>
      <c r="H25" s="1015"/>
      <c r="I25" s="1015"/>
      <c r="J25" s="1015"/>
      <c r="K25" s="1015"/>
      <c r="L25" s="1015"/>
      <c r="M25" s="1011"/>
      <c r="N25" s="1011"/>
      <c r="O25" s="1017"/>
      <c r="P25" s="1017"/>
      <c r="Q25" s="1042"/>
      <c r="R25" s="1043"/>
      <c r="S25" s="1044"/>
      <c r="T25" s="1015"/>
      <c r="U25" s="1015"/>
      <c r="V25" s="1015"/>
      <c r="W25" s="991"/>
      <c r="X25" s="992"/>
      <c r="Y25" s="992"/>
      <c r="Z25" s="991"/>
      <c r="AA25" s="992"/>
      <c r="AB25" s="992"/>
      <c r="AC25" s="993"/>
      <c r="AD25" s="1011"/>
      <c r="AE25" s="1011"/>
      <c r="AF25" s="1009"/>
      <c r="AG25" s="1010"/>
      <c r="AH25" s="998"/>
      <c r="AI25" s="999"/>
      <c r="AJ25" s="999"/>
      <c r="AK25" s="1000"/>
      <c r="AL25" s="1001"/>
      <c r="AM25" s="1002"/>
      <c r="AN25" s="1002"/>
      <c r="AO25" s="1006"/>
      <c r="AP25" s="1007"/>
      <c r="AQ25" s="1008"/>
      <c r="AR25" s="997"/>
      <c r="AS25" s="997"/>
      <c r="AT25" s="997"/>
      <c r="AU25" s="997"/>
      <c r="AX25" s="974"/>
      <c r="AY25" s="974"/>
      <c r="AZ25" s="967"/>
      <c r="BA25" s="976"/>
      <c r="BB25" s="976"/>
      <c r="BC25" s="978"/>
      <c r="BD25" s="980"/>
      <c r="BE25" s="972"/>
      <c r="BF25" s="972"/>
      <c r="BG25" s="830"/>
      <c r="BH25" s="830"/>
      <c r="BI25" s="830"/>
      <c r="BJ25" s="965"/>
      <c r="BK25" s="967"/>
      <c r="BL25" s="967"/>
      <c r="BM25" s="830"/>
      <c r="BN25" s="969"/>
    </row>
    <row r="26" spans="1:66" ht="15.95" customHeight="1">
      <c r="B26" s="806">
        <v>5</v>
      </c>
      <c r="C26" s="1015"/>
      <c r="D26" s="1015"/>
      <c r="E26" s="1015"/>
      <c r="F26" s="1020"/>
      <c r="G26" s="1014"/>
      <c r="H26" s="1015"/>
      <c r="I26" s="1015"/>
      <c r="J26" s="1015"/>
      <c r="K26" s="1015"/>
      <c r="L26" s="1015"/>
      <c r="M26" s="1011"/>
      <c r="N26" s="1011"/>
      <c r="O26" s="1017" t="str">
        <f>IFERROR(IF(G26="","",INDEX(CMLIGHTBASE[Base Watt 1],MATCH(G26,CMLIGHTBASE[Base Desc 1],0))),"")</f>
        <v/>
      </c>
      <c r="P26" s="1017"/>
      <c r="Q26" s="1042"/>
      <c r="R26" s="1043"/>
      <c r="S26" s="1044"/>
      <c r="T26" s="1015"/>
      <c r="U26" s="1015"/>
      <c r="V26" s="1015"/>
      <c r="W26" s="988"/>
      <c r="X26" s="989"/>
      <c r="Y26" s="989"/>
      <c r="Z26" s="988"/>
      <c r="AA26" s="989"/>
      <c r="AB26" s="989"/>
      <c r="AC26" s="990"/>
      <c r="AD26" s="1011"/>
      <c r="AE26" s="1011"/>
      <c r="AF26" s="1009"/>
      <c r="AG26" s="1010"/>
      <c r="AH26" s="998"/>
      <c r="AI26" s="999"/>
      <c r="AJ26" s="999"/>
      <c r="AK26" s="1000"/>
      <c r="AL26" s="1001" t="str">
        <f>IF(OR(C26="",E26="",G26="",K26="",M26="",O26="",Q26="",S26="",Z26="",AD26="",AF26="",AH26="",AJ26=""),"",ROUND(AH26+AJ26,2))</f>
        <v/>
      </c>
      <c r="AM26" s="1002"/>
      <c r="AN26" s="1002"/>
      <c r="AO26" s="1003" t="str">
        <f t="shared" ref="AO26" si="9">IF(OR(C26="",E26="",G26="",K26="",M26="",O26="",Q26="",S26="",Z26="",AD26="",AF26="",AH26="",AJ26=""),"",IF(BA26-BB26&lt;=0,0,BA26-BB26))</f>
        <v/>
      </c>
      <c r="AP26" s="1004"/>
      <c r="AQ26" s="1005"/>
      <c r="AR26" s="996" t="str">
        <f>IF(OR(C26="",E26="",G26="",K26="",M26="",O26="",Q26="",S26="",Z26="",AD26="",AF26="",AH26="",AJ26=""),"", IF(BL26&lt;&gt;"", BL26, IF(BN26&gt;0,BN26, IF(ACTIVEBLOCK="Yes",ROUND(MIN(AL26*0.75,AO26*BLOCKBIDRATE),2),ROUND(MIN(AL26*0.75,BG26),2)))))</f>
        <v/>
      </c>
      <c r="AS26" s="996"/>
      <c r="AT26" s="996"/>
      <c r="AU26" s="996"/>
      <c r="AX26" s="973" t="str">
        <f>IFERROR(IF(OR(C26="",E26="",G26="",K26="",M26="",O26="",Q26="",S26="",Z26="",AD26="",AF26="",AH26="",AJ26=""),"",
ROUND(((1+ELOSS)*((AO26*INDEX(ELECCB[NPV AEC $/kWh],MATCH(BC26,ELECCB[Year Number],1)))+(BE26*INDEX(ELECCB[NPV ACC $/kW],MATCH(BC26,ELECCB[Year Number],1))))/AL26),2)),0)</f>
        <v/>
      </c>
      <c r="AY26" s="973" t="str">
        <f>IFERROR(AL26/M02S04F06/AO26,"")</f>
        <v/>
      </c>
      <c r="AZ26" s="966" t="str">
        <f>IF(S26="","",
_xlfn.LET( _xlpm.Unit, INDEX(CMLIGHTEFF[Unit],MATCH(S26,CMLIGHTEFF[Eff Desc 1],0)),
IFERROR(_xlpm.Unit,"")))</f>
        <v/>
      </c>
      <c r="BA26" s="975" t="str">
        <f>IF(OR(C26="",E26="",G26="",K26="",M26="",O26="",Q26="",S26="",Z26="",AD26="",AF26="",AH26="",AJ26=""),"",
IF(OR(ISNUMBER(SEARCH("Exterior",E26)),ISNUMBER(SEARCH("Garage",E26)),M02S04F22="Unconditioned",M02S04F22="Electric Heat Only",M02S04F22="Natural Gas Heat Only"),ROUND(M26*O26*Q26/1000,4),
ROUND(M26*O26*Q26/1000*INDEX(BUILDINGTYPE[Waste Heat Factor (e)],MATCH(M02S04F19,BUILDINGTYPE[Building Type],0)),4)))</f>
        <v/>
      </c>
      <c r="BB26" s="975" t="str">
        <f>IF(OR(C26="",E26="",G26="",K26="",M26="",O26="",Q26="",S26="",Z26="",AD26="",AF26="",AH26="",AJ26=""),"",
IF(OR(ISNUMBER(SEARCH("Exterior",E26)),ISNUMBER(SEARCH("Garage",E26)),M02S04F22="Unconditioned",M02S04F22="Electric Heat Only",M02S04F22="Natural Gas Heat Only"),ROUND(AD26*AF26*Q26/1000,4),
ROUND(AD26*AF26*Q26/1000*INDEX(BUILDINGTYPE[Waste Heat Factor (e)],MATCH(M02S04F19,BUILDINGTYPE[Building Type],0)),4)))</f>
        <v/>
      </c>
      <c r="BC26" s="977" t="str">
        <f>IF(OR(G26="",S26=""),"",IF(INDEX(CMLIGHTEFF[EUL],MATCH(S26,CMLIGHTEFF[Eff Desc 1],0))="","",INDEX(CMLIGHTEFF[EUL],MATCH(S26,CMLIGHTEFF[Eff Desc 1],0))))</f>
        <v/>
      </c>
      <c r="BD26" s="979" t="str">
        <f t="shared" ref="BD26" si="10">IF(OR(E26="",G26="",S26=""),"",IF(ISNUMBER(SEARCH("24/7",E26)),"Ext Lighting w/ Peak ",IF(E26="Interior","Interior Lighting",IF(OR(E26="Garage",E26="Exterior"),"Ext Lighting w/o Peak","Err"))))</f>
        <v/>
      </c>
      <c r="BE26" s="971" t="str">
        <f>IFERROR(IF(OR(C26="",E26="",G26="",K26="",M26="",O26="",Q26="",Z26="",AD26="",AF26="",AH26="",AJ26=""),"",ROUND(AO26*INDEX(ENDUSEALL[Factor],MATCH(BD26,ENDUSEALL[End Use to Coincident Peak Demand Factors],0)),4)),"")</f>
        <v/>
      </c>
      <c r="BF26" s="971" t="str">
        <f>IFERROR(IF(OR(C26="",E26="",G26="",K26="",M26="",O26="",Q26="",Z26="",AD26="",AF26="",AH26="",AJ26=""),"",IF(OR(E26="Garage",E26="Exterior"),0,
IF(OR(ISNUMBER(SEARCH("Garage",E26)),M02S04F22="Unconditioned",M02S04F22="Electric Heat Only",M02S04F22="Natural Gas Heat Only"),ROUND((((M26*O26)-(AD26*AF26))/1000)*INDEX(BUILDINGTYPE[Lighting Coincidence Factor],MATCH(M02S04F19,BUILDINGTYPE[Building Type],0)),4),
ROUND((((M26*O26)-(AD26*AF26))/1000)*INDEX(BUILDINGTYPE[WHFd],MATCH(M02S04F19,BUILDINGTYPE[Building Type],0))*INDEX(BUILDINGTYPE[Lighting Coincidence Factor],MATCH(M02S04F19,BUILDINGTYPE[Building Type],0)),4)))),"")</f>
        <v/>
      </c>
      <c r="BG26" s="963" t="str">
        <f t="shared" ref="BG26" si="11">IFERROR(ROUND(AO26*BH26,2),"")</f>
        <v/>
      </c>
      <c r="BH26" s="963" t="str">
        <f>_xlfn.LET(_xlpm.ROWS,MATCH(BD26,ENDUSEALL[End Use to Coincident Peak Demand Factors],0),IFERROR(INDEX(IF(AND(ACTIVEBONUS = TRUE,INDEX(ENDUSEALL[Bonus Rate ($/kWh)],_xlpm.ROWS)&lt;&gt;""),ENDUSEALL[Bonus Rate ($/kWh)],ENDUSEALL[Rate ($/kWh)]),_xlpm.ROWS),""))</f>
        <v/>
      </c>
      <c r="BI26" s="963" t="str">
        <f>_xlfn.LET(_xlpm.BONUS_RATE,INDEX(ENDUSEALL[Bonus Rate ($/kWh)],MATCH(BD26,ENDUSEALL[End Use to Coincident Peak Demand Factors],0)),_xlpm.BASE_RATE,INDEX(ENDUSEALL[Rate ($/kWh)],MATCH(BD26,ENDUSEALL[End Use to Coincident Peak Demand Factors],0)),IFERROR(IF(OR(ACTIVEBONUS &lt;&gt; TRUE,ISNUMBER(AR26) = FALSE,BN26 &lt;&gt; ""),"",AR26-(AO26*_xlpm.BASE_RATE)),""))</f>
        <v/>
      </c>
      <c r="BJ26" s="964" t="str">
        <f>IF(OR(C26="",E26="",G26="",K26="",M26="",O26="",Q26="",Z26="",AD26="",AF26="",AH26="",AJ26=""),"",IF(BL26&lt;&gt;"",SPILLOVERNUMBER,
221&amp;INDEX(LOCATIONTYPE[Measure Number],MATCH(E26,LOCATIONTYPE[Location Type],0))&amp;INDEX(ENDUSEALL[Measure Number Indicator],MATCH(BD26,ENDUSEALL[End Use to Coincident Peak Demand Factors],0))&amp;INDEX(CMLIGHTEFF[Measure Number],MATCH(S26,CMLIGHTEFF[Eff Desc 1],0))))</f>
        <v/>
      </c>
      <c r="BK26" s="966" t="str">
        <f>IFERROR(IF(BN26="", IF(AND(ROUND(AR26/AL26,2)=TOTCOSTCAP, BG26/AL26&gt;TOTCOSTCAP),"75% Total Cost",
IF(FALSE,"100% Incremental Cost",
IF(BH26&lt;KWHRATEMIN, "kWh Incentive Rate Min",
IF(BH26&gt;KWHRATEMAX,"kWh Incentive Rate Cap",
IF(AR26=BI26,"Bonus Incentive",
"kWh Incentive"))))), ""),"")</f>
        <v/>
      </c>
      <c r="BL26" s="966" t="str">
        <f ca="1">IFERROR(
IF(EXPIRATION&lt;&gt;"",PROJSTATEXP,
IF(BN26&gt;0,"",
IF(OR(M02S04F06="",M02S04F06="Select Rate Code",M02S04F06=0),MEASURERATE,
IF(M02S04F19="",MEASUREBLDG,
IF(BA26-BB26&lt;=0,MEASURESAVE,
IF(PAYCUSE&lt;PAYBACKREQ,PROJECTSTATPAYBACK,
IF(CBCUSE&lt;CBREQ,PROJECTSTATCB,""))))))),
MEASURESUBMIT)</f>
        <v>Enter Utility Rate (Building Info Tab)</v>
      </c>
      <c r="BM26" s="963" t="str">
        <f>IFERROR(IF(OR(C26="",E26="",G26="",K26="",M26="",O26="",Q26="",Z26="",AD26="",AF26="",AH26="",AJ26=""),"",
ROUND(((1+ELOSS)*((AO26*INDEX(ELECCB[NPV AEC $/kWh],MATCH(BC26,ELECCB[Year Number],1)))+(BE26*INDEX(ELECCB[NPV ACC $/kW],MATCH(BC26,ELECCB[Year Number],1))))),2)),0)</f>
        <v/>
      </c>
      <c r="BN26" s="968"/>
    </row>
    <row r="27" spans="1:66" ht="15.95" customHeight="1">
      <c r="B27" s="806"/>
      <c r="C27" s="1015"/>
      <c r="D27" s="1015"/>
      <c r="E27" s="1015"/>
      <c r="F27" s="1020"/>
      <c r="G27" s="1014"/>
      <c r="H27" s="1015"/>
      <c r="I27" s="1015"/>
      <c r="J27" s="1015"/>
      <c r="K27" s="1015"/>
      <c r="L27" s="1015"/>
      <c r="M27" s="1011"/>
      <c r="N27" s="1011"/>
      <c r="O27" s="1017"/>
      <c r="P27" s="1017"/>
      <c r="Q27" s="1042"/>
      <c r="R27" s="1043"/>
      <c r="S27" s="1044"/>
      <c r="T27" s="1015"/>
      <c r="U27" s="1015"/>
      <c r="V27" s="1015"/>
      <c r="W27" s="991"/>
      <c r="X27" s="992"/>
      <c r="Y27" s="992"/>
      <c r="Z27" s="991"/>
      <c r="AA27" s="992"/>
      <c r="AB27" s="992"/>
      <c r="AC27" s="993"/>
      <c r="AD27" s="1011"/>
      <c r="AE27" s="1011"/>
      <c r="AF27" s="1009"/>
      <c r="AG27" s="1010"/>
      <c r="AH27" s="998"/>
      <c r="AI27" s="999"/>
      <c r="AJ27" s="999"/>
      <c r="AK27" s="1000"/>
      <c r="AL27" s="1001"/>
      <c r="AM27" s="1002"/>
      <c r="AN27" s="1002"/>
      <c r="AO27" s="1006"/>
      <c r="AP27" s="1007"/>
      <c r="AQ27" s="1008"/>
      <c r="AR27" s="997"/>
      <c r="AS27" s="997"/>
      <c r="AT27" s="997"/>
      <c r="AU27" s="997"/>
      <c r="AX27" s="974"/>
      <c r="AY27" s="974"/>
      <c r="AZ27" s="967"/>
      <c r="BA27" s="976"/>
      <c r="BB27" s="976"/>
      <c r="BC27" s="978"/>
      <c r="BD27" s="980"/>
      <c r="BE27" s="972"/>
      <c r="BF27" s="972"/>
      <c r="BG27" s="830"/>
      <c r="BH27" s="830"/>
      <c r="BI27" s="830"/>
      <c r="BJ27" s="965"/>
      <c r="BK27" s="967"/>
      <c r="BL27" s="967"/>
      <c r="BM27" s="830"/>
      <c r="BN27" s="969"/>
    </row>
    <row r="28" spans="1:66" ht="15.95" customHeight="1">
      <c r="B28" s="806">
        <v>6</v>
      </c>
      <c r="C28" s="1015"/>
      <c r="D28" s="1015"/>
      <c r="E28" s="1015"/>
      <c r="F28" s="1020"/>
      <c r="G28" s="1014"/>
      <c r="H28" s="1015"/>
      <c r="I28" s="1015"/>
      <c r="J28" s="1015"/>
      <c r="K28" s="1015"/>
      <c r="L28" s="1015"/>
      <c r="M28" s="1011"/>
      <c r="N28" s="1011"/>
      <c r="O28" s="1017" t="str">
        <f>IFERROR(IF(G28="","",INDEX(CMLIGHTBASE[Base Watt 1],MATCH(G28,CMLIGHTBASE[Base Desc 1],0))),"")</f>
        <v/>
      </c>
      <c r="P28" s="1017"/>
      <c r="Q28" s="1042"/>
      <c r="R28" s="1043"/>
      <c r="S28" s="1044"/>
      <c r="T28" s="1015"/>
      <c r="U28" s="1015"/>
      <c r="V28" s="1015"/>
      <c r="W28" s="988"/>
      <c r="X28" s="989"/>
      <c r="Y28" s="989"/>
      <c r="Z28" s="988"/>
      <c r="AA28" s="989"/>
      <c r="AB28" s="989"/>
      <c r="AC28" s="990"/>
      <c r="AD28" s="1011"/>
      <c r="AE28" s="1011"/>
      <c r="AF28" s="1009"/>
      <c r="AG28" s="1010"/>
      <c r="AH28" s="998"/>
      <c r="AI28" s="999"/>
      <c r="AJ28" s="999"/>
      <c r="AK28" s="1000"/>
      <c r="AL28" s="1001" t="str">
        <f>IF(OR(C28="",E28="",G28="",K28="",M28="",O28="",Q28="",S28="",Z28="",AD28="",AF28="",AH28="",AJ28=""),"",ROUND(AH28+AJ28,2))</f>
        <v/>
      </c>
      <c r="AM28" s="1002"/>
      <c r="AN28" s="1002"/>
      <c r="AO28" s="1003" t="str">
        <f t="shared" ref="AO28" si="12">IF(OR(C28="",E28="",G28="",K28="",M28="",O28="",Q28="",S28="",Z28="",AD28="",AF28="",AH28="",AJ28=""),"",IF(BA28-BB28&lt;=0,0,BA28-BB28))</f>
        <v/>
      </c>
      <c r="AP28" s="1004"/>
      <c r="AQ28" s="1005"/>
      <c r="AR28" s="996" t="str">
        <f>IF(OR(C28="",E28="",G28="",K28="",M28="",O28="",Q28="",S28="",Z28="",AD28="",AF28="",AH28="",AJ28=""),"", IF(BL28&lt;&gt;"", BL28, IF(BN28&gt;0,BN28, IF(ACTIVEBLOCK="Yes",ROUND(MIN(AL28*0.75,AO28*BLOCKBIDRATE),2),ROUND(MIN(AL28*0.75,BG28),2)))))</f>
        <v/>
      </c>
      <c r="AS28" s="996"/>
      <c r="AT28" s="996"/>
      <c r="AU28" s="996"/>
      <c r="AX28" s="973" t="str">
        <f>IFERROR(IF(OR(C28="",E28="",G28="",K28="",M28="",O28="",Q28="",S28="",Z28="",AD28="",AF28="",AH28="",AJ28=""),"",
ROUND(((1+ELOSS)*((AO28*INDEX(ELECCB[NPV AEC $/kWh],MATCH(BC28,ELECCB[Year Number],1)))+(BE28*INDEX(ELECCB[NPV ACC $/kW],MATCH(BC28,ELECCB[Year Number],1))))/AL28),2)),0)</f>
        <v/>
      </c>
      <c r="AY28" s="973" t="str">
        <f>IFERROR(AL28/M02S04F06/AO28,"")</f>
        <v/>
      </c>
      <c r="AZ28" s="966" t="str">
        <f>IF(S28="","",
_xlfn.LET( _xlpm.Unit, INDEX(CMLIGHTEFF[Unit],MATCH(S28,CMLIGHTEFF[Eff Desc 1],0)),
IFERROR(_xlpm.Unit,"")))</f>
        <v/>
      </c>
      <c r="BA28" s="975" t="str">
        <f>IF(OR(C28="",E28="",G28="",K28="",M28="",O28="",Q28="",S28="",Z28="",AD28="",AF28="",AH28="",AJ28=""),"",
IF(OR(ISNUMBER(SEARCH("Exterior",E28)),ISNUMBER(SEARCH("Garage",E28)),M02S04F22="Unconditioned",M02S04F22="Electric Heat Only",M02S04F22="Natural Gas Heat Only"),ROUND(M28*O28*Q28/1000,4),
ROUND(M28*O28*Q28/1000*INDEX(BUILDINGTYPE[Waste Heat Factor (e)],MATCH(M02S04F19,BUILDINGTYPE[Building Type],0)),4)))</f>
        <v/>
      </c>
      <c r="BB28" s="975" t="str">
        <f>IF(OR(C28="",E28="",G28="",K28="",M28="",O28="",Q28="",S28="",Z28="",AD28="",AF28="",AH28="",AJ28=""),"",
IF(OR(ISNUMBER(SEARCH("Exterior",E28)),ISNUMBER(SEARCH("Garage",E28)),M02S04F22="Unconditioned",M02S04F22="Electric Heat Only",M02S04F22="Natural Gas Heat Only"),ROUND(AD28*AF28*Q28/1000,4),
ROUND(AD28*AF28*Q28/1000*INDEX(BUILDINGTYPE[Waste Heat Factor (e)],MATCH(M02S04F19,BUILDINGTYPE[Building Type],0)),4)))</f>
        <v/>
      </c>
      <c r="BC28" s="977" t="str">
        <f>IF(OR(G28="",S28=""),"",IF(INDEX(CMLIGHTEFF[EUL],MATCH(S28,CMLIGHTEFF[Eff Desc 1],0))="","",INDEX(CMLIGHTEFF[EUL],MATCH(S28,CMLIGHTEFF[Eff Desc 1],0))))</f>
        <v/>
      </c>
      <c r="BD28" s="979" t="str">
        <f t="shared" ref="BD28" si="13">IF(OR(E28="",G28="",S28=""),"",IF(ISNUMBER(SEARCH("24/7",E28)),"Ext Lighting w/ Peak ",IF(E28="Interior","Interior Lighting",IF(OR(E28="Garage",E28="Exterior"),"Ext Lighting w/o Peak","Err"))))</f>
        <v/>
      </c>
      <c r="BE28" s="971" t="str">
        <f>IFERROR(IF(OR(C28="",E28="",G28="",K28="",M28="",O28="",Q28="",Z28="",AD28="",AF28="",AH28="",AJ28=""),"",ROUND(AO28*INDEX(ENDUSEALL[Factor],MATCH(BD28,ENDUSEALL[End Use to Coincident Peak Demand Factors],0)),4)),"")</f>
        <v/>
      </c>
      <c r="BF28" s="971" t="str">
        <f>IFERROR(IF(OR(C28="",E28="",G28="",K28="",M28="",O28="",Q28="",Z28="",AD28="",AF28="",AH28="",AJ28=""),"",IF(OR(E28="Garage",E28="Exterior"),0,
IF(OR(ISNUMBER(SEARCH("Garage",E28)),M02S04F22="Unconditioned",M02S04F22="Electric Heat Only",M02S04F22="Natural Gas Heat Only"),ROUND((((M28*O28)-(AD28*AF28))/1000)*INDEX(BUILDINGTYPE[Lighting Coincidence Factor],MATCH(M02S04F19,BUILDINGTYPE[Building Type],0)),4),
ROUND((((M28*O28)-(AD28*AF28))/1000)*INDEX(BUILDINGTYPE[WHFd],MATCH(M02S04F19,BUILDINGTYPE[Building Type],0))*INDEX(BUILDINGTYPE[Lighting Coincidence Factor],MATCH(M02S04F19,BUILDINGTYPE[Building Type],0)),4)))),"")</f>
        <v/>
      </c>
      <c r="BG28" s="963" t="str">
        <f t="shared" ref="BG28" si="14">IFERROR(ROUND(AO28*BH28,2),"")</f>
        <v/>
      </c>
      <c r="BH28" s="963" t="str">
        <f>_xlfn.LET(_xlpm.ROWS,MATCH(BD28,ENDUSEALL[End Use to Coincident Peak Demand Factors],0),IFERROR(INDEX(IF(AND(ACTIVEBONUS = TRUE,INDEX(ENDUSEALL[Bonus Rate ($/kWh)],_xlpm.ROWS)&lt;&gt;""),ENDUSEALL[Bonus Rate ($/kWh)],ENDUSEALL[Rate ($/kWh)]),_xlpm.ROWS),""))</f>
        <v/>
      </c>
      <c r="BI28" s="963" t="str">
        <f>_xlfn.LET(_xlpm.BONUS_RATE,INDEX(ENDUSEALL[Bonus Rate ($/kWh)],MATCH(BD28,ENDUSEALL[End Use to Coincident Peak Demand Factors],0)),_xlpm.BASE_RATE,INDEX(ENDUSEALL[Rate ($/kWh)],MATCH(BD28,ENDUSEALL[End Use to Coincident Peak Demand Factors],0)),IFERROR(IF(OR(ACTIVEBONUS &lt;&gt; TRUE,ISNUMBER(AR28) = FALSE,BN28 &lt;&gt; ""),"",AR28-(AO28*_xlpm.BASE_RATE)),""))</f>
        <v/>
      </c>
      <c r="BJ28" s="964" t="str">
        <f>IF(OR(C28="",E28="",G28="",K28="",M28="",O28="",Q28="",Z28="",AD28="",AF28="",AH28="",AJ28=""),"",IF(BL28&lt;&gt;"",SPILLOVERNUMBER,
221&amp;INDEX(LOCATIONTYPE[Measure Number],MATCH(E28,LOCATIONTYPE[Location Type],0))&amp;INDEX(ENDUSEALL[Measure Number Indicator],MATCH(BD28,ENDUSEALL[End Use to Coincident Peak Demand Factors],0))&amp;INDEX(CMLIGHTEFF[Measure Number],MATCH(S28,CMLIGHTEFF[Eff Desc 1],0))))</f>
        <v/>
      </c>
      <c r="BK28" s="966" t="str">
        <f>IFERROR(IF(BN28="", IF(AND(ROUND(AR28/AL28,2)=TOTCOSTCAP, BG28/AL28&gt;TOTCOSTCAP),"75% Total Cost",
IF(FALSE,"100% Incremental Cost",
IF(BH28&lt;KWHRATEMIN, "kWh Incentive Rate Min",
IF(BH28&gt;KWHRATEMAX,"kWh Incentive Rate Cap",
IF(AR28=BI28,"Bonus Incentive",
"kWh Incentive"))))), ""),"")</f>
        <v/>
      </c>
      <c r="BL28" s="966" t="str">
        <f ca="1">IFERROR(
IF(EXPIRATION&lt;&gt;"",PROJSTATEXP,
IF(BN28&gt;0,"",
IF(OR(M02S04F06="",M02S04F06="Select Rate Code",M02S04F06=0),MEASURERATE,
IF(M02S04F19="",MEASUREBLDG,
IF(BA28-BB28&lt;=0,MEASURESAVE,
IF(PAYCUSE&lt;PAYBACKREQ,PROJECTSTATPAYBACK,
IF(CBCUSE&lt;CBREQ,PROJECTSTATCB,""))))))),
MEASURESUBMIT)</f>
        <v>Enter Utility Rate (Building Info Tab)</v>
      </c>
      <c r="BM28" s="963" t="str">
        <f>IFERROR(IF(OR(C28="",E28="",G28="",K28="",M28="",O28="",Q28="",Z28="",AD28="",AF28="",AH28="",AJ28=""),"",
ROUND(((1+ELOSS)*((AO28*INDEX(ELECCB[NPV AEC $/kWh],MATCH(BC28,ELECCB[Year Number],1)))+(BE28*INDEX(ELECCB[NPV ACC $/kW],MATCH(BC28,ELECCB[Year Number],1))))),2)),0)</f>
        <v/>
      </c>
      <c r="BN28" s="968"/>
    </row>
    <row r="29" spans="1:66" ht="15.95" customHeight="1">
      <c r="B29" s="806"/>
      <c r="C29" s="1015"/>
      <c r="D29" s="1015"/>
      <c r="E29" s="1015"/>
      <c r="F29" s="1020"/>
      <c r="G29" s="1014"/>
      <c r="H29" s="1015"/>
      <c r="I29" s="1015"/>
      <c r="J29" s="1015"/>
      <c r="K29" s="1015"/>
      <c r="L29" s="1015"/>
      <c r="M29" s="1011"/>
      <c r="N29" s="1011"/>
      <c r="O29" s="1017"/>
      <c r="P29" s="1017"/>
      <c r="Q29" s="1042"/>
      <c r="R29" s="1043"/>
      <c r="S29" s="1044"/>
      <c r="T29" s="1015"/>
      <c r="U29" s="1015"/>
      <c r="V29" s="1015"/>
      <c r="W29" s="991"/>
      <c r="X29" s="992"/>
      <c r="Y29" s="992"/>
      <c r="Z29" s="991"/>
      <c r="AA29" s="992"/>
      <c r="AB29" s="992"/>
      <c r="AC29" s="993"/>
      <c r="AD29" s="1011"/>
      <c r="AE29" s="1011"/>
      <c r="AF29" s="1009"/>
      <c r="AG29" s="1010"/>
      <c r="AH29" s="998"/>
      <c r="AI29" s="999"/>
      <c r="AJ29" s="999"/>
      <c r="AK29" s="1000"/>
      <c r="AL29" s="1001"/>
      <c r="AM29" s="1002"/>
      <c r="AN29" s="1002"/>
      <c r="AO29" s="1006"/>
      <c r="AP29" s="1007"/>
      <c r="AQ29" s="1008"/>
      <c r="AR29" s="997"/>
      <c r="AS29" s="997"/>
      <c r="AT29" s="997"/>
      <c r="AU29" s="997"/>
      <c r="AX29" s="974"/>
      <c r="AY29" s="974"/>
      <c r="AZ29" s="967"/>
      <c r="BA29" s="976"/>
      <c r="BB29" s="976"/>
      <c r="BC29" s="978"/>
      <c r="BD29" s="980"/>
      <c r="BE29" s="972"/>
      <c r="BF29" s="972"/>
      <c r="BG29" s="830"/>
      <c r="BH29" s="830"/>
      <c r="BI29" s="830"/>
      <c r="BJ29" s="965"/>
      <c r="BK29" s="967"/>
      <c r="BL29" s="967"/>
      <c r="BM29" s="830"/>
      <c r="BN29" s="969"/>
    </row>
    <row r="30" spans="1:66" ht="15.95" customHeight="1">
      <c r="B30" s="806">
        <v>7</v>
      </c>
      <c r="C30" s="1015"/>
      <c r="D30" s="1015"/>
      <c r="E30" s="1015"/>
      <c r="F30" s="1020"/>
      <c r="G30" s="1014"/>
      <c r="H30" s="1015"/>
      <c r="I30" s="1015"/>
      <c r="J30" s="1015"/>
      <c r="K30" s="1015"/>
      <c r="L30" s="1015"/>
      <c r="M30" s="1011"/>
      <c r="N30" s="1011"/>
      <c r="O30" s="1017" t="str">
        <f>IFERROR(IF(G30="","",INDEX(CMLIGHTBASE[Base Watt 1],MATCH(G30,CMLIGHTBASE[Base Desc 1],0))),"")</f>
        <v/>
      </c>
      <c r="P30" s="1017"/>
      <c r="Q30" s="1042"/>
      <c r="R30" s="1043"/>
      <c r="S30" s="1044"/>
      <c r="T30" s="1015"/>
      <c r="U30" s="1015"/>
      <c r="V30" s="1015"/>
      <c r="W30" s="988"/>
      <c r="X30" s="989"/>
      <c r="Y30" s="989"/>
      <c r="Z30" s="988"/>
      <c r="AA30" s="989"/>
      <c r="AB30" s="989"/>
      <c r="AC30" s="990"/>
      <c r="AD30" s="1011"/>
      <c r="AE30" s="1011"/>
      <c r="AF30" s="1009"/>
      <c r="AG30" s="1010"/>
      <c r="AH30" s="998"/>
      <c r="AI30" s="999"/>
      <c r="AJ30" s="999"/>
      <c r="AK30" s="1000"/>
      <c r="AL30" s="1001" t="str">
        <f>IF(OR(C30="",E30="",G30="",K30="",M30="",O30="",Q30="",S30="",Z30="",AD30="",AF30="",AH30="",AJ30=""),"",ROUND(AH30+AJ30,2))</f>
        <v/>
      </c>
      <c r="AM30" s="1002"/>
      <c r="AN30" s="1002"/>
      <c r="AO30" s="1003" t="str">
        <f t="shared" ref="AO30" si="15">IF(OR(C30="",E30="",G30="",K30="",M30="",O30="",Q30="",S30="",Z30="",AD30="",AF30="",AH30="",AJ30=""),"",IF(BA30-BB30&lt;=0,0,BA30-BB30))</f>
        <v/>
      </c>
      <c r="AP30" s="1004"/>
      <c r="AQ30" s="1005"/>
      <c r="AR30" s="996" t="str">
        <f>IF(OR(C30="",E30="",G30="",K30="",M30="",O30="",Q30="",S30="",Z30="",AD30="",AF30="",AH30="",AJ30=""),"", IF(BL30&lt;&gt;"", BL30, IF(BN30&gt;0,BN30, IF(ACTIVEBLOCK="Yes",ROUND(MIN(AL30*0.75,AO30*BLOCKBIDRATE),2),ROUND(MIN(AL30*0.75,BG30),2)))))</f>
        <v/>
      </c>
      <c r="AS30" s="996"/>
      <c r="AT30" s="996"/>
      <c r="AU30" s="996"/>
      <c r="AX30" s="973" t="str">
        <f>IFERROR(IF(OR(C30="",E30="",G30="",K30="",M30="",O30="",Q30="",S30="",Z30="",AD30="",AF30="",AH30="",AJ30=""),"",
ROUND(((1+ELOSS)*((AO30*INDEX(ELECCB[NPV AEC $/kWh],MATCH(BC30,ELECCB[Year Number],1)))+(BE30*INDEX(ELECCB[NPV ACC $/kW],MATCH(BC30,ELECCB[Year Number],1))))/AL30),2)),0)</f>
        <v/>
      </c>
      <c r="AY30" s="973" t="str">
        <f>IFERROR(AL30/M02S04F06/AO30,"")</f>
        <v/>
      </c>
      <c r="AZ30" s="966" t="str">
        <f>IF(S30="","",
_xlfn.LET( _xlpm.Unit, INDEX(CMLIGHTEFF[Unit],MATCH(S30,CMLIGHTEFF[Eff Desc 1],0)),
IFERROR(_xlpm.Unit,"")))</f>
        <v/>
      </c>
      <c r="BA30" s="975" t="str">
        <f>IF(OR(C30="",E30="",G30="",K30="",M30="",O30="",Q30="",S30="",Z30="",AD30="",AF30="",AH30="",AJ30=""),"",
IF(OR(ISNUMBER(SEARCH("Exterior",E30)),ISNUMBER(SEARCH("Garage",E30)),M02S04F22="Unconditioned",M02S04F22="Electric Heat Only",M02S04F22="Natural Gas Heat Only"),ROUND(M30*O30*Q30/1000,4),
ROUND(M30*O30*Q30/1000*INDEX(BUILDINGTYPE[Waste Heat Factor (e)],MATCH(M02S04F19,BUILDINGTYPE[Building Type],0)),4)))</f>
        <v/>
      </c>
      <c r="BB30" s="975" t="str">
        <f>IF(OR(C30="",E30="",G30="",K30="",M30="",O30="",Q30="",S30="",Z30="",AD30="",AF30="",AH30="",AJ30=""),"",
IF(OR(ISNUMBER(SEARCH("Exterior",E30)),ISNUMBER(SEARCH("Garage",E30)),M02S04F22="Unconditioned",M02S04F22="Electric Heat Only",M02S04F22="Natural Gas Heat Only"),ROUND(AD30*AF30*Q30/1000,4),
ROUND(AD30*AF30*Q30/1000*INDEX(BUILDINGTYPE[Waste Heat Factor (e)],MATCH(M02S04F19,BUILDINGTYPE[Building Type],0)),4)))</f>
        <v/>
      </c>
      <c r="BC30" s="977" t="str">
        <f>IF(OR(G30="",S30=""),"",IF(INDEX(CMLIGHTEFF[EUL],MATCH(S30,CMLIGHTEFF[Eff Desc 1],0))="","",INDEX(CMLIGHTEFF[EUL],MATCH(S30,CMLIGHTEFF[Eff Desc 1],0))))</f>
        <v/>
      </c>
      <c r="BD30" s="979" t="str">
        <f t="shared" ref="BD30" si="16">IF(OR(E30="",G30="",S30=""),"",IF(ISNUMBER(SEARCH("24/7",E30)),"Ext Lighting w/ Peak ",IF(E30="Interior","Interior Lighting",IF(OR(E30="Garage",E30="Exterior"),"Ext Lighting w/o Peak","Err"))))</f>
        <v/>
      </c>
      <c r="BE30" s="971" t="str">
        <f>IFERROR(IF(OR(C30="",E30="",G30="",K30="",M30="",O30="",Q30="",Z30="",AD30="",AF30="",AH30="",AJ30=""),"",ROUND(AO30*INDEX(ENDUSEALL[Factor],MATCH(BD30,ENDUSEALL[End Use to Coincident Peak Demand Factors],0)),4)),"")</f>
        <v/>
      </c>
      <c r="BF30" s="971" t="str">
        <f>IFERROR(IF(OR(C30="",E30="",G30="",K30="",M30="",O30="",Q30="",Z30="",AD30="",AF30="",AH30="",AJ30=""),"",IF(OR(E30="Garage",E30="Exterior"),0,
IF(OR(ISNUMBER(SEARCH("Garage",E30)),M02S04F22="Unconditioned",M02S04F22="Electric Heat Only",M02S04F22="Natural Gas Heat Only"),ROUND((((M30*O30)-(AD30*AF30))/1000)*INDEX(BUILDINGTYPE[Lighting Coincidence Factor],MATCH(M02S04F19,BUILDINGTYPE[Building Type],0)),4),
ROUND((((M30*O30)-(AD30*AF30))/1000)*INDEX(BUILDINGTYPE[WHFd],MATCH(M02S04F19,BUILDINGTYPE[Building Type],0))*INDEX(BUILDINGTYPE[Lighting Coincidence Factor],MATCH(M02S04F19,BUILDINGTYPE[Building Type],0)),4)))),"")</f>
        <v/>
      </c>
      <c r="BG30" s="963" t="str">
        <f t="shared" ref="BG30" si="17">IFERROR(ROUND(AO30*BH30,2),"")</f>
        <v/>
      </c>
      <c r="BH30" s="963" t="str">
        <f>_xlfn.LET(_xlpm.ROWS,MATCH(BD30,ENDUSEALL[End Use to Coincident Peak Demand Factors],0),IFERROR(INDEX(IF(AND(ACTIVEBONUS = TRUE,INDEX(ENDUSEALL[Bonus Rate ($/kWh)],_xlpm.ROWS)&lt;&gt;""),ENDUSEALL[Bonus Rate ($/kWh)],ENDUSEALL[Rate ($/kWh)]),_xlpm.ROWS),""))</f>
        <v/>
      </c>
      <c r="BI30" s="963" t="str">
        <f>_xlfn.LET(_xlpm.BONUS_RATE,INDEX(ENDUSEALL[Bonus Rate ($/kWh)],MATCH(BD30,ENDUSEALL[End Use to Coincident Peak Demand Factors],0)),_xlpm.BASE_RATE,INDEX(ENDUSEALL[Rate ($/kWh)],MATCH(BD30,ENDUSEALL[End Use to Coincident Peak Demand Factors],0)),IFERROR(IF(OR(ACTIVEBONUS &lt;&gt; TRUE,ISNUMBER(AR30) = FALSE,BN30 &lt;&gt; ""),"",AR30-(AO30*_xlpm.BASE_RATE)),""))</f>
        <v/>
      </c>
      <c r="BJ30" s="964" t="str">
        <f>IF(OR(C30="",E30="",G30="",K30="",M30="",O30="",Q30="",Z30="",AD30="",AF30="",AH30="",AJ30=""),"",IF(BL30&lt;&gt;"",SPILLOVERNUMBER,
221&amp;INDEX(LOCATIONTYPE[Measure Number],MATCH(E30,LOCATIONTYPE[Location Type],0))&amp;INDEX(ENDUSEALL[Measure Number Indicator],MATCH(BD30,ENDUSEALL[End Use to Coincident Peak Demand Factors],0))&amp;INDEX(CMLIGHTEFF[Measure Number],MATCH(S30,CMLIGHTEFF[Eff Desc 1],0))))</f>
        <v/>
      </c>
      <c r="BK30" s="966" t="str">
        <f>IFERROR(IF(BN30="", IF(AND(ROUND(AR30/AL30,2)=TOTCOSTCAP, BG30/AL30&gt;TOTCOSTCAP),"75% Total Cost",
IF(FALSE,"100% Incremental Cost",
IF(BH30&lt;KWHRATEMIN, "kWh Incentive Rate Min",
IF(BH30&gt;KWHRATEMAX,"kWh Incentive Rate Cap",
IF(AR30=BI30,"Bonus Incentive",
"kWh Incentive"))))), ""),"")</f>
        <v/>
      </c>
      <c r="BL30" s="966" t="str">
        <f ca="1">IFERROR(
IF(EXPIRATION&lt;&gt;"",PROJSTATEXP,
IF(BN30&gt;0,"",
IF(OR(M02S04F06="",M02S04F06="Select Rate Code",M02S04F06=0),MEASURERATE,
IF(M02S04F19="",MEASUREBLDG,
IF(BA30-BB30&lt;=0,MEASURESAVE,
IF(PAYCUSE&lt;PAYBACKREQ,PROJECTSTATPAYBACK,
IF(CBCUSE&lt;CBREQ,PROJECTSTATCB,""))))))),
MEASURESUBMIT)</f>
        <v>Enter Utility Rate (Building Info Tab)</v>
      </c>
      <c r="BM30" s="963" t="str">
        <f>IFERROR(IF(OR(C30="",E30="",G30="",K30="",M30="",O30="",Q30="",Z30="",AD30="",AF30="",AH30="",AJ30=""),"",
ROUND(((1+ELOSS)*((AO30*INDEX(ELECCB[NPV AEC $/kWh],MATCH(BC30,ELECCB[Year Number],1)))+(BE30*INDEX(ELECCB[NPV ACC $/kW],MATCH(BC30,ELECCB[Year Number],1))))),2)),0)</f>
        <v/>
      </c>
      <c r="BN30" s="968"/>
    </row>
    <row r="31" spans="1:66" ht="15.95" customHeight="1">
      <c r="B31" s="806"/>
      <c r="C31" s="1015"/>
      <c r="D31" s="1015"/>
      <c r="E31" s="1015"/>
      <c r="F31" s="1020"/>
      <c r="G31" s="1014"/>
      <c r="H31" s="1015"/>
      <c r="I31" s="1015"/>
      <c r="J31" s="1015"/>
      <c r="K31" s="1015"/>
      <c r="L31" s="1015"/>
      <c r="M31" s="1011"/>
      <c r="N31" s="1011"/>
      <c r="O31" s="1017"/>
      <c r="P31" s="1017"/>
      <c r="Q31" s="1042"/>
      <c r="R31" s="1043"/>
      <c r="S31" s="1044"/>
      <c r="T31" s="1015"/>
      <c r="U31" s="1015"/>
      <c r="V31" s="1015"/>
      <c r="W31" s="991"/>
      <c r="X31" s="992"/>
      <c r="Y31" s="992"/>
      <c r="Z31" s="991"/>
      <c r="AA31" s="992"/>
      <c r="AB31" s="992"/>
      <c r="AC31" s="993"/>
      <c r="AD31" s="1011"/>
      <c r="AE31" s="1011"/>
      <c r="AF31" s="1009"/>
      <c r="AG31" s="1010"/>
      <c r="AH31" s="998"/>
      <c r="AI31" s="999"/>
      <c r="AJ31" s="999"/>
      <c r="AK31" s="1000"/>
      <c r="AL31" s="1001"/>
      <c r="AM31" s="1002"/>
      <c r="AN31" s="1002"/>
      <c r="AO31" s="1006"/>
      <c r="AP31" s="1007"/>
      <c r="AQ31" s="1008"/>
      <c r="AR31" s="997"/>
      <c r="AS31" s="997"/>
      <c r="AT31" s="997"/>
      <c r="AU31" s="997"/>
      <c r="AX31" s="974"/>
      <c r="AY31" s="974"/>
      <c r="AZ31" s="967"/>
      <c r="BA31" s="976"/>
      <c r="BB31" s="976"/>
      <c r="BC31" s="978"/>
      <c r="BD31" s="980"/>
      <c r="BE31" s="972"/>
      <c r="BF31" s="972"/>
      <c r="BG31" s="830"/>
      <c r="BH31" s="830"/>
      <c r="BI31" s="830"/>
      <c r="BJ31" s="965"/>
      <c r="BK31" s="967"/>
      <c r="BL31" s="967"/>
      <c r="BM31" s="830"/>
      <c r="BN31" s="969"/>
    </row>
    <row r="32" spans="1:66" ht="15.95" customHeight="1">
      <c r="B32" s="806">
        <v>8</v>
      </c>
      <c r="C32" s="1015"/>
      <c r="D32" s="1015"/>
      <c r="E32" s="1015"/>
      <c r="F32" s="1020"/>
      <c r="G32" s="1014"/>
      <c r="H32" s="1015"/>
      <c r="I32" s="1015"/>
      <c r="J32" s="1015"/>
      <c r="K32" s="1015"/>
      <c r="L32" s="1015"/>
      <c r="M32" s="1011"/>
      <c r="N32" s="1011"/>
      <c r="O32" s="1017" t="str">
        <f>IFERROR(IF(G32="","",INDEX(CMLIGHTBASE[Base Watt 1],MATCH(G32,CMLIGHTBASE[Base Desc 1],0))),"")</f>
        <v/>
      </c>
      <c r="P32" s="1017"/>
      <c r="Q32" s="1042"/>
      <c r="R32" s="1043"/>
      <c r="S32" s="1044"/>
      <c r="T32" s="1015"/>
      <c r="U32" s="1015"/>
      <c r="V32" s="1015"/>
      <c r="W32" s="988"/>
      <c r="X32" s="989"/>
      <c r="Y32" s="989"/>
      <c r="Z32" s="988"/>
      <c r="AA32" s="989"/>
      <c r="AB32" s="989"/>
      <c r="AC32" s="990"/>
      <c r="AD32" s="1011"/>
      <c r="AE32" s="1011"/>
      <c r="AF32" s="1009"/>
      <c r="AG32" s="1010"/>
      <c r="AH32" s="998"/>
      <c r="AI32" s="999"/>
      <c r="AJ32" s="999"/>
      <c r="AK32" s="1000"/>
      <c r="AL32" s="1001" t="str">
        <f>IF(OR(C32="",E32="",G32="",K32="",M32="",O32="",Q32="",S32="",Z32="",AD32="",AF32="",AH32="",AJ32=""),"",ROUND(AH32+AJ32,2))</f>
        <v/>
      </c>
      <c r="AM32" s="1002"/>
      <c r="AN32" s="1002"/>
      <c r="AO32" s="1003" t="str">
        <f t="shared" ref="AO32" si="18">IF(OR(C32="",E32="",G32="",K32="",M32="",O32="",Q32="",S32="",Z32="",AD32="",AF32="",AH32="",AJ32=""),"",IF(BA32-BB32&lt;=0,0,BA32-BB32))</f>
        <v/>
      </c>
      <c r="AP32" s="1004"/>
      <c r="AQ32" s="1005"/>
      <c r="AR32" s="996" t="str">
        <f>IF(OR(C32="",E32="",G32="",K32="",M32="",O32="",Q32="",S32="",Z32="",AD32="",AF32="",AH32="",AJ32=""),"", IF(BL32&lt;&gt;"", BL32, IF(BN32&gt;0,BN32, IF(ACTIVEBLOCK="Yes",ROUND(MIN(AL32*0.75,AO32*BLOCKBIDRATE),2),ROUND(MIN(AL32*0.75,BG32),2)))))</f>
        <v/>
      </c>
      <c r="AS32" s="996"/>
      <c r="AT32" s="996"/>
      <c r="AU32" s="996"/>
      <c r="AX32" s="973" t="str">
        <f>IFERROR(IF(OR(C32="",E32="",G32="",K32="",M32="",O32="",Q32="",S32="",Z32="",AD32="",AF32="",AH32="",AJ32=""),"",
ROUND(((1+ELOSS)*((AO32*INDEX(ELECCB[NPV AEC $/kWh],MATCH(BC32,ELECCB[Year Number],1)))+(BE32*INDEX(ELECCB[NPV ACC $/kW],MATCH(BC32,ELECCB[Year Number],1))))/AL32),2)),0)</f>
        <v/>
      </c>
      <c r="AY32" s="973" t="str">
        <f>IFERROR(AL32/M02S04F06/AO32,"")</f>
        <v/>
      </c>
      <c r="AZ32" s="966" t="str">
        <f>IF(S32="","",
_xlfn.LET( _xlpm.Unit, INDEX(CMLIGHTEFF[Unit],MATCH(S32,CMLIGHTEFF[Eff Desc 1],0)),
IFERROR(_xlpm.Unit,"")))</f>
        <v/>
      </c>
      <c r="BA32" s="975" t="str">
        <f>IF(OR(C32="",E32="",G32="",K32="",M32="",O32="",Q32="",S32="",Z32="",AD32="",AF32="",AH32="",AJ32=""),"",
IF(OR(ISNUMBER(SEARCH("Exterior",E32)),ISNUMBER(SEARCH("Garage",E32)),M02S04F22="Unconditioned",M02S04F22="Electric Heat Only",M02S04F22="Natural Gas Heat Only"),ROUND(M32*O32*Q32/1000,4),
ROUND(M32*O32*Q32/1000*INDEX(BUILDINGTYPE[Waste Heat Factor (e)],MATCH(M02S04F19,BUILDINGTYPE[Building Type],0)),4)))</f>
        <v/>
      </c>
      <c r="BB32" s="975" t="str">
        <f>IF(OR(C32="",E32="",G32="",K32="",M32="",O32="",Q32="",S32="",Z32="",AD32="",AF32="",AH32="",AJ32=""),"",
IF(OR(ISNUMBER(SEARCH("Exterior",E32)),ISNUMBER(SEARCH("Garage",E32)),M02S04F22="Unconditioned",M02S04F22="Electric Heat Only",M02S04F22="Natural Gas Heat Only"),ROUND(AD32*AF32*Q32/1000,4),
ROUND(AD32*AF32*Q32/1000*INDEX(BUILDINGTYPE[Waste Heat Factor (e)],MATCH(M02S04F19,BUILDINGTYPE[Building Type],0)),4)))</f>
        <v/>
      </c>
      <c r="BC32" s="977" t="str">
        <f>IF(OR(G32="",S32=""),"",IF(INDEX(CMLIGHTEFF[EUL],MATCH(S32,CMLIGHTEFF[Eff Desc 1],0))="","",INDEX(CMLIGHTEFF[EUL],MATCH(S32,CMLIGHTEFF[Eff Desc 1],0))))</f>
        <v/>
      </c>
      <c r="BD32" s="979" t="str">
        <f t="shared" ref="BD32" si="19">IF(OR(E32="",G32="",S32=""),"",IF(ISNUMBER(SEARCH("24/7",E32)),"Ext Lighting w/ Peak ",IF(E32="Interior","Interior Lighting",IF(OR(E32="Garage",E32="Exterior"),"Ext Lighting w/o Peak","Err"))))</f>
        <v/>
      </c>
      <c r="BE32" s="971" t="str">
        <f>IFERROR(IF(OR(C32="",E32="",G32="",K32="",M32="",O32="",Q32="",Z32="",AD32="",AF32="",AH32="",AJ32=""),"",ROUND(AO32*INDEX(ENDUSEALL[Factor],MATCH(BD32,ENDUSEALL[End Use to Coincident Peak Demand Factors],0)),4)),"")</f>
        <v/>
      </c>
      <c r="BF32" s="971" t="str">
        <f>IFERROR(IF(OR(C32="",E32="",G32="",K32="",M32="",O32="",Q32="",Z32="",AD32="",AF32="",AH32="",AJ32=""),"",IF(OR(E32="Garage",E32="Exterior"),0,
IF(OR(ISNUMBER(SEARCH("Garage",E32)),M02S04F22="Unconditioned",M02S04F22="Electric Heat Only",M02S04F22="Natural Gas Heat Only"),ROUND((((M32*O32)-(AD32*AF32))/1000)*INDEX(BUILDINGTYPE[Lighting Coincidence Factor],MATCH(M02S04F19,BUILDINGTYPE[Building Type],0)),4),
ROUND((((M32*O32)-(AD32*AF32))/1000)*INDEX(BUILDINGTYPE[WHFd],MATCH(M02S04F19,BUILDINGTYPE[Building Type],0))*INDEX(BUILDINGTYPE[Lighting Coincidence Factor],MATCH(M02S04F19,BUILDINGTYPE[Building Type],0)),4)))),"")</f>
        <v/>
      </c>
      <c r="BG32" s="963" t="str">
        <f t="shared" ref="BG32" si="20">IFERROR(ROUND(AO32*BH32,2),"")</f>
        <v/>
      </c>
      <c r="BH32" s="963" t="str">
        <f>_xlfn.LET(_xlpm.ROWS,MATCH(BD32,ENDUSEALL[End Use to Coincident Peak Demand Factors],0),IFERROR(INDEX(IF(AND(ACTIVEBONUS = TRUE,INDEX(ENDUSEALL[Bonus Rate ($/kWh)],_xlpm.ROWS)&lt;&gt;""),ENDUSEALL[Bonus Rate ($/kWh)],ENDUSEALL[Rate ($/kWh)]),_xlpm.ROWS),""))</f>
        <v/>
      </c>
      <c r="BI32" s="963" t="str">
        <f>_xlfn.LET(_xlpm.BONUS_RATE,INDEX(ENDUSEALL[Bonus Rate ($/kWh)],MATCH(BD32,ENDUSEALL[End Use to Coincident Peak Demand Factors],0)),_xlpm.BASE_RATE,INDEX(ENDUSEALL[Rate ($/kWh)],MATCH(BD32,ENDUSEALL[End Use to Coincident Peak Demand Factors],0)),IFERROR(IF(OR(ACTIVEBONUS &lt;&gt; TRUE,ISNUMBER(AR32) = FALSE,BN32 &lt;&gt; ""),"",AR32-(AO32*_xlpm.BASE_RATE)),""))</f>
        <v/>
      </c>
      <c r="BJ32" s="964" t="str">
        <f>IF(OR(C32="",E32="",G32="",K32="",M32="",O32="",Q32="",Z32="",AD32="",AF32="",AH32="",AJ32=""),"",IF(BL32&lt;&gt;"",SPILLOVERNUMBER,
221&amp;INDEX(LOCATIONTYPE[Measure Number],MATCH(E32,LOCATIONTYPE[Location Type],0))&amp;INDEX(ENDUSEALL[Measure Number Indicator],MATCH(BD32,ENDUSEALL[End Use to Coincident Peak Demand Factors],0))&amp;INDEX(CMLIGHTEFF[Measure Number],MATCH(S32,CMLIGHTEFF[Eff Desc 1],0))))</f>
        <v/>
      </c>
      <c r="BK32" s="966" t="str">
        <f>IFERROR(IF(BN32="", IF(AND(ROUND(AR32/AL32,2)=TOTCOSTCAP, BG32/AL32&gt;TOTCOSTCAP),"75% Total Cost",
IF(FALSE,"100% Incremental Cost",
IF(BH32&lt;KWHRATEMIN, "kWh Incentive Rate Min",
IF(BH32&gt;KWHRATEMAX,"kWh Incentive Rate Cap",
IF(AR32=BI32,"Bonus Incentive",
"kWh Incentive"))))), ""),"")</f>
        <v/>
      </c>
      <c r="BL32" s="966" t="str">
        <f ca="1">IFERROR(
IF(EXPIRATION&lt;&gt;"",PROJSTATEXP,
IF(BN32&gt;0,"",
IF(OR(M02S04F06="",M02S04F06="Select Rate Code",M02S04F06=0),MEASURERATE,
IF(M02S04F19="",MEASUREBLDG,
IF(BA32-BB32&lt;=0,MEASURESAVE,
IF(PAYCUSE&lt;PAYBACKREQ,PROJECTSTATPAYBACK,
IF(CBCUSE&lt;CBREQ,PROJECTSTATCB,""))))))),
MEASURESUBMIT)</f>
        <v>Enter Utility Rate (Building Info Tab)</v>
      </c>
      <c r="BM32" s="963" t="str">
        <f>IFERROR(IF(OR(C32="",E32="",G32="",K32="",M32="",O32="",Q32="",Z32="",AD32="",AF32="",AH32="",AJ32=""),"",
ROUND(((1+ELOSS)*((AO32*INDEX(ELECCB[NPV AEC $/kWh],MATCH(BC32,ELECCB[Year Number],1)))+(BE32*INDEX(ELECCB[NPV ACC $/kW],MATCH(BC32,ELECCB[Year Number],1))))),2)),0)</f>
        <v/>
      </c>
      <c r="BN32" s="968"/>
    </row>
    <row r="33" spans="2:66" ht="15.95" customHeight="1">
      <c r="B33" s="806"/>
      <c r="C33" s="1015"/>
      <c r="D33" s="1015"/>
      <c r="E33" s="1015"/>
      <c r="F33" s="1020"/>
      <c r="G33" s="1014"/>
      <c r="H33" s="1015"/>
      <c r="I33" s="1015"/>
      <c r="J33" s="1015"/>
      <c r="K33" s="1015"/>
      <c r="L33" s="1015"/>
      <c r="M33" s="1011"/>
      <c r="N33" s="1011"/>
      <c r="O33" s="1017"/>
      <c r="P33" s="1017"/>
      <c r="Q33" s="1042"/>
      <c r="R33" s="1043"/>
      <c r="S33" s="1044"/>
      <c r="T33" s="1015"/>
      <c r="U33" s="1015"/>
      <c r="V33" s="1015"/>
      <c r="W33" s="991"/>
      <c r="X33" s="992"/>
      <c r="Y33" s="992"/>
      <c r="Z33" s="991"/>
      <c r="AA33" s="992"/>
      <c r="AB33" s="992"/>
      <c r="AC33" s="993"/>
      <c r="AD33" s="1011"/>
      <c r="AE33" s="1011"/>
      <c r="AF33" s="1009"/>
      <c r="AG33" s="1010"/>
      <c r="AH33" s="998"/>
      <c r="AI33" s="999"/>
      <c r="AJ33" s="999"/>
      <c r="AK33" s="1000"/>
      <c r="AL33" s="1001"/>
      <c r="AM33" s="1002"/>
      <c r="AN33" s="1002"/>
      <c r="AO33" s="1006"/>
      <c r="AP33" s="1007"/>
      <c r="AQ33" s="1008"/>
      <c r="AR33" s="997"/>
      <c r="AS33" s="997"/>
      <c r="AT33" s="997"/>
      <c r="AU33" s="997"/>
      <c r="AX33" s="974"/>
      <c r="AY33" s="974"/>
      <c r="AZ33" s="967"/>
      <c r="BA33" s="976"/>
      <c r="BB33" s="976"/>
      <c r="BC33" s="978"/>
      <c r="BD33" s="980"/>
      <c r="BE33" s="972"/>
      <c r="BF33" s="972"/>
      <c r="BG33" s="830"/>
      <c r="BH33" s="830"/>
      <c r="BI33" s="830"/>
      <c r="BJ33" s="965"/>
      <c r="BK33" s="967"/>
      <c r="BL33" s="967"/>
      <c r="BM33" s="830"/>
      <c r="BN33" s="969"/>
    </row>
    <row r="34" spans="2:66" ht="15.95" customHeight="1">
      <c r="B34" s="806">
        <v>9</v>
      </c>
      <c r="C34" s="1015"/>
      <c r="D34" s="1015"/>
      <c r="E34" s="1015"/>
      <c r="F34" s="1020"/>
      <c r="G34" s="1014"/>
      <c r="H34" s="1015"/>
      <c r="I34" s="1015"/>
      <c r="J34" s="1015"/>
      <c r="K34" s="1015"/>
      <c r="L34" s="1015"/>
      <c r="M34" s="1011"/>
      <c r="N34" s="1011"/>
      <c r="O34" s="1017" t="str">
        <f>IFERROR(IF(G34="","",INDEX(CMLIGHTBASE[Base Watt 1],MATCH(G34,CMLIGHTBASE[Base Desc 1],0))),"")</f>
        <v/>
      </c>
      <c r="P34" s="1017"/>
      <c r="Q34" s="1042"/>
      <c r="R34" s="1043"/>
      <c r="S34" s="1044"/>
      <c r="T34" s="1015"/>
      <c r="U34" s="1015"/>
      <c r="V34" s="1015"/>
      <c r="W34" s="988"/>
      <c r="X34" s="989"/>
      <c r="Y34" s="989"/>
      <c r="Z34" s="988"/>
      <c r="AA34" s="989"/>
      <c r="AB34" s="989"/>
      <c r="AC34" s="990"/>
      <c r="AD34" s="1011"/>
      <c r="AE34" s="1011"/>
      <c r="AF34" s="1009"/>
      <c r="AG34" s="1010"/>
      <c r="AH34" s="998"/>
      <c r="AI34" s="999"/>
      <c r="AJ34" s="999"/>
      <c r="AK34" s="1000"/>
      <c r="AL34" s="1001" t="str">
        <f>IF(OR(C34="",E34="",G34="",K34="",M34="",O34="",Q34="",S34="",Z34="",AD34="",AF34="",AH34="",AJ34=""),"",ROUND(AH34+AJ34,2))</f>
        <v/>
      </c>
      <c r="AM34" s="1002"/>
      <c r="AN34" s="1002"/>
      <c r="AO34" s="1003" t="str">
        <f t="shared" ref="AO34" si="21">IF(OR(C34="",E34="",G34="",K34="",M34="",O34="",Q34="",S34="",Z34="",AD34="",AF34="",AH34="",AJ34=""),"",IF(BA34-BB34&lt;=0,0,BA34-BB34))</f>
        <v/>
      </c>
      <c r="AP34" s="1004"/>
      <c r="AQ34" s="1005"/>
      <c r="AR34" s="996" t="str">
        <f>IF(OR(C34="",E34="",G34="",K34="",M34="",O34="",Q34="",S34="",Z34="",AD34="",AF34="",AH34="",AJ34=""),"", IF(BL34&lt;&gt;"", BL34, IF(BN34&gt;0,BN34, IF(ACTIVEBLOCK="Yes",ROUND(MIN(AL34*0.75,AO34*BLOCKBIDRATE),2),ROUND(MIN(AL34*0.75,BG34),2)))))</f>
        <v/>
      </c>
      <c r="AS34" s="996"/>
      <c r="AT34" s="996"/>
      <c r="AU34" s="996"/>
      <c r="AX34" s="973" t="str">
        <f>IFERROR(IF(OR(C34="",E34="",G34="",K34="",M34="",O34="",Q34="",S34="",Z34="",AD34="",AF34="",AH34="",AJ34=""),"",
ROUND(((1+ELOSS)*((AO34*INDEX(ELECCB[NPV AEC $/kWh],MATCH(BC34,ELECCB[Year Number],1)))+(BE34*INDEX(ELECCB[NPV ACC $/kW],MATCH(BC34,ELECCB[Year Number],1))))/AL34),2)),0)</f>
        <v/>
      </c>
      <c r="AY34" s="973" t="str">
        <f>IFERROR(AL34/M02S04F06/AO34,"")</f>
        <v/>
      </c>
      <c r="AZ34" s="966" t="str">
        <f>IF(S34="","",
_xlfn.LET( _xlpm.Unit, INDEX(CMLIGHTEFF[Unit],MATCH(S34,CMLIGHTEFF[Eff Desc 1],0)),
IFERROR(_xlpm.Unit,"")))</f>
        <v/>
      </c>
      <c r="BA34" s="975" t="str">
        <f>IF(OR(C34="",E34="",G34="",K34="",M34="",O34="",Q34="",S34="",Z34="",AD34="",AF34="",AH34="",AJ34=""),"",
IF(OR(ISNUMBER(SEARCH("Exterior",E34)),ISNUMBER(SEARCH("Garage",E34)),M02S04F22="Unconditioned",M02S04F22="Electric Heat Only",M02S04F22="Natural Gas Heat Only"),ROUND(M34*O34*Q34/1000,4),
ROUND(M34*O34*Q34/1000*INDEX(BUILDINGTYPE[Waste Heat Factor (e)],MATCH(M02S04F19,BUILDINGTYPE[Building Type],0)),4)))</f>
        <v/>
      </c>
      <c r="BB34" s="975" t="str">
        <f>IF(OR(C34="",E34="",G34="",K34="",M34="",O34="",Q34="",S34="",Z34="",AD34="",AF34="",AH34="",AJ34=""),"",
IF(OR(ISNUMBER(SEARCH("Exterior",E34)),ISNUMBER(SEARCH("Garage",E34)),M02S04F22="Unconditioned",M02S04F22="Electric Heat Only",M02S04F22="Natural Gas Heat Only"),ROUND(AD34*AF34*Q34/1000,4),
ROUND(AD34*AF34*Q34/1000*INDEX(BUILDINGTYPE[Waste Heat Factor (e)],MATCH(M02S04F19,BUILDINGTYPE[Building Type],0)),4)))</f>
        <v/>
      </c>
      <c r="BC34" s="977" t="str">
        <f>IF(OR(G34="",S34=""),"",IF(INDEX(CMLIGHTEFF[EUL],MATCH(S34,CMLIGHTEFF[Eff Desc 1],0))="","",INDEX(CMLIGHTEFF[EUL],MATCH(S34,CMLIGHTEFF[Eff Desc 1],0))))</f>
        <v/>
      </c>
      <c r="BD34" s="979" t="str">
        <f t="shared" ref="BD34" si="22">IF(OR(E34="",G34="",S34=""),"",IF(ISNUMBER(SEARCH("24/7",E34)),"Ext Lighting w/ Peak ",IF(E34="Interior","Interior Lighting",IF(OR(E34="Garage",E34="Exterior"),"Ext Lighting w/o Peak","Err"))))</f>
        <v/>
      </c>
      <c r="BE34" s="971" t="str">
        <f>IFERROR(IF(OR(C34="",E34="",G34="",K34="",M34="",O34="",Q34="",Z34="",AD34="",AF34="",AH34="",AJ34=""),"",ROUND(AO34*INDEX(ENDUSEALL[Factor],MATCH(BD34,ENDUSEALL[End Use to Coincident Peak Demand Factors],0)),4)),"")</f>
        <v/>
      </c>
      <c r="BF34" s="971" t="str">
        <f>IFERROR(IF(OR(C34="",E34="",G34="",K34="",M34="",O34="",Q34="",Z34="",AD34="",AF34="",AH34="",AJ34=""),"",IF(OR(E34="Garage",E34="Exterior"),0,
IF(OR(ISNUMBER(SEARCH("Garage",E34)),M02S04F22="Unconditioned",M02S04F22="Electric Heat Only",M02S04F22="Natural Gas Heat Only"),ROUND((((M34*O34)-(AD34*AF34))/1000)*INDEX(BUILDINGTYPE[Lighting Coincidence Factor],MATCH(M02S04F19,BUILDINGTYPE[Building Type],0)),4),
ROUND((((M34*O34)-(AD34*AF34))/1000)*INDEX(BUILDINGTYPE[WHFd],MATCH(M02S04F19,BUILDINGTYPE[Building Type],0))*INDEX(BUILDINGTYPE[Lighting Coincidence Factor],MATCH(M02S04F19,BUILDINGTYPE[Building Type],0)),4)))),"")</f>
        <v/>
      </c>
      <c r="BG34" s="963" t="str">
        <f t="shared" ref="BG34" si="23">IFERROR(ROUND(AO34*BH34,2),"")</f>
        <v/>
      </c>
      <c r="BH34" s="963" t="str">
        <f>_xlfn.LET(_xlpm.ROWS,MATCH(BD34,ENDUSEALL[End Use to Coincident Peak Demand Factors],0),IFERROR(INDEX(IF(AND(ACTIVEBONUS = TRUE,INDEX(ENDUSEALL[Bonus Rate ($/kWh)],_xlpm.ROWS)&lt;&gt;""),ENDUSEALL[Bonus Rate ($/kWh)],ENDUSEALL[Rate ($/kWh)]),_xlpm.ROWS),""))</f>
        <v/>
      </c>
      <c r="BI34" s="963" t="str">
        <f>_xlfn.LET(_xlpm.BONUS_RATE,INDEX(ENDUSEALL[Bonus Rate ($/kWh)],MATCH(BD34,ENDUSEALL[End Use to Coincident Peak Demand Factors],0)),_xlpm.BASE_RATE,INDEX(ENDUSEALL[Rate ($/kWh)],MATCH(BD34,ENDUSEALL[End Use to Coincident Peak Demand Factors],0)),IFERROR(IF(OR(ACTIVEBONUS &lt;&gt; TRUE,ISNUMBER(AR34) = FALSE,BN34 &lt;&gt; ""),"",AR34-(AO34*_xlpm.BASE_RATE)),""))</f>
        <v/>
      </c>
      <c r="BJ34" s="964" t="str">
        <f>IF(OR(C34="",E34="",G34="",K34="",M34="",O34="",Q34="",Z34="",AD34="",AF34="",AH34="",AJ34=""),"",IF(BL34&lt;&gt;"",SPILLOVERNUMBER,
221&amp;INDEX(LOCATIONTYPE[Measure Number],MATCH(E34,LOCATIONTYPE[Location Type],0))&amp;INDEX(ENDUSEALL[Measure Number Indicator],MATCH(BD34,ENDUSEALL[End Use to Coincident Peak Demand Factors],0))&amp;INDEX(CMLIGHTEFF[Measure Number],MATCH(S34,CMLIGHTEFF[Eff Desc 1],0))))</f>
        <v/>
      </c>
      <c r="BK34" s="966" t="str">
        <f>IFERROR(IF(BN34="", IF(AND(ROUND(AR34/AL34,2)=TOTCOSTCAP, BG34/AL34&gt;TOTCOSTCAP),"75% Total Cost",
IF(FALSE,"100% Incremental Cost",
IF(BH34&lt;KWHRATEMIN, "kWh Incentive Rate Min",
IF(BH34&gt;KWHRATEMAX,"kWh Incentive Rate Cap",
IF(AR34=BI34,"Bonus Incentive",
"kWh Incentive"))))), ""),"")</f>
        <v/>
      </c>
      <c r="BL34" s="966" t="str">
        <f ca="1">IFERROR(
IF(EXPIRATION&lt;&gt;"",PROJSTATEXP,
IF(BN34&gt;0,"",
IF(OR(M02S04F06="",M02S04F06="Select Rate Code",M02S04F06=0),MEASURERATE,
IF(M02S04F19="",MEASUREBLDG,
IF(BA34-BB34&lt;=0,MEASURESAVE,
IF(PAYCUSE&lt;PAYBACKREQ,PROJECTSTATPAYBACK,
IF(CBCUSE&lt;CBREQ,PROJECTSTATCB,""))))))),
MEASURESUBMIT)</f>
        <v>Enter Utility Rate (Building Info Tab)</v>
      </c>
      <c r="BM34" s="963" t="str">
        <f>IFERROR(IF(OR(C34="",E34="",G34="",K34="",M34="",O34="",Q34="",Z34="",AD34="",AF34="",AH34="",AJ34=""),"",
ROUND(((1+ELOSS)*((AO34*INDEX(ELECCB[NPV AEC $/kWh],MATCH(BC34,ELECCB[Year Number],1)))+(BE34*INDEX(ELECCB[NPV ACC $/kW],MATCH(BC34,ELECCB[Year Number],1))))),2)),0)</f>
        <v/>
      </c>
      <c r="BN34" s="968"/>
    </row>
    <row r="35" spans="2:66" ht="15.95" customHeight="1">
      <c r="B35" s="806"/>
      <c r="C35" s="1015"/>
      <c r="D35" s="1015"/>
      <c r="E35" s="1015"/>
      <c r="F35" s="1020"/>
      <c r="G35" s="1014"/>
      <c r="H35" s="1015"/>
      <c r="I35" s="1015"/>
      <c r="J35" s="1015"/>
      <c r="K35" s="1015"/>
      <c r="L35" s="1015"/>
      <c r="M35" s="1011"/>
      <c r="N35" s="1011"/>
      <c r="O35" s="1017"/>
      <c r="P35" s="1017"/>
      <c r="Q35" s="1042"/>
      <c r="R35" s="1043"/>
      <c r="S35" s="1044"/>
      <c r="T35" s="1015"/>
      <c r="U35" s="1015"/>
      <c r="V35" s="1015"/>
      <c r="W35" s="991"/>
      <c r="X35" s="992"/>
      <c r="Y35" s="992"/>
      <c r="Z35" s="991"/>
      <c r="AA35" s="992"/>
      <c r="AB35" s="992"/>
      <c r="AC35" s="993"/>
      <c r="AD35" s="1011"/>
      <c r="AE35" s="1011"/>
      <c r="AF35" s="1009"/>
      <c r="AG35" s="1010"/>
      <c r="AH35" s="998"/>
      <c r="AI35" s="999"/>
      <c r="AJ35" s="999"/>
      <c r="AK35" s="1000"/>
      <c r="AL35" s="1001"/>
      <c r="AM35" s="1002"/>
      <c r="AN35" s="1002"/>
      <c r="AO35" s="1006"/>
      <c r="AP35" s="1007"/>
      <c r="AQ35" s="1008"/>
      <c r="AR35" s="997"/>
      <c r="AS35" s="997"/>
      <c r="AT35" s="997"/>
      <c r="AU35" s="997"/>
      <c r="AX35" s="974"/>
      <c r="AY35" s="974"/>
      <c r="AZ35" s="967"/>
      <c r="BA35" s="976"/>
      <c r="BB35" s="976"/>
      <c r="BC35" s="978"/>
      <c r="BD35" s="980"/>
      <c r="BE35" s="972"/>
      <c r="BF35" s="972"/>
      <c r="BG35" s="830"/>
      <c r="BH35" s="830"/>
      <c r="BI35" s="830"/>
      <c r="BJ35" s="965"/>
      <c r="BK35" s="967"/>
      <c r="BL35" s="967"/>
      <c r="BM35" s="830"/>
      <c r="BN35" s="969"/>
    </row>
    <row r="36" spans="2:66" ht="15.95" customHeight="1">
      <c r="B36" s="806">
        <v>10</v>
      </c>
      <c r="C36" s="1015"/>
      <c r="D36" s="1015"/>
      <c r="E36" s="1015"/>
      <c r="F36" s="1020"/>
      <c r="G36" s="1014"/>
      <c r="H36" s="1015"/>
      <c r="I36" s="1015"/>
      <c r="J36" s="1015"/>
      <c r="K36" s="1015"/>
      <c r="L36" s="1015"/>
      <c r="M36" s="1011"/>
      <c r="N36" s="1011"/>
      <c r="O36" s="1017" t="str">
        <f>IFERROR(IF(G36="","",INDEX(CMLIGHTBASE[Base Watt 1],MATCH(G36,CMLIGHTBASE[Base Desc 1],0))),"")</f>
        <v/>
      </c>
      <c r="P36" s="1017"/>
      <c r="Q36" s="1042"/>
      <c r="R36" s="1043"/>
      <c r="S36" s="1044"/>
      <c r="T36" s="1015"/>
      <c r="U36" s="1015"/>
      <c r="V36" s="1015"/>
      <c r="W36" s="988"/>
      <c r="X36" s="989"/>
      <c r="Y36" s="989"/>
      <c r="Z36" s="988"/>
      <c r="AA36" s="989"/>
      <c r="AB36" s="989"/>
      <c r="AC36" s="990"/>
      <c r="AD36" s="1011"/>
      <c r="AE36" s="1011"/>
      <c r="AF36" s="1009"/>
      <c r="AG36" s="1010"/>
      <c r="AH36" s="998"/>
      <c r="AI36" s="999"/>
      <c r="AJ36" s="999"/>
      <c r="AK36" s="1000"/>
      <c r="AL36" s="1001" t="str">
        <f>IF(OR(C36="",E36="",G36="",K36="",M36="",O36="",Q36="",S36="",Z36="",AD36="",AF36="",AH36="",AJ36=""),"",ROUND(AH36+AJ36,2))</f>
        <v/>
      </c>
      <c r="AM36" s="1002"/>
      <c r="AN36" s="1002"/>
      <c r="AO36" s="1003" t="str">
        <f t="shared" ref="AO36" si="24">IF(OR(C36="",E36="",G36="",K36="",M36="",O36="",Q36="",S36="",Z36="",AD36="",AF36="",AH36="",AJ36=""),"",IF(BA36-BB36&lt;=0,0,BA36-BB36))</f>
        <v/>
      </c>
      <c r="AP36" s="1004"/>
      <c r="AQ36" s="1005"/>
      <c r="AR36" s="996" t="str">
        <f>IF(OR(C36="",E36="",G36="",K36="",M36="",O36="",Q36="",S36="",Z36="",AD36="",AF36="",AH36="",AJ36=""),"", IF(BL36&lt;&gt;"", BL36, IF(BN36&gt;0,BN36, IF(ACTIVEBLOCK="Yes",ROUND(MIN(AL36*0.75,AO36*BLOCKBIDRATE),2),ROUND(MIN(AL36*0.75,BG36),2)))))</f>
        <v/>
      </c>
      <c r="AS36" s="996"/>
      <c r="AT36" s="996"/>
      <c r="AU36" s="996"/>
      <c r="AX36" s="973" t="str">
        <f>IFERROR(IF(OR(C36="",E36="",G36="",K36="",M36="",O36="",Q36="",S36="",Z36="",AD36="",AF36="",AH36="",AJ36=""),"",
ROUND(((1+ELOSS)*((AO36*INDEX(ELECCB[NPV AEC $/kWh],MATCH(BC36,ELECCB[Year Number],1)))+(BE36*INDEX(ELECCB[NPV ACC $/kW],MATCH(BC36,ELECCB[Year Number],1))))/AL36),2)),0)</f>
        <v/>
      </c>
      <c r="AY36" s="973" t="str">
        <f>IFERROR(AL36/M02S04F06/AO36,"")</f>
        <v/>
      </c>
      <c r="AZ36" s="966" t="str">
        <f>IF(S36="","",
_xlfn.LET( _xlpm.Unit, INDEX(CMLIGHTEFF[Unit],MATCH(S36,CMLIGHTEFF[Eff Desc 1],0)),
IFERROR(_xlpm.Unit,"")))</f>
        <v/>
      </c>
      <c r="BA36" s="975" t="str">
        <f>IF(OR(C36="",E36="",G36="",K36="",M36="",O36="",Q36="",S36="",Z36="",AD36="",AF36="",AH36="",AJ36=""),"",
IF(OR(ISNUMBER(SEARCH("Exterior",E36)),ISNUMBER(SEARCH("Garage",E36)),M02S04F22="Unconditioned",M02S04F22="Electric Heat Only",M02S04F22="Natural Gas Heat Only"),ROUND(M36*O36*Q36/1000,4),
ROUND(M36*O36*Q36/1000*INDEX(BUILDINGTYPE[Waste Heat Factor (e)],MATCH(M02S04F19,BUILDINGTYPE[Building Type],0)),4)))</f>
        <v/>
      </c>
      <c r="BB36" s="975" t="str">
        <f>IF(OR(C36="",E36="",G36="",K36="",M36="",O36="",Q36="",S36="",Z36="",AD36="",AF36="",AH36="",AJ36=""),"",
IF(OR(ISNUMBER(SEARCH("Exterior",E36)),ISNUMBER(SEARCH("Garage",E36)),M02S04F22="Unconditioned",M02S04F22="Electric Heat Only",M02S04F22="Natural Gas Heat Only"),ROUND(AD36*AF36*Q36/1000,4),
ROUND(AD36*AF36*Q36/1000*INDEX(BUILDINGTYPE[Waste Heat Factor (e)],MATCH(M02S04F19,BUILDINGTYPE[Building Type],0)),4)))</f>
        <v/>
      </c>
      <c r="BC36" s="977" t="str">
        <f>IF(OR(G36="",S36=""),"",IF(INDEX(CMLIGHTEFF[EUL],MATCH(S36,CMLIGHTEFF[Eff Desc 1],0))="","",INDEX(CMLIGHTEFF[EUL],MATCH(S36,CMLIGHTEFF[Eff Desc 1],0))))</f>
        <v/>
      </c>
      <c r="BD36" s="979" t="str">
        <f t="shared" ref="BD36" si="25">IF(OR(E36="",G36="",S36=""),"",IF(ISNUMBER(SEARCH("24/7",E36)),"Ext Lighting w/ Peak ",IF(E36="Interior","Interior Lighting",IF(OR(E36="Garage",E36="Exterior"),"Ext Lighting w/o Peak","Err"))))</f>
        <v/>
      </c>
      <c r="BE36" s="971" t="str">
        <f>IFERROR(IF(OR(C36="",E36="",G36="",K36="",M36="",O36="",Q36="",Z36="",AD36="",AF36="",AH36="",AJ36=""),"",ROUND(AO36*INDEX(ENDUSEALL[Factor],MATCH(BD36,ENDUSEALL[End Use to Coincident Peak Demand Factors],0)),4)),"")</f>
        <v/>
      </c>
      <c r="BF36" s="971" t="str">
        <f>IFERROR(IF(OR(C36="",E36="",G36="",K36="",M36="",O36="",Q36="",Z36="",AD36="",AF36="",AH36="",AJ36=""),"",IF(OR(E36="Garage",E36="Exterior"),0,
IF(OR(ISNUMBER(SEARCH("Garage",E36)),M02S04F22="Unconditioned",M02S04F22="Electric Heat Only",M02S04F22="Natural Gas Heat Only"),ROUND((((M36*O36)-(AD36*AF36))/1000)*INDEX(BUILDINGTYPE[Lighting Coincidence Factor],MATCH(M02S04F19,BUILDINGTYPE[Building Type],0)),4),
ROUND((((M36*O36)-(AD36*AF36))/1000)*INDEX(BUILDINGTYPE[WHFd],MATCH(M02S04F19,BUILDINGTYPE[Building Type],0))*INDEX(BUILDINGTYPE[Lighting Coincidence Factor],MATCH(M02S04F19,BUILDINGTYPE[Building Type],0)),4)))),"")</f>
        <v/>
      </c>
      <c r="BG36" s="963" t="str">
        <f t="shared" ref="BG36" si="26">IFERROR(ROUND(AO36*BH36,2),"")</f>
        <v/>
      </c>
      <c r="BH36" s="963" t="str">
        <f>_xlfn.LET(_xlpm.ROWS,MATCH(BD36,ENDUSEALL[End Use to Coincident Peak Demand Factors],0),IFERROR(INDEX(IF(AND(ACTIVEBONUS = TRUE,INDEX(ENDUSEALL[Bonus Rate ($/kWh)],_xlpm.ROWS)&lt;&gt;""),ENDUSEALL[Bonus Rate ($/kWh)],ENDUSEALL[Rate ($/kWh)]),_xlpm.ROWS),""))</f>
        <v/>
      </c>
      <c r="BI36" s="963" t="str">
        <f>_xlfn.LET(_xlpm.BONUS_RATE,INDEX(ENDUSEALL[Bonus Rate ($/kWh)],MATCH(BD36,ENDUSEALL[End Use to Coincident Peak Demand Factors],0)),_xlpm.BASE_RATE,INDEX(ENDUSEALL[Rate ($/kWh)],MATCH(BD36,ENDUSEALL[End Use to Coincident Peak Demand Factors],0)),IFERROR(IF(OR(ACTIVEBONUS &lt;&gt; TRUE,ISNUMBER(AR36) = FALSE,BN36 &lt;&gt; ""),"",AR36-(AO36*_xlpm.BASE_RATE)),""))</f>
        <v/>
      </c>
      <c r="BJ36" s="964" t="str">
        <f>IF(OR(C36="",E36="",G36="",K36="",M36="",O36="",Q36="",Z36="",AD36="",AF36="",AH36="",AJ36=""),"",IF(BL36&lt;&gt;"",SPILLOVERNUMBER,
221&amp;INDEX(LOCATIONTYPE[Measure Number],MATCH(E36,LOCATIONTYPE[Location Type],0))&amp;INDEX(ENDUSEALL[Measure Number Indicator],MATCH(BD36,ENDUSEALL[End Use to Coincident Peak Demand Factors],0))&amp;INDEX(CMLIGHTEFF[Measure Number],MATCH(S36,CMLIGHTEFF[Eff Desc 1],0))))</f>
        <v/>
      </c>
      <c r="BK36" s="966" t="str">
        <f>IFERROR(IF(BN36="", IF(AND(ROUND(AR36/AL36,2)=TOTCOSTCAP, BG36/AL36&gt;TOTCOSTCAP),"75% Total Cost",
IF(FALSE,"100% Incremental Cost",
IF(BH36&lt;KWHRATEMIN, "kWh Incentive Rate Min",
IF(BH36&gt;KWHRATEMAX,"kWh Incentive Rate Cap",
IF(AR36=BI36,"Bonus Incentive",
"kWh Incentive"))))), ""),"")</f>
        <v/>
      </c>
      <c r="BL36" s="966" t="str">
        <f ca="1">IFERROR(
IF(EXPIRATION&lt;&gt;"",PROJSTATEXP,
IF(BN36&gt;0,"",
IF(OR(M02S04F06="",M02S04F06="Select Rate Code",M02S04F06=0),MEASURERATE,
IF(M02S04F19="",MEASUREBLDG,
IF(BA36-BB36&lt;=0,MEASURESAVE,
IF(PAYCUSE&lt;PAYBACKREQ,PROJECTSTATPAYBACK,
IF(CBCUSE&lt;CBREQ,PROJECTSTATCB,""))))))),
MEASURESUBMIT)</f>
        <v>Enter Utility Rate (Building Info Tab)</v>
      </c>
      <c r="BM36" s="963" t="str">
        <f>IFERROR(IF(OR(C36="",E36="",G36="",K36="",M36="",O36="",Q36="",Z36="",AD36="",AF36="",AH36="",AJ36=""),"",
ROUND(((1+ELOSS)*((AO36*INDEX(ELECCB[NPV AEC $/kWh],MATCH(BC36,ELECCB[Year Number],1)))+(BE36*INDEX(ELECCB[NPV ACC $/kW],MATCH(BC36,ELECCB[Year Number],1))))),2)),0)</f>
        <v/>
      </c>
      <c r="BN36" s="968"/>
    </row>
    <row r="37" spans="2:66" ht="15.95" customHeight="1">
      <c r="B37" s="806"/>
      <c r="C37" s="1015"/>
      <c r="D37" s="1015"/>
      <c r="E37" s="1015"/>
      <c r="F37" s="1020"/>
      <c r="G37" s="1014"/>
      <c r="H37" s="1015"/>
      <c r="I37" s="1015"/>
      <c r="J37" s="1015"/>
      <c r="K37" s="1015"/>
      <c r="L37" s="1015"/>
      <c r="M37" s="1011"/>
      <c r="N37" s="1011"/>
      <c r="O37" s="1017"/>
      <c r="P37" s="1017"/>
      <c r="Q37" s="1042"/>
      <c r="R37" s="1043"/>
      <c r="S37" s="1044"/>
      <c r="T37" s="1015"/>
      <c r="U37" s="1015"/>
      <c r="V37" s="1015"/>
      <c r="W37" s="991"/>
      <c r="X37" s="992"/>
      <c r="Y37" s="992"/>
      <c r="Z37" s="991"/>
      <c r="AA37" s="992"/>
      <c r="AB37" s="992"/>
      <c r="AC37" s="993"/>
      <c r="AD37" s="1011"/>
      <c r="AE37" s="1011"/>
      <c r="AF37" s="1009"/>
      <c r="AG37" s="1010"/>
      <c r="AH37" s="998"/>
      <c r="AI37" s="999"/>
      <c r="AJ37" s="999"/>
      <c r="AK37" s="1000"/>
      <c r="AL37" s="1001"/>
      <c r="AM37" s="1002"/>
      <c r="AN37" s="1002"/>
      <c r="AO37" s="1006"/>
      <c r="AP37" s="1007"/>
      <c r="AQ37" s="1008"/>
      <c r="AR37" s="997"/>
      <c r="AS37" s="997"/>
      <c r="AT37" s="997"/>
      <c r="AU37" s="997"/>
      <c r="AX37" s="974"/>
      <c r="AY37" s="974"/>
      <c r="AZ37" s="967"/>
      <c r="BA37" s="976"/>
      <c r="BB37" s="976"/>
      <c r="BC37" s="978"/>
      <c r="BD37" s="980"/>
      <c r="BE37" s="972"/>
      <c r="BF37" s="972"/>
      <c r="BG37" s="830"/>
      <c r="BH37" s="830"/>
      <c r="BI37" s="830"/>
      <c r="BJ37" s="965"/>
      <c r="BK37" s="967"/>
      <c r="BL37" s="967"/>
      <c r="BM37" s="830"/>
      <c r="BN37" s="969"/>
    </row>
    <row r="38" spans="2:66" ht="15.95" customHeight="1">
      <c r="B38" s="806">
        <v>11</v>
      </c>
      <c r="C38" s="1015"/>
      <c r="D38" s="1015"/>
      <c r="E38" s="1015"/>
      <c r="F38" s="1020"/>
      <c r="G38" s="1014"/>
      <c r="H38" s="1015"/>
      <c r="I38" s="1015"/>
      <c r="J38" s="1015"/>
      <c r="K38" s="1015"/>
      <c r="L38" s="1015"/>
      <c r="M38" s="1011"/>
      <c r="N38" s="1011"/>
      <c r="O38" s="1017" t="str">
        <f>IFERROR(IF(G38="","",INDEX(CMLIGHTBASE[Base Watt 1],MATCH(G38,CMLIGHTBASE[Base Desc 1],0))),"")</f>
        <v/>
      </c>
      <c r="P38" s="1017"/>
      <c r="Q38" s="1042"/>
      <c r="R38" s="1043"/>
      <c r="S38" s="1044"/>
      <c r="T38" s="1015"/>
      <c r="U38" s="1015"/>
      <c r="V38" s="1015"/>
      <c r="W38" s="988"/>
      <c r="X38" s="989"/>
      <c r="Y38" s="989"/>
      <c r="Z38" s="988"/>
      <c r="AA38" s="989"/>
      <c r="AB38" s="989"/>
      <c r="AC38" s="990"/>
      <c r="AD38" s="1011"/>
      <c r="AE38" s="1011"/>
      <c r="AF38" s="1009"/>
      <c r="AG38" s="1010"/>
      <c r="AH38" s="998"/>
      <c r="AI38" s="999"/>
      <c r="AJ38" s="999"/>
      <c r="AK38" s="1000"/>
      <c r="AL38" s="1001" t="str">
        <f>IF(OR(C38="",E38="",G38="",K38="",M38="",O38="",Q38="",S38="",Z38="",AD38="",AF38="",AH38="",AJ38=""),"",ROUND(AH38+AJ38,2))</f>
        <v/>
      </c>
      <c r="AM38" s="1002"/>
      <c r="AN38" s="1002"/>
      <c r="AO38" s="1003" t="str">
        <f t="shared" ref="AO38" si="27">IF(OR(C38="",E38="",G38="",K38="",M38="",O38="",Q38="",S38="",Z38="",AD38="",AF38="",AH38="",AJ38=""),"",IF(BA38-BB38&lt;=0,0,BA38-BB38))</f>
        <v/>
      </c>
      <c r="AP38" s="1004"/>
      <c r="AQ38" s="1005"/>
      <c r="AR38" s="996" t="str">
        <f>IF(OR(C38="",E38="",G38="",K38="",M38="",O38="",Q38="",S38="",Z38="",AD38="",AF38="",AH38="",AJ38=""),"", IF(BL38&lt;&gt;"", BL38, IF(BN38&gt;0,BN38, IF(ACTIVEBLOCK="Yes",ROUND(MIN(AL38*0.75,AO38*BLOCKBIDRATE),2),ROUND(MIN(AL38*0.75,BG38),2)))))</f>
        <v/>
      </c>
      <c r="AS38" s="996"/>
      <c r="AT38" s="996"/>
      <c r="AU38" s="996"/>
      <c r="AX38" s="973" t="str">
        <f>IFERROR(IF(OR(C38="",E38="",G38="",K38="",M38="",O38="",Q38="",S38="",Z38="",AD38="",AF38="",AH38="",AJ38=""),"",
ROUND(((1+ELOSS)*((AO38*INDEX(ELECCB[NPV AEC $/kWh],MATCH(BC38,ELECCB[Year Number],1)))+(BE38*INDEX(ELECCB[NPV ACC $/kW],MATCH(BC38,ELECCB[Year Number],1))))/AL38),2)),0)</f>
        <v/>
      </c>
      <c r="AY38" s="973" t="str">
        <f>IFERROR(AL38/M02S04F06/AO38,"")</f>
        <v/>
      </c>
      <c r="AZ38" s="966" t="str">
        <f>IF(S38="","",
_xlfn.LET( _xlpm.Unit, INDEX(CMLIGHTEFF[Unit],MATCH(S38,CMLIGHTEFF[Eff Desc 1],0)),
IFERROR(_xlpm.Unit,"")))</f>
        <v/>
      </c>
      <c r="BA38" s="975" t="str">
        <f>IF(OR(C38="",E38="",G38="",K38="",M38="",O38="",Q38="",S38="",Z38="",AD38="",AF38="",AH38="",AJ38=""),"",
IF(OR(ISNUMBER(SEARCH("Exterior",E38)),ISNUMBER(SEARCH("Garage",E38)),M02S04F22="Unconditioned",M02S04F22="Electric Heat Only",M02S04F22="Natural Gas Heat Only"),ROUND(M38*O38*Q38/1000,4),
ROUND(M38*O38*Q38/1000*INDEX(BUILDINGTYPE[Waste Heat Factor (e)],MATCH(M02S04F19,BUILDINGTYPE[Building Type],0)),4)))</f>
        <v/>
      </c>
      <c r="BB38" s="975" t="str">
        <f>IF(OR(C38="",E38="",G38="",K38="",M38="",O38="",Q38="",S38="",Z38="",AD38="",AF38="",AH38="",AJ38=""),"",
IF(OR(ISNUMBER(SEARCH("Exterior",E38)),ISNUMBER(SEARCH("Garage",E38)),M02S04F22="Unconditioned",M02S04F22="Electric Heat Only",M02S04F22="Natural Gas Heat Only"),ROUND(AD38*AF38*Q38/1000,4),
ROUND(AD38*AF38*Q38/1000*INDEX(BUILDINGTYPE[Waste Heat Factor (e)],MATCH(M02S04F19,BUILDINGTYPE[Building Type],0)),4)))</f>
        <v/>
      </c>
      <c r="BC38" s="977" t="str">
        <f>IF(OR(G38="",S38=""),"",IF(INDEX(CMLIGHTEFF[EUL],MATCH(S38,CMLIGHTEFF[Eff Desc 1],0))="","",INDEX(CMLIGHTEFF[EUL],MATCH(S38,CMLIGHTEFF[Eff Desc 1],0))))</f>
        <v/>
      </c>
      <c r="BD38" s="979" t="str">
        <f t="shared" ref="BD38" si="28">IF(OR(E38="",G38="",S38=""),"",IF(ISNUMBER(SEARCH("24/7",E38)),"Ext Lighting w/ Peak ",IF(E38="Interior","Interior Lighting",IF(OR(E38="Garage",E38="Exterior"),"Ext Lighting w/o Peak","Err"))))</f>
        <v/>
      </c>
      <c r="BE38" s="971" t="str">
        <f>IFERROR(IF(OR(C38="",E38="",G38="",K38="",M38="",O38="",Q38="",Z38="",AD38="",AF38="",AH38="",AJ38=""),"",ROUND(AO38*INDEX(ENDUSEALL[Factor],MATCH(BD38,ENDUSEALL[End Use to Coincident Peak Demand Factors],0)),4)),"")</f>
        <v/>
      </c>
      <c r="BF38" s="971" t="str">
        <f>IFERROR(IF(OR(C38="",E38="",G38="",K38="",M38="",O38="",Q38="",Z38="",AD38="",AF38="",AH38="",AJ38=""),"",IF(OR(E38="Garage",E38="Exterior"),0,
IF(OR(ISNUMBER(SEARCH("Garage",E38)),M02S04F22="Unconditioned",M02S04F22="Electric Heat Only",M02S04F22="Natural Gas Heat Only"),ROUND((((M38*O38)-(AD38*AF38))/1000)*INDEX(BUILDINGTYPE[Lighting Coincidence Factor],MATCH(M02S04F19,BUILDINGTYPE[Building Type],0)),4),
ROUND((((M38*O38)-(AD38*AF38))/1000)*INDEX(BUILDINGTYPE[WHFd],MATCH(M02S04F19,BUILDINGTYPE[Building Type],0))*INDEX(BUILDINGTYPE[Lighting Coincidence Factor],MATCH(M02S04F19,BUILDINGTYPE[Building Type],0)),4)))),"")</f>
        <v/>
      </c>
      <c r="BG38" s="963" t="str">
        <f t="shared" ref="BG38" si="29">IFERROR(ROUND(AO38*BH38,2),"")</f>
        <v/>
      </c>
      <c r="BH38" s="963" t="str">
        <f>_xlfn.LET(_xlpm.ROWS,MATCH(BD38,ENDUSEALL[End Use to Coincident Peak Demand Factors],0),IFERROR(INDEX(IF(AND(ACTIVEBONUS = TRUE,INDEX(ENDUSEALL[Bonus Rate ($/kWh)],_xlpm.ROWS)&lt;&gt;""),ENDUSEALL[Bonus Rate ($/kWh)],ENDUSEALL[Rate ($/kWh)]),_xlpm.ROWS),""))</f>
        <v/>
      </c>
      <c r="BI38" s="963" t="str">
        <f>_xlfn.LET(_xlpm.BONUS_RATE,INDEX(ENDUSEALL[Bonus Rate ($/kWh)],MATCH(BD38,ENDUSEALL[End Use to Coincident Peak Demand Factors],0)),_xlpm.BASE_RATE,INDEX(ENDUSEALL[Rate ($/kWh)],MATCH(BD38,ENDUSEALL[End Use to Coincident Peak Demand Factors],0)),IFERROR(IF(OR(ACTIVEBONUS &lt;&gt; TRUE,ISNUMBER(AR38) = FALSE,BN38 &lt;&gt; ""),"",AR38-(AO38*_xlpm.BASE_RATE)),""))</f>
        <v/>
      </c>
      <c r="BJ38" s="964" t="str">
        <f>IF(OR(C38="",E38="",G38="",K38="",M38="",O38="",Q38="",Z38="",AD38="",AF38="",AH38="",AJ38=""),"",IF(BL38&lt;&gt;"",SPILLOVERNUMBER,
221&amp;INDEX(LOCATIONTYPE[Measure Number],MATCH(E38,LOCATIONTYPE[Location Type],0))&amp;INDEX(ENDUSEALL[Measure Number Indicator],MATCH(BD38,ENDUSEALL[End Use to Coincident Peak Demand Factors],0))&amp;INDEX(CMLIGHTEFF[Measure Number],MATCH(S38,CMLIGHTEFF[Eff Desc 1],0))))</f>
        <v/>
      </c>
      <c r="BK38" s="966" t="str">
        <f>IFERROR(IF(BN38="", IF(AND(ROUND(AR38/AL38,2)=TOTCOSTCAP, BG38/AL38&gt;TOTCOSTCAP),"75% Total Cost",
IF(FALSE,"100% Incremental Cost",
IF(BH38&lt;KWHRATEMIN, "kWh Incentive Rate Min",
IF(BH38&gt;KWHRATEMAX,"kWh Incentive Rate Cap",
IF(AR38=BI38,"Bonus Incentive",
"kWh Incentive"))))), ""),"")</f>
        <v/>
      </c>
      <c r="BL38" s="966" t="str">
        <f ca="1">IFERROR(
IF(EXPIRATION&lt;&gt;"",PROJSTATEXP,
IF(BN38&gt;0,"",
IF(OR(M02S04F06="",M02S04F06="Select Rate Code",M02S04F06=0),MEASURERATE,
IF(M02S04F19="",MEASUREBLDG,
IF(BA38-BB38&lt;=0,MEASURESAVE,
IF(PAYCUSE&lt;PAYBACKREQ,PROJECTSTATPAYBACK,
IF(CBCUSE&lt;CBREQ,PROJECTSTATCB,""))))))),
MEASURESUBMIT)</f>
        <v>Enter Utility Rate (Building Info Tab)</v>
      </c>
      <c r="BM38" s="963" t="str">
        <f>IFERROR(IF(OR(C38="",E38="",G38="",K38="",M38="",O38="",Q38="",Z38="",AD38="",AF38="",AH38="",AJ38=""),"",
ROUND(((1+ELOSS)*((AO38*INDEX(ELECCB[NPV AEC $/kWh],MATCH(BC38,ELECCB[Year Number],1)))+(BE38*INDEX(ELECCB[NPV ACC $/kW],MATCH(BC38,ELECCB[Year Number],1))))),2)),0)</f>
        <v/>
      </c>
      <c r="BN38" s="968"/>
    </row>
    <row r="39" spans="2:66" ht="15.95" customHeight="1">
      <c r="B39" s="806"/>
      <c r="C39" s="1015"/>
      <c r="D39" s="1015"/>
      <c r="E39" s="1015"/>
      <c r="F39" s="1020"/>
      <c r="G39" s="1014"/>
      <c r="H39" s="1015"/>
      <c r="I39" s="1015"/>
      <c r="J39" s="1015"/>
      <c r="K39" s="1015"/>
      <c r="L39" s="1015"/>
      <c r="M39" s="1011"/>
      <c r="N39" s="1011"/>
      <c r="O39" s="1017"/>
      <c r="P39" s="1017"/>
      <c r="Q39" s="1042"/>
      <c r="R39" s="1043"/>
      <c r="S39" s="1044"/>
      <c r="T39" s="1015"/>
      <c r="U39" s="1015"/>
      <c r="V39" s="1015"/>
      <c r="W39" s="991"/>
      <c r="X39" s="992"/>
      <c r="Y39" s="992"/>
      <c r="Z39" s="991"/>
      <c r="AA39" s="992"/>
      <c r="AB39" s="992"/>
      <c r="AC39" s="993"/>
      <c r="AD39" s="1011"/>
      <c r="AE39" s="1011"/>
      <c r="AF39" s="1009"/>
      <c r="AG39" s="1010"/>
      <c r="AH39" s="998"/>
      <c r="AI39" s="999"/>
      <c r="AJ39" s="999"/>
      <c r="AK39" s="1000"/>
      <c r="AL39" s="1001"/>
      <c r="AM39" s="1002"/>
      <c r="AN39" s="1002"/>
      <c r="AO39" s="1006"/>
      <c r="AP39" s="1007"/>
      <c r="AQ39" s="1008"/>
      <c r="AR39" s="997"/>
      <c r="AS39" s="997"/>
      <c r="AT39" s="997"/>
      <c r="AU39" s="997"/>
      <c r="AX39" s="974"/>
      <c r="AY39" s="974"/>
      <c r="AZ39" s="967"/>
      <c r="BA39" s="976"/>
      <c r="BB39" s="976"/>
      <c r="BC39" s="978"/>
      <c r="BD39" s="980"/>
      <c r="BE39" s="972"/>
      <c r="BF39" s="972"/>
      <c r="BG39" s="830"/>
      <c r="BH39" s="830"/>
      <c r="BI39" s="830"/>
      <c r="BJ39" s="965"/>
      <c r="BK39" s="967"/>
      <c r="BL39" s="967"/>
      <c r="BM39" s="830"/>
      <c r="BN39" s="969"/>
    </row>
    <row r="40" spans="2:66" ht="15.95" customHeight="1">
      <c r="B40" s="806">
        <v>12</v>
      </c>
      <c r="C40" s="1015"/>
      <c r="D40" s="1015"/>
      <c r="E40" s="1015"/>
      <c r="F40" s="1020"/>
      <c r="G40" s="1014"/>
      <c r="H40" s="1015"/>
      <c r="I40" s="1015"/>
      <c r="J40" s="1015"/>
      <c r="K40" s="1015"/>
      <c r="L40" s="1015"/>
      <c r="M40" s="1011"/>
      <c r="N40" s="1011"/>
      <c r="O40" s="1017" t="str">
        <f>IFERROR(IF(G40="","",INDEX(CMLIGHTBASE[Base Watt 1],MATCH(G40,CMLIGHTBASE[Base Desc 1],0))),"")</f>
        <v/>
      </c>
      <c r="P40" s="1017"/>
      <c r="Q40" s="1042"/>
      <c r="R40" s="1043"/>
      <c r="S40" s="1044"/>
      <c r="T40" s="1015"/>
      <c r="U40" s="1015"/>
      <c r="V40" s="1015"/>
      <c r="W40" s="988"/>
      <c r="X40" s="989"/>
      <c r="Y40" s="989"/>
      <c r="Z40" s="988"/>
      <c r="AA40" s="989"/>
      <c r="AB40" s="989"/>
      <c r="AC40" s="990"/>
      <c r="AD40" s="1011"/>
      <c r="AE40" s="1011"/>
      <c r="AF40" s="1009"/>
      <c r="AG40" s="1010"/>
      <c r="AH40" s="998"/>
      <c r="AI40" s="999"/>
      <c r="AJ40" s="999"/>
      <c r="AK40" s="1000"/>
      <c r="AL40" s="1001" t="str">
        <f>IF(OR(C40="",E40="",G40="",K40="",M40="",O40="",Q40="",S40="",Z40="",AD40="",AF40="",AH40="",AJ40=""),"",ROUND(AH40+AJ40,2))</f>
        <v/>
      </c>
      <c r="AM40" s="1002"/>
      <c r="AN40" s="1002"/>
      <c r="AO40" s="1003" t="str">
        <f t="shared" ref="AO40" si="30">IF(OR(C40="",E40="",G40="",K40="",M40="",O40="",Q40="",S40="",Z40="",AD40="",AF40="",AH40="",AJ40=""),"",IF(BA40-BB40&lt;=0,0,BA40-BB40))</f>
        <v/>
      </c>
      <c r="AP40" s="1004"/>
      <c r="AQ40" s="1005"/>
      <c r="AR40" s="996" t="str">
        <f>IF(OR(C40="",E40="",G40="",K40="",M40="",O40="",Q40="",S40="",Z40="",AD40="",AF40="",AH40="",AJ40=""),"", IF(BL40&lt;&gt;"", BL40, IF(BN40&gt;0,BN40, IF(ACTIVEBLOCK="Yes",ROUND(MIN(AL40*0.75,AO40*BLOCKBIDRATE),2),ROUND(MIN(AL40*0.75,BG40),2)))))</f>
        <v/>
      </c>
      <c r="AS40" s="996"/>
      <c r="AT40" s="996"/>
      <c r="AU40" s="996"/>
      <c r="AX40" s="973" t="str">
        <f>IFERROR(IF(OR(C40="",E40="",G40="",K40="",M40="",O40="",Q40="",S40="",Z40="",AD40="",AF40="",AH40="",AJ40=""),"",
ROUND(((1+ELOSS)*((AO40*INDEX(ELECCB[NPV AEC $/kWh],MATCH(BC40,ELECCB[Year Number],1)))+(BE40*INDEX(ELECCB[NPV ACC $/kW],MATCH(BC40,ELECCB[Year Number],1))))/AL40),2)),0)</f>
        <v/>
      </c>
      <c r="AY40" s="973" t="str">
        <f>IFERROR(AL40/M02S04F06/AO40,"")</f>
        <v/>
      </c>
      <c r="AZ40" s="966" t="str">
        <f>IF(S40="","",
_xlfn.LET( _xlpm.Unit, INDEX(CMLIGHTEFF[Unit],MATCH(S40,CMLIGHTEFF[Eff Desc 1],0)),
IFERROR(_xlpm.Unit,"")))</f>
        <v/>
      </c>
      <c r="BA40" s="975" t="str">
        <f>IF(OR(C40="",E40="",G40="",K40="",M40="",O40="",Q40="",S40="",Z40="",AD40="",AF40="",AH40="",AJ40=""),"",
IF(OR(ISNUMBER(SEARCH("Exterior",E40)),ISNUMBER(SEARCH("Garage",E40)),M02S04F22="Unconditioned",M02S04F22="Electric Heat Only",M02S04F22="Natural Gas Heat Only"),ROUND(M40*O40*Q40/1000,4),
ROUND(M40*O40*Q40/1000*INDEX(BUILDINGTYPE[Waste Heat Factor (e)],MATCH(M02S04F19,BUILDINGTYPE[Building Type],0)),4)))</f>
        <v/>
      </c>
      <c r="BB40" s="975" t="str">
        <f>IF(OR(C40="",E40="",G40="",K40="",M40="",O40="",Q40="",S40="",Z40="",AD40="",AF40="",AH40="",AJ40=""),"",
IF(OR(ISNUMBER(SEARCH("Exterior",E40)),ISNUMBER(SEARCH("Garage",E40)),M02S04F22="Unconditioned",M02S04F22="Electric Heat Only",M02S04F22="Natural Gas Heat Only"),ROUND(AD40*AF40*Q40/1000,4),
ROUND(AD40*AF40*Q40/1000*INDEX(BUILDINGTYPE[Waste Heat Factor (e)],MATCH(M02S04F19,BUILDINGTYPE[Building Type],0)),4)))</f>
        <v/>
      </c>
      <c r="BC40" s="977" t="str">
        <f>IF(OR(G40="",S40=""),"",IF(INDEX(CMLIGHTEFF[EUL],MATCH(S40,CMLIGHTEFF[Eff Desc 1],0))="","",INDEX(CMLIGHTEFF[EUL],MATCH(S40,CMLIGHTEFF[Eff Desc 1],0))))</f>
        <v/>
      </c>
      <c r="BD40" s="979" t="str">
        <f t="shared" ref="BD40" si="31">IF(OR(E40="",G40="",S40=""),"",IF(ISNUMBER(SEARCH("24/7",E40)),"Ext Lighting w/ Peak ",IF(E40="Interior","Interior Lighting",IF(OR(E40="Garage",E40="Exterior"),"Ext Lighting w/o Peak","Err"))))</f>
        <v/>
      </c>
      <c r="BE40" s="971" t="str">
        <f>IFERROR(IF(OR(C40="",E40="",G40="",K40="",M40="",O40="",Q40="",Z40="",AD40="",AF40="",AH40="",AJ40=""),"",ROUND(AO40*INDEX(ENDUSEALL[Factor],MATCH(BD40,ENDUSEALL[End Use to Coincident Peak Demand Factors],0)),4)),"")</f>
        <v/>
      </c>
      <c r="BF40" s="971" t="str">
        <f>IFERROR(IF(OR(C40="",E40="",G40="",K40="",M40="",O40="",Q40="",Z40="",AD40="",AF40="",AH40="",AJ40=""),"",IF(OR(E40="Garage",E40="Exterior"),0,
IF(OR(ISNUMBER(SEARCH("Garage",E40)),M02S04F22="Unconditioned",M02S04F22="Electric Heat Only",M02S04F22="Natural Gas Heat Only"),ROUND((((M40*O40)-(AD40*AF40))/1000)*INDEX(BUILDINGTYPE[Lighting Coincidence Factor],MATCH(M02S04F19,BUILDINGTYPE[Building Type],0)),4),
ROUND((((M40*O40)-(AD40*AF40))/1000)*INDEX(BUILDINGTYPE[WHFd],MATCH(M02S04F19,BUILDINGTYPE[Building Type],0))*INDEX(BUILDINGTYPE[Lighting Coincidence Factor],MATCH(M02S04F19,BUILDINGTYPE[Building Type],0)),4)))),"")</f>
        <v/>
      </c>
      <c r="BG40" s="963" t="str">
        <f t="shared" ref="BG40" si="32">IFERROR(ROUND(AO40*BH40,2),"")</f>
        <v/>
      </c>
      <c r="BH40" s="963" t="str">
        <f>_xlfn.LET(_xlpm.ROWS,MATCH(BD40,ENDUSEALL[End Use to Coincident Peak Demand Factors],0),IFERROR(INDEX(IF(AND(ACTIVEBONUS = TRUE,INDEX(ENDUSEALL[Bonus Rate ($/kWh)],_xlpm.ROWS)&lt;&gt;""),ENDUSEALL[Bonus Rate ($/kWh)],ENDUSEALL[Rate ($/kWh)]),_xlpm.ROWS),""))</f>
        <v/>
      </c>
      <c r="BI40" s="963" t="str">
        <f>_xlfn.LET(_xlpm.BONUS_RATE,INDEX(ENDUSEALL[Bonus Rate ($/kWh)],MATCH(BD40,ENDUSEALL[End Use to Coincident Peak Demand Factors],0)),_xlpm.BASE_RATE,INDEX(ENDUSEALL[Rate ($/kWh)],MATCH(BD40,ENDUSEALL[End Use to Coincident Peak Demand Factors],0)),IFERROR(IF(OR(ACTIVEBONUS &lt;&gt; TRUE,ISNUMBER(AR40) = FALSE,BN40 &lt;&gt; ""),"",AR40-(AO40*_xlpm.BASE_RATE)),""))</f>
        <v/>
      </c>
      <c r="BJ40" s="964" t="str">
        <f>IF(OR(C40="",E40="",G40="",K40="",M40="",O40="",Q40="",Z40="",AD40="",AF40="",AH40="",AJ40=""),"",IF(BL40&lt;&gt;"",SPILLOVERNUMBER,
221&amp;INDEX(LOCATIONTYPE[Measure Number],MATCH(E40,LOCATIONTYPE[Location Type],0))&amp;INDEX(ENDUSEALL[Measure Number Indicator],MATCH(BD40,ENDUSEALL[End Use to Coincident Peak Demand Factors],0))&amp;INDEX(CMLIGHTEFF[Measure Number],MATCH(S40,CMLIGHTEFF[Eff Desc 1],0))))</f>
        <v/>
      </c>
      <c r="BK40" s="966" t="str">
        <f>IFERROR(IF(BN40="", IF(AND(ROUND(AR40/AL40,2)=TOTCOSTCAP, BG40/AL40&gt;TOTCOSTCAP),"75% Total Cost",
IF(FALSE,"100% Incremental Cost",
IF(BH40&lt;KWHRATEMIN, "kWh Incentive Rate Min",
IF(BH40&gt;KWHRATEMAX,"kWh Incentive Rate Cap",
IF(AR40=BI40,"Bonus Incentive",
"kWh Incentive"))))), ""),"")</f>
        <v/>
      </c>
      <c r="BL40" s="966" t="str">
        <f ca="1">IFERROR(
IF(EXPIRATION&lt;&gt;"",PROJSTATEXP,
IF(BN40&gt;0,"",
IF(OR(M02S04F06="",M02S04F06="Select Rate Code",M02S04F06=0),MEASURERATE,
IF(M02S04F19="",MEASUREBLDG,
IF(BA40-BB40&lt;=0,MEASURESAVE,
IF(PAYCUSE&lt;PAYBACKREQ,PROJECTSTATPAYBACK,
IF(CBCUSE&lt;CBREQ,PROJECTSTATCB,""))))))),
MEASURESUBMIT)</f>
        <v>Enter Utility Rate (Building Info Tab)</v>
      </c>
      <c r="BM40" s="963" t="str">
        <f>IFERROR(IF(OR(C40="",E40="",G40="",K40="",M40="",O40="",Q40="",Z40="",AD40="",AF40="",AH40="",AJ40=""),"",
ROUND(((1+ELOSS)*((AO40*INDEX(ELECCB[NPV AEC $/kWh],MATCH(BC40,ELECCB[Year Number],1)))+(BE40*INDEX(ELECCB[NPV ACC $/kW],MATCH(BC40,ELECCB[Year Number],1))))),2)),0)</f>
        <v/>
      </c>
      <c r="BN40" s="968"/>
    </row>
    <row r="41" spans="2:66" ht="15.95" customHeight="1">
      <c r="B41" s="806"/>
      <c r="C41" s="1015"/>
      <c r="D41" s="1015"/>
      <c r="E41" s="1015"/>
      <c r="F41" s="1020"/>
      <c r="G41" s="1014"/>
      <c r="H41" s="1015"/>
      <c r="I41" s="1015"/>
      <c r="J41" s="1015"/>
      <c r="K41" s="1015"/>
      <c r="L41" s="1015"/>
      <c r="M41" s="1011"/>
      <c r="N41" s="1011"/>
      <c r="O41" s="1017"/>
      <c r="P41" s="1017"/>
      <c r="Q41" s="1042"/>
      <c r="R41" s="1043"/>
      <c r="S41" s="1044"/>
      <c r="T41" s="1015"/>
      <c r="U41" s="1015"/>
      <c r="V41" s="1015"/>
      <c r="W41" s="991"/>
      <c r="X41" s="992"/>
      <c r="Y41" s="992"/>
      <c r="Z41" s="991"/>
      <c r="AA41" s="992"/>
      <c r="AB41" s="992"/>
      <c r="AC41" s="993"/>
      <c r="AD41" s="1011"/>
      <c r="AE41" s="1011"/>
      <c r="AF41" s="1009"/>
      <c r="AG41" s="1010"/>
      <c r="AH41" s="998"/>
      <c r="AI41" s="999"/>
      <c r="AJ41" s="999"/>
      <c r="AK41" s="1000"/>
      <c r="AL41" s="1001"/>
      <c r="AM41" s="1002"/>
      <c r="AN41" s="1002"/>
      <c r="AO41" s="1006"/>
      <c r="AP41" s="1007"/>
      <c r="AQ41" s="1008"/>
      <c r="AR41" s="997"/>
      <c r="AS41" s="997"/>
      <c r="AT41" s="997"/>
      <c r="AU41" s="997"/>
      <c r="AX41" s="974"/>
      <c r="AY41" s="974"/>
      <c r="AZ41" s="967"/>
      <c r="BA41" s="976"/>
      <c r="BB41" s="976"/>
      <c r="BC41" s="978"/>
      <c r="BD41" s="980"/>
      <c r="BE41" s="972"/>
      <c r="BF41" s="972"/>
      <c r="BG41" s="830"/>
      <c r="BH41" s="830"/>
      <c r="BI41" s="830"/>
      <c r="BJ41" s="965"/>
      <c r="BK41" s="967"/>
      <c r="BL41" s="967"/>
      <c r="BM41" s="830"/>
      <c r="BN41" s="969"/>
    </row>
    <row r="42" spans="2:66" ht="15.95" customHeight="1">
      <c r="B42" s="806">
        <v>13</v>
      </c>
      <c r="C42" s="1015"/>
      <c r="D42" s="1015"/>
      <c r="E42" s="1015"/>
      <c r="F42" s="1020"/>
      <c r="G42" s="1014"/>
      <c r="H42" s="1015"/>
      <c r="I42" s="1015"/>
      <c r="J42" s="1015"/>
      <c r="K42" s="1015"/>
      <c r="L42" s="1015"/>
      <c r="M42" s="1011"/>
      <c r="N42" s="1011"/>
      <c r="O42" s="1017" t="str">
        <f>IFERROR(IF(G42="","",INDEX(CMLIGHTBASE[Base Watt 1],MATCH(G42,CMLIGHTBASE[Base Desc 1],0))),"")</f>
        <v/>
      </c>
      <c r="P42" s="1017"/>
      <c r="Q42" s="1042"/>
      <c r="R42" s="1043"/>
      <c r="S42" s="1044"/>
      <c r="T42" s="1015"/>
      <c r="U42" s="1015"/>
      <c r="V42" s="1015"/>
      <c r="W42" s="988"/>
      <c r="X42" s="989"/>
      <c r="Y42" s="989"/>
      <c r="Z42" s="988"/>
      <c r="AA42" s="989"/>
      <c r="AB42" s="989"/>
      <c r="AC42" s="990"/>
      <c r="AD42" s="1011"/>
      <c r="AE42" s="1011"/>
      <c r="AF42" s="1009"/>
      <c r="AG42" s="1010"/>
      <c r="AH42" s="998"/>
      <c r="AI42" s="999"/>
      <c r="AJ42" s="999"/>
      <c r="AK42" s="1000"/>
      <c r="AL42" s="1001" t="str">
        <f>IF(OR(C42="",E42="",G42="",K42="",M42="",O42="",Q42="",S42="",Z42="",AD42="",AF42="",AH42="",AJ42=""),"",ROUND(AH42+AJ42,2))</f>
        <v/>
      </c>
      <c r="AM42" s="1002"/>
      <c r="AN42" s="1002"/>
      <c r="AO42" s="1003" t="str">
        <f t="shared" ref="AO42" si="33">IF(OR(C42="",E42="",G42="",K42="",M42="",O42="",Q42="",S42="",Z42="",AD42="",AF42="",AH42="",AJ42=""),"",IF(BA42-BB42&lt;=0,0,BA42-BB42))</f>
        <v/>
      </c>
      <c r="AP42" s="1004"/>
      <c r="AQ42" s="1005"/>
      <c r="AR42" s="996" t="str">
        <f>IF(OR(C42="",E42="",G42="",K42="",M42="",O42="",Q42="",S42="",Z42="",AD42="",AF42="",AH42="",AJ42=""),"", IF(BL42&lt;&gt;"", BL42, IF(BN42&gt;0,BN42, IF(ACTIVEBLOCK="Yes",ROUND(MIN(AL42*0.75,AO42*BLOCKBIDRATE),2),ROUND(MIN(AL42*0.75,BG42),2)))))</f>
        <v/>
      </c>
      <c r="AS42" s="996"/>
      <c r="AT42" s="996"/>
      <c r="AU42" s="996"/>
      <c r="AX42" s="973" t="str">
        <f>IFERROR(IF(OR(C42="",E42="",G42="",K42="",M42="",O42="",Q42="",S42="",Z42="",AD42="",AF42="",AH42="",AJ42=""),"",
ROUND(((1+ELOSS)*((AO42*INDEX(ELECCB[NPV AEC $/kWh],MATCH(BC42,ELECCB[Year Number],1)))+(BE42*INDEX(ELECCB[NPV ACC $/kW],MATCH(BC42,ELECCB[Year Number],1))))/AL42),2)),0)</f>
        <v/>
      </c>
      <c r="AY42" s="973" t="str">
        <f>IFERROR(AL42/M02S04F06/AO42,"")</f>
        <v/>
      </c>
      <c r="AZ42" s="966" t="str">
        <f>IF(S42="","",
_xlfn.LET( _xlpm.Unit, INDEX(CMLIGHTEFF[Unit],MATCH(S42,CMLIGHTEFF[Eff Desc 1],0)),
IFERROR(_xlpm.Unit,"")))</f>
        <v/>
      </c>
      <c r="BA42" s="975" t="str">
        <f>IF(OR(C42="",E42="",G42="",K42="",M42="",O42="",Q42="",S42="",Z42="",AD42="",AF42="",AH42="",AJ42=""),"",
IF(OR(ISNUMBER(SEARCH("Exterior",E42)),ISNUMBER(SEARCH("Garage",E42)),M02S04F22="Unconditioned",M02S04F22="Electric Heat Only",M02S04F22="Natural Gas Heat Only"),ROUND(M42*O42*Q42/1000,4),
ROUND(M42*O42*Q42/1000*INDEX(BUILDINGTYPE[Waste Heat Factor (e)],MATCH(M02S04F19,BUILDINGTYPE[Building Type],0)),4)))</f>
        <v/>
      </c>
      <c r="BB42" s="975" t="str">
        <f>IF(OR(C42="",E42="",G42="",K42="",M42="",O42="",Q42="",S42="",Z42="",AD42="",AF42="",AH42="",AJ42=""),"",
IF(OR(ISNUMBER(SEARCH("Exterior",E42)),ISNUMBER(SEARCH("Garage",E42)),M02S04F22="Unconditioned",M02S04F22="Electric Heat Only",M02S04F22="Natural Gas Heat Only"),ROUND(AD42*AF42*Q42/1000,4),
ROUND(AD42*AF42*Q42/1000*INDEX(BUILDINGTYPE[Waste Heat Factor (e)],MATCH(M02S04F19,BUILDINGTYPE[Building Type],0)),4)))</f>
        <v/>
      </c>
      <c r="BC42" s="977" t="str">
        <f>IF(OR(G42="",S42=""),"",IF(INDEX(CMLIGHTEFF[EUL],MATCH(S42,CMLIGHTEFF[Eff Desc 1],0))="","",INDEX(CMLIGHTEFF[EUL],MATCH(S42,CMLIGHTEFF[Eff Desc 1],0))))</f>
        <v/>
      </c>
      <c r="BD42" s="979" t="str">
        <f t="shared" ref="BD42" si="34">IF(OR(E42="",G42="",S42=""),"",IF(ISNUMBER(SEARCH("24/7",E42)),"Ext Lighting w/ Peak ",IF(E42="Interior","Interior Lighting",IF(OR(E42="Garage",E42="Exterior"),"Ext Lighting w/o Peak","Err"))))</f>
        <v/>
      </c>
      <c r="BE42" s="971" t="str">
        <f>IFERROR(IF(OR(C42="",E42="",G42="",K42="",M42="",O42="",Q42="",Z42="",AD42="",AF42="",AH42="",AJ42=""),"",ROUND(AO42*INDEX(ENDUSEALL[Factor],MATCH(BD42,ENDUSEALL[End Use to Coincident Peak Demand Factors],0)),4)),"")</f>
        <v/>
      </c>
      <c r="BF42" s="971" t="str">
        <f>IFERROR(IF(OR(C42="",E42="",G42="",K42="",M42="",O42="",Q42="",Z42="",AD42="",AF42="",AH42="",AJ42=""),"",IF(OR(E42="Garage",E42="Exterior"),0,
IF(OR(ISNUMBER(SEARCH("Garage",E42)),M02S04F22="Unconditioned",M02S04F22="Electric Heat Only",M02S04F22="Natural Gas Heat Only"),ROUND((((M42*O42)-(AD42*AF42))/1000)*INDEX(BUILDINGTYPE[Lighting Coincidence Factor],MATCH(M02S04F19,BUILDINGTYPE[Building Type],0)),4),
ROUND((((M42*O42)-(AD42*AF42))/1000)*INDEX(BUILDINGTYPE[WHFd],MATCH(M02S04F19,BUILDINGTYPE[Building Type],0))*INDEX(BUILDINGTYPE[Lighting Coincidence Factor],MATCH(M02S04F19,BUILDINGTYPE[Building Type],0)),4)))),"")</f>
        <v/>
      </c>
      <c r="BG42" s="963" t="str">
        <f t="shared" ref="BG42" si="35">IFERROR(ROUND(AO42*BH42,2),"")</f>
        <v/>
      </c>
      <c r="BH42" s="963" t="str">
        <f>_xlfn.LET(_xlpm.ROWS,MATCH(BD42,ENDUSEALL[End Use to Coincident Peak Demand Factors],0),IFERROR(INDEX(IF(AND(ACTIVEBONUS = TRUE,INDEX(ENDUSEALL[Bonus Rate ($/kWh)],_xlpm.ROWS)&lt;&gt;""),ENDUSEALL[Bonus Rate ($/kWh)],ENDUSEALL[Rate ($/kWh)]),_xlpm.ROWS),""))</f>
        <v/>
      </c>
      <c r="BI42" s="963" t="str">
        <f>_xlfn.LET(_xlpm.BONUS_RATE,INDEX(ENDUSEALL[Bonus Rate ($/kWh)],MATCH(BD42,ENDUSEALL[End Use to Coincident Peak Demand Factors],0)),_xlpm.BASE_RATE,INDEX(ENDUSEALL[Rate ($/kWh)],MATCH(BD42,ENDUSEALL[End Use to Coincident Peak Demand Factors],0)),IFERROR(IF(OR(ACTIVEBONUS &lt;&gt; TRUE,ISNUMBER(AR42) = FALSE,BN42 &lt;&gt; ""),"",AR42-(AO42*_xlpm.BASE_RATE)),""))</f>
        <v/>
      </c>
      <c r="BJ42" s="964" t="str">
        <f>IF(OR(C42="",E42="",G42="",K42="",M42="",O42="",Q42="",Z42="",AD42="",AF42="",AH42="",AJ42=""),"",IF(BL42&lt;&gt;"",SPILLOVERNUMBER,
221&amp;INDEX(LOCATIONTYPE[Measure Number],MATCH(E42,LOCATIONTYPE[Location Type],0))&amp;INDEX(ENDUSEALL[Measure Number Indicator],MATCH(BD42,ENDUSEALL[End Use to Coincident Peak Demand Factors],0))&amp;INDEX(CMLIGHTEFF[Measure Number],MATCH(S42,CMLIGHTEFF[Eff Desc 1],0))))</f>
        <v/>
      </c>
      <c r="BK42" s="966" t="str">
        <f>IFERROR(IF(BN42="", IF(AND(ROUND(AR42/AL42,2)=TOTCOSTCAP, BG42/AL42&gt;TOTCOSTCAP),"75% Total Cost",
IF(FALSE,"100% Incremental Cost",
IF(BH42&lt;KWHRATEMIN, "kWh Incentive Rate Min",
IF(BH42&gt;KWHRATEMAX,"kWh Incentive Rate Cap",
IF(AR42=BI42,"Bonus Incentive",
"kWh Incentive"))))), ""),"")</f>
        <v/>
      </c>
      <c r="BL42" s="966" t="str">
        <f ca="1">IFERROR(
IF(EXPIRATION&lt;&gt;"",PROJSTATEXP,
IF(BN42&gt;0,"",
IF(OR(M02S04F06="",M02S04F06="Select Rate Code",M02S04F06=0),MEASURERATE,
IF(M02S04F19="",MEASUREBLDG,
IF(BA42-BB42&lt;=0,MEASURESAVE,
IF(PAYCUSE&lt;PAYBACKREQ,PROJECTSTATPAYBACK,
IF(CBCUSE&lt;CBREQ,PROJECTSTATCB,""))))))),
MEASURESUBMIT)</f>
        <v>Enter Utility Rate (Building Info Tab)</v>
      </c>
      <c r="BM42" s="963" t="str">
        <f>IFERROR(IF(OR(C42="",E42="",G42="",K42="",M42="",O42="",Q42="",Z42="",AD42="",AF42="",AH42="",AJ42=""),"",
ROUND(((1+ELOSS)*((AO42*INDEX(ELECCB[NPV AEC $/kWh],MATCH(BC42,ELECCB[Year Number],1)))+(BE42*INDEX(ELECCB[NPV ACC $/kW],MATCH(BC42,ELECCB[Year Number],1))))),2)),0)</f>
        <v/>
      </c>
      <c r="BN42" s="968"/>
    </row>
    <row r="43" spans="2:66" ht="15.95" customHeight="1">
      <c r="B43" s="806"/>
      <c r="C43" s="1015"/>
      <c r="D43" s="1015"/>
      <c r="E43" s="1015"/>
      <c r="F43" s="1020"/>
      <c r="G43" s="1014"/>
      <c r="H43" s="1015"/>
      <c r="I43" s="1015"/>
      <c r="J43" s="1015"/>
      <c r="K43" s="1015"/>
      <c r="L43" s="1015"/>
      <c r="M43" s="1011"/>
      <c r="N43" s="1011"/>
      <c r="O43" s="1017"/>
      <c r="P43" s="1017"/>
      <c r="Q43" s="1042"/>
      <c r="R43" s="1043"/>
      <c r="S43" s="1044"/>
      <c r="T43" s="1015"/>
      <c r="U43" s="1015"/>
      <c r="V43" s="1015"/>
      <c r="W43" s="991"/>
      <c r="X43" s="992"/>
      <c r="Y43" s="992"/>
      <c r="Z43" s="991"/>
      <c r="AA43" s="992"/>
      <c r="AB43" s="992"/>
      <c r="AC43" s="993"/>
      <c r="AD43" s="1011"/>
      <c r="AE43" s="1011"/>
      <c r="AF43" s="1009"/>
      <c r="AG43" s="1010"/>
      <c r="AH43" s="998"/>
      <c r="AI43" s="999"/>
      <c r="AJ43" s="999"/>
      <c r="AK43" s="1000"/>
      <c r="AL43" s="1001"/>
      <c r="AM43" s="1002"/>
      <c r="AN43" s="1002"/>
      <c r="AO43" s="1006"/>
      <c r="AP43" s="1007"/>
      <c r="AQ43" s="1008"/>
      <c r="AR43" s="997"/>
      <c r="AS43" s="997"/>
      <c r="AT43" s="997"/>
      <c r="AU43" s="997"/>
      <c r="AX43" s="974"/>
      <c r="AY43" s="974"/>
      <c r="AZ43" s="967"/>
      <c r="BA43" s="976"/>
      <c r="BB43" s="976"/>
      <c r="BC43" s="978"/>
      <c r="BD43" s="980"/>
      <c r="BE43" s="972"/>
      <c r="BF43" s="972"/>
      <c r="BG43" s="830"/>
      <c r="BH43" s="830"/>
      <c r="BI43" s="830"/>
      <c r="BJ43" s="965"/>
      <c r="BK43" s="967"/>
      <c r="BL43" s="967"/>
      <c r="BM43" s="830"/>
      <c r="BN43" s="969"/>
    </row>
    <row r="44" spans="2:66" ht="15.95" customHeight="1">
      <c r="B44" s="806">
        <v>14</v>
      </c>
      <c r="C44" s="1015"/>
      <c r="D44" s="1015"/>
      <c r="E44" s="1015"/>
      <c r="F44" s="1020"/>
      <c r="G44" s="1014"/>
      <c r="H44" s="1015"/>
      <c r="I44" s="1015"/>
      <c r="J44" s="1015"/>
      <c r="K44" s="1015"/>
      <c r="L44" s="1015"/>
      <c r="M44" s="1011"/>
      <c r="N44" s="1011"/>
      <c r="O44" s="1017" t="str">
        <f>IFERROR(IF(G44="","",INDEX(CMLIGHTBASE[Base Watt 1],MATCH(G44,CMLIGHTBASE[Base Desc 1],0))),"")</f>
        <v/>
      </c>
      <c r="P44" s="1017"/>
      <c r="Q44" s="1042"/>
      <c r="R44" s="1043"/>
      <c r="S44" s="1044"/>
      <c r="T44" s="1015"/>
      <c r="U44" s="1015"/>
      <c r="V44" s="1015"/>
      <c r="W44" s="988"/>
      <c r="X44" s="989"/>
      <c r="Y44" s="989"/>
      <c r="Z44" s="988"/>
      <c r="AA44" s="989"/>
      <c r="AB44" s="989"/>
      <c r="AC44" s="990"/>
      <c r="AD44" s="1011"/>
      <c r="AE44" s="1011"/>
      <c r="AF44" s="1009"/>
      <c r="AG44" s="1010"/>
      <c r="AH44" s="998"/>
      <c r="AI44" s="999"/>
      <c r="AJ44" s="999"/>
      <c r="AK44" s="1000"/>
      <c r="AL44" s="1001" t="str">
        <f>IF(OR(C44="",E44="",G44="",K44="",M44="",O44="",Q44="",S44="",Z44="",AD44="",AF44="",AH44="",AJ44=""),"",ROUND(AH44+AJ44,2))</f>
        <v/>
      </c>
      <c r="AM44" s="1002"/>
      <c r="AN44" s="1002"/>
      <c r="AO44" s="1003" t="str">
        <f t="shared" ref="AO44" si="36">IF(OR(C44="",E44="",G44="",K44="",M44="",O44="",Q44="",S44="",Z44="",AD44="",AF44="",AH44="",AJ44=""),"",IF(BA44-BB44&lt;=0,0,BA44-BB44))</f>
        <v/>
      </c>
      <c r="AP44" s="1004"/>
      <c r="AQ44" s="1005"/>
      <c r="AR44" s="996" t="str">
        <f>IF(OR(C44="",E44="",G44="",K44="",M44="",O44="",Q44="",S44="",Z44="",AD44="",AF44="",AH44="",AJ44=""),"", IF(BL44&lt;&gt;"", BL44, IF(BN44&gt;0,BN44, IF(ACTIVEBLOCK="Yes",ROUND(MIN(AL44*0.75,AO44*BLOCKBIDRATE),2),ROUND(MIN(AL44*0.75,BG44),2)))))</f>
        <v/>
      </c>
      <c r="AS44" s="996"/>
      <c r="AT44" s="996"/>
      <c r="AU44" s="996"/>
      <c r="AX44" s="973" t="str">
        <f>IFERROR(IF(OR(C44="",E44="",G44="",K44="",M44="",O44="",Q44="",S44="",Z44="",AD44="",AF44="",AH44="",AJ44=""),"",
ROUND(((1+ELOSS)*((AO44*INDEX(ELECCB[NPV AEC $/kWh],MATCH(BC44,ELECCB[Year Number],1)))+(BE44*INDEX(ELECCB[NPV ACC $/kW],MATCH(BC44,ELECCB[Year Number],1))))/AL44),2)),0)</f>
        <v/>
      </c>
      <c r="AY44" s="973" t="str">
        <f>IFERROR(AL44/M02S04F06/AO44,"")</f>
        <v/>
      </c>
      <c r="AZ44" s="966" t="str">
        <f>IF(S44="","",
_xlfn.LET( _xlpm.Unit, INDEX(CMLIGHTEFF[Unit],MATCH(S44,CMLIGHTEFF[Eff Desc 1],0)),
IFERROR(_xlpm.Unit,"")))</f>
        <v/>
      </c>
      <c r="BA44" s="975" t="str">
        <f>IF(OR(C44="",E44="",G44="",K44="",M44="",O44="",Q44="",S44="",Z44="",AD44="",AF44="",AH44="",AJ44=""),"",
IF(OR(ISNUMBER(SEARCH("Exterior",E44)),ISNUMBER(SEARCH("Garage",E44)),M02S04F22="Unconditioned",M02S04F22="Electric Heat Only",M02S04F22="Natural Gas Heat Only"),ROUND(M44*O44*Q44/1000,4),
ROUND(M44*O44*Q44/1000*INDEX(BUILDINGTYPE[Waste Heat Factor (e)],MATCH(M02S04F19,BUILDINGTYPE[Building Type],0)),4)))</f>
        <v/>
      </c>
      <c r="BB44" s="975" t="str">
        <f>IF(OR(C44="",E44="",G44="",K44="",M44="",O44="",Q44="",S44="",Z44="",AD44="",AF44="",AH44="",AJ44=""),"",
IF(OR(ISNUMBER(SEARCH("Exterior",E44)),ISNUMBER(SEARCH("Garage",E44)),M02S04F22="Unconditioned",M02S04F22="Electric Heat Only",M02S04F22="Natural Gas Heat Only"),ROUND(AD44*AF44*Q44/1000,4),
ROUND(AD44*AF44*Q44/1000*INDEX(BUILDINGTYPE[Waste Heat Factor (e)],MATCH(M02S04F19,BUILDINGTYPE[Building Type],0)),4)))</f>
        <v/>
      </c>
      <c r="BC44" s="977" t="str">
        <f>IF(OR(G44="",S44=""),"",IF(INDEX(CMLIGHTEFF[EUL],MATCH(S44,CMLIGHTEFF[Eff Desc 1],0))="","",INDEX(CMLIGHTEFF[EUL],MATCH(S44,CMLIGHTEFF[Eff Desc 1],0))))</f>
        <v/>
      </c>
      <c r="BD44" s="979" t="str">
        <f t="shared" ref="BD44" si="37">IF(OR(E44="",G44="",S44=""),"",IF(ISNUMBER(SEARCH("24/7",E44)),"Ext Lighting w/ Peak ",IF(E44="Interior","Interior Lighting",IF(OR(E44="Garage",E44="Exterior"),"Ext Lighting w/o Peak","Err"))))</f>
        <v/>
      </c>
      <c r="BE44" s="971" t="str">
        <f>IFERROR(IF(OR(C44="",E44="",G44="",K44="",M44="",O44="",Q44="",Z44="",AD44="",AF44="",AH44="",AJ44=""),"",ROUND(AO44*INDEX(ENDUSEALL[Factor],MATCH(BD44,ENDUSEALL[End Use to Coincident Peak Demand Factors],0)),4)),"")</f>
        <v/>
      </c>
      <c r="BF44" s="971" t="str">
        <f>IFERROR(IF(OR(C44="",E44="",G44="",K44="",M44="",O44="",Q44="",Z44="",AD44="",AF44="",AH44="",AJ44=""),"",IF(OR(E44="Garage",E44="Exterior"),0,
IF(OR(ISNUMBER(SEARCH("Garage",E44)),M02S04F22="Unconditioned",M02S04F22="Electric Heat Only",M02S04F22="Natural Gas Heat Only"),ROUND((((M44*O44)-(AD44*AF44))/1000)*INDEX(BUILDINGTYPE[Lighting Coincidence Factor],MATCH(M02S04F19,BUILDINGTYPE[Building Type],0)),4),
ROUND((((M44*O44)-(AD44*AF44))/1000)*INDEX(BUILDINGTYPE[WHFd],MATCH(M02S04F19,BUILDINGTYPE[Building Type],0))*INDEX(BUILDINGTYPE[Lighting Coincidence Factor],MATCH(M02S04F19,BUILDINGTYPE[Building Type],0)),4)))),"")</f>
        <v/>
      </c>
      <c r="BG44" s="963" t="str">
        <f t="shared" ref="BG44" si="38">IFERROR(ROUND(AO44*BH44,2),"")</f>
        <v/>
      </c>
      <c r="BH44" s="963" t="str">
        <f>_xlfn.LET(_xlpm.ROWS,MATCH(BD44,ENDUSEALL[End Use to Coincident Peak Demand Factors],0),IFERROR(INDEX(IF(AND(ACTIVEBONUS = TRUE,INDEX(ENDUSEALL[Bonus Rate ($/kWh)],_xlpm.ROWS)&lt;&gt;""),ENDUSEALL[Bonus Rate ($/kWh)],ENDUSEALL[Rate ($/kWh)]),_xlpm.ROWS),""))</f>
        <v/>
      </c>
      <c r="BI44" s="963" t="str">
        <f>_xlfn.LET(_xlpm.BONUS_RATE,INDEX(ENDUSEALL[Bonus Rate ($/kWh)],MATCH(BD44,ENDUSEALL[End Use to Coincident Peak Demand Factors],0)),_xlpm.BASE_RATE,INDEX(ENDUSEALL[Rate ($/kWh)],MATCH(BD44,ENDUSEALL[End Use to Coincident Peak Demand Factors],0)),IFERROR(IF(OR(ACTIVEBONUS &lt;&gt; TRUE,ISNUMBER(AR44) = FALSE,BN44 &lt;&gt; ""),"",AR44-(AO44*_xlpm.BASE_RATE)),""))</f>
        <v/>
      </c>
      <c r="BJ44" s="964" t="str">
        <f>IF(OR(C44="",E44="",G44="",K44="",M44="",O44="",Q44="",Z44="",AD44="",AF44="",AH44="",AJ44=""),"",IF(BL44&lt;&gt;"",SPILLOVERNUMBER,
221&amp;INDEX(LOCATIONTYPE[Measure Number],MATCH(E44,LOCATIONTYPE[Location Type],0))&amp;INDEX(ENDUSEALL[Measure Number Indicator],MATCH(BD44,ENDUSEALL[End Use to Coincident Peak Demand Factors],0))&amp;INDEX(CMLIGHTEFF[Measure Number],MATCH(S44,CMLIGHTEFF[Eff Desc 1],0))))</f>
        <v/>
      </c>
      <c r="BK44" s="966" t="str">
        <f>IFERROR(IF(BN44="", IF(AND(ROUND(AR44/AL44,2)=TOTCOSTCAP, BG44/AL44&gt;TOTCOSTCAP),"75% Total Cost",
IF(FALSE,"100% Incremental Cost",
IF(BH44&lt;KWHRATEMIN, "kWh Incentive Rate Min",
IF(BH44&gt;KWHRATEMAX,"kWh Incentive Rate Cap",
IF(AR44=BI44,"Bonus Incentive",
"kWh Incentive"))))), ""),"")</f>
        <v/>
      </c>
      <c r="BL44" s="966" t="str">
        <f ca="1">IFERROR(
IF(EXPIRATION&lt;&gt;"",PROJSTATEXP,
IF(BN44&gt;0,"",
IF(OR(M02S04F06="",M02S04F06="Select Rate Code",M02S04F06=0),MEASURERATE,
IF(M02S04F19="",MEASUREBLDG,
IF(BA44-BB44&lt;=0,MEASURESAVE,
IF(PAYCUSE&lt;PAYBACKREQ,PROJECTSTATPAYBACK,
IF(CBCUSE&lt;CBREQ,PROJECTSTATCB,""))))))),
MEASURESUBMIT)</f>
        <v>Enter Utility Rate (Building Info Tab)</v>
      </c>
      <c r="BM44" s="963" t="str">
        <f>IFERROR(IF(OR(C44="",E44="",G44="",K44="",M44="",O44="",Q44="",Z44="",AD44="",AF44="",AH44="",AJ44=""),"",
ROUND(((1+ELOSS)*((AO44*INDEX(ELECCB[NPV AEC $/kWh],MATCH(BC44,ELECCB[Year Number],1)))+(BE44*INDEX(ELECCB[NPV ACC $/kW],MATCH(BC44,ELECCB[Year Number],1))))),2)),0)</f>
        <v/>
      </c>
      <c r="BN44" s="968"/>
    </row>
    <row r="45" spans="2:66" ht="15.95" customHeight="1">
      <c r="B45" s="806"/>
      <c r="C45" s="1015"/>
      <c r="D45" s="1015"/>
      <c r="E45" s="1015"/>
      <c r="F45" s="1020"/>
      <c r="G45" s="1014"/>
      <c r="H45" s="1015"/>
      <c r="I45" s="1015"/>
      <c r="J45" s="1015"/>
      <c r="K45" s="1015"/>
      <c r="L45" s="1015"/>
      <c r="M45" s="1011"/>
      <c r="N45" s="1011"/>
      <c r="O45" s="1017"/>
      <c r="P45" s="1017"/>
      <c r="Q45" s="1042"/>
      <c r="R45" s="1043"/>
      <c r="S45" s="1044"/>
      <c r="T45" s="1015"/>
      <c r="U45" s="1015"/>
      <c r="V45" s="1015"/>
      <c r="W45" s="991"/>
      <c r="X45" s="992"/>
      <c r="Y45" s="992"/>
      <c r="Z45" s="991"/>
      <c r="AA45" s="992"/>
      <c r="AB45" s="992"/>
      <c r="AC45" s="993"/>
      <c r="AD45" s="1011"/>
      <c r="AE45" s="1011"/>
      <c r="AF45" s="1009"/>
      <c r="AG45" s="1010"/>
      <c r="AH45" s="998"/>
      <c r="AI45" s="999"/>
      <c r="AJ45" s="999"/>
      <c r="AK45" s="1000"/>
      <c r="AL45" s="1001"/>
      <c r="AM45" s="1002"/>
      <c r="AN45" s="1002"/>
      <c r="AO45" s="1006"/>
      <c r="AP45" s="1007"/>
      <c r="AQ45" s="1008"/>
      <c r="AR45" s="997"/>
      <c r="AS45" s="997"/>
      <c r="AT45" s="997"/>
      <c r="AU45" s="997"/>
      <c r="AX45" s="974"/>
      <c r="AY45" s="974"/>
      <c r="AZ45" s="967"/>
      <c r="BA45" s="976"/>
      <c r="BB45" s="976"/>
      <c r="BC45" s="978"/>
      <c r="BD45" s="980"/>
      <c r="BE45" s="972"/>
      <c r="BF45" s="972"/>
      <c r="BG45" s="830"/>
      <c r="BH45" s="830"/>
      <c r="BI45" s="830"/>
      <c r="BJ45" s="965"/>
      <c r="BK45" s="967"/>
      <c r="BL45" s="967"/>
      <c r="BM45" s="830"/>
      <c r="BN45" s="969"/>
    </row>
    <row r="46" spans="2:66" ht="15.95" customHeight="1">
      <c r="B46" s="806">
        <v>15</v>
      </c>
      <c r="C46" s="1015"/>
      <c r="D46" s="1015"/>
      <c r="E46" s="1015"/>
      <c r="F46" s="1020"/>
      <c r="G46" s="1014"/>
      <c r="H46" s="1015"/>
      <c r="I46" s="1015"/>
      <c r="J46" s="1015"/>
      <c r="K46" s="1015"/>
      <c r="L46" s="1015"/>
      <c r="M46" s="1011"/>
      <c r="N46" s="1011"/>
      <c r="O46" s="1017" t="str">
        <f>IFERROR(IF(G46="","",INDEX(CMLIGHTBASE[Base Watt 1],MATCH(G46,CMLIGHTBASE[Base Desc 1],0))),"")</f>
        <v/>
      </c>
      <c r="P46" s="1017"/>
      <c r="Q46" s="1042"/>
      <c r="R46" s="1043"/>
      <c r="S46" s="1044"/>
      <c r="T46" s="1015"/>
      <c r="U46" s="1015"/>
      <c r="V46" s="1015"/>
      <c r="W46" s="988"/>
      <c r="X46" s="989"/>
      <c r="Y46" s="989"/>
      <c r="Z46" s="988"/>
      <c r="AA46" s="989"/>
      <c r="AB46" s="989"/>
      <c r="AC46" s="990"/>
      <c r="AD46" s="1011"/>
      <c r="AE46" s="1011"/>
      <c r="AF46" s="1009"/>
      <c r="AG46" s="1010"/>
      <c r="AH46" s="998"/>
      <c r="AI46" s="999"/>
      <c r="AJ46" s="999"/>
      <c r="AK46" s="1000"/>
      <c r="AL46" s="1001" t="str">
        <f>IF(OR(C46="",E46="",G46="",K46="",M46="",O46="",Q46="",S46="",Z46="",AD46="",AF46="",AH46="",AJ46=""),"",ROUND(AH46+AJ46,2))</f>
        <v/>
      </c>
      <c r="AM46" s="1002"/>
      <c r="AN46" s="1002"/>
      <c r="AO46" s="1003" t="str">
        <f t="shared" ref="AO46" si="39">IF(OR(C46="",E46="",G46="",K46="",M46="",O46="",Q46="",S46="",Z46="",AD46="",AF46="",AH46="",AJ46=""),"",IF(BA46-BB46&lt;=0,0,BA46-BB46))</f>
        <v/>
      </c>
      <c r="AP46" s="1004"/>
      <c r="AQ46" s="1005"/>
      <c r="AR46" s="996" t="str">
        <f>IF(OR(C46="",E46="",G46="",K46="",M46="",O46="",Q46="",S46="",Z46="",AD46="",AF46="",AH46="",AJ46=""),"", IF(BL46&lt;&gt;"", BL46, IF(BN46&gt;0,BN46, IF(ACTIVEBLOCK="Yes",ROUND(MIN(AL46*0.75,AO46*BLOCKBIDRATE),2),ROUND(MIN(AL46*0.75,BG46),2)))))</f>
        <v/>
      </c>
      <c r="AS46" s="996"/>
      <c r="AT46" s="996"/>
      <c r="AU46" s="996"/>
      <c r="AX46" s="973" t="str">
        <f>IFERROR(IF(OR(C46="",E46="",G46="",K46="",M46="",O46="",Q46="",S46="",Z46="",AD46="",AF46="",AH46="",AJ46=""),"",
ROUND(((1+ELOSS)*((AO46*INDEX(ELECCB[NPV AEC $/kWh],MATCH(BC46,ELECCB[Year Number],1)))+(BE46*INDEX(ELECCB[NPV ACC $/kW],MATCH(BC46,ELECCB[Year Number],1))))/AL46),2)),0)</f>
        <v/>
      </c>
      <c r="AY46" s="973" t="str">
        <f>IFERROR(AL46/M02S04F06/AO46,"")</f>
        <v/>
      </c>
      <c r="AZ46" s="966" t="str">
        <f>IF(S46="","",
_xlfn.LET( _xlpm.Unit, INDEX(CMLIGHTEFF[Unit],MATCH(S46,CMLIGHTEFF[Eff Desc 1],0)),
IFERROR(_xlpm.Unit,"")))</f>
        <v/>
      </c>
      <c r="BA46" s="975" t="str">
        <f>IF(OR(C46="",E46="",G46="",K46="",M46="",O46="",Q46="",S46="",Z46="",AD46="",AF46="",AH46="",AJ46=""),"",
IF(OR(ISNUMBER(SEARCH("Exterior",E46)),ISNUMBER(SEARCH("Garage",E46)),M02S04F22="Unconditioned",M02S04F22="Electric Heat Only",M02S04F22="Natural Gas Heat Only"),ROUND(M46*O46*Q46/1000,4),
ROUND(M46*O46*Q46/1000*INDEX(BUILDINGTYPE[Waste Heat Factor (e)],MATCH(M02S04F19,BUILDINGTYPE[Building Type],0)),4)))</f>
        <v/>
      </c>
      <c r="BB46" s="975" t="str">
        <f>IF(OR(C46="",E46="",G46="",K46="",M46="",O46="",Q46="",S46="",Z46="",AD46="",AF46="",AH46="",AJ46=""),"",
IF(OR(ISNUMBER(SEARCH("Exterior",E46)),ISNUMBER(SEARCH("Garage",E46)),M02S04F22="Unconditioned",M02S04F22="Electric Heat Only",M02S04F22="Natural Gas Heat Only"),ROUND(AD46*AF46*Q46/1000,4),
ROUND(AD46*AF46*Q46/1000*INDEX(BUILDINGTYPE[Waste Heat Factor (e)],MATCH(M02S04F19,BUILDINGTYPE[Building Type],0)),4)))</f>
        <v/>
      </c>
      <c r="BC46" s="977" t="str">
        <f>IF(OR(G46="",S46=""),"",IF(INDEX(CMLIGHTEFF[EUL],MATCH(S46,CMLIGHTEFF[Eff Desc 1],0))="","",INDEX(CMLIGHTEFF[EUL],MATCH(S46,CMLIGHTEFF[Eff Desc 1],0))))</f>
        <v/>
      </c>
      <c r="BD46" s="979" t="str">
        <f t="shared" ref="BD46" si="40">IF(OR(E46="",G46="",S46=""),"",IF(ISNUMBER(SEARCH("24/7",E46)),"Ext Lighting w/ Peak ",IF(E46="Interior","Interior Lighting",IF(OR(E46="Garage",E46="Exterior"),"Ext Lighting w/o Peak","Err"))))</f>
        <v/>
      </c>
      <c r="BE46" s="971" t="str">
        <f>IFERROR(IF(OR(C46="",E46="",G46="",K46="",M46="",O46="",Q46="",Z46="",AD46="",AF46="",AH46="",AJ46=""),"",ROUND(AO46*INDEX(ENDUSEALL[Factor],MATCH(BD46,ENDUSEALL[End Use to Coincident Peak Demand Factors],0)),4)),"")</f>
        <v/>
      </c>
      <c r="BF46" s="971" t="str">
        <f>IFERROR(IF(OR(C46="",E46="",G46="",K46="",M46="",O46="",Q46="",Z46="",AD46="",AF46="",AH46="",AJ46=""),"",IF(OR(E46="Garage",E46="Exterior"),0,
IF(OR(ISNUMBER(SEARCH("Garage",E46)),M02S04F22="Unconditioned",M02S04F22="Electric Heat Only",M02S04F22="Natural Gas Heat Only"),ROUND((((M46*O46)-(AD46*AF46))/1000)*INDEX(BUILDINGTYPE[Lighting Coincidence Factor],MATCH(M02S04F19,BUILDINGTYPE[Building Type],0)),4),
ROUND((((M46*O46)-(AD46*AF46))/1000)*INDEX(BUILDINGTYPE[WHFd],MATCH(M02S04F19,BUILDINGTYPE[Building Type],0))*INDEX(BUILDINGTYPE[Lighting Coincidence Factor],MATCH(M02S04F19,BUILDINGTYPE[Building Type],0)),4)))),"")</f>
        <v/>
      </c>
      <c r="BG46" s="963" t="str">
        <f t="shared" ref="BG46" si="41">IFERROR(ROUND(AO46*BH46,2),"")</f>
        <v/>
      </c>
      <c r="BH46" s="963" t="str">
        <f>_xlfn.LET(_xlpm.ROWS,MATCH(BD46,ENDUSEALL[End Use to Coincident Peak Demand Factors],0),IFERROR(INDEX(IF(AND(ACTIVEBONUS = TRUE,INDEX(ENDUSEALL[Bonus Rate ($/kWh)],_xlpm.ROWS)&lt;&gt;""),ENDUSEALL[Bonus Rate ($/kWh)],ENDUSEALL[Rate ($/kWh)]),_xlpm.ROWS),""))</f>
        <v/>
      </c>
      <c r="BI46" s="963" t="str">
        <f>_xlfn.LET(_xlpm.BONUS_RATE,INDEX(ENDUSEALL[Bonus Rate ($/kWh)],MATCH(BD46,ENDUSEALL[End Use to Coincident Peak Demand Factors],0)),_xlpm.BASE_RATE,INDEX(ENDUSEALL[Rate ($/kWh)],MATCH(BD46,ENDUSEALL[End Use to Coincident Peak Demand Factors],0)),IFERROR(IF(OR(ACTIVEBONUS &lt;&gt; TRUE,ISNUMBER(AR46) = FALSE,BN46 &lt;&gt; ""),"",AR46-(AO46*_xlpm.BASE_RATE)),""))</f>
        <v/>
      </c>
      <c r="BJ46" s="964" t="str">
        <f>IF(OR(C46="",E46="",G46="",K46="",M46="",O46="",Q46="",Z46="",AD46="",AF46="",AH46="",AJ46=""),"",IF(BL46&lt;&gt;"",SPILLOVERNUMBER,
221&amp;INDEX(LOCATIONTYPE[Measure Number],MATCH(E46,LOCATIONTYPE[Location Type],0))&amp;INDEX(ENDUSEALL[Measure Number Indicator],MATCH(BD46,ENDUSEALL[End Use to Coincident Peak Demand Factors],0))&amp;INDEX(CMLIGHTEFF[Measure Number],MATCH(S46,CMLIGHTEFF[Eff Desc 1],0))))</f>
        <v/>
      </c>
      <c r="BK46" s="966" t="str">
        <f>IFERROR(IF(BN46="", IF(AND(ROUND(AR46/AL46,2)=TOTCOSTCAP, BG46/AL46&gt;TOTCOSTCAP),"75% Total Cost",
IF(FALSE,"100% Incremental Cost",
IF(BH46&lt;KWHRATEMIN, "kWh Incentive Rate Min",
IF(BH46&gt;KWHRATEMAX,"kWh Incentive Rate Cap",
IF(AR46=BI46,"Bonus Incentive",
"kWh Incentive"))))), ""),"")</f>
        <v/>
      </c>
      <c r="BL46" s="966" t="str">
        <f ca="1">IFERROR(
IF(EXPIRATION&lt;&gt;"",PROJSTATEXP,
IF(BN46&gt;0,"",
IF(OR(M02S04F06="",M02S04F06="Select Rate Code",M02S04F06=0),MEASURERATE,
IF(M02S04F19="",MEASUREBLDG,
IF(BA46-BB46&lt;=0,MEASURESAVE,
IF(PAYCUSE&lt;PAYBACKREQ,PROJECTSTATPAYBACK,
IF(CBCUSE&lt;CBREQ,PROJECTSTATCB,""))))))),
MEASURESUBMIT)</f>
        <v>Enter Utility Rate (Building Info Tab)</v>
      </c>
      <c r="BM46" s="963" t="str">
        <f>IFERROR(IF(OR(C46="",E46="",G46="",K46="",M46="",O46="",Q46="",Z46="",AD46="",AF46="",AH46="",AJ46=""),"",
ROUND(((1+ELOSS)*((AO46*INDEX(ELECCB[NPV AEC $/kWh],MATCH(BC46,ELECCB[Year Number],1)))+(BE46*INDEX(ELECCB[NPV ACC $/kW],MATCH(BC46,ELECCB[Year Number],1))))),2)),0)</f>
        <v/>
      </c>
      <c r="BN46" s="968"/>
    </row>
    <row r="47" spans="2:66" ht="15.95" customHeight="1">
      <c r="B47" s="806"/>
      <c r="C47" s="1015"/>
      <c r="D47" s="1015"/>
      <c r="E47" s="1015"/>
      <c r="F47" s="1020"/>
      <c r="G47" s="1014"/>
      <c r="H47" s="1015"/>
      <c r="I47" s="1015"/>
      <c r="J47" s="1015"/>
      <c r="K47" s="1015"/>
      <c r="L47" s="1015"/>
      <c r="M47" s="1011"/>
      <c r="N47" s="1011"/>
      <c r="O47" s="1017"/>
      <c r="P47" s="1017"/>
      <c r="Q47" s="1042"/>
      <c r="R47" s="1043"/>
      <c r="S47" s="1044"/>
      <c r="T47" s="1015"/>
      <c r="U47" s="1015"/>
      <c r="V47" s="1015"/>
      <c r="W47" s="991"/>
      <c r="X47" s="992"/>
      <c r="Y47" s="992"/>
      <c r="Z47" s="991"/>
      <c r="AA47" s="992"/>
      <c r="AB47" s="992"/>
      <c r="AC47" s="993"/>
      <c r="AD47" s="1011"/>
      <c r="AE47" s="1011"/>
      <c r="AF47" s="1009"/>
      <c r="AG47" s="1010"/>
      <c r="AH47" s="998"/>
      <c r="AI47" s="999"/>
      <c r="AJ47" s="999"/>
      <c r="AK47" s="1000"/>
      <c r="AL47" s="1001"/>
      <c r="AM47" s="1002"/>
      <c r="AN47" s="1002"/>
      <c r="AO47" s="1006"/>
      <c r="AP47" s="1007"/>
      <c r="AQ47" s="1008"/>
      <c r="AR47" s="997"/>
      <c r="AS47" s="997"/>
      <c r="AT47" s="997"/>
      <c r="AU47" s="997"/>
      <c r="AX47" s="974"/>
      <c r="AY47" s="974"/>
      <c r="AZ47" s="967"/>
      <c r="BA47" s="976"/>
      <c r="BB47" s="976"/>
      <c r="BC47" s="978"/>
      <c r="BD47" s="980"/>
      <c r="BE47" s="972"/>
      <c r="BF47" s="972"/>
      <c r="BG47" s="830"/>
      <c r="BH47" s="830"/>
      <c r="BI47" s="830"/>
      <c r="BJ47" s="965"/>
      <c r="BK47" s="967"/>
      <c r="BL47" s="967"/>
      <c r="BM47" s="830"/>
      <c r="BN47" s="969"/>
    </row>
    <row r="48" spans="2:66" ht="15.95" customHeight="1">
      <c r="B48" s="806">
        <v>16</v>
      </c>
      <c r="C48" s="1015"/>
      <c r="D48" s="1015"/>
      <c r="E48" s="1015"/>
      <c r="F48" s="1020"/>
      <c r="G48" s="1014"/>
      <c r="H48" s="1015"/>
      <c r="I48" s="1015"/>
      <c r="J48" s="1015"/>
      <c r="K48" s="1015"/>
      <c r="L48" s="1015"/>
      <c r="M48" s="1011"/>
      <c r="N48" s="1011"/>
      <c r="O48" s="1017" t="str">
        <f>IFERROR(IF(G48="","",INDEX(CMLIGHTBASE[Base Watt 1],MATCH(G48,CMLIGHTBASE[Base Desc 1],0))),"")</f>
        <v/>
      </c>
      <c r="P48" s="1017"/>
      <c r="Q48" s="1042"/>
      <c r="R48" s="1043"/>
      <c r="S48" s="1044"/>
      <c r="T48" s="1015"/>
      <c r="U48" s="1015"/>
      <c r="V48" s="1015"/>
      <c r="W48" s="988"/>
      <c r="X48" s="989"/>
      <c r="Y48" s="989"/>
      <c r="Z48" s="988"/>
      <c r="AA48" s="989"/>
      <c r="AB48" s="989"/>
      <c r="AC48" s="990"/>
      <c r="AD48" s="1011"/>
      <c r="AE48" s="1011"/>
      <c r="AF48" s="1009"/>
      <c r="AG48" s="1010"/>
      <c r="AH48" s="998"/>
      <c r="AI48" s="999"/>
      <c r="AJ48" s="999"/>
      <c r="AK48" s="1000"/>
      <c r="AL48" s="1001" t="str">
        <f>IF(OR(C48="",E48="",G48="",K48="",M48="",O48="",Q48="",S48="",Z48="",AD48="",AF48="",AH48="",AJ48=""),"",ROUND(AH48+AJ48,2))</f>
        <v/>
      </c>
      <c r="AM48" s="1002"/>
      <c r="AN48" s="1002"/>
      <c r="AO48" s="1003" t="str">
        <f t="shared" ref="AO48" si="42">IF(OR(C48="",E48="",G48="",K48="",M48="",O48="",Q48="",S48="",Z48="",AD48="",AF48="",AH48="",AJ48=""),"",IF(BA48-BB48&lt;=0,0,BA48-BB48))</f>
        <v/>
      </c>
      <c r="AP48" s="1004"/>
      <c r="AQ48" s="1005"/>
      <c r="AR48" s="996" t="str">
        <f>IF(OR(C48="",E48="",G48="",K48="",M48="",O48="",Q48="",S48="",Z48="",AD48="",AF48="",AH48="",AJ48=""),"", IF(BL48&lt;&gt;"", BL48, IF(BN48&gt;0,BN48, IF(ACTIVEBLOCK="Yes",ROUND(MIN(AL48*0.75,AO48*BLOCKBIDRATE),2),ROUND(MIN(AL48*0.75,BG48),2)))))</f>
        <v/>
      </c>
      <c r="AS48" s="996"/>
      <c r="AT48" s="996"/>
      <c r="AU48" s="996"/>
      <c r="AX48" s="973" t="str">
        <f>IFERROR(IF(OR(C48="",E48="",G48="",K48="",M48="",O48="",Q48="",S48="",Z48="",AD48="",AF48="",AH48="",AJ48=""),"",
ROUND(((1+ELOSS)*((AO48*INDEX(ELECCB[NPV AEC $/kWh],MATCH(BC48,ELECCB[Year Number],1)))+(BE48*INDEX(ELECCB[NPV ACC $/kW],MATCH(BC48,ELECCB[Year Number],1))))/AL48),2)),0)</f>
        <v/>
      </c>
      <c r="AY48" s="973" t="str">
        <f>IFERROR(AL48/M02S04F06/AO48,"")</f>
        <v/>
      </c>
      <c r="AZ48" s="966" t="str">
        <f>IF(S48="","",
_xlfn.LET( _xlpm.Unit, INDEX(CMLIGHTEFF[Unit],MATCH(S48,CMLIGHTEFF[Eff Desc 1],0)),
IFERROR(_xlpm.Unit,"")))</f>
        <v/>
      </c>
      <c r="BA48" s="975" t="str">
        <f>IF(OR(C48="",E48="",G48="",K48="",M48="",O48="",Q48="",S48="",Z48="",AD48="",AF48="",AH48="",AJ48=""),"",
IF(OR(ISNUMBER(SEARCH("Exterior",E48)),ISNUMBER(SEARCH("Garage",E48)),M02S04F22="Unconditioned",M02S04F22="Electric Heat Only",M02S04F22="Natural Gas Heat Only"),ROUND(M48*O48*Q48/1000,4),
ROUND(M48*O48*Q48/1000*INDEX(BUILDINGTYPE[Waste Heat Factor (e)],MATCH(M02S04F19,BUILDINGTYPE[Building Type],0)),4)))</f>
        <v/>
      </c>
      <c r="BB48" s="975" t="str">
        <f>IF(OR(C48="",E48="",G48="",K48="",M48="",O48="",Q48="",S48="",Z48="",AD48="",AF48="",AH48="",AJ48=""),"",
IF(OR(ISNUMBER(SEARCH("Exterior",E48)),ISNUMBER(SEARCH("Garage",E48)),M02S04F22="Unconditioned",M02S04F22="Electric Heat Only",M02S04F22="Natural Gas Heat Only"),ROUND(AD48*AF48*Q48/1000,4),
ROUND(AD48*AF48*Q48/1000*INDEX(BUILDINGTYPE[Waste Heat Factor (e)],MATCH(M02S04F19,BUILDINGTYPE[Building Type],0)),4)))</f>
        <v/>
      </c>
      <c r="BC48" s="977" t="str">
        <f>IF(OR(G48="",S48=""),"",IF(INDEX(CMLIGHTEFF[EUL],MATCH(S48,CMLIGHTEFF[Eff Desc 1],0))="","",INDEX(CMLIGHTEFF[EUL],MATCH(S48,CMLIGHTEFF[Eff Desc 1],0))))</f>
        <v/>
      </c>
      <c r="BD48" s="979" t="str">
        <f t="shared" ref="BD48" si="43">IF(OR(E48="",G48="",S48=""),"",IF(ISNUMBER(SEARCH("24/7",E48)),"Ext Lighting w/ Peak ",IF(E48="Interior","Interior Lighting",IF(OR(E48="Garage",E48="Exterior"),"Ext Lighting w/o Peak","Err"))))</f>
        <v/>
      </c>
      <c r="BE48" s="971" t="str">
        <f>IFERROR(IF(OR(C48="",E48="",G48="",K48="",M48="",O48="",Q48="",Z48="",AD48="",AF48="",AH48="",AJ48=""),"",ROUND(AO48*INDEX(ENDUSEALL[Factor],MATCH(BD48,ENDUSEALL[End Use to Coincident Peak Demand Factors],0)),4)),"")</f>
        <v/>
      </c>
      <c r="BF48" s="971" t="str">
        <f>IFERROR(IF(OR(C48="",E48="",G48="",K48="",M48="",O48="",Q48="",Z48="",AD48="",AF48="",AH48="",AJ48=""),"",IF(OR(E48="Garage",E48="Exterior"),0,
IF(OR(ISNUMBER(SEARCH("Garage",E48)),M02S04F22="Unconditioned",M02S04F22="Electric Heat Only",M02S04F22="Natural Gas Heat Only"),ROUND((((M48*O48)-(AD48*AF48))/1000)*INDEX(BUILDINGTYPE[Lighting Coincidence Factor],MATCH(M02S04F19,BUILDINGTYPE[Building Type],0)),4),
ROUND((((M48*O48)-(AD48*AF48))/1000)*INDEX(BUILDINGTYPE[WHFd],MATCH(M02S04F19,BUILDINGTYPE[Building Type],0))*INDEX(BUILDINGTYPE[Lighting Coincidence Factor],MATCH(M02S04F19,BUILDINGTYPE[Building Type],0)),4)))),"")</f>
        <v/>
      </c>
      <c r="BG48" s="963" t="str">
        <f t="shared" ref="BG48" si="44">IFERROR(ROUND(AO48*BH48,2),"")</f>
        <v/>
      </c>
      <c r="BH48" s="963" t="str">
        <f>_xlfn.LET(_xlpm.ROWS,MATCH(BD48,ENDUSEALL[End Use to Coincident Peak Demand Factors],0),IFERROR(INDEX(IF(AND(ACTIVEBONUS = TRUE,INDEX(ENDUSEALL[Bonus Rate ($/kWh)],_xlpm.ROWS)&lt;&gt;""),ENDUSEALL[Bonus Rate ($/kWh)],ENDUSEALL[Rate ($/kWh)]),_xlpm.ROWS),""))</f>
        <v/>
      </c>
      <c r="BI48" s="963" t="str">
        <f>_xlfn.LET(_xlpm.BONUS_RATE,INDEX(ENDUSEALL[Bonus Rate ($/kWh)],MATCH(BD48,ENDUSEALL[End Use to Coincident Peak Demand Factors],0)),_xlpm.BASE_RATE,INDEX(ENDUSEALL[Rate ($/kWh)],MATCH(BD48,ENDUSEALL[End Use to Coincident Peak Demand Factors],0)),IFERROR(IF(OR(ACTIVEBONUS &lt;&gt; TRUE,ISNUMBER(AR48) = FALSE,BN48 &lt;&gt; ""),"",AR48-(AO48*_xlpm.BASE_RATE)),""))</f>
        <v/>
      </c>
      <c r="BJ48" s="964" t="str">
        <f>IF(OR(C48="",E48="",G48="",K48="",M48="",O48="",Q48="",Z48="",AD48="",AF48="",AH48="",AJ48=""),"",IF(BL48&lt;&gt;"",SPILLOVERNUMBER,
221&amp;INDEX(LOCATIONTYPE[Measure Number],MATCH(E48,LOCATIONTYPE[Location Type],0))&amp;INDEX(ENDUSEALL[Measure Number Indicator],MATCH(BD48,ENDUSEALL[End Use to Coincident Peak Demand Factors],0))&amp;INDEX(CMLIGHTEFF[Measure Number],MATCH(S48,CMLIGHTEFF[Eff Desc 1],0))))</f>
        <v/>
      </c>
      <c r="BK48" s="966" t="str">
        <f>IFERROR(IF(BN48="", IF(AND(ROUND(AR48/AL48,2)=TOTCOSTCAP, BG48/AL48&gt;TOTCOSTCAP),"75% Total Cost",
IF(FALSE,"100% Incremental Cost",
IF(BH48&lt;KWHRATEMIN, "kWh Incentive Rate Min",
IF(BH48&gt;KWHRATEMAX,"kWh Incentive Rate Cap",
IF(AR48=BI48,"Bonus Incentive",
"kWh Incentive"))))), ""),"")</f>
        <v/>
      </c>
      <c r="BL48" s="966" t="str">
        <f ca="1">IFERROR(
IF(EXPIRATION&lt;&gt;"",PROJSTATEXP,
IF(BN48&gt;0,"",
IF(OR(M02S04F06="",M02S04F06="Select Rate Code",M02S04F06=0),MEASURERATE,
IF(M02S04F19="",MEASUREBLDG,
IF(BA48-BB48&lt;=0,MEASURESAVE,
IF(PAYCUSE&lt;PAYBACKREQ,PROJECTSTATPAYBACK,
IF(CBCUSE&lt;CBREQ,PROJECTSTATCB,""))))))),
MEASURESUBMIT)</f>
        <v>Enter Utility Rate (Building Info Tab)</v>
      </c>
      <c r="BM48" s="963" t="str">
        <f>IFERROR(IF(OR(C48="",E48="",G48="",K48="",M48="",O48="",Q48="",Z48="",AD48="",AF48="",AH48="",AJ48=""),"",
ROUND(((1+ELOSS)*((AO48*INDEX(ELECCB[NPV AEC $/kWh],MATCH(BC48,ELECCB[Year Number],1)))+(BE48*INDEX(ELECCB[NPV ACC $/kW],MATCH(BC48,ELECCB[Year Number],1))))),2)),0)</f>
        <v/>
      </c>
      <c r="BN48" s="968"/>
    </row>
    <row r="49" spans="2:66" ht="15.95" customHeight="1">
      <c r="B49" s="806"/>
      <c r="C49" s="1015"/>
      <c r="D49" s="1015"/>
      <c r="E49" s="1015"/>
      <c r="F49" s="1020"/>
      <c r="G49" s="1014"/>
      <c r="H49" s="1015"/>
      <c r="I49" s="1015"/>
      <c r="J49" s="1015"/>
      <c r="K49" s="1015"/>
      <c r="L49" s="1015"/>
      <c r="M49" s="1011"/>
      <c r="N49" s="1011"/>
      <c r="O49" s="1017"/>
      <c r="P49" s="1017"/>
      <c r="Q49" s="1042"/>
      <c r="R49" s="1043"/>
      <c r="S49" s="1044"/>
      <c r="T49" s="1015"/>
      <c r="U49" s="1015"/>
      <c r="V49" s="1015"/>
      <c r="W49" s="991"/>
      <c r="X49" s="992"/>
      <c r="Y49" s="992"/>
      <c r="Z49" s="991"/>
      <c r="AA49" s="992"/>
      <c r="AB49" s="992"/>
      <c r="AC49" s="993"/>
      <c r="AD49" s="1011"/>
      <c r="AE49" s="1011"/>
      <c r="AF49" s="1009"/>
      <c r="AG49" s="1010"/>
      <c r="AH49" s="998"/>
      <c r="AI49" s="999"/>
      <c r="AJ49" s="999"/>
      <c r="AK49" s="1000"/>
      <c r="AL49" s="1001"/>
      <c r="AM49" s="1002"/>
      <c r="AN49" s="1002"/>
      <c r="AO49" s="1006"/>
      <c r="AP49" s="1007"/>
      <c r="AQ49" s="1008"/>
      <c r="AR49" s="997"/>
      <c r="AS49" s="997"/>
      <c r="AT49" s="997"/>
      <c r="AU49" s="997"/>
      <c r="AX49" s="974"/>
      <c r="AY49" s="974"/>
      <c r="AZ49" s="967"/>
      <c r="BA49" s="976"/>
      <c r="BB49" s="976"/>
      <c r="BC49" s="978"/>
      <c r="BD49" s="980"/>
      <c r="BE49" s="972"/>
      <c r="BF49" s="972"/>
      <c r="BG49" s="830"/>
      <c r="BH49" s="830"/>
      <c r="BI49" s="830"/>
      <c r="BJ49" s="965"/>
      <c r="BK49" s="967"/>
      <c r="BL49" s="967"/>
      <c r="BM49" s="830"/>
      <c r="BN49" s="969"/>
    </row>
    <row r="50" spans="2:66" ht="15.95" customHeight="1">
      <c r="B50" s="806">
        <v>17</v>
      </c>
      <c r="C50" s="1015"/>
      <c r="D50" s="1015"/>
      <c r="E50" s="1015"/>
      <c r="F50" s="1020"/>
      <c r="G50" s="1014"/>
      <c r="H50" s="1015"/>
      <c r="I50" s="1015"/>
      <c r="J50" s="1015"/>
      <c r="K50" s="1015"/>
      <c r="L50" s="1015"/>
      <c r="M50" s="1011"/>
      <c r="N50" s="1011"/>
      <c r="O50" s="1017" t="str">
        <f>IFERROR(IF(G50="","",INDEX(CMLIGHTBASE[Base Watt 1],MATCH(G50,CMLIGHTBASE[Base Desc 1],0))),"")</f>
        <v/>
      </c>
      <c r="P50" s="1017"/>
      <c r="Q50" s="1042"/>
      <c r="R50" s="1043"/>
      <c r="S50" s="1044"/>
      <c r="T50" s="1015"/>
      <c r="U50" s="1015"/>
      <c r="V50" s="1015"/>
      <c r="W50" s="988"/>
      <c r="X50" s="989"/>
      <c r="Y50" s="989"/>
      <c r="Z50" s="988"/>
      <c r="AA50" s="989"/>
      <c r="AB50" s="989"/>
      <c r="AC50" s="990"/>
      <c r="AD50" s="1011"/>
      <c r="AE50" s="1011"/>
      <c r="AF50" s="1009"/>
      <c r="AG50" s="1010"/>
      <c r="AH50" s="998"/>
      <c r="AI50" s="999"/>
      <c r="AJ50" s="999"/>
      <c r="AK50" s="1000"/>
      <c r="AL50" s="1001" t="str">
        <f>IF(OR(C50="",E50="",G50="",K50="",M50="",O50="",Q50="",S50="",Z50="",AD50="",AF50="",AH50="",AJ50=""),"",ROUND(AH50+AJ50,2))</f>
        <v/>
      </c>
      <c r="AM50" s="1002"/>
      <c r="AN50" s="1002"/>
      <c r="AO50" s="1003" t="str">
        <f t="shared" ref="AO50" si="45">IF(OR(C50="",E50="",G50="",K50="",M50="",O50="",Q50="",S50="",Z50="",AD50="",AF50="",AH50="",AJ50=""),"",IF(BA50-BB50&lt;=0,0,BA50-BB50))</f>
        <v/>
      </c>
      <c r="AP50" s="1004"/>
      <c r="AQ50" s="1005"/>
      <c r="AR50" s="996" t="str">
        <f>IF(OR(C50="",E50="",G50="",K50="",M50="",O50="",Q50="",S50="",Z50="",AD50="",AF50="",AH50="",AJ50=""),"", IF(BL50&lt;&gt;"", BL50, IF(BN50&gt;0,BN50, IF(ACTIVEBLOCK="Yes",ROUND(MIN(AL50*0.75,AO50*BLOCKBIDRATE),2),ROUND(MIN(AL50*0.75,BG50),2)))))</f>
        <v/>
      </c>
      <c r="AS50" s="996"/>
      <c r="AT50" s="996"/>
      <c r="AU50" s="996"/>
      <c r="AX50" s="973" t="str">
        <f>IFERROR(IF(OR(C50="",E50="",G50="",K50="",M50="",O50="",Q50="",S50="",Z50="",AD50="",AF50="",AH50="",AJ50=""),"",
ROUND(((1+ELOSS)*((AO50*INDEX(ELECCB[NPV AEC $/kWh],MATCH(BC50,ELECCB[Year Number],1)))+(BE50*INDEX(ELECCB[NPV ACC $/kW],MATCH(BC50,ELECCB[Year Number],1))))/AL50),2)),0)</f>
        <v/>
      </c>
      <c r="AY50" s="973" t="str">
        <f>IFERROR(AL50/M02S04F06/AO50,"")</f>
        <v/>
      </c>
      <c r="AZ50" s="966" t="str">
        <f>IF(S50="","",
_xlfn.LET( _xlpm.Unit, INDEX(CMLIGHTEFF[Unit],MATCH(S50,CMLIGHTEFF[Eff Desc 1],0)),
IFERROR(_xlpm.Unit,"")))</f>
        <v/>
      </c>
      <c r="BA50" s="975" t="str">
        <f>IF(OR(C50="",E50="",G50="",K50="",M50="",O50="",Q50="",S50="",Z50="",AD50="",AF50="",AH50="",AJ50=""),"",
IF(OR(ISNUMBER(SEARCH("Exterior",E50)),ISNUMBER(SEARCH("Garage",E50)),M02S04F22="Unconditioned",M02S04F22="Electric Heat Only",M02S04F22="Natural Gas Heat Only"),ROUND(M50*O50*Q50/1000,4),
ROUND(M50*O50*Q50/1000*INDEX(BUILDINGTYPE[Waste Heat Factor (e)],MATCH(M02S04F19,BUILDINGTYPE[Building Type],0)),4)))</f>
        <v/>
      </c>
      <c r="BB50" s="975" t="str">
        <f>IF(OR(C50="",E50="",G50="",K50="",M50="",O50="",Q50="",S50="",Z50="",AD50="",AF50="",AH50="",AJ50=""),"",
IF(OR(ISNUMBER(SEARCH("Exterior",E50)),ISNUMBER(SEARCH("Garage",E50)),M02S04F22="Unconditioned",M02S04F22="Electric Heat Only",M02S04F22="Natural Gas Heat Only"),ROUND(AD50*AF50*Q50/1000,4),
ROUND(AD50*AF50*Q50/1000*INDEX(BUILDINGTYPE[Waste Heat Factor (e)],MATCH(M02S04F19,BUILDINGTYPE[Building Type],0)),4)))</f>
        <v/>
      </c>
      <c r="BC50" s="977" t="str">
        <f>IF(OR(G50="",S50=""),"",IF(INDEX(CMLIGHTEFF[EUL],MATCH(S50,CMLIGHTEFF[Eff Desc 1],0))="","",INDEX(CMLIGHTEFF[EUL],MATCH(S50,CMLIGHTEFF[Eff Desc 1],0))))</f>
        <v/>
      </c>
      <c r="BD50" s="979" t="str">
        <f t="shared" ref="BD50" si="46">IF(OR(E50="",G50="",S50=""),"",IF(ISNUMBER(SEARCH("24/7",E50)),"Ext Lighting w/ Peak ",IF(E50="Interior","Interior Lighting",IF(OR(E50="Garage",E50="Exterior"),"Ext Lighting w/o Peak","Err"))))</f>
        <v/>
      </c>
      <c r="BE50" s="971" t="str">
        <f>IFERROR(IF(OR(C50="",E50="",G50="",K50="",M50="",O50="",Q50="",Z50="",AD50="",AF50="",AH50="",AJ50=""),"",ROUND(AO50*INDEX(ENDUSEALL[Factor],MATCH(BD50,ENDUSEALL[End Use to Coincident Peak Demand Factors],0)),4)),"")</f>
        <v/>
      </c>
      <c r="BF50" s="971" t="str">
        <f>IFERROR(IF(OR(C50="",E50="",G50="",K50="",M50="",O50="",Q50="",Z50="",AD50="",AF50="",AH50="",AJ50=""),"",IF(OR(E50="Garage",E50="Exterior"),0,
IF(OR(ISNUMBER(SEARCH("Garage",E50)),M02S04F22="Unconditioned",M02S04F22="Electric Heat Only",M02S04F22="Natural Gas Heat Only"),ROUND((((M50*O50)-(AD50*AF50))/1000)*INDEX(BUILDINGTYPE[Lighting Coincidence Factor],MATCH(M02S04F19,BUILDINGTYPE[Building Type],0)),4),
ROUND((((M50*O50)-(AD50*AF50))/1000)*INDEX(BUILDINGTYPE[WHFd],MATCH(M02S04F19,BUILDINGTYPE[Building Type],0))*INDEX(BUILDINGTYPE[Lighting Coincidence Factor],MATCH(M02S04F19,BUILDINGTYPE[Building Type],0)),4)))),"")</f>
        <v/>
      </c>
      <c r="BG50" s="963" t="str">
        <f t="shared" ref="BG50" si="47">IFERROR(ROUND(AO50*BH50,2),"")</f>
        <v/>
      </c>
      <c r="BH50" s="963" t="str">
        <f>_xlfn.LET(_xlpm.ROWS,MATCH(BD50,ENDUSEALL[End Use to Coincident Peak Demand Factors],0),IFERROR(INDEX(IF(AND(ACTIVEBONUS = TRUE,INDEX(ENDUSEALL[Bonus Rate ($/kWh)],_xlpm.ROWS)&lt;&gt;""),ENDUSEALL[Bonus Rate ($/kWh)],ENDUSEALL[Rate ($/kWh)]),_xlpm.ROWS),""))</f>
        <v/>
      </c>
      <c r="BI50" s="963" t="str">
        <f>_xlfn.LET(_xlpm.BONUS_RATE,INDEX(ENDUSEALL[Bonus Rate ($/kWh)],MATCH(BD50,ENDUSEALL[End Use to Coincident Peak Demand Factors],0)),_xlpm.BASE_RATE,INDEX(ENDUSEALL[Rate ($/kWh)],MATCH(BD50,ENDUSEALL[End Use to Coincident Peak Demand Factors],0)),IFERROR(IF(OR(ACTIVEBONUS &lt;&gt; TRUE,ISNUMBER(AR50) = FALSE,BN50 &lt;&gt; ""),"",AR50-(AO50*_xlpm.BASE_RATE)),""))</f>
        <v/>
      </c>
      <c r="BJ50" s="964" t="str">
        <f>IF(OR(C50="",E50="",G50="",K50="",M50="",O50="",Q50="",Z50="",AD50="",AF50="",AH50="",AJ50=""),"",IF(BL50&lt;&gt;"",SPILLOVERNUMBER,
221&amp;INDEX(LOCATIONTYPE[Measure Number],MATCH(E50,LOCATIONTYPE[Location Type],0))&amp;INDEX(ENDUSEALL[Measure Number Indicator],MATCH(BD50,ENDUSEALL[End Use to Coincident Peak Demand Factors],0))&amp;INDEX(CMLIGHTEFF[Measure Number],MATCH(S50,CMLIGHTEFF[Eff Desc 1],0))))</f>
        <v/>
      </c>
      <c r="BK50" s="966" t="str">
        <f>IFERROR(IF(BN50="", IF(AND(ROUND(AR50/AL50,2)=TOTCOSTCAP, BG50/AL50&gt;TOTCOSTCAP),"75% Total Cost",
IF(FALSE,"100% Incremental Cost",
IF(BH50&lt;KWHRATEMIN, "kWh Incentive Rate Min",
IF(BH50&gt;KWHRATEMAX,"kWh Incentive Rate Cap",
IF(AR50=BI50,"Bonus Incentive",
"kWh Incentive"))))), ""),"")</f>
        <v/>
      </c>
      <c r="BL50" s="966" t="str">
        <f ca="1">IFERROR(
IF(EXPIRATION&lt;&gt;"",PROJSTATEXP,
IF(BN50&gt;0,"",
IF(OR(M02S04F06="",M02S04F06="Select Rate Code",M02S04F06=0),MEASURERATE,
IF(M02S04F19="",MEASUREBLDG,
IF(BA50-BB50&lt;=0,MEASURESAVE,
IF(PAYCUSE&lt;PAYBACKREQ,PROJECTSTATPAYBACK,
IF(CBCUSE&lt;CBREQ,PROJECTSTATCB,""))))))),
MEASURESUBMIT)</f>
        <v>Enter Utility Rate (Building Info Tab)</v>
      </c>
      <c r="BM50" s="963" t="str">
        <f>IFERROR(IF(OR(C50="",E50="",G50="",K50="",M50="",O50="",Q50="",Z50="",AD50="",AF50="",AH50="",AJ50=""),"",
ROUND(((1+ELOSS)*((AO50*INDEX(ELECCB[NPV AEC $/kWh],MATCH(BC50,ELECCB[Year Number],1)))+(BE50*INDEX(ELECCB[NPV ACC $/kW],MATCH(BC50,ELECCB[Year Number],1))))),2)),0)</f>
        <v/>
      </c>
      <c r="BN50" s="968"/>
    </row>
    <row r="51" spans="2:66" ht="15.95" customHeight="1">
      <c r="B51" s="806"/>
      <c r="C51" s="1015"/>
      <c r="D51" s="1015"/>
      <c r="E51" s="1015"/>
      <c r="F51" s="1020"/>
      <c r="G51" s="1014"/>
      <c r="H51" s="1015"/>
      <c r="I51" s="1015"/>
      <c r="J51" s="1015"/>
      <c r="K51" s="1015"/>
      <c r="L51" s="1015"/>
      <c r="M51" s="1011"/>
      <c r="N51" s="1011"/>
      <c r="O51" s="1017"/>
      <c r="P51" s="1017"/>
      <c r="Q51" s="1042"/>
      <c r="R51" s="1043"/>
      <c r="S51" s="1044"/>
      <c r="T51" s="1015"/>
      <c r="U51" s="1015"/>
      <c r="V51" s="1015"/>
      <c r="W51" s="991"/>
      <c r="X51" s="992"/>
      <c r="Y51" s="992"/>
      <c r="Z51" s="991"/>
      <c r="AA51" s="992"/>
      <c r="AB51" s="992"/>
      <c r="AC51" s="993"/>
      <c r="AD51" s="1011"/>
      <c r="AE51" s="1011"/>
      <c r="AF51" s="1009"/>
      <c r="AG51" s="1010"/>
      <c r="AH51" s="998"/>
      <c r="AI51" s="999"/>
      <c r="AJ51" s="999"/>
      <c r="AK51" s="1000"/>
      <c r="AL51" s="1001"/>
      <c r="AM51" s="1002"/>
      <c r="AN51" s="1002"/>
      <c r="AO51" s="1006"/>
      <c r="AP51" s="1007"/>
      <c r="AQ51" s="1008"/>
      <c r="AR51" s="997"/>
      <c r="AS51" s="997"/>
      <c r="AT51" s="997"/>
      <c r="AU51" s="997"/>
      <c r="AX51" s="974"/>
      <c r="AY51" s="974"/>
      <c r="AZ51" s="967"/>
      <c r="BA51" s="976"/>
      <c r="BB51" s="976"/>
      <c r="BC51" s="978"/>
      <c r="BD51" s="980"/>
      <c r="BE51" s="972"/>
      <c r="BF51" s="972"/>
      <c r="BG51" s="830"/>
      <c r="BH51" s="830"/>
      <c r="BI51" s="830"/>
      <c r="BJ51" s="965"/>
      <c r="BK51" s="967"/>
      <c r="BL51" s="967"/>
      <c r="BM51" s="830"/>
      <c r="BN51" s="969"/>
    </row>
    <row r="52" spans="2:66" ht="15.95" customHeight="1">
      <c r="B52" s="806">
        <v>18</v>
      </c>
      <c r="C52" s="1015"/>
      <c r="D52" s="1015"/>
      <c r="E52" s="1015"/>
      <c r="F52" s="1020"/>
      <c r="G52" s="1014"/>
      <c r="H52" s="1015"/>
      <c r="I52" s="1015"/>
      <c r="J52" s="1015"/>
      <c r="K52" s="1015"/>
      <c r="L52" s="1015"/>
      <c r="M52" s="1011"/>
      <c r="N52" s="1011"/>
      <c r="O52" s="1017" t="str">
        <f>IFERROR(IF(G52="","",INDEX(CMLIGHTBASE[Base Watt 1],MATCH(G52,CMLIGHTBASE[Base Desc 1],0))),"")</f>
        <v/>
      </c>
      <c r="P52" s="1017"/>
      <c r="Q52" s="1042"/>
      <c r="R52" s="1043"/>
      <c r="S52" s="1044"/>
      <c r="T52" s="1015"/>
      <c r="U52" s="1015"/>
      <c r="V52" s="1015"/>
      <c r="W52" s="988"/>
      <c r="X52" s="989"/>
      <c r="Y52" s="989"/>
      <c r="Z52" s="988"/>
      <c r="AA52" s="989"/>
      <c r="AB52" s="989"/>
      <c r="AC52" s="990"/>
      <c r="AD52" s="1011"/>
      <c r="AE52" s="1011"/>
      <c r="AF52" s="1009"/>
      <c r="AG52" s="1010"/>
      <c r="AH52" s="998"/>
      <c r="AI52" s="999"/>
      <c r="AJ52" s="999"/>
      <c r="AK52" s="1000"/>
      <c r="AL52" s="1001" t="str">
        <f>IF(OR(C52="",E52="",G52="",K52="",M52="",O52="",Q52="",S52="",Z52="",AD52="",AF52="",AH52="",AJ52=""),"",ROUND(AH52+AJ52,2))</f>
        <v/>
      </c>
      <c r="AM52" s="1002"/>
      <c r="AN52" s="1002"/>
      <c r="AO52" s="1003" t="str">
        <f t="shared" ref="AO52" si="48">IF(OR(C52="",E52="",G52="",K52="",M52="",O52="",Q52="",S52="",Z52="",AD52="",AF52="",AH52="",AJ52=""),"",IF(BA52-BB52&lt;=0,0,BA52-BB52))</f>
        <v/>
      </c>
      <c r="AP52" s="1004"/>
      <c r="AQ52" s="1005"/>
      <c r="AR52" s="996" t="str">
        <f>IF(OR(C52="",E52="",G52="",K52="",M52="",O52="",Q52="",S52="",Z52="",AD52="",AF52="",AH52="",AJ52=""),"", IF(BL52&lt;&gt;"", BL52, IF(BN52&gt;0,BN52, IF(ACTIVEBLOCK="Yes",ROUND(MIN(AL52*0.75,AO52*BLOCKBIDRATE),2),ROUND(MIN(AL52*0.75,BG52),2)))))</f>
        <v/>
      </c>
      <c r="AS52" s="996"/>
      <c r="AT52" s="996"/>
      <c r="AU52" s="996"/>
      <c r="AX52" s="973" t="str">
        <f>IFERROR(IF(OR(C52="",E52="",G52="",K52="",M52="",O52="",Q52="",S52="",Z52="",AD52="",AF52="",AH52="",AJ52=""),"",
ROUND(((1+ELOSS)*((AO52*INDEX(ELECCB[NPV AEC $/kWh],MATCH(BC52,ELECCB[Year Number],1)))+(BE52*INDEX(ELECCB[NPV ACC $/kW],MATCH(BC52,ELECCB[Year Number],1))))/AL52),2)),0)</f>
        <v/>
      </c>
      <c r="AY52" s="973" t="str">
        <f>IFERROR(AL52/M02S04F06/AO52,"")</f>
        <v/>
      </c>
      <c r="AZ52" s="966" t="str">
        <f>IF(S52="","",
_xlfn.LET( _xlpm.Unit, INDEX(CMLIGHTEFF[Unit],MATCH(S52,CMLIGHTEFF[Eff Desc 1],0)),
IFERROR(_xlpm.Unit,"")))</f>
        <v/>
      </c>
      <c r="BA52" s="975" t="str">
        <f>IF(OR(C52="",E52="",G52="",K52="",M52="",O52="",Q52="",S52="",Z52="",AD52="",AF52="",AH52="",AJ52=""),"",
IF(OR(ISNUMBER(SEARCH("Exterior",E52)),ISNUMBER(SEARCH("Garage",E52)),M02S04F22="Unconditioned",M02S04F22="Electric Heat Only",M02S04F22="Natural Gas Heat Only"),ROUND(M52*O52*Q52/1000,4),
ROUND(M52*O52*Q52/1000*INDEX(BUILDINGTYPE[Waste Heat Factor (e)],MATCH(M02S04F19,BUILDINGTYPE[Building Type],0)),4)))</f>
        <v/>
      </c>
      <c r="BB52" s="975" t="str">
        <f>IF(OR(C52="",E52="",G52="",K52="",M52="",O52="",Q52="",S52="",Z52="",AD52="",AF52="",AH52="",AJ52=""),"",
IF(OR(ISNUMBER(SEARCH("Exterior",E52)),ISNUMBER(SEARCH("Garage",E52)),M02S04F22="Unconditioned",M02S04F22="Electric Heat Only",M02S04F22="Natural Gas Heat Only"),ROUND(AD52*AF52*Q52/1000,4),
ROUND(AD52*AF52*Q52/1000*INDEX(BUILDINGTYPE[Waste Heat Factor (e)],MATCH(M02S04F19,BUILDINGTYPE[Building Type],0)),4)))</f>
        <v/>
      </c>
      <c r="BC52" s="977" t="str">
        <f>IF(OR(G52="",S52=""),"",IF(INDEX(CMLIGHTEFF[EUL],MATCH(S52,CMLIGHTEFF[Eff Desc 1],0))="","",INDEX(CMLIGHTEFF[EUL],MATCH(S52,CMLIGHTEFF[Eff Desc 1],0))))</f>
        <v/>
      </c>
      <c r="BD52" s="979" t="str">
        <f t="shared" ref="BD52" si="49">IF(OR(E52="",G52="",S52=""),"",IF(ISNUMBER(SEARCH("24/7",E52)),"Ext Lighting w/ Peak ",IF(E52="Interior","Interior Lighting",IF(OR(E52="Garage",E52="Exterior"),"Ext Lighting w/o Peak","Err"))))</f>
        <v/>
      </c>
      <c r="BE52" s="971" t="str">
        <f>IFERROR(IF(OR(C52="",E52="",G52="",K52="",M52="",O52="",Q52="",Z52="",AD52="",AF52="",AH52="",AJ52=""),"",ROUND(AO52*INDEX(ENDUSEALL[Factor],MATCH(BD52,ENDUSEALL[End Use to Coincident Peak Demand Factors],0)),4)),"")</f>
        <v/>
      </c>
      <c r="BF52" s="971" t="str">
        <f>IFERROR(IF(OR(C52="",E52="",G52="",K52="",M52="",O52="",Q52="",Z52="",AD52="",AF52="",AH52="",AJ52=""),"",IF(OR(E52="Garage",E52="Exterior"),0,
IF(OR(ISNUMBER(SEARCH("Garage",E52)),M02S04F22="Unconditioned",M02S04F22="Electric Heat Only",M02S04F22="Natural Gas Heat Only"),ROUND((((M52*O52)-(AD52*AF52))/1000)*INDEX(BUILDINGTYPE[Lighting Coincidence Factor],MATCH(M02S04F19,BUILDINGTYPE[Building Type],0)),4),
ROUND((((M52*O52)-(AD52*AF52))/1000)*INDEX(BUILDINGTYPE[WHFd],MATCH(M02S04F19,BUILDINGTYPE[Building Type],0))*INDEX(BUILDINGTYPE[Lighting Coincidence Factor],MATCH(M02S04F19,BUILDINGTYPE[Building Type],0)),4)))),"")</f>
        <v/>
      </c>
      <c r="BG52" s="963" t="str">
        <f t="shared" ref="BG52" si="50">IFERROR(ROUND(AO52*BH52,2),"")</f>
        <v/>
      </c>
      <c r="BH52" s="963" t="str">
        <f>_xlfn.LET(_xlpm.ROWS,MATCH(BD52,ENDUSEALL[End Use to Coincident Peak Demand Factors],0),IFERROR(INDEX(IF(AND(ACTIVEBONUS = TRUE,INDEX(ENDUSEALL[Bonus Rate ($/kWh)],_xlpm.ROWS)&lt;&gt;""),ENDUSEALL[Bonus Rate ($/kWh)],ENDUSEALL[Rate ($/kWh)]),_xlpm.ROWS),""))</f>
        <v/>
      </c>
      <c r="BI52" s="963" t="str">
        <f>_xlfn.LET(_xlpm.BONUS_RATE,INDEX(ENDUSEALL[Bonus Rate ($/kWh)],MATCH(BD52,ENDUSEALL[End Use to Coincident Peak Demand Factors],0)),_xlpm.BASE_RATE,INDEX(ENDUSEALL[Rate ($/kWh)],MATCH(BD52,ENDUSEALL[End Use to Coincident Peak Demand Factors],0)),IFERROR(IF(OR(ACTIVEBONUS &lt;&gt; TRUE,ISNUMBER(AR52) = FALSE,BN52 &lt;&gt; ""),"",AR52-(AO52*_xlpm.BASE_RATE)),""))</f>
        <v/>
      </c>
      <c r="BJ52" s="964" t="str">
        <f>IF(OR(C52="",E52="",G52="",K52="",M52="",O52="",Q52="",Z52="",AD52="",AF52="",AH52="",AJ52=""),"",IF(BL52&lt;&gt;"",SPILLOVERNUMBER,
221&amp;INDEX(LOCATIONTYPE[Measure Number],MATCH(E52,LOCATIONTYPE[Location Type],0))&amp;INDEX(ENDUSEALL[Measure Number Indicator],MATCH(BD52,ENDUSEALL[End Use to Coincident Peak Demand Factors],0))&amp;INDEX(CMLIGHTEFF[Measure Number],MATCH(S52,CMLIGHTEFF[Eff Desc 1],0))))</f>
        <v/>
      </c>
      <c r="BK52" s="966" t="str">
        <f>IFERROR(IF(BN52="", IF(AND(ROUND(AR52/AL52,2)=TOTCOSTCAP, BG52/AL52&gt;TOTCOSTCAP),"75% Total Cost",
IF(FALSE,"100% Incremental Cost",
IF(BH52&lt;KWHRATEMIN, "kWh Incentive Rate Min",
IF(BH52&gt;KWHRATEMAX,"kWh Incentive Rate Cap",
IF(AR52=BI52,"Bonus Incentive",
"kWh Incentive"))))), ""),"")</f>
        <v/>
      </c>
      <c r="BL52" s="966" t="str">
        <f ca="1">IFERROR(
IF(EXPIRATION&lt;&gt;"",PROJSTATEXP,
IF(BN52&gt;0,"",
IF(OR(M02S04F06="",M02S04F06="Select Rate Code",M02S04F06=0),MEASURERATE,
IF(M02S04F19="",MEASUREBLDG,
IF(BA52-BB52&lt;=0,MEASURESAVE,
IF(PAYCUSE&lt;PAYBACKREQ,PROJECTSTATPAYBACK,
IF(CBCUSE&lt;CBREQ,PROJECTSTATCB,""))))))),
MEASURESUBMIT)</f>
        <v>Enter Utility Rate (Building Info Tab)</v>
      </c>
      <c r="BM52" s="963" t="str">
        <f>IFERROR(IF(OR(C52="",E52="",G52="",K52="",M52="",O52="",Q52="",Z52="",AD52="",AF52="",AH52="",AJ52=""),"",
ROUND(((1+ELOSS)*((AO52*INDEX(ELECCB[NPV AEC $/kWh],MATCH(BC52,ELECCB[Year Number],1)))+(BE52*INDEX(ELECCB[NPV ACC $/kW],MATCH(BC52,ELECCB[Year Number],1))))),2)),0)</f>
        <v/>
      </c>
      <c r="BN52" s="968"/>
    </row>
    <row r="53" spans="2:66" ht="15.95" customHeight="1">
      <c r="B53" s="806"/>
      <c r="C53" s="1015"/>
      <c r="D53" s="1015"/>
      <c r="E53" s="1015"/>
      <c r="F53" s="1020"/>
      <c r="G53" s="1014"/>
      <c r="H53" s="1015"/>
      <c r="I53" s="1015"/>
      <c r="J53" s="1015"/>
      <c r="K53" s="1015"/>
      <c r="L53" s="1015"/>
      <c r="M53" s="1011"/>
      <c r="N53" s="1011"/>
      <c r="O53" s="1017"/>
      <c r="P53" s="1017"/>
      <c r="Q53" s="1042"/>
      <c r="R53" s="1043"/>
      <c r="S53" s="1044"/>
      <c r="T53" s="1015"/>
      <c r="U53" s="1015"/>
      <c r="V53" s="1015"/>
      <c r="W53" s="991"/>
      <c r="X53" s="992"/>
      <c r="Y53" s="992"/>
      <c r="Z53" s="991"/>
      <c r="AA53" s="992"/>
      <c r="AB53" s="992"/>
      <c r="AC53" s="993"/>
      <c r="AD53" s="1011"/>
      <c r="AE53" s="1011"/>
      <c r="AF53" s="1009"/>
      <c r="AG53" s="1010"/>
      <c r="AH53" s="998"/>
      <c r="AI53" s="999"/>
      <c r="AJ53" s="999"/>
      <c r="AK53" s="1000"/>
      <c r="AL53" s="1001"/>
      <c r="AM53" s="1002"/>
      <c r="AN53" s="1002"/>
      <c r="AO53" s="1006"/>
      <c r="AP53" s="1007"/>
      <c r="AQ53" s="1008"/>
      <c r="AR53" s="997"/>
      <c r="AS53" s="997"/>
      <c r="AT53" s="997"/>
      <c r="AU53" s="997"/>
      <c r="AX53" s="974"/>
      <c r="AY53" s="974"/>
      <c r="AZ53" s="967"/>
      <c r="BA53" s="976"/>
      <c r="BB53" s="976"/>
      <c r="BC53" s="978"/>
      <c r="BD53" s="980"/>
      <c r="BE53" s="972"/>
      <c r="BF53" s="972"/>
      <c r="BG53" s="830"/>
      <c r="BH53" s="830"/>
      <c r="BI53" s="830"/>
      <c r="BJ53" s="965"/>
      <c r="BK53" s="967"/>
      <c r="BL53" s="967"/>
      <c r="BM53" s="830"/>
      <c r="BN53" s="969"/>
    </row>
    <row r="54" spans="2:66" ht="15.95" customHeight="1">
      <c r="B54" s="806">
        <v>19</v>
      </c>
      <c r="C54" s="1015"/>
      <c r="D54" s="1015"/>
      <c r="E54" s="1015"/>
      <c r="F54" s="1020"/>
      <c r="G54" s="1014"/>
      <c r="H54" s="1015"/>
      <c r="I54" s="1015"/>
      <c r="J54" s="1015"/>
      <c r="K54" s="1015"/>
      <c r="L54" s="1015"/>
      <c r="M54" s="1011"/>
      <c r="N54" s="1011"/>
      <c r="O54" s="1017" t="str">
        <f>IFERROR(IF(G54="","",INDEX(CMLIGHTBASE[Base Watt 1],MATCH(G54,CMLIGHTBASE[Base Desc 1],0))),"")</f>
        <v/>
      </c>
      <c r="P54" s="1017"/>
      <c r="Q54" s="1042"/>
      <c r="R54" s="1043"/>
      <c r="S54" s="1044"/>
      <c r="T54" s="1015"/>
      <c r="U54" s="1015"/>
      <c r="V54" s="1015"/>
      <c r="W54" s="988"/>
      <c r="X54" s="989"/>
      <c r="Y54" s="989"/>
      <c r="Z54" s="988"/>
      <c r="AA54" s="989"/>
      <c r="AB54" s="989"/>
      <c r="AC54" s="990"/>
      <c r="AD54" s="1011"/>
      <c r="AE54" s="1011"/>
      <c r="AF54" s="1009"/>
      <c r="AG54" s="1010"/>
      <c r="AH54" s="998"/>
      <c r="AI54" s="999"/>
      <c r="AJ54" s="999"/>
      <c r="AK54" s="1000"/>
      <c r="AL54" s="1001" t="str">
        <f>IF(OR(C54="",E54="",G54="",K54="",M54="",O54="",Q54="",S54="",Z54="",AD54="",AF54="",AH54="",AJ54=""),"",ROUND(AH54+AJ54,2))</f>
        <v/>
      </c>
      <c r="AM54" s="1002"/>
      <c r="AN54" s="1002"/>
      <c r="AO54" s="1003" t="str">
        <f t="shared" ref="AO54" si="51">IF(OR(C54="",E54="",G54="",K54="",M54="",O54="",Q54="",S54="",Z54="",AD54="",AF54="",AH54="",AJ54=""),"",IF(BA54-BB54&lt;=0,0,BA54-BB54))</f>
        <v/>
      </c>
      <c r="AP54" s="1004"/>
      <c r="AQ54" s="1005"/>
      <c r="AR54" s="996" t="str">
        <f>IF(OR(C54="",E54="",G54="",K54="",M54="",O54="",Q54="",S54="",Z54="",AD54="",AF54="",AH54="",AJ54=""),"", IF(BL54&lt;&gt;"", BL54, IF(BN54&gt;0,BN54, IF(ACTIVEBLOCK="Yes",ROUND(MIN(AL54*0.75,AO54*BLOCKBIDRATE),2),ROUND(MIN(AL54*0.75,BG54),2)))))</f>
        <v/>
      </c>
      <c r="AS54" s="996"/>
      <c r="AT54" s="996"/>
      <c r="AU54" s="996"/>
      <c r="AX54" s="973" t="str">
        <f>IFERROR(IF(OR(C54="",E54="",G54="",K54="",M54="",O54="",Q54="",S54="",Z54="",AD54="",AF54="",AH54="",AJ54=""),"",
ROUND(((1+ELOSS)*((AO54*INDEX(ELECCB[NPV AEC $/kWh],MATCH(BC54,ELECCB[Year Number],1)))+(BE54*INDEX(ELECCB[NPV ACC $/kW],MATCH(BC54,ELECCB[Year Number],1))))/AL54),2)),0)</f>
        <v/>
      </c>
      <c r="AY54" s="973" t="str">
        <f>IFERROR(AL54/M02S04F06/AO54,"")</f>
        <v/>
      </c>
      <c r="AZ54" s="966" t="str">
        <f>IF(S54="","",
_xlfn.LET( _xlpm.Unit, INDEX(CMLIGHTEFF[Unit],MATCH(S54,CMLIGHTEFF[Eff Desc 1],0)),
IFERROR(_xlpm.Unit,"")))</f>
        <v/>
      </c>
      <c r="BA54" s="975" t="str">
        <f>IF(OR(C54="",E54="",G54="",K54="",M54="",O54="",Q54="",S54="",Z54="",AD54="",AF54="",AH54="",AJ54=""),"",
IF(OR(ISNUMBER(SEARCH("Exterior",E54)),ISNUMBER(SEARCH("Garage",E54)),M02S04F22="Unconditioned",M02S04F22="Electric Heat Only",M02S04F22="Natural Gas Heat Only"),ROUND(M54*O54*Q54/1000,4),
ROUND(M54*O54*Q54/1000*INDEX(BUILDINGTYPE[Waste Heat Factor (e)],MATCH(M02S04F19,BUILDINGTYPE[Building Type],0)),4)))</f>
        <v/>
      </c>
      <c r="BB54" s="975" t="str">
        <f>IF(OR(C54="",E54="",G54="",K54="",M54="",O54="",Q54="",S54="",Z54="",AD54="",AF54="",AH54="",AJ54=""),"",
IF(OR(ISNUMBER(SEARCH("Exterior",E54)),ISNUMBER(SEARCH("Garage",E54)),M02S04F22="Unconditioned",M02S04F22="Electric Heat Only",M02S04F22="Natural Gas Heat Only"),ROUND(AD54*AF54*Q54/1000,4),
ROUND(AD54*AF54*Q54/1000*INDEX(BUILDINGTYPE[Waste Heat Factor (e)],MATCH(M02S04F19,BUILDINGTYPE[Building Type],0)),4)))</f>
        <v/>
      </c>
      <c r="BC54" s="977" t="str">
        <f>IF(OR(G54="",S54=""),"",IF(INDEX(CMLIGHTEFF[EUL],MATCH(S54,CMLIGHTEFF[Eff Desc 1],0))="","",INDEX(CMLIGHTEFF[EUL],MATCH(S54,CMLIGHTEFF[Eff Desc 1],0))))</f>
        <v/>
      </c>
      <c r="BD54" s="979" t="str">
        <f t="shared" ref="BD54" si="52">IF(OR(E54="",G54="",S54=""),"",IF(ISNUMBER(SEARCH("24/7",E54)),"Ext Lighting w/ Peak ",IF(E54="Interior","Interior Lighting",IF(OR(E54="Garage",E54="Exterior"),"Ext Lighting w/o Peak","Err"))))</f>
        <v/>
      </c>
      <c r="BE54" s="971" t="str">
        <f>IFERROR(IF(OR(C54="",E54="",G54="",K54="",M54="",O54="",Q54="",Z54="",AD54="",AF54="",AH54="",AJ54=""),"",ROUND(AO54*INDEX(ENDUSEALL[Factor],MATCH(BD54,ENDUSEALL[End Use to Coincident Peak Demand Factors],0)),4)),"")</f>
        <v/>
      </c>
      <c r="BF54" s="971" t="str">
        <f>IFERROR(IF(OR(C54="",E54="",G54="",K54="",M54="",O54="",Q54="",Z54="",AD54="",AF54="",AH54="",AJ54=""),"",IF(OR(E54="Garage",E54="Exterior"),0,
IF(OR(ISNUMBER(SEARCH("Garage",E54)),M02S04F22="Unconditioned",M02S04F22="Electric Heat Only",M02S04F22="Natural Gas Heat Only"),ROUND((((M54*O54)-(AD54*AF54))/1000)*INDEX(BUILDINGTYPE[Lighting Coincidence Factor],MATCH(M02S04F19,BUILDINGTYPE[Building Type],0)),4),
ROUND((((M54*O54)-(AD54*AF54))/1000)*INDEX(BUILDINGTYPE[WHFd],MATCH(M02S04F19,BUILDINGTYPE[Building Type],0))*INDEX(BUILDINGTYPE[Lighting Coincidence Factor],MATCH(M02S04F19,BUILDINGTYPE[Building Type],0)),4)))),"")</f>
        <v/>
      </c>
      <c r="BG54" s="963" t="str">
        <f t="shared" ref="BG54" si="53">IFERROR(ROUND(AO54*BH54,2),"")</f>
        <v/>
      </c>
      <c r="BH54" s="963" t="str">
        <f>_xlfn.LET(_xlpm.ROWS,MATCH(BD54,ENDUSEALL[End Use to Coincident Peak Demand Factors],0),IFERROR(INDEX(IF(AND(ACTIVEBONUS = TRUE,INDEX(ENDUSEALL[Bonus Rate ($/kWh)],_xlpm.ROWS)&lt;&gt;""),ENDUSEALL[Bonus Rate ($/kWh)],ENDUSEALL[Rate ($/kWh)]),_xlpm.ROWS),""))</f>
        <v/>
      </c>
      <c r="BI54" s="963" t="str">
        <f>_xlfn.LET(_xlpm.BONUS_RATE,INDEX(ENDUSEALL[Bonus Rate ($/kWh)],MATCH(BD54,ENDUSEALL[End Use to Coincident Peak Demand Factors],0)),_xlpm.BASE_RATE,INDEX(ENDUSEALL[Rate ($/kWh)],MATCH(BD54,ENDUSEALL[End Use to Coincident Peak Demand Factors],0)),IFERROR(IF(OR(ACTIVEBONUS &lt;&gt; TRUE,ISNUMBER(AR54) = FALSE,BN54 &lt;&gt; ""),"",AR54-(AO54*_xlpm.BASE_RATE)),""))</f>
        <v/>
      </c>
      <c r="BJ54" s="964" t="str">
        <f>IF(OR(C54="",E54="",G54="",K54="",M54="",O54="",Q54="",Z54="",AD54="",AF54="",AH54="",AJ54=""),"",IF(BL54&lt;&gt;"",SPILLOVERNUMBER,
221&amp;INDEX(LOCATIONTYPE[Measure Number],MATCH(E54,LOCATIONTYPE[Location Type],0))&amp;INDEX(ENDUSEALL[Measure Number Indicator],MATCH(BD54,ENDUSEALL[End Use to Coincident Peak Demand Factors],0))&amp;INDEX(CMLIGHTEFF[Measure Number],MATCH(S54,CMLIGHTEFF[Eff Desc 1],0))))</f>
        <v/>
      </c>
      <c r="BK54" s="966" t="str">
        <f>IFERROR(IF(BN54="", IF(AND(ROUND(AR54/AL54,2)=TOTCOSTCAP, BG54/AL54&gt;TOTCOSTCAP),"75% Total Cost",
IF(FALSE,"100% Incremental Cost",
IF(BH54&lt;KWHRATEMIN, "kWh Incentive Rate Min",
IF(BH54&gt;KWHRATEMAX,"kWh Incentive Rate Cap",
IF(AR54=BI54,"Bonus Incentive",
"kWh Incentive"))))), ""),"")</f>
        <v/>
      </c>
      <c r="BL54" s="966" t="str">
        <f ca="1">IFERROR(
IF(EXPIRATION&lt;&gt;"",PROJSTATEXP,
IF(BN54&gt;0,"",
IF(OR(M02S04F06="",M02S04F06="Select Rate Code",M02S04F06=0),MEASURERATE,
IF(M02S04F19="",MEASUREBLDG,
IF(BA54-BB54&lt;=0,MEASURESAVE,
IF(PAYCUSE&lt;PAYBACKREQ,PROJECTSTATPAYBACK,
IF(CBCUSE&lt;CBREQ,PROJECTSTATCB,""))))))),
MEASURESUBMIT)</f>
        <v>Enter Utility Rate (Building Info Tab)</v>
      </c>
      <c r="BM54" s="963" t="str">
        <f>IFERROR(IF(OR(C54="",E54="",G54="",K54="",M54="",O54="",Q54="",Z54="",AD54="",AF54="",AH54="",AJ54=""),"",
ROUND(((1+ELOSS)*((AO54*INDEX(ELECCB[NPV AEC $/kWh],MATCH(BC54,ELECCB[Year Number],1)))+(BE54*INDEX(ELECCB[NPV ACC $/kW],MATCH(BC54,ELECCB[Year Number],1))))),2)),0)</f>
        <v/>
      </c>
      <c r="BN54" s="968"/>
    </row>
    <row r="55" spans="2:66" ht="15.95" customHeight="1">
      <c r="B55" s="806"/>
      <c r="C55" s="1015"/>
      <c r="D55" s="1015"/>
      <c r="E55" s="1015"/>
      <c r="F55" s="1020"/>
      <c r="G55" s="1014"/>
      <c r="H55" s="1015"/>
      <c r="I55" s="1015"/>
      <c r="J55" s="1015"/>
      <c r="K55" s="1015"/>
      <c r="L55" s="1015"/>
      <c r="M55" s="1011"/>
      <c r="N55" s="1011"/>
      <c r="O55" s="1017"/>
      <c r="P55" s="1017"/>
      <c r="Q55" s="1042"/>
      <c r="R55" s="1043"/>
      <c r="S55" s="1044"/>
      <c r="T55" s="1015"/>
      <c r="U55" s="1015"/>
      <c r="V55" s="1015"/>
      <c r="W55" s="991"/>
      <c r="X55" s="992"/>
      <c r="Y55" s="992"/>
      <c r="Z55" s="991"/>
      <c r="AA55" s="992"/>
      <c r="AB55" s="992"/>
      <c r="AC55" s="993"/>
      <c r="AD55" s="1011"/>
      <c r="AE55" s="1011"/>
      <c r="AF55" s="1009"/>
      <c r="AG55" s="1010"/>
      <c r="AH55" s="998"/>
      <c r="AI55" s="999"/>
      <c r="AJ55" s="999"/>
      <c r="AK55" s="1000"/>
      <c r="AL55" s="1001"/>
      <c r="AM55" s="1002"/>
      <c r="AN55" s="1002"/>
      <c r="AO55" s="1006"/>
      <c r="AP55" s="1007"/>
      <c r="AQ55" s="1008"/>
      <c r="AR55" s="997"/>
      <c r="AS55" s="997"/>
      <c r="AT55" s="997"/>
      <c r="AU55" s="997"/>
      <c r="AX55" s="974"/>
      <c r="AY55" s="974"/>
      <c r="AZ55" s="967"/>
      <c r="BA55" s="976"/>
      <c r="BB55" s="976"/>
      <c r="BC55" s="978"/>
      <c r="BD55" s="980"/>
      <c r="BE55" s="972"/>
      <c r="BF55" s="972"/>
      <c r="BG55" s="830"/>
      <c r="BH55" s="830"/>
      <c r="BI55" s="830"/>
      <c r="BJ55" s="965"/>
      <c r="BK55" s="967"/>
      <c r="BL55" s="967"/>
      <c r="BM55" s="830"/>
      <c r="BN55" s="969"/>
    </row>
    <row r="56" spans="2:66" ht="15.95" customHeight="1">
      <c r="B56" s="806">
        <v>20</v>
      </c>
      <c r="C56" s="1015"/>
      <c r="D56" s="1015"/>
      <c r="E56" s="1015"/>
      <c r="F56" s="1020"/>
      <c r="G56" s="1014"/>
      <c r="H56" s="1015"/>
      <c r="I56" s="1015"/>
      <c r="J56" s="1015"/>
      <c r="K56" s="1015"/>
      <c r="L56" s="1015"/>
      <c r="M56" s="1011"/>
      <c r="N56" s="1011"/>
      <c r="O56" s="1017" t="str">
        <f>IFERROR(IF(G56="","",INDEX(CMLIGHTBASE[Base Watt 1],MATCH(G56,CMLIGHTBASE[Base Desc 1],0))),"")</f>
        <v/>
      </c>
      <c r="P56" s="1017"/>
      <c r="Q56" s="1042"/>
      <c r="R56" s="1043"/>
      <c r="S56" s="1044"/>
      <c r="T56" s="1015"/>
      <c r="U56" s="1015"/>
      <c r="V56" s="1015"/>
      <c r="W56" s="988"/>
      <c r="X56" s="989"/>
      <c r="Y56" s="989"/>
      <c r="Z56" s="988"/>
      <c r="AA56" s="989"/>
      <c r="AB56" s="989"/>
      <c r="AC56" s="990"/>
      <c r="AD56" s="1011"/>
      <c r="AE56" s="1011"/>
      <c r="AF56" s="1009"/>
      <c r="AG56" s="1010"/>
      <c r="AH56" s="998"/>
      <c r="AI56" s="999"/>
      <c r="AJ56" s="999"/>
      <c r="AK56" s="1000"/>
      <c r="AL56" s="1001" t="str">
        <f>IF(OR(C56="",E56="",G56="",K56="",M56="",O56="",Q56="",S56="",Z56="",AD56="",AF56="",AH56="",AJ56=""),"",ROUND(AH56+AJ56,2))</f>
        <v/>
      </c>
      <c r="AM56" s="1002"/>
      <c r="AN56" s="1002"/>
      <c r="AO56" s="1003" t="str">
        <f t="shared" ref="AO56" si="54">IF(OR(C56="",E56="",G56="",K56="",M56="",O56="",Q56="",S56="",Z56="",AD56="",AF56="",AH56="",AJ56=""),"",IF(BA56-BB56&lt;=0,0,BA56-BB56))</f>
        <v/>
      </c>
      <c r="AP56" s="1004"/>
      <c r="AQ56" s="1005"/>
      <c r="AR56" s="996" t="str">
        <f>IF(OR(C56="",E56="",G56="",K56="",M56="",O56="",Q56="",S56="",Z56="",AD56="",AF56="",AH56="",AJ56=""),"", IF(BL56&lt;&gt;"", BL56, IF(BN56&gt;0,BN56, IF(ACTIVEBLOCK="Yes",ROUND(MIN(AL56*0.75,AO56*BLOCKBIDRATE),2),ROUND(MIN(AL56*0.75,BG56),2)))))</f>
        <v/>
      </c>
      <c r="AS56" s="996"/>
      <c r="AT56" s="996"/>
      <c r="AU56" s="996"/>
      <c r="AX56" s="973" t="str">
        <f>IFERROR(IF(OR(C56="",E56="",G56="",K56="",M56="",O56="",Q56="",S56="",Z56="",AD56="",AF56="",AH56="",AJ56=""),"",
ROUND(((1+ELOSS)*((AO56*INDEX(ELECCB[NPV AEC $/kWh],MATCH(BC56,ELECCB[Year Number],1)))+(BE56*INDEX(ELECCB[NPV ACC $/kW],MATCH(BC56,ELECCB[Year Number],1))))/AL56),2)),0)</f>
        <v/>
      </c>
      <c r="AY56" s="973" t="str">
        <f>IFERROR(AL56/M02S04F06/AO56,"")</f>
        <v/>
      </c>
      <c r="AZ56" s="966" t="str">
        <f>IF(S56="","",
_xlfn.LET( _xlpm.Unit, INDEX(CMLIGHTEFF[Unit],MATCH(S56,CMLIGHTEFF[Eff Desc 1],0)),
IFERROR(_xlpm.Unit,"")))</f>
        <v/>
      </c>
      <c r="BA56" s="975" t="str">
        <f>IF(OR(C56="",E56="",G56="",K56="",M56="",O56="",Q56="",S56="",Z56="",AD56="",AF56="",AH56="",AJ56=""),"",
IF(OR(ISNUMBER(SEARCH("Exterior",E56)),ISNUMBER(SEARCH("Garage",E56)),M02S04F22="Unconditioned",M02S04F22="Electric Heat Only",M02S04F22="Natural Gas Heat Only"),ROUND(M56*O56*Q56/1000,4),
ROUND(M56*O56*Q56/1000*INDEX(BUILDINGTYPE[Waste Heat Factor (e)],MATCH(M02S04F19,BUILDINGTYPE[Building Type],0)),4)))</f>
        <v/>
      </c>
      <c r="BB56" s="975" t="str">
        <f>IF(OR(C56="",E56="",G56="",K56="",M56="",O56="",Q56="",S56="",Z56="",AD56="",AF56="",AH56="",AJ56=""),"",
IF(OR(ISNUMBER(SEARCH("Exterior",E56)),ISNUMBER(SEARCH("Garage",E56)),M02S04F22="Unconditioned",M02S04F22="Electric Heat Only",M02S04F22="Natural Gas Heat Only"),ROUND(AD56*AF56*Q56/1000,4),
ROUND(AD56*AF56*Q56/1000*INDEX(BUILDINGTYPE[Waste Heat Factor (e)],MATCH(M02S04F19,BUILDINGTYPE[Building Type],0)),4)))</f>
        <v/>
      </c>
      <c r="BC56" s="977" t="str">
        <f>IF(OR(G56="",S56=""),"",IF(INDEX(CMLIGHTEFF[EUL],MATCH(S56,CMLIGHTEFF[Eff Desc 1],0))="","",INDEX(CMLIGHTEFF[EUL],MATCH(S56,CMLIGHTEFF[Eff Desc 1],0))))</f>
        <v/>
      </c>
      <c r="BD56" s="979" t="str">
        <f t="shared" ref="BD56" si="55">IF(OR(E56="",G56="",S56=""),"",IF(ISNUMBER(SEARCH("24/7",E56)),"Ext Lighting w/ Peak ",IF(E56="Interior","Interior Lighting",IF(OR(E56="Garage",E56="Exterior"),"Ext Lighting w/o Peak","Err"))))</f>
        <v/>
      </c>
      <c r="BE56" s="971" t="str">
        <f>IFERROR(IF(OR(C56="",E56="",G56="",K56="",M56="",O56="",Q56="",Z56="",AD56="",AF56="",AH56="",AJ56=""),"",ROUND(AO56*INDEX(ENDUSEALL[Factor],MATCH(BD56,ENDUSEALL[End Use to Coincident Peak Demand Factors],0)),4)),"")</f>
        <v/>
      </c>
      <c r="BF56" s="971" t="str">
        <f>IFERROR(IF(OR(C56="",E56="",G56="",K56="",M56="",O56="",Q56="",Z56="",AD56="",AF56="",AH56="",AJ56=""),"",IF(OR(E56="Garage",E56="Exterior"),0,
IF(OR(ISNUMBER(SEARCH("Garage",E56)),M02S04F22="Unconditioned",M02S04F22="Electric Heat Only",M02S04F22="Natural Gas Heat Only"),ROUND((((M56*O56)-(AD56*AF56))/1000)*INDEX(BUILDINGTYPE[Lighting Coincidence Factor],MATCH(M02S04F19,BUILDINGTYPE[Building Type],0)),4),
ROUND((((M56*O56)-(AD56*AF56))/1000)*INDEX(BUILDINGTYPE[WHFd],MATCH(M02S04F19,BUILDINGTYPE[Building Type],0))*INDEX(BUILDINGTYPE[Lighting Coincidence Factor],MATCH(M02S04F19,BUILDINGTYPE[Building Type],0)),4)))),"")</f>
        <v/>
      </c>
      <c r="BG56" s="963" t="str">
        <f t="shared" ref="BG56" si="56">IFERROR(ROUND(AO56*BH56,2),"")</f>
        <v/>
      </c>
      <c r="BH56" s="963" t="str">
        <f>_xlfn.LET(_xlpm.ROWS,MATCH(BD56,ENDUSEALL[End Use to Coincident Peak Demand Factors],0),IFERROR(INDEX(IF(AND(ACTIVEBONUS = TRUE,INDEX(ENDUSEALL[Bonus Rate ($/kWh)],_xlpm.ROWS)&lt;&gt;""),ENDUSEALL[Bonus Rate ($/kWh)],ENDUSEALL[Rate ($/kWh)]),_xlpm.ROWS),""))</f>
        <v/>
      </c>
      <c r="BI56" s="963" t="str">
        <f>_xlfn.LET(_xlpm.BONUS_RATE,INDEX(ENDUSEALL[Bonus Rate ($/kWh)],MATCH(BD56,ENDUSEALL[End Use to Coincident Peak Demand Factors],0)),_xlpm.BASE_RATE,INDEX(ENDUSEALL[Rate ($/kWh)],MATCH(BD56,ENDUSEALL[End Use to Coincident Peak Demand Factors],0)),IFERROR(IF(OR(ACTIVEBONUS &lt;&gt; TRUE,ISNUMBER(AR56) = FALSE,BN56 &lt;&gt; ""),"",AR56-(AO56*_xlpm.BASE_RATE)),""))</f>
        <v/>
      </c>
      <c r="BJ56" s="964" t="str">
        <f>IF(OR(C56="",E56="",G56="",K56="",M56="",O56="",Q56="",Z56="",AD56="",AF56="",AH56="",AJ56=""),"",IF(BL56&lt;&gt;"",SPILLOVERNUMBER,
221&amp;INDEX(LOCATIONTYPE[Measure Number],MATCH(E56,LOCATIONTYPE[Location Type],0))&amp;INDEX(ENDUSEALL[Measure Number Indicator],MATCH(BD56,ENDUSEALL[End Use to Coincident Peak Demand Factors],0))&amp;INDEX(CMLIGHTEFF[Measure Number],MATCH(S56,CMLIGHTEFF[Eff Desc 1],0))))</f>
        <v/>
      </c>
      <c r="BK56" s="966" t="str">
        <f>IFERROR(IF(BN56="", IF(AND(ROUND(AR56/AL56,2)=TOTCOSTCAP, BG56/AL56&gt;TOTCOSTCAP),"75% Total Cost",
IF(FALSE,"100% Incremental Cost",
IF(BH56&lt;KWHRATEMIN, "kWh Incentive Rate Min",
IF(BH56&gt;KWHRATEMAX,"kWh Incentive Rate Cap",
IF(AR56=BI56,"Bonus Incentive",
"kWh Incentive"))))), ""),"")</f>
        <v/>
      </c>
      <c r="BL56" s="966" t="str">
        <f ca="1">IFERROR(
IF(EXPIRATION&lt;&gt;"",PROJSTATEXP,
IF(BN56&gt;0,"",
IF(OR(M02S04F06="",M02S04F06="Select Rate Code",M02S04F06=0),MEASURERATE,
IF(M02S04F19="",MEASUREBLDG,
IF(BA56-BB56&lt;=0,MEASURESAVE,
IF(PAYCUSE&lt;PAYBACKREQ,PROJECTSTATPAYBACK,
IF(CBCUSE&lt;CBREQ,PROJECTSTATCB,""))))))),
MEASURESUBMIT)</f>
        <v>Enter Utility Rate (Building Info Tab)</v>
      </c>
      <c r="BM56" s="963" t="str">
        <f>IFERROR(IF(OR(C56="",E56="",G56="",K56="",M56="",O56="",Q56="",Z56="",AD56="",AF56="",AH56="",AJ56=""),"",
ROUND(((1+ELOSS)*((AO56*INDEX(ELECCB[NPV AEC $/kWh],MATCH(BC56,ELECCB[Year Number],1)))+(BE56*INDEX(ELECCB[NPV ACC $/kW],MATCH(BC56,ELECCB[Year Number],1))))),2)),0)</f>
        <v/>
      </c>
      <c r="BN56" s="968"/>
    </row>
    <row r="57" spans="2:66" ht="15.95" customHeight="1">
      <c r="B57" s="806"/>
      <c r="C57" s="1015"/>
      <c r="D57" s="1015"/>
      <c r="E57" s="1015"/>
      <c r="F57" s="1020"/>
      <c r="G57" s="1014"/>
      <c r="H57" s="1015"/>
      <c r="I57" s="1015"/>
      <c r="J57" s="1015"/>
      <c r="K57" s="1015"/>
      <c r="L57" s="1015"/>
      <c r="M57" s="1011"/>
      <c r="N57" s="1011"/>
      <c r="O57" s="1017"/>
      <c r="P57" s="1017"/>
      <c r="Q57" s="1042"/>
      <c r="R57" s="1043"/>
      <c r="S57" s="1044"/>
      <c r="T57" s="1015"/>
      <c r="U57" s="1015"/>
      <c r="V57" s="1015"/>
      <c r="W57" s="991"/>
      <c r="X57" s="992"/>
      <c r="Y57" s="992"/>
      <c r="Z57" s="991"/>
      <c r="AA57" s="992"/>
      <c r="AB57" s="992"/>
      <c r="AC57" s="993"/>
      <c r="AD57" s="1011"/>
      <c r="AE57" s="1011"/>
      <c r="AF57" s="1009"/>
      <c r="AG57" s="1010"/>
      <c r="AH57" s="998"/>
      <c r="AI57" s="999"/>
      <c r="AJ57" s="999"/>
      <c r="AK57" s="1000"/>
      <c r="AL57" s="1001"/>
      <c r="AM57" s="1002"/>
      <c r="AN57" s="1002"/>
      <c r="AO57" s="1006"/>
      <c r="AP57" s="1007"/>
      <c r="AQ57" s="1008"/>
      <c r="AR57" s="997"/>
      <c r="AS57" s="997"/>
      <c r="AT57" s="997"/>
      <c r="AU57" s="997"/>
      <c r="AX57" s="974"/>
      <c r="AY57" s="974"/>
      <c r="AZ57" s="967"/>
      <c r="BA57" s="976"/>
      <c r="BB57" s="976"/>
      <c r="BC57" s="978"/>
      <c r="BD57" s="980"/>
      <c r="BE57" s="972"/>
      <c r="BF57" s="972"/>
      <c r="BG57" s="830"/>
      <c r="BH57" s="830"/>
      <c r="BI57" s="830"/>
      <c r="BJ57" s="965"/>
      <c r="BK57" s="967"/>
      <c r="BL57" s="967"/>
      <c r="BM57" s="830"/>
      <c r="BN57" s="969"/>
    </row>
    <row r="58" spans="2:66" ht="15.95" customHeight="1">
      <c r="B58" s="806">
        <v>21</v>
      </c>
      <c r="C58" s="1015"/>
      <c r="D58" s="1015"/>
      <c r="E58" s="1015"/>
      <c r="F58" s="1020"/>
      <c r="G58" s="1014"/>
      <c r="H58" s="1015"/>
      <c r="I58" s="1015"/>
      <c r="J58" s="1015"/>
      <c r="K58" s="1015"/>
      <c r="L58" s="1015"/>
      <c r="M58" s="1011"/>
      <c r="N58" s="1011"/>
      <c r="O58" s="1017" t="str">
        <f>IFERROR(IF(G58="","",INDEX(CMLIGHTBASE[Base Watt 1],MATCH(G58,CMLIGHTBASE[Base Desc 1],0))),"")</f>
        <v/>
      </c>
      <c r="P58" s="1017"/>
      <c r="Q58" s="1042"/>
      <c r="R58" s="1043"/>
      <c r="S58" s="1044"/>
      <c r="T58" s="1015"/>
      <c r="U58" s="1015"/>
      <c r="V58" s="1015"/>
      <c r="W58" s="988"/>
      <c r="X58" s="989"/>
      <c r="Y58" s="989"/>
      <c r="Z58" s="988"/>
      <c r="AA58" s="989"/>
      <c r="AB58" s="989"/>
      <c r="AC58" s="990"/>
      <c r="AD58" s="1011"/>
      <c r="AE58" s="1011"/>
      <c r="AF58" s="1009"/>
      <c r="AG58" s="1010"/>
      <c r="AH58" s="998"/>
      <c r="AI58" s="999"/>
      <c r="AJ58" s="999"/>
      <c r="AK58" s="1000"/>
      <c r="AL58" s="1001" t="str">
        <f>IF(OR(C58="",E58="",G58="",K58="",M58="",O58="",Q58="",S58="",Z58="",AD58="",AF58="",AH58="",AJ58=""),"",ROUND(AH58+AJ58,2))</f>
        <v/>
      </c>
      <c r="AM58" s="1002"/>
      <c r="AN58" s="1002"/>
      <c r="AO58" s="1003" t="str">
        <f t="shared" ref="AO58" si="57">IF(OR(C58="",E58="",G58="",K58="",M58="",O58="",Q58="",S58="",Z58="",AD58="",AF58="",AH58="",AJ58=""),"",IF(BA58-BB58&lt;=0,0,BA58-BB58))</f>
        <v/>
      </c>
      <c r="AP58" s="1004"/>
      <c r="AQ58" s="1005"/>
      <c r="AR58" s="996" t="str">
        <f>IF(OR(C58="",E58="",G58="",K58="",M58="",O58="",Q58="",S58="",Z58="",AD58="",AF58="",AH58="",AJ58=""),"", IF(BL58&lt;&gt;"", BL58, IF(BN58&gt;0,BN58, IF(ACTIVEBLOCK="Yes",ROUND(MIN(AL58*0.75,AO58*BLOCKBIDRATE),2),ROUND(MIN(AL58*0.75,BG58),2)))))</f>
        <v/>
      </c>
      <c r="AS58" s="996"/>
      <c r="AT58" s="996"/>
      <c r="AU58" s="996"/>
      <c r="AX58" s="973" t="str">
        <f>IFERROR(IF(OR(C58="",E58="",G58="",K58="",M58="",O58="",Q58="",S58="",Z58="",AD58="",AF58="",AH58="",AJ58=""),"",
ROUND(((1+ELOSS)*((AO58*INDEX(ELECCB[NPV AEC $/kWh],MATCH(BC58,ELECCB[Year Number],1)))+(BE58*INDEX(ELECCB[NPV ACC $/kW],MATCH(BC58,ELECCB[Year Number],1))))/AL58),2)),0)</f>
        <v/>
      </c>
      <c r="AY58" s="973" t="str">
        <f>IFERROR(AL58/M02S04F06/AO58,"")</f>
        <v/>
      </c>
      <c r="AZ58" s="966" t="str">
        <f>IF(S58="","",
_xlfn.LET( _xlpm.Unit, INDEX(CMLIGHTEFF[Unit],MATCH(S58,CMLIGHTEFF[Eff Desc 1],0)),
IFERROR(_xlpm.Unit,"")))</f>
        <v/>
      </c>
      <c r="BA58" s="975" t="str">
        <f>IF(OR(C58="",E58="",G58="",K58="",M58="",O58="",Q58="",S58="",Z58="",AD58="",AF58="",AH58="",AJ58=""),"",
IF(OR(ISNUMBER(SEARCH("Exterior",E58)),ISNUMBER(SEARCH("Garage",E58)),M02S04F22="Unconditioned",M02S04F22="Electric Heat Only",M02S04F22="Natural Gas Heat Only"),ROUND(M58*O58*Q58/1000,4),
ROUND(M58*O58*Q58/1000*INDEX(BUILDINGTYPE[Waste Heat Factor (e)],MATCH(M02S04F19,BUILDINGTYPE[Building Type],0)),4)))</f>
        <v/>
      </c>
      <c r="BB58" s="975" t="str">
        <f>IF(OR(C58="",E58="",G58="",K58="",M58="",O58="",Q58="",S58="",Z58="",AD58="",AF58="",AH58="",AJ58=""),"",
IF(OR(ISNUMBER(SEARCH("Exterior",E58)),ISNUMBER(SEARCH("Garage",E58)),M02S04F22="Unconditioned",M02S04F22="Electric Heat Only",M02S04F22="Natural Gas Heat Only"),ROUND(AD58*AF58*Q58/1000,4),
ROUND(AD58*AF58*Q58/1000*INDEX(BUILDINGTYPE[Waste Heat Factor (e)],MATCH(M02S04F19,BUILDINGTYPE[Building Type],0)),4)))</f>
        <v/>
      </c>
      <c r="BC58" s="977" t="str">
        <f>IF(OR(G58="",S58=""),"",IF(INDEX(CMLIGHTEFF[EUL],MATCH(S58,CMLIGHTEFF[Eff Desc 1],0))="","",INDEX(CMLIGHTEFF[EUL],MATCH(S58,CMLIGHTEFF[Eff Desc 1],0))))</f>
        <v/>
      </c>
      <c r="BD58" s="979" t="str">
        <f t="shared" ref="BD58" si="58">IF(OR(E58="",G58="",S58=""),"",IF(ISNUMBER(SEARCH("24/7",E58)),"Ext Lighting w/ Peak ",IF(E58="Interior","Interior Lighting",IF(OR(E58="Garage",E58="Exterior"),"Ext Lighting w/o Peak","Err"))))</f>
        <v/>
      </c>
      <c r="BE58" s="971" t="str">
        <f>IFERROR(IF(OR(C58="",E58="",G58="",K58="",M58="",O58="",Q58="",Z58="",AD58="",AF58="",AH58="",AJ58=""),"",ROUND(AO58*INDEX(ENDUSEALL[Factor],MATCH(BD58,ENDUSEALL[End Use to Coincident Peak Demand Factors],0)),4)),"")</f>
        <v/>
      </c>
      <c r="BF58" s="971" t="str">
        <f>IFERROR(IF(OR(C58="",E58="",G58="",K58="",M58="",O58="",Q58="",Z58="",AD58="",AF58="",AH58="",AJ58=""),"",IF(OR(E58="Garage",E58="Exterior"),0,
IF(OR(ISNUMBER(SEARCH("Garage",E58)),M02S04F22="Unconditioned",M02S04F22="Electric Heat Only",M02S04F22="Natural Gas Heat Only"),ROUND((((M58*O58)-(AD58*AF58))/1000)*INDEX(BUILDINGTYPE[Lighting Coincidence Factor],MATCH(M02S04F19,BUILDINGTYPE[Building Type],0)),4),
ROUND((((M58*O58)-(AD58*AF58))/1000)*INDEX(BUILDINGTYPE[WHFd],MATCH(M02S04F19,BUILDINGTYPE[Building Type],0))*INDEX(BUILDINGTYPE[Lighting Coincidence Factor],MATCH(M02S04F19,BUILDINGTYPE[Building Type],0)),4)))),"")</f>
        <v/>
      </c>
      <c r="BG58" s="963" t="str">
        <f t="shared" ref="BG58" si="59">IFERROR(ROUND(AO58*BH58,2),"")</f>
        <v/>
      </c>
      <c r="BH58" s="963" t="str">
        <f>_xlfn.LET(_xlpm.ROWS,MATCH(BD58,ENDUSEALL[End Use to Coincident Peak Demand Factors],0),IFERROR(INDEX(IF(AND(ACTIVEBONUS = TRUE,INDEX(ENDUSEALL[Bonus Rate ($/kWh)],_xlpm.ROWS)&lt;&gt;""),ENDUSEALL[Bonus Rate ($/kWh)],ENDUSEALL[Rate ($/kWh)]),_xlpm.ROWS),""))</f>
        <v/>
      </c>
      <c r="BI58" s="963" t="str">
        <f>_xlfn.LET(_xlpm.BONUS_RATE,INDEX(ENDUSEALL[Bonus Rate ($/kWh)],MATCH(BD58,ENDUSEALL[End Use to Coincident Peak Demand Factors],0)),_xlpm.BASE_RATE,INDEX(ENDUSEALL[Rate ($/kWh)],MATCH(BD58,ENDUSEALL[End Use to Coincident Peak Demand Factors],0)),IFERROR(IF(OR(ACTIVEBONUS &lt;&gt; TRUE,ISNUMBER(AR58) = FALSE,BN58 &lt;&gt; ""),"",AR58-(AO58*_xlpm.BASE_RATE)),""))</f>
        <v/>
      </c>
      <c r="BJ58" s="964" t="str">
        <f>IF(OR(C58="",E58="",G58="",K58="",M58="",O58="",Q58="",Z58="",AD58="",AF58="",AH58="",AJ58=""),"",IF(BL58&lt;&gt;"",SPILLOVERNUMBER,
221&amp;INDEX(LOCATIONTYPE[Measure Number],MATCH(E58,LOCATIONTYPE[Location Type],0))&amp;INDEX(ENDUSEALL[Measure Number Indicator],MATCH(BD58,ENDUSEALL[End Use to Coincident Peak Demand Factors],0))&amp;INDEX(CMLIGHTEFF[Measure Number],MATCH(S58,CMLIGHTEFF[Eff Desc 1],0))))</f>
        <v/>
      </c>
      <c r="BK58" s="966" t="str">
        <f>IFERROR(IF(BN58="", IF(AND(ROUND(AR58/AL58,2)=TOTCOSTCAP, BG58/AL58&gt;TOTCOSTCAP),"75% Total Cost",
IF(FALSE,"100% Incremental Cost",
IF(BH58&lt;KWHRATEMIN, "kWh Incentive Rate Min",
IF(BH58&gt;KWHRATEMAX,"kWh Incentive Rate Cap",
IF(AR58=BI58,"Bonus Incentive",
"kWh Incentive"))))), ""),"")</f>
        <v/>
      </c>
      <c r="BL58" s="966" t="str">
        <f ca="1">IFERROR(
IF(EXPIRATION&lt;&gt;"",PROJSTATEXP,
IF(BN58&gt;0,"",
IF(OR(M02S04F06="",M02S04F06="Select Rate Code",M02S04F06=0),MEASURERATE,
IF(M02S04F19="",MEASUREBLDG,
IF(BA58-BB58&lt;=0,MEASURESAVE,
IF(PAYCUSE&lt;PAYBACKREQ,PROJECTSTATPAYBACK,
IF(CBCUSE&lt;CBREQ,PROJECTSTATCB,""))))))),
MEASURESUBMIT)</f>
        <v>Enter Utility Rate (Building Info Tab)</v>
      </c>
      <c r="BM58" s="963" t="str">
        <f>IFERROR(IF(OR(C58="",E58="",G58="",K58="",M58="",O58="",Q58="",Z58="",AD58="",AF58="",AH58="",AJ58=""),"",
ROUND(((1+ELOSS)*((AO58*INDEX(ELECCB[NPV AEC $/kWh],MATCH(BC58,ELECCB[Year Number],1)))+(BE58*INDEX(ELECCB[NPV ACC $/kW],MATCH(BC58,ELECCB[Year Number],1))))),2)),0)</f>
        <v/>
      </c>
      <c r="BN58" s="968"/>
    </row>
    <row r="59" spans="2:66" ht="15.95" customHeight="1">
      <c r="B59" s="806"/>
      <c r="C59" s="1015"/>
      <c r="D59" s="1015"/>
      <c r="E59" s="1015"/>
      <c r="F59" s="1020"/>
      <c r="G59" s="1014"/>
      <c r="H59" s="1015"/>
      <c r="I59" s="1015"/>
      <c r="J59" s="1015"/>
      <c r="K59" s="1015"/>
      <c r="L59" s="1015"/>
      <c r="M59" s="1011"/>
      <c r="N59" s="1011"/>
      <c r="O59" s="1017"/>
      <c r="P59" s="1017"/>
      <c r="Q59" s="1042"/>
      <c r="R59" s="1043"/>
      <c r="S59" s="1044"/>
      <c r="T59" s="1015"/>
      <c r="U59" s="1015"/>
      <c r="V59" s="1015"/>
      <c r="W59" s="991"/>
      <c r="X59" s="992"/>
      <c r="Y59" s="992"/>
      <c r="Z59" s="991"/>
      <c r="AA59" s="992"/>
      <c r="AB59" s="992"/>
      <c r="AC59" s="993"/>
      <c r="AD59" s="1011"/>
      <c r="AE59" s="1011"/>
      <c r="AF59" s="1009"/>
      <c r="AG59" s="1010"/>
      <c r="AH59" s="998"/>
      <c r="AI59" s="999"/>
      <c r="AJ59" s="999"/>
      <c r="AK59" s="1000"/>
      <c r="AL59" s="1001"/>
      <c r="AM59" s="1002"/>
      <c r="AN59" s="1002"/>
      <c r="AO59" s="1006"/>
      <c r="AP59" s="1007"/>
      <c r="AQ59" s="1008"/>
      <c r="AR59" s="997"/>
      <c r="AS59" s="997"/>
      <c r="AT59" s="997"/>
      <c r="AU59" s="997"/>
      <c r="AX59" s="974"/>
      <c r="AY59" s="974"/>
      <c r="AZ59" s="967"/>
      <c r="BA59" s="976"/>
      <c r="BB59" s="976"/>
      <c r="BC59" s="978"/>
      <c r="BD59" s="980"/>
      <c r="BE59" s="972"/>
      <c r="BF59" s="972"/>
      <c r="BG59" s="830"/>
      <c r="BH59" s="830"/>
      <c r="BI59" s="830"/>
      <c r="BJ59" s="965"/>
      <c r="BK59" s="967"/>
      <c r="BL59" s="967"/>
      <c r="BM59" s="830"/>
      <c r="BN59" s="969"/>
    </row>
    <row r="60" spans="2:66" ht="15.95" customHeight="1">
      <c r="B60" s="806">
        <v>22</v>
      </c>
      <c r="C60" s="1015"/>
      <c r="D60" s="1015"/>
      <c r="E60" s="1015"/>
      <c r="F60" s="1020"/>
      <c r="G60" s="1014"/>
      <c r="H60" s="1015"/>
      <c r="I60" s="1015"/>
      <c r="J60" s="1015"/>
      <c r="K60" s="1015"/>
      <c r="L60" s="1015"/>
      <c r="M60" s="1011"/>
      <c r="N60" s="1011"/>
      <c r="O60" s="1017" t="str">
        <f>IFERROR(IF(G60="","",INDEX(CMLIGHTBASE[Base Watt 1],MATCH(G60,CMLIGHTBASE[Base Desc 1],0))),"")</f>
        <v/>
      </c>
      <c r="P60" s="1017"/>
      <c r="Q60" s="1042"/>
      <c r="R60" s="1043"/>
      <c r="S60" s="1044"/>
      <c r="T60" s="1015"/>
      <c r="U60" s="1015"/>
      <c r="V60" s="1015"/>
      <c r="W60" s="988"/>
      <c r="X60" s="989"/>
      <c r="Y60" s="989"/>
      <c r="Z60" s="988"/>
      <c r="AA60" s="989"/>
      <c r="AB60" s="989"/>
      <c r="AC60" s="990"/>
      <c r="AD60" s="1011"/>
      <c r="AE60" s="1011"/>
      <c r="AF60" s="1009"/>
      <c r="AG60" s="1010"/>
      <c r="AH60" s="998"/>
      <c r="AI60" s="999"/>
      <c r="AJ60" s="999"/>
      <c r="AK60" s="1000"/>
      <c r="AL60" s="1001" t="str">
        <f>IF(OR(C60="",E60="",G60="",K60="",M60="",O60="",Q60="",S60="",Z60="",AD60="",AF60="",AH60="",AJ60=""),"",ROUND(AH60+AJ60,2))</f>
        <v/>
      </c>
      <c r="AM60" s="1002"/>
      <c r="AN60" s="1002"/>
      <c r="AO60" s="1003" t="str">
        <f t="shared" ref="AO60" si="60">IF(OR(C60="",E60="",G60="",K60="",M60="",O60="",Q60="",S60="",Z60="",AD60="",AF60="",AH60="",AJ60=""),"",IF(BA60-BB60&lt;=0,0,BA60-BB60))</f>
        <v/>
      </c>
      <c r="AP60" s="1004"/>
      <c r="AQ60" s="1005"/>
      <c r="AR60" s="996" t="str">
        <f>IF(OR(C60="",E60="",G60="",K60="",M60="",O60="",Q60="",S60="",Z60="",AD60="",AF60="",AH60="",AJ60=""),"", IF(BL60&lt;&gt;"", BL60, IF(BN60&gt;0,BN60, IF(ACTIVEBLOCK="Yes",ROUND(MIN(AL60*0.75,AO60*BLOCKBIDRATE),2),ROUND(MIN(AL60*0.75,BG60),2)))))</f>
        <v/>
      </c>
      <c r="AS60" s="996"/>
      <c r="AT60" s="996"/>
      <c r="AU60" s="996"/>
      <c r="AX60" s="973" t="str">
        <f>IFERROR(IF(OR(C60="",E60="",G60="",K60="",M60="",O60="",Q60="",S60="",Z60="",AD60="",AF60="",AH60="",AJ60=""),"",
ROUND(((1+ELOSS)*((AO60*INDEX(ELECCB[NPV AEC $/kWh],MATCH(BC60,ELECCB[Year Number],1)))+(BE60*INDEX(ELECCB[NPV ACC $/kW],MATCH(BC60,ELECCB[Year Number],1))))/AL60),2)),0)</f>
        <v/>
      </c>
      <c r="AY60" s="973" t="str">
        <f>IFERROR(AL60/M02S04F06/AO60,"")</f>
        <v/>
      </c>
      <c r="AZ60" s="966" t="str">
        <f>IF(S60="","",
_xlfn.LET( _xlpm.Unit, INDEX(CMLIGHTEFF[Unit],MATCH(S60,CMLIGHTEFF[Eff Desc 1],0)),
IFERROR(_xlpm.Unit,"")))</f>
        <v/>
      </c>
      <c r="BA60" s="975" t="str">
        <f>IF(OR(C60="",E60="",G60="",K60="",M60="",O60="",Q60="",S60="",Z60="",AD60="",AF60="",AH60="",AJ60=""),"",
IF(OR(ISNUMBER(SEARCH("Exterior",E60)),ISNUMBER(SEARCH("Garage",E60)),M02S04F22="Unconditioned",M02S04F22="Electric Heat Only",M02S04F22="Natural Gas Heat Only"),ROUND(M60*O60*Q60/1000,4),
ROUND(M60*O60*Q60/1000*INDEX(BUILDINGTYPE[Waste Heat Factor (e)],MATCH(M02S04F19,BUILDINGTYPE[Building Type],0)),4)))</f>
        <v/>
      </c>
      <c r="BB60" s="975" t="str">
        <f>IF(OR(C60="",E60="",G60="",K60="",M60="",O60="",Q60="",S60="",Z60="",AD60="",AF60="",AH60="",AJ60=""),"",
IF(OR(ISNUMBER(SEARCH("Exterior",E60)),ISNUMBER(SEARCH("Garage",E60)),M02S04F22="Unconditioned",M02S04F22="Electric Heat Only",M02S04F22="Natural Gas Heat Only"),ROUND(AD60*AF60*Q60/1000,4),
ROUND(AD60*AF60*Q60/1000*INDEX(BUILDINGTYPE[Waste Heat Factor (e)],MATCH(M02S04F19,BUILDINGTYPE[Building Type],0)),4)))</f>
        <v/>
      </c>
      <c r="BC60" s="977" t="str">
        <f>IF(OR(G60="",S60=""),"",IF(INDEX(CMLIGHTEFF[EUL],MATCH(S60,CMLIGHTEFF[Eff Desc 1],0))="","",INDEX(CMLIGHTEFF[EUL],MATCH(S60,CMLIGHTEFF[Eff Desc 1],0))))</f>
        <v/>
      </c>
      <c r="BD60" s="979" t="str">
        <f t="shared" ref="BD60" si="61">IF(OR(E60="",G60="",S60=""),"",IF(ISNUMBER(SEARCH("24/7",E60)),"Ext Lighting w/ Peak ",IF(E60="Interior","Interior Lighting",IF(OR(E60="Garage",E60="Exterior"),"Ext Lighting w/o Peak","Err"))))</f>
        <v/>
      </c>
      <c r="BE60" s="971" t="str">
        <f>IFERROR(IF(OR(C60="",E60="",G60="",K60="",M60="",O60="",Q60="",Z60="",AD60="",AF60="",AH60="",AJ60=""),"",ROUND(AO60*INDEX(ENDUSEALL[Factor],MATCH(BD60,ENDUSEALL[End Use to Coincident Peak Demand Factors],0)),4)),"")</f>
        <v/>
      </c>
      <c r="BF60" s="971" t="str">
        <f>IFERROR(IF(OR(C60="",E60="",G60="",K60="",M60="",O60="",Q60="",Z60="",AD60="",AF60="",AH60="",AJ60=""),"",IF(OR(E60="Garage",E60="Exterior"),0,
IF(OR(ISNUMBER(SEARCH("Garage",E60)),M02S04F22="Unconditioned",M02S04F22="Electric Heat Only",M02S04F22="Natural Gas Heat Only"),ROUND((((M60*O60)-(AD60*AF60))/1000)*INDEX(BUILDINGTYPE[Lighting Coincidence Factor],MATCH(M02S04F19,BUILDINGTYPE[Building Type],0)),4),
ROUND((((M60*O60)-(AD60*AF60))/1000)*INDEX(BUILDINGTYPE[WHFd],MATCH(M02S04F19,BUILDINGTYPE[Building Type],0))*INDEX(BUILDINGTYPE[Lighting Coincidence Factor],MATCH(M02S04F19,BUILDINGTYPE[Building Type],0)),4)))),"")</f>
        <v/>
      </c>
      <c r="BG60" s="963" t="str">
        <f t="shared" ref="BG60" si="62">IFERROR(ROUND(AO60*BH60,2),"")</f>
        <v/>
      </c>
      <c r="BH60" s="963" t="str">
        <f>_xlfn.LET(_xlpm.ROWS,MATCH(BD60,ENDUSEALL[End Use to Coincident Peak Demand Factors],0),IFERROR(INDEX(IF(AND(ACTIVEBONUS = TRUE,INDEX(ENDUSEALL[Bonus Rate ($/kWh)],_xlpm.ROWS)&lt;&gt;""),ENDUSEALL[Bonus Rate ($/kWh)],ENDUSEALL[Rate ($/kWh)]),_xlpm.ROWS),""))</f>
        <v/>
      </c>
      <c r="BI60" s="963" t="str">
        <f>_xlfn.LET(_xlpm.BONUS_RATE,INDEX(ENDUSEALL[Bonus Rate ($/kWh)],MATCH(BD60,ENDUSEALL[End Use to Coincident Peak Demand Factors],0)),_xlpm.BASE_RATE,INDEX(ENDUSEALL[Rate ($/kWh)],MATCH(BD60,ENDUSEALL[End Use to Coincident Peak Demand Factors],0)),IFERROR(IF(OR(ACTIVEBONUS &lt;&gt; TRUE,ISNUMBER(AR60) = FALSE,BN60 &lt;&gt; ""),"",AR60-(AO60*_xlpm.BASE_RATE)),""))</f>
        <v/>
      </c>
      <c r="BJ60" s="964" t="str">
        <f>IF(OR(C60="",E60="",G60="",K60="",M60="",O60="",Q60="",Z60="",AD60="",AF60="",AH60="",AJ60=""),"",IF(BL60&lt;&gt;"",SPILLOVERNUMBER,
221&amp;INDEX(LOCATIONTYPE[Measure Number],MATCH(E60,LOCATIONTYPE[Location Type],0))&amp;INDEX(ENDUSEALL[Measure Number Indicator],MATCH(BD60,ENDUSEALL[End Use to Coincident Peak Demand Factors],0))&amp;INDEX(CMLIGHTEFF[Measure Number],MATCH(S60,CMLIGHTEFF[Eff Desc 1],0))))</f>
        <v/>
      </c>
      <c r="BK60" s="966" t="str">
        <f>IFERROR(IF(BN60="", IF(AND(ROUND(AR60/AL60,2)=TOTCOSTCAP, BG60/AL60&gt;TOTCOSTCAP),"75% Total Cost",
IF(FALSE,"100% Incremental Cost",
IF(BH60&lt;KWHRATEMIN, "kWh Incentive Rate Min",
IF(BH60&gt;KWHRATEMAX,"kWh Incentive Rate Cap",
IF(AR60=BI60,"Bonus Incentive",
"kWh Incentive"))))), ""),"")</f>
        <v/>
      </c>
      <c r="BL60" s="966" t="str">
        <f ca="1">IFERROR(
IF(EXPIRATION&lt;&gt;"",PROJSTATEXP,
IF(BN60&gt;0,"",
IF(OR(M02S04F06="",M02S04F06="Select Rate Code",M02S04F06=0),MEASURERATE,
IF(M02S04F19="",MEASUREBLDG,
IF(BA60-BB60&lt;=0,MEASURESAVE,
IF(PAYCUSE&lt;PAYBACKREQ,PROJECTSTATPAYBACK,
IF(CBCUSE&lt;CBREQ,PROJECTSTATCB,""))))))),
MEASURESUBMIT)</f>
        <v>Enter Utility Rate (Building Info Tab)</v>
      </c>
      <c r="BM60" s="963" t="str">
        <f>IFERROR(IF(OR(C60="",E60="",G60="",K60="",M60="",O60="",Q60="",Z60="",AD60="",AF60="",AH60="",AJ60=""),"",
ROUND(((1+ELOSS)*((AO60*INDEX(ELECCB[NPV AEC $/kWh],MATCH(BC60,ELECCB[Year Number],1)))+(BE60*INDEX(ELECCB[NPV ACC $/kW],MATCH(BC60,ELECCB[Year Number],1))))),2)),0)</f>
        <v/>
      </c>
      <c r="BN60" s="968"/>
    </row>
    <row r="61" spans="2:66" ht="15.95" customHeight="1">
      <c r="B61" s="806"/>
      <c r="C61" s="1015"/>
      <c r="D61" s="1015"/>
      <c r="E61" s="1015"/>
      <c r="F61" s="1020"/>
      <c r="G61" s="1014"/>
      <c r="H61" s="1015"/>
      <c r="I61" s="1015"/>
      <c r="J61" s="1015"/>
      <c r="K61" s="1015"/>
      <c r="L61" s="1015"/>
      <c r="M61" s="1011"/>
      <c r="N61" s="1011"/>
      <c r="O61" s="1017"/>
      <c r="P61" s="1017"/>
      <c r="Q61" s="1042"/>
      <c r="R61" s="1043"/>
      <c r="S61" s="1044"/>
      <c r="T61" s="1015"/>
      <c r="U61" s="1015"/>
      <c r="V61" s="1015"/>
      <c r="W61" s="991"/>
      <c r="X61" s="992"/>
      <c r="Y61" s="992"/>
      <c r="Z61" s="991"/>
      <c r="AA61" s="992"/>
      <c r="AB61" s="992"/>
      <c r="AC61" s="993"/>
      <c r="AD61" s="1011"/>
      <c r="AE61" s="1011"/>
      <c r="AF61" s="1009"/>
      <c r="AG61" s="1010"/>
      <c r="AH61" s="998"/>
      <c r="AI61" s="999"/>
      <c r="AJ61" s="999"/>
      <c r="AK61" s="1000"/>
      <c r="AL61" s="1001"/>
      <c r="AM61" s="1002"/>
      <c r="AN61" s="1002"/>
      <c r="AO61" s="1006"/>
      <c r="AP61" s="1007"/>
      <c r="AQ61" s="1008"/>
      <c r="AR61" s="997"/>
      <c r="AS61" s="997"/>
      <c r="AT61" s="997"/>
      <c r="AU61" s="997"/>
      <c r="AX61" s="974"/>
      <c r="AY61" s="974"/>
      <c r="AZ61" s="967"/>
      <c r="BA61" s="976"/>
      <c r="BB61" s="976"/>
      <c r="BC61" s="978"/>
      <c r="BD61" s="980"/>
      <c r="BE61" s="972"/>
      <c r="BF61" s="972"/>
      <c r="BG61" s="830"/>
      <c r="BH61" s="830"/>
      <c r="BI61" s="830"/>
      <c r="BJ61" s="965"/>
      <c r="BK61" s="967"/>
      <c r="BL61" s="967"/>
      <c r="BM61" s="830"/>
      <c r="BN61" s="969"/>
    </row>
    <row r="62" spans="2:66" ht="15.95" customHeight="1">
      <c r="B62" s="806">
        <v>23</v>
      </c>
      <c r="C62" s="1015"/>
      <c r="D62" s="1015"/>
      <c r="E62" s="1015"/>
      <c r="F62" s="1020"/>
      <c r="G62" s="1014"/>
      <c r="H62" s="1015"/>
      <c r="I62" s="1015"/>
      <c r="J62" s="1015"/>
      <c r="K62" s="1015"/>
      <c r="L62" s="1015"/>
      <c r="M62" s="1011"/>
      <c r="N62" s="1011"/>
      <c r="O62" s="1017" t="str">
        <f>IFERROR(IF(G62="","",INDEX(CMLIGHTBASE[Base Watt 1],MATCH(G62,CMLIGHTBASE[Base Desc 1],0))),"")</f>
        <v/>
      </c>
      <c r="P62" s="1017"/>
      <c r="Q62" s="1042"/>
      <c r="R62" s="1043"/>
      <c r="S62" s="1044"/>
      <c r="T62" s="1015"/>
      <c r="U62" s="1015"/>
      <c r="V62" s="1015"/>
      <c r="W62" s="988"/>
      <c r="X62" s="989"/>
      <c r="Y62" s="989"/>
      <c r="Z62" s="988"/>
      <c r="AA62" s="989"/>
      <c r="AB62" s="989"/>
      <c r="AC62" s="990"/>
      <c r="AD62" s="1011"/>
      <c r="AE62" s="1011"/>
      <c r="AF62" s="1009"/>
      <c r="AG62" s="1010"/>
      <c r="AH62" s="998"/>
      <c r="AI62" s="999"/>
      <c r="AJ62" s="999"/>
      <c r="AK62" s="1000"/>
      <c r="AL62" s="1001" t="str">
        <f>IF(OR(C62="",E62="",G62="",K62="",M62="",O62="",Q62="",S62="",Z62="",AD62="",AF62="",AH62="",AJ62=""),"",ROUND(AH62+AJ62,2))</f>
        <v/>
      </c>
      <c r="AM62" s="1002"/>
      <c r="AN62" s="1002"/>
      <c r="AO62" s="1003" t="str">
        <f t="shared" ref="AO62" si="63">IF(OR(C62="",E62="",G62="",K62="",M62="",O62="",Q62="",S62="",Z62="",AD62="",AF62="",AH62="",AJ62=""),"",IF(BA62-BB62&lt;=0,0,BA62-BB62))</f>
        <v/>
      </c>
      <c r="AP62" s="1004"/>
      <c r="AQ62" s="1005"/>
      <c r="AR62" s="996" t="str">
        <f>IF(OR(C62="",E62="",G62="",K62="",M62="",O62="",Q62="",S62="",Z62="",AD62="",AF62="",AH62="",AJ62=""),"", IF(BL62&lt;&gt;"", BL62, IF(BN62&gt;0,BN62, IF(ACTIVEBLOCK="Yes",ROUND(MIN(AL62*0.75,AO62*BLOCKBIDRATE),2),ROUND(MIN(AL62*0.75,BG62),2)))))</f>
        <v/>
      </c>
      <c r="AS62" s="996"/>
      <c r="AT62" s="996"/>
      <c r="AU62" s="996"/>
      <c r="AX62" s="973" t="str">
        <f>IFERROR(IF(OR(C62="",E62="",G62="",K62="",M62="",O62="",Q62="",S62="",Z62="",AD62="",AF62="",AH62="",AJ62=""),"",
ROUND(((1+ELOSS)*((AO62*INDEX(ELECCB[NPV AEC $/kWh],MATCH(BC62,ELECCB[Year Number],1)))+(BE62*INDEX(ELECCB[NPV ACC $/kW],MATCH(BC62,ELECCB[Year Number],1))))/AL62),2)),0)</f>
        <v/>
      </c>
      <c r="AY62" s="973" t="str">
        <f>IFERROR(AL62/M02S04F06/AO62,"")</f>
        <v/>
      </c>
      <c r="AZ62" s="966" t="str">
        <f>IF(S62="","",
_xlfn.LET( _xlpm.Unit, INDEX(CMLIGHTEFF[Unit],MATCH(S62,CMLIGHTEFF[Eff Desc 1],0)),
IFERROR(_xlpm.Unit,"")))</f>
        <v/>
      </c>
      <c r="BA62" s="975" t="str">
        <f>IF(OR(C62="",E62="",G62="",K62="",M62="",O62="",Q62="",S62="",Z62="",AD62="",AF62="",AH62="",AJ62=""),"",
IF(OR(ISNUMBER(SEARCH("Exterior",E62)),ISNUMBER(SEARCH("Garage",E62)),M02S04F22="Unconditioned",M02S04F22="Electric Heat Only",M02S04F22="Natural Gas Heat Only"),ROUND(M62*O62*Q62/1000,4),
ROUND(M62*O62*Q62/1000*INDEX(BUILDINGTYPE[Waste Heat Factor (e)],MATCH(M02S04F19,BUILDINGTYPE[Building Type],0)),4)))</f>
        <v/>
      </c>
      <c r="BB62" s="975" t="str">
        <f>IF(OR(C62="",E62="",G62="",K62="",M62="",O62="",Q62="",S62="",Z62="",AD62="",AF62="",AH62="",AJ62=""),"",
IF(OR(ISNUMBER(SEARCH("Exterior",E62)),ISNUMBER(SEARCH("Garage",E62)),M02S04F22="Unconditioned",M02S04F22="Electric Heat Only",M02S04F22="Natural Gas Heat Only"),ROUND(AD62*AF62*Q62/1000,4),
ROUND(AD62*AF62*Q62/1000*INDEX(BUILDINGTYPE[Waste Heat Factor (e)],MATCH(M02S04F19,BUILDINGTYPE[Building Type],0)),4)))</f>
        <v/>
      </c>
      <c r="BC62" s="977" t="str">
        <f>IF(OR(G62="",S62=""),"",IF(INDEX(CMLIGHTEFF[EUL],MATCH(S62,CMLIGHTEFF[Eff Desc 1],0))="","",INDEX(CMLIGHTEFF[EUL],MATCH(S62,CMLIGHTEFF[Eff Desc 1],0))))</f>
        <v/>
      </c>
      <c r="BD62" s="979" t="str">
        <f t="shared" ref="BD62" si="64">IF(OR(E62="",G62="",S62=""),"",IF(ISNUMBER(SEARCH("24/7",E62)),"Ext Lighting w/ Peak ",IF(E62="Interior","Interior Lighting",IF(OR(E62="Garage",E62="Exterior"),"Ext Lighting w/o Peak","Err"))))</f>
        <v/>
      </c>
      <c r="BE62" s="971" t="str">
        <f>IFERROR(IF(OR(C62="",E62="",G62="",K62="",M62="",O62="",Q62="",Z62="",AD62="",AF62="",AH62="",AJ62=""),"",ROUND(AO62*INDEX(ENDUSEALL[Factor],MATCH(BD62,ENDUSEALL[End Use to Coincident Peak Demand Factors],0)),4)),"")</f>
        <v/>
      </c>
      <c r="BF62" s="971" t="str">
        <f>IFERROR(IF(OR(C62="",E62="",G62="",K62="",M62="",O62="",Q62="",Z62="",AD62="",AF62="",AH62="",AJ62=""),"",IF(OR(E62="Garage",E62="Exterior"),0,
IF(OR(ISNUMBER(SEARCH("Garage",E62)),M02S04F22="Unconditioned",M02S04F22="Electric Heat Only",M02S04F22="Natural Gas Heat Only"),ROUND((((M62*O62)-(AD62*AF62))/1000)*INDEX(BUILDINGTYPE[Lighting Coincidence Factor],MATCH(M02S04F19,BUILDINGTYPE[Building Type],0)),4),
ROUND((((M62*O62)-(AD62*AF62))/1000)*INDEX(BUILDINGTYPE[WHFd],MATCH(M02S04F19,BUILDINGTYPE[Building Type],0))*INDEX(BUILDINGTYPE[Lighting Coincidence Factor],MATCH(M02S04F19,BUILDINGTYPE[Building Type],0)),4)))),"")</f>
        <v/>
      </c>
      <c r="BG62" s="963" t="str">
        <f t="shared" ref="BG62" si="65">IFERROR(ROUND(AO62*BH62,2),"")</f>
        <v/>
      </c>
      <c r="BH62" s="963" t="str">
        <f>_xlfn.LET(_xlpm.ROWS,MATCH(BD62,ENDUSEALL[End Use to Coincident Peak Demand Factors],0),IFERROR(INDEX(IF(AND(ACTIVEBONUS = TRUE,INDEX(ENDUSEALL[Bonus Rate ($/kWh)],_xlpm.ROWS)&lt;&gt;""),ENDUSEALL[Bonus Rate ($/kWh)],ENDUSEALL[Rate ($/kWh)]),_xlpm.ROWS),""))</f>
        <v/>
      </c>
      <c r="BI62" s="963" t="str">
        <f>_xlfn.LET(_xlpm.BONUS_RATE,INDEX(ENDUSEALL[Bonus Rate ($/kWh)],MATCH(BD62,ENDUSEALL[End Use to Coincident Peak Demand Factors],0)),_xlpm.BASE_RATE,INDEX(ENDUSEALL[Rate ($/kWh)],MATCH(BD62,ENDUSEALL[End Use to Coincident Peak Demand Factors],0)),IFERROR(IF(OR(ACTIVEBONUS &lt;&gt; TRUE,ISNUMBER(AR62) = FALSE,BN62 &lt;&gt; ""),"",AR62-(AO62*_xlpm.BASE_RATE)),""))</f>
        <v/>
      </c>
      <c r="BJ62" s="964" t="str">
        <f>IF(OR(C62="",E62="",G62="",K62="",M62="",O62="",Q62="",Z62="",AD62="",AF62="",AH62="",AJ62=""),"",IF(BL62&lt;&gt;"",SPILLOVERNUMBER,
221&amp;INDEX(LOCATIONTYPE[Measure Number],MATCH(E62,LOCATIONTYPE[Location Type],0))&amp;INDEX(ENDUSEALL[Measure Number Indicator],MATCH(BD62,ENDUSEALL[End Use to Coincident Peak Demand Factors],0))&amp;INDEX(CMLIGHTEFF[Measure Number],MATCH(S62,CMLIGHTEFF[Eff Desc 1],0))))</f>
        <v/>
      </c>
      <c r="BK62" s="966" t="str">
        <f>IFERROR(IF(BN62="", IF(AND(ROUND(AR62/AL62,2)=TOTCOSTCAP, BG62/AL62&gt;TOTCOSTCAP),"75% Total Cost",
IF(FALSE,"100% Incremental Cost",
IF(BH62&lt;KWHRATEMIN, "kWh Incentive Rate Min",
IF(BH62&gt;KWHRATEMAX,"kWh Incentive Rate Cap",
IF(AR62=BI62,"Bonus Incentive",
"kWh Incentive"))))), ""),"")</f>
        <v/>
      </c>
      <c r="BL62" s="966" t="str">
        <f ca="1">IFERROR(
IF(EXPIRATION&lt;&gt;"",PROJSTATEXP,
IF(BN62&gt;0,"",
IF(OR(M02S04F06="",M02S04F06="Select Rate Code",M02S04F06=0),MEASURERATE,
IF(M02S04F19="",MEASUREBLDG,
IF(BA62-BB62&lt;=0,MEASURESAVE,
IF(PAYCUSE&lt;PAYBACKREQ,PROJECTSTATPAYBACK,
IF(CBCUSE&lt;CBREQ,PROJECTSTATCB,""))))))),
MEASURESUBMIT)</f>
        <v>Enter Utility Rate (Building Info Tab)</v>
      </c>
      <c r="BM62" s="963" t="str">
        <f>IFERROR(IF(OR(C62="",E62="",G62="",K62="",M62="",O62="",Q62="",Z62="",AD62="",AF62="",AH62="",AJ62=""),"",
ROUND(((1+ELOSS)*((AO62*INDEX(ELECCB[NPV AEC $/kWh],MATCH(BC62,ELECCB[Year Number],1)))+(BE62*INDEX(ELECCB[NPV ACC $/kW],MATCH(BC62,ELECCB[Year Number],1))))),2)),0)</f>
        <v/>
      </c>
      <c r="BN62" s="968"/>
    </row>
    <row r="63" spans="2:66" ht="15.95" customHeight="1">
      <c r="B63" s="806"/>
      <c r="C63" s="1015"/>
      <c r="D63" s="1015"/>
      <c r="E63" s="1015"/>
      <c r="F63" s="1020"/>
      <c r="G63" s="1014"/>
      <c r="H63" s="1015"/>
      <c r="I63" s="1015"/>
      <c r="J63" s="1015"/>
      <c r="K63" s="1015"/>
      <c r="L63" s="1015"/>
      <c r="M63" s="1011"/>
      <c r="N63" s="1011"/>
      <c r="O63" s="1017"/>
      <c r="P63" s="1017"/>
      <c r="Q63" s="1042"/>
      <c r="R63" s="1043"/>
      <c r="S63" s="1044"/>
      <c r="T63" s="1015"/>
      <c r="U63" s="1015"/>
      <c r="V63" s="1015"/>
      <c r="W63" s="991"/>
      <c r="X63" s="992"/>
      <c r="Y63" s="992"/>
      <c r="Z63" s="991"/>
      <c r="AA63" s="992"/>
      <c r="AB63" s="992"/>
      <c r="AC63" s="993"/>
      <c r="AD63" s="1011"/>
      <c r="AE63" s="1011"/>
      <c r="AF63" s="1009"/>
      <c r="AG63" s="1010"/>
      <c r="AH63" s="998"/>
      <c r="AI63" s="999"/>
      <c r="AJ63" s="999"/>
      <c r="AK63" s="1000"/>
      <c r="AL63" s="1001"/>
      <c r="AM63" s="1002"/>
      <c r="AN63" s="1002"/>
      <c r="AO63" s="1006"/>
      <c r="AP63" s="1007"/>
      <c r="AQ63" s="1008"/>
      <c r="AR63" s="997"/>
      <c r="AS63" s="997"/>
      <c r="AT63" s="997"/>
      <c r="AU63" s="997"/>
      <c r="AX63" s="974"/>
      <c r="AY63" s="974"/>
      <c r="AZ63" s="967"/>
      <c r="BA63" s="976"/>
      <c r="BB63" s="976"/>
      <c r="BC63" s="978"/>
      <c r="BD63" s="980"/>
      <c r="BE63" s="972"/>
      <c r="BF63" s="972"/>
      <c r="BG63" s="830"/>
      <c r="BH63" s="830"/>
      <c r="BI63" s="830"/>
      <c r="BJ63" s="965"/>
      <c r="BK63" s="967"/>
      <c r="BL63" s="967"/>
      <c r="BM63" s="830"/>
      <c r="BN63" s="969"/>
    </row>
    <row r="64" spans="2:66" ht="15.95" customHeight="1">
      <c r="B64" s="806">
        <v>24</v>
      </c>
      <c r="C64" s="1015"/>
      <c r="D64" s="1015"/>
      <c r="E64" s="1015"/>
      <c r="F64" s="1020"/>
      <c r="G64" s="1014"/>
      <c r="H64" s="1015"/>
      <c r="I64" s="1015"/>
      <c r="J64" s="1015"/>
      <c r="K64" s="1015"/>
      <c r="L64" s="1015"/>
      <c r="M64" s="1011"/>
      <c r="N64" s="1011"/>
      <c r="O64" s="1017" t="str">
        <f>IFERROR(IF(G64="","",INDEX(CMLIGHTBASE[Base Watt 1],MATCH(G64,CMLIGHTBASE[Base Desc 1],0))),"")</f>
        <v/>
      </c>
      <c r="P64" s="1017"/>
      <c r="Q64" s="1042"/>
      <c r="R64" s="1043"/>
      <c r="S64" s="1044"/>
      <c r="T64" s="1015"/>
      <c r="U64" s="1015"/>
      <c r="V64" s="1015"/>
      <c r="W64" s="988"/>
      <c r="X64" s="989"/>
      <c r="Y64" s="989"/>
      <c r="Z64" s="988"/>
      <c r="AA64" s="989"/>
      <c r="AB64" s="989"/>
      <c r="AC64" s="990"/>
      <c r="AD64" s="1011"/>
      <c r="AE64" s="1011"/>
      <c r="AF64" s="1009"/>
      <c r="AG64" s="1010"/>
      <c r="AH64" s="998"/>
      <c r="AI64" s="999"/>
      <c r="AJ64" s="999"/>
      <c r="AK64" s="1000"/>
      <c r="AL64" s="1001" t="str">
        <f>IF(OR(C64="",E64="",G64="",K64="",M64="",O64="",Q64="",S64="",Z64="",AD64="",AF64="",AH64="",AJ64=""),"",ROUND(AH64+AJ64,2))</f>
        <v/>
      </c>
      <c r="AM64" s="1002"/>
      <c r="AN64" s="1002"/>
      <c r="AO64" s="1003" t="str">
        <f t="shared" ref="AO64" si="66">IF(OR(C64="",E64="",G64="",K64="",M64="",O64="",Q64="",S64="",Z64="",AD64="",AF64="",AH64="",AJ64=""),"",IF(BA64-BB64&lt;=0,0,BA64-BB64))</f>
        <v/>
      </c>
      <c r="AP64" s="1004"/>
      <c r="AQ64" s="1005"/>
      <c r="AR64" s="996" t="str">
        <f>IF(OR(C64="",E64="",G64="",K64="",M64="",O64="",Q64="",S64="",Z64="",AD64="",AF64="",AH64="",AJ64=""),"", IF(BL64&lt;&gt;"", BL64, IF(BN64&gt;0,BN64, IF(ACTIVEBLOCK="Yes",ROUND(MIN(AL64*0.75,AO64*BLOCKBIDRATE),2),ROUND(MIN(AL64*0.75,BG64),2)))))</f>
        <v/>
      </c>
      <c r="AS64" s="996"/>
      <c r="AT64" s="996"/>
      <c r="AU64" s="996"/>
      <c r="AX64" s="973" t="str">
        <f>IFERROR(IF(OR(C64="",E64="",G64="",K64="",M64="",O64="",Q64="",S64="",Z64="",AD64="",AF64="",AH64="",AJ64=""),"",
ROUND(((1+ELOSS)*((AO64*INDEX(ELECCB[NPV AEC $/kWh],MATCH(BC64,ELECCB[Year Number],1)))+(BE64*INDEX(ELECCB[NPV ACC $/kW],MATCH(BC64,ELECCB[Year Number],1))))/AL64),2)),0)</f>
        <v/>
      </c>
      <c r="AY64" s="973" t="str">
        <f>IFERROR(AL64/M02S04F06/AO64,"")</f>
        <v/>
      </c>
      <c r="AZ64" s="966" t="str">
        <f>IF(S64="","",
_xlfn.LET( _xlpm.Unit, INDEX(CMLIGHTEFF[Unit],MATCH(S64,CMLIGHTEFF[Eff Desc 1],0)),
IFERROR(_xlpm.Unit,"")))</f>
        <v/>
      </c>
      <c r="BA64" s="975" t="str">
        <f>IF(OR(C64="",E64="",G64="",K64="",M64="",O64="",Q64="",S64="",Z64="",AD64="",AF64="",AH64="",AJ64=""),"",
IF(OR(ISNUMBER(SEARCH("Exterior",E64)),ISNUMBER(SEARCH("Garage",E64)),M02S04F22="Unconditioned",M02S04F22="Electric Heat Only",M02S04F22="Natural Gas Heat Only"),ROUND(M64*O64*Q64/1000,4),
ROUND(M64*O64*Q64/1000*INDEX(BUILDINGTYPE[Waste Heat Factor (e)],MATCH(M02S04F19,BUILDINGTYPE[Building Type],0)),4)))</f>
        <v/>
      </c>
      <c r="BB64" s="975" t="str">
        <f>IF(OR(C64="",E64="",G64="",K64="",M64="",O64="",Q64="",S64="",Z64="",AD64="",AF64="",AH64="",AJ64=""),"",
IF(OR(ISNUMBER(SEARCH("Exterior",E64)),ISNUMBER(SEARCH("Garage",E64)),M02S04F22="Unconditioned",M02S04F22="Electric Heat Only",M02S04F22="Natural Gas Heat Only"),ROUND(AD64*AF64*Q64/1000,4),
ROUND(AD64*AF64*Q64/1000*INDEX(BUILDINGTYPE[Waste Heat Factor (e)],MATCH(M02S04F19,BUILDINGTYPE[Building Type],0)),4)))</f>
        <v/>
      </c>
      <c r="BC64" s="977" t="str">
        <f>IF(OR(G64="",S64=""),"",IF(INDEX(CMLIGHTEFF[EUL],MATCH(S64,CMLIGHTEFF[Eff Desc 1],0))="","",INDEX(CMLIGHTEFF[EUL],MATCH(S64,CMLIGHTEFF[Eff Desc 1],0))))</f>
        <v/>
      </c>
      <c r="BD64" s="979" t="str">
        <f t="shared" ref="BD64" si="67">IF(OR(E64="",G64="",S64=""),"",IF(ISNUMBER(SEARCH("24/7",E64)),"Ext Lighting w/ Peak ",IF(E64="Interior","Interior Lighting",IF(OR(E64="Garage",E64="Exterior"),"Ext Lighting w/o Peak","Err"))))</f>
        <v/>
      </c>
      <c r="BE64" s="971" t="str">
        <f>IFERROR(IF(OR(C64="",E64="",G64="",K64="",M64="",O64="",Q64="",Z64="",AD64="",AF64="",AH64="",AJ64=""),"",ROUND(AO64*INDEX(ENDUSEALL[Factor],MATCH(BD64,ENDUSEALL[End Use to Coincident Peak Demand Factors],0)),4)),"")</f>
        <v/>
      </c>
      <c r="BF64" s="971" t="str">
        <f>IFERROR(IF(OR(C64="",E64="",G64="",K64="",M64="",O64="",Q64="",Z64="",AD64="",AF64="",AH64="",AJ64=""),"",IF(OR(E64="Garage",E64="Exterior"),0,
IF(OR(ISNUMBER(SEARCH("Garage",E64)),M02S04F22="Unconditioned",M02S04F22="Electric Heat Only",M02S04F22="Natural Gas Heat Only"),ROUND((((M64*O64)-(AD64*AF64))/1000)*INDEX(BUILDINGTYPE[Lighting Coincidence Factor],MATCH(M02S04F19,BUILDINGTYPE[Building Type],0)),4),
ROUND((((M64*O64)-(AD64*AF64))/1000)*INDEX(BUILDINGTYPE[WHFd],MATCH(M02S04F19,BUILDINGTYPE[Building Type],0))*INDEX(BUILDINGTYPE[Lighting Coincidence Factor],MATCH(M02S04F19,BUILDINGTYPE[Building Type],0)),4)))),"")</f>
        <v/>
      </c>
      <c r="BG64" s="963" t="str">
        <f t="shared" ref="BG64" si="68">IFERROR(ROUND(AO64*BH64,2),"")</f>
        <v/>
      </c>
      <c r="BH64" s="963" t="str">
        <f>_xlfn.LET(_xlpm.ROWS,MATCH(BD64,ENDUSEALL[End Use to Coincident Peak Demand Factors],0),IFERROR(INDEX(IF(AND(ACTIVEBONUS = TRUE,INDEX(ENDUSEALL[Bonus Rate ($/kWh)],_xlpm.ROWS)&lt;&gt;""),ENDUSEALL[Bonus Rate ($/kWh)],ENDUSEALL[Rate ($/kWh)]),_xlpm.ROWS),""))</f>
        <v/>
      </c>
      <c r="BI64" s="963" t="str">
        <f>_xlfn.LET(_xlpm.BONUS_RATE,INDEX(ENDUSEALL[Bonus Rate ($/kWh)],MATCH(BD64,ENDUSEALL[End Use to Coincident Peak Demand Factors],0)),_xlpm.BASE_RATE,INDEX(ENDUSEALL[Rate ($/kWh)],MATCH(BD64,ENDUSEALL[End Use to Coincident Peak Demand Factors],0)),IFERROR(IF(OR(ACTIVEBONUS &lt;&gt; TRUE,ISNUMBER(AR64) = FALSE,BN64 &lt;&gt; ""),"",AR64-(AO64*_xlpm.BASE_RATE)),""))</f>
        <v/>
      </c>
      <c r="BJ64" s="964" t="str">
        <f>IF(OR(C64="",E64="",G64="",K64="",M64="",O64="",Q64="",Z64="",AD64="",AF64="",AH64="",AJ64=""),"",IF(BL64&lt;&gt;"",SPILLOVERNUMBER,
221&amp;INDEX(LOCATIONTYPE[Measure Number],MATCH(E64,LOCATIONTYPE[Location Type],0))&amp;INDEX(ENDUSEALL[Measure Number Indicator],MATCH(BD64,ENDUSEALL[End Use to Coincident Peak Demand Factors],0))&amp;INDEX(CMLIGHTEFF[Measure Number],MATCH(S64,CMLIGHTEFF[Eff Desc 1],0))))</f>
        <v/>
      </c>
      <c r="BK64" s="966" t="str">
        <f>IFERROR(IF(BN64="", IF(AND(ROUND(AR64/AL64,2)=TOTCOSTCAP, BG64/AL64&gt;TOTCOSTCAP),"75% Total Cost",
IF(FALSE,"100% Incremental Cost",
IF(BH64&lt;KWHRATEMIN, "kWh Incentive Rate Min",
IF(BH64&gt;KWHRATEMAX,"kWh Incentive Rate Cap",
IF(AR64=BI64,"Bonus Incentive",
"kWh Incentive"))))), ""),"")</f>
        <v/>
      </c>
      <c r="BL64" s="966" t="str">
        <f ca="1">IFERROR(
IF(EXPIRATION&lt;&gt;"",PROJSTATEXP,
IF(BN64&gt;0,"",
IF(OR(M02S04F06="",M02S04F06="Select Rate Code",M02S04F06=0),MEASURERATE,
IF(M02S04F19="",MEASUREBLDG,
IF(BA64-BB64&lt;=0,MEASURESAVE,
IF(PAYCUSE&lt;PAYBACKREQ,PROJECTSTATPAYBACK,
IF(CBCUSE&lt;CBREQ,PROJECTSTATCB,""))))))),
MEASURESUBMIT)</f>
        <v>Enter Utility Rate (Building Info Tab)</v>
      </c>
      <c r="BM64" s="963" t="str">
        <f>IFERROR(IF(OR(C64="",E64="",G64="",K64="",M64="",O64="",Q64="",Z64="",AD64="",AF64="",AH64="",AJ64=""),"",
ROUND(((1+ELOSS)*((AO64*INDEX(ELECCB[NPV AEC $/kWh],MATCH(BC64,ELECCB[Year Number],1)))+(BE64*INDEX(ELECCB[NPV ACC $/kW],MATCH(BC64,ELECCB[Year Number],1))))),2)),0)</f>
        <v/>
      </c>
      <c r="BN64" s="968"/>
    </row>
    <row r="65" spans="2:66" ht="15.95" customHeight="1">
      <c r="B65" s="806"/>
      <c r="C65" s="1015"/>
      <c r="D65" s="1015"/>
      <c r="E65" s="1015"/>
      <c r="F65" s="1020"/>
      <c r="G65" s="1014"/>
      <c r="H65" s="1015"/>
      <c r="I65" s="1015"/>
      <c r="J65" s="1015"/>
      <c r="K65" s="1015"/>
      <c r="L65" s="1015"/>
      <c r="M65" s="1011"/>
      <c r="N65" s="1011"/>
      <c r="O65" s="1017"/>
      <c r="P65" s="1017"/>
      <c r="Q65" s="1042"/>
      <c r="R65" s="1043"/>
      <c r="S65" s="1044"/>
      <c r="T65" s="1015"/>
      <c r="U65" s="1015"/>
      <c r="V65" s="1015"/>
      <c r="W65" s="991"/>
      <c r="X65" s="992"/>
      <c r="Y65" s="992"/>
      <c r="Z65" s="991"/>
      <c r="AA65" s="992"/>
      <c r="AB65" s="992"/>
      <c r="AC65" s="993"/>
      <c r="AD65" s="1011"/>
      <c r="AE65" s="1011"/>
      <c r="AF65" s="1009"/>
      <c r="AG65" s="1010"/>
      <c r="AH65" s="998"/>
      <c r="AI65" s="999"/>
      <c r="AJ65" s="999"/>
      <c r="AK65" s="1000"/>
      <c r="AL65" s="1001"/>
      <c r="AM65" s="1002"/>
      <c r="AN65" s="1002"/>
      <c r="AO65" s="1006"/>
      <c r="AP65" s="1007"/>
      <c r="AQ65" s="1008"/>
      <c r="AR65" s="997"/>
      <c r="AS65" s="997"/>
      <c r="AT65" s="997"/>
      <c r="AU65" s="997"/>
      <c r="AX65" s="974"/>
      <c r="AY65" s="974"/>
      <c r="AZ65" s="967"/>
      <c r="BA65" s="976"/>
      <c r="BB65" s="976"/>
      <c r="BC65" s="978"/>
      <c r="BD65" s="980"/>
      <c r="BE65" s="972"/>
      <c r="BF65" s="972"/>
      <c r="BG65" s="830"/>
      <c r="BH65" s="830"/>
      <c r="BI65" s="830"/>
      <c r="BJ65" s="965"/>
      <c r="BK65" s="967"/>
      <c r="BL65" s="967"/>
      <c r="BM65" s="830"/>
      <c r="BN65" s="969"/>
    </row>
    <row r="66" spans="2:66" ht="15.95" customHeight="1">
      <c r="B66" s="806">
        <v>25</v>
      </c>
      <c r="C66" s="1015"/>
      <c r="D66" s="1015"/>
      <c r="E66" s="1015"/>
      <c r="F66" s="1020"/>
      <c r="G66" s="1014"/>
      <c r="H66" s="1015"/>
      <c r="I66" s="1015"/>
      <c r="J66" s="1015"/>
      <c r="K66" s="1015"/>
      <c r="L66" s="1015"/>
      <c r="M66" s="1011"/>
      <c r="N66" s="1011"/>
      <c r="O66" s="1017" t="str">
        <f>IFERROR(IF(G66="","",INDEX(CMLIGHTBASE[Base Watt 1],MATCH(G66,CMLIGHTBASE[Base Desc 1],0))),"")</f>
        <v/>
      </c>
      <c r="P66" s="1017"/>
      <c r="Q66" s="1042"/>
      <c r="R66" s="1043"/>
      <c r="S66" s="1044"/>
      <c r="T66" s="1015"/>
      <c r="U66" s="1015"/>
      <c r="V66" s="1015"/>
      <c r="W66" s="988"/>
      <c r="X66" s="989"/>
      <c r="Y66" s="989"/>
      <c r="Z66" s="988"/>
      <c r="AA66" s="989"/>
      <c r="AB66" s="989"/>
      <c r="AC66" s="990"/>
      <c r="AD66" s="1011"/>
      <c r="AE66" s="1011"/>
      <c r="AF66" s="1009"/>
      <c r="AG66" s="1010"/>
      <c r="AH66" s="998"/>
      <c r="AI66" s="999"/>
      <c r="AJ66" s="999"/>
      <c r="AK66" s="1000"/>
      <c r="AL66" s="1001" t="str">
        <f>IF(OR(C66="",E66="",G66="",K66="",M66="",O66="",Q66="",S66="",Z66="",AD66="",AF66="",AH66="",AJ66=""),"",ROUND(AH66+AJ66,2))</f>
        <v/>
      </c>
      <c r="AM66" s="1002"/>
      <c r="AN66" s="1002"/>
      <c r="AO66" s="1003" t="str">
        <f t="shared" ref="AO66" si="69">IF(OR(C66="",E66="",G66="",K66="",M66="",O66="",Q66="",S66="",Z66="",AD66="",AF66="",AH66="",AJ66=""),"",IF(BA66-BB66&lt;=0,0,BA66-BB66))</f>
        <v/>
      </c>
      <c r="AP66" s="1004"/>
      <c r="AQ66" s="1005"/>
      <c r="AR66" s="996" t="str">
        <f>IF(OR(C66="",E66="",G66="",K66="",M66="",O66="",Q66="",S66="",Z66="",AD66="",AF66="",AH66="",AJ66=""),"", IF(BL66&lt;&gt;"", BL66, IF(BN66&gt;0,BN66, IF(ACTIVEBLOCK="Yes",ROUND(MIN(AL66*0.75,AO66*BLOCKBIDRATE),2),ROUND(MIN(AL66*0.75,BG66),2)))))</f>
        <v/>
      </c>
      <c r="AS66" s="996"/>
      <c r="AT66" s="996"/>
      <c r="AU66" s="996"/>
      <c r="AX66" s="973" t="str">
        <f>IFERROR(IF(OR(C66="",E66="",G66="",K66="",M66="",O66="",Q66="",S66="",Z66="",AD66="",AF66="",AH66="",AJ66=""),"",
ROUND(((1+ELOSS)*((AO66*INDEX(ELECCB[NPV AEC $/kWh],MATCH(BC66,ELECCB[Year Number],1)))+(BE66*INDEX(ELECCB[NPV ACC $/kW],MATCH(BC66,ELECCB[Year Number],1))))/AL66),2)),0)</f>
        <v/>
      </c>
      <c r="AY66" s="973" t="str">
        <f>IFERROR(AL66/M02S04F06/AO66,"")</f>
        <v/>
      </c>
      <c r="AZ66" s="966" t="str">
        <f>IF(S66="","",
_xlfn.LET( _xlpm.Unit, INDEX(CMLIGHTEFF[Unit],MATCH(S66,CMLIGHTEFF[Eff Desc 1],0)),
IFERROR(_xlpm.Unit,"")))</f>
        <v/>
      </c>
      <c r="BA66" s="975" t="str">
        <f>IF(OR(C66="",E66="",G66="",K66="",M66="",O66="",Q66="",S66="",Z66="",AD66="",AF66="",AH66="",AJ66=""),"",
IF(OR(ISNUMBER(SEARCH("Exterior",E66)),ISNUMBER(SEARCH("Garage",E66)),M02S04F22="Unconditioned",M02S04F22="Electric Heat Only",M02S04F22="Natural Gas Heat Only"),ROUND(M66*O66*Q66/1000,4),
ROUND(M66*O66*Q66/1000*INDEX(BUILDINGTYPE[Waste Heat Factor (e)],MATCH(M02S04F19,BUILDINGTYPE[Building Type],0)),4)))</f>
        <v/>
      </c>
      <c r="BB66" s="975" t="str">
        <f>IF(OR(C66="",E66="",G66="",K66="",M66="",O66="",Q66="",S66="",Z66="",AD66="",AF66="",AH66="",AJ66=""),"",
IF(OR(ISNUMBER(SEARCH("Exterior",E66)),ISNUMBER(SEARCH("Garage",E66)),M02S04F22="Unconditioned",M02S04F22="Electric Heat Only",M02S04F22="Natural Gas Heat Only"),ROUND(AD66*AF66*Q66/1000,4),
ROUND(AD66*AF66*Q66/1000*INDEX(BUILDINGTYPE[Waste Heat Factor (e)],MATCH(M02S04F19,BUILDINGTYPE[Building Type],0)),4)))</f>
        <v/>
      </c>
      <c r="BC66" s="977" t="str">
        <f>IF(OR(G66="",S66=""),"",IF(INDEX(CMLIGHTEFF[EUL],MATCH(S66,CMLIGHTEFF[Eff Desc 1],0))="","",INDEX(CMLIGHTEFF[EUL],MATCH(S66,CMLIGHTEFF[Eff Desc 1],0))))</f>
        <v/>
      </c>
      <c r="BD66" s="979" t="str">
        <f t="shared" ref="BD66" si="70">IF(OR(E66="",G66="",S66=""),"",IF(ISNUMBER(SEARCH("24/7",E66)),"Ext Lighting w/ Peak ",IF(E66="Interior","Interior Lighting",IF(OR(E66="Garage",E66="Exterior"),"Ext Lighting w/o Peak","Err"))))</f>
        <v/>
      </c>
      <c r="BE66" s="971" t="str">
        <f>IFERROR(IF(OR(C66="",E66="",G66="",K66="",M66="",O66="",Q66="",Z66="",AD66="",AF66="",AH66="",AJ66=""),"",ROUND(AO66*INDEX(ENDUSEALL[Factor],MATCH(BD66,ENDUSEALL[End Use to Coincident Peak Demand Factors],0)),4)),"")</f>
        <v/>
      </c>
      <c r="BF66" s="971" t="str">
        <f>IFERROR(IF(OR(C66="",E66="",G66="",K66="",M66="",O66="",Q66="",Z66="",AD66="",AF66="",AH66="",AJ66=""),"",IF(OR(E66="Garage",E66="Exterior"),0,
IF(OR(ISNUMBER(SEARCH("Garage",E66)),M02S04F22="Unconditioned",M02S04F22="Electric Heat Only",M02S04F22="Natural Gas Heat Only"),ROUND((((M66*O66)-(AD66*AF66))/1000)*INDEX(BUILDINGTYPE[Lighting Coincidence Factor],MATCH(M02S04F19,BUILDINGTYPE[Building Type],0)),4),
ROUND((((M66*O66)-(AD66*AF66))/1000)*INDEX(BUILDINGTYPE[WHFd],MATCH(M02S04F19,BUILDINGTYPE[Building Type],0))*INDEX(BUILDINGTYPE[Lighting Coincidence Factor],MATCH(M02S04F19,BUILDINGTYPE[Building Type],0)),4)))),"")</f>
        <v/>
      </c>
      <c r="BG66" s="963" t="str">
        <f t="shared" ref="BG66" si="71">IFERROR(ROUND(AO66*BH66,2),"")</f>
        <v/>
      </c>
      <c r="BH66" s="963" t="str">
        <f>_xlfn.LET(_xlpm.ROWS,MATCH(BD66,ENDUSEALL[End Use to Coincident Peak Demand Factors],0),IFERROR(INDEX(IF(AND(ACTIVEBONUS = TRUE,INDEX(ENDUSEALL[Bonus Rate ($/kWh)],_xlpm.ROWS)&lt;&gt;""),ENDUSEALL[Bonus Rate ($/kWh)],ENDUSEALL[Rate ($/kWh)]),_xlpm.ROWS),""))</f>
        <v/>
      </c>
      <c r="BI66" s="963" t="str">
        <f>_xlfn.LET(_xlpm.BONUS_RATE,INDEX(ENDUSEALL[Bonus Rate ($/kWh)],MATCH(BD66,ENDUSEALL[End Use to Coincident Peak Demand Factors],0)),_xlpm.BASE_RATE,INDEX(ENDUSEALL[Rate ($/kWh)],MATCH(BD66,ENDUSEALL[End Use to Coincident Peak Demand Factors],0)),IFERROR(IF(OR(ACTIVEBONUS &lt;&gt; TRUE,ISNUMBER(AR66) = FALSE,BN66 &lt;&gt; ""),"",AR66-(AO66*_xlpm.BASE_RATE)),""))</f>
        <v/>
      </c>
      <c r="BJ66" s="964" t="str">
        <f>IF(OR(C66="",E66="",G66="",K66="",M66="",O66="",Q66="",Z66="",AD66="",AF66="",AH66="",AJ66=""),"",IF(BL66&lt;&gt;"",SPILLOVERNUMBER,
221&amp;INDEX(LOCATIONTYPE[Measure Number],MATCH(E66,LOCATIONTYPE[Location Type],0))&amp;INDEX(ENDUSEALL[Measure Number Indicator],MATCH(BD66,ENDUSEALL[End Use to Coincident Peak Demand Factors],0))&amp;INDEX(CMLIGHTEFF[Measure Number],MATCH(S66,CMLIGHTEFF[Eff Desc 1],0))))</f>
        <v/>
      </c>
      <c r="BK66" s="966" t="str">
        <f>IFERROR(IF(BN66="", IF(AND(ROUND(AR66/AL66,2)=TOTCOSTCAP, BG66/AL66&gt;TOTCOSTCAP),"75% Total Cost",
IF(FALSE,"100% Incremental Cost",
IF(BH66&lt;KWHRATEMIN, "kWh Incentive Rate Min",
IF(BH66&gt;KWHRATEMAX,"kWh Incentive Rate Cap",
IF(AR66=BI66,"Bonus Incentive",
"kWh Incentive"))))), ""),"")</f>
        <v/>
      </c>
      <c r="BL66" s="966" t="str">
        <f ca="1">IFERROR(
IF(EXPIRATION&lt;&gt;"",PROJSTATEXP,
IF(BN66&gt;0,"",
IF(OR(M02S04F06="",M02S04F06="Select Rate Code",M02S04F06=0),MEASURERATE,
IF(M02S04F19="",MEASUREBLDG,
IF(BA66-BB66&lt;=0,MEASURESAVE,
IF(PAYCUSE&lt;PAYBACKREQ,PROJECTSTATPAYBACK,
IF(CBCUSE&lt;CBREQ,PROJECTSTATCB,""))))))),
MEASURESUBMIT)</f>
        <v>Enter Utility Rate (Building Info Tab)</v>
      </c>
      <c r="BM66" s="963" t="str">
        <f>IFERROR(IF(OR(C66="",E66="",G66="",K66="",M66="",O66="",Q66="",Z66="",AD66="",AF66="",AH66="",AJ66=""),"",
ROUND(((1+ELOSS)*((AO66*INDEX(ELECCB[NPV AEC $/kWh],MATCH(BC66,ELECCB[Year Number],1)))+(BE66*INDEX(ELECCB[NPV ACC $/kW],MATCH(BC66,ELECCB[Year Number],1))))),2)),0)</f>
        <v/>
      </c>
      <c r="BN66" s="968"/>
    </row>
    <row r="67" spans="2:66" ht="15.95" customHeight="1">
      <c r="B67" s="806"/>
      <c r="C67" s="1015"/>
      <c r="D67" s="1015"/>
      <c r="E67" s="1015"/>
      <c r="F67" s="1020"/>
      <c r="G67" s="1014"/>
      <c r="H67" s="1015"/>
      <c r="I67" s="1015"/>
      <c r="J67" s="1015"/>
      <c r="K67" s="1015"/>
      <c r="L67" s="1015"/>
      <c r="M67" s="1011"/>
      <c r="N67" s="1011"/>
      <c r="O67" s="1017"/>
      <c r="P67" s="1017"/>
      <c r="Q67" s="1042"/>
      <c r="R67" s="1043"/>
      <c r="S67" s="1044"/>
      <c r="T67" s="1015"/>
      <c r="U67" s="1015"/>
      <c r="V67" s="1015"/>
      <c r="W67" s="991"/>
      <c r="X67" s="992"/>
      <c r="Y67" s="992"/>
      <c r="Z67" s="991"/>
      <c r="AA67" s="992"/>
      <c r="AB67" s="992"/>
      <c r="AC67" s="993"/>
      <c r="AD67" s="1011"/>
      <c r="AE67" s="1011"/>
      <c r="AF67" s="1009"/>
      <c r="AG67" s="1010"/>
      <c r="AH67" s="998"/>
      <c r="AI67" s="999"/>
      <c r="AJ67" s="999"/>
      <c r="AK67" s="1000"/>
      <c r="AL67" s="1001"/>
      <c r="AM67" s="1002"/>
      <c r="AN67" s="1002"/>
      <c r="AO67" s="1006"/>
      <c r="AP67" s="1007"/>
      <c r="AQ67" s="1008"/>
      <c r="AR67" s="997"/>
      <c r="AS67" s="997"/>
      <c r="AT67" s="997"/>
      <c r="AU67" s="997"/>
      <c r="AX67" s="974"/>
      <c r="AY67" s="974"/>
      <c r="AZ67" s="967"/>
      <c r="BA67" s="976"/>
      <c r="BB67" s="976"/>
      <c r="BC67" s="978"/>
      <c r="BD67" s="980"/>
      <c r="BE67" s="972"/>
      <c r="BF67" s="972"/>
      <c r="BG67" s="830"/>
      <c r="BH67" s="830"/>
      <c r="BI67" s="830"/>
      <c r="BJ67" s="965"/>
      <c r="BK67" s="967"/>
      <c r="BL67" s="967"/>
      <c r="BM67" s="830"/>
      <c r="BN67" s="969"/>
    </row>
    <row r="68" spans="2:66" ht="15.95" customHeight="1">
      <c r="B68" s="806">
        <v>26</v>
      </c>
      <c r="C68" s="1015"/>
      <c r="D68" s="1015"/>
      <c r="E68" s="1015"/>
      <c r="F68" s="1020"/>
      <c r="G68" s="1014"/>
      <c r="H68" s="1015"/>
      <c r="I68" s="1015"/>
      <c r="J68" s="1015"/>
      <c r="K68" s="1015"/>
      <c r="L68" s="1015"/>
      <c r="M68" s="1011"/>
      <c r="N68" s="1011"/>
      <c r="O68" s="1017" t="str">
        <f>IFERROR(IF(G68="","",INDEX(CMLIGHTBASE[Base Watt 1],MATCH(G68,CMLIGHTBASE[Base Desc 1],0))),"")</f>
        <v/>
      </c>
      <c r="P68" s="1017"/>
      <c r="Q68" s="1042"/>
      <c r="R68" s="1043"/>
      <c r="S68" s="1044"/>
      <c r="T68" s="1015"/>
      <c r="U68" s="1015"/>
      <c r="V68" s="1015"/>
      <c r="W68" s="988"/>
      <c r="X68" s="989"/>
      <c r="Y68" s="989"/>
      <c r="Z68" s="988"/>
      <c r="AA68" s="989"/>
      <c r="AB68" s="989"/>
      <c r="AC68" s="990"/>
      <c r="AD68" s="1011"/>
      <c r="AE68" s="1011"/>
      <c r="AF68" s="1009"/>
      <c r="AG68" s="1010"/>
      <c r="AH68" s="998"/>
      <c r="AI68" s="999"/>
      <c r="AJ68" s="999"/>
      <c r="AK68" s="1000"/>
      <c r="AL68" s="1001" t="str">
        <f>IF(OR(C68="",E68="",G68="",K68="",M68="",O68="",Q68="",S68="",Z68="",AD68="",AF68="",AH68="",AJ68=""),"",ROUND(AH68+AJ68,2))</f>
        <v/>
      </c>
      <c r="AM68" s="1002"/>
      <c r="AN68" s="1002"/>
      <c r="AO68" s="1003" t="str">
        <f t="shared" ref="AO68" si="72">IF(OR(C68="",E68="",G68="",K68="",M68="",O68="",Q68="",S68="",Z68="",AD68="",AF68="",AH68="",AJ68=""),"",IF(BA68-BB68&lt;=0,0,BA68-BB68))</f>
        <v/>
      </c>
      <c r="AP68" s="1004"/>
      <c r="AQ68" s="1005"/>
      <c r="AR68" s="996" t="str">
        <f>IF(OR(C68="",E68="",G68="",K68="",M68="",O68="",Q68="",S68="",Z68="",AD68="",AF68="",AH68="",AJ68=""),"", IF(BL68&lt;&gt;"", BL68, IF(BN68&gt;0,BN68, IF(ACTIVEBLOCK="Yes",ROUND(MIN(AL68*0.75,AO68*BLOCKBIDRATE),2),ROUND(MIN(AL68*0.75,BG68),2)))))</f>
        <v/>
      </c>
      <c r="AS68" s="996"/>
      <c r="AT68" s="996"/>
      <c r="AU68" s="996"/>
      <c r="AX68" s="973" t="str">
        <f>IFERROR(IF(OR(C68="",E68="",G68="",K68="",M68="",O68="",Q68="",S68="",Z68="",AD68="",AF68="",AH68="",AJ68=""),"",
ROUND(((1+ELOSS)*((AO68*INDEX(ELECCB[NPV AEC $/kWh],MATCH(BC68,ELECCB[Year Number],1)))+(BE68*INDEX(ELECCB[NPV ACC $/kW],MATCH(BC68,ELECCB[Year Number],1))))/AL68),2)),0)</f>
        <v/>
      </c>
      <c r="AY68" s="973" t="str">
        <f>IFERROR(AL68/M02S04F06/AO68,"")</f>
        <v/>
      </c>
      <c r="AZ68" s="966" t="str">
        <f>IF(S68="","",
_xlfn.LET( _xlpm.Unit, INDEX(CMLIGHTEFF[Unit],MATCH(S68,CMLIGHTEFF[Eff Desc 1],0)),
IFERROR(_xlpm.Unit,"")))</f>
        <v/>
      </c>
      <c r="BA68" s="975" t="str">
        <f>IF(OR(C68="",E68="",G68="",K68="",M68="",O68="",Q68="",S68="",Z68="",AD68="",AF68="",AH68="",AJ68=""),"",
IF(OR(ISNUMBER(SEARCH("Exterior",E68)),ISNUMBER(SEARCH("Garage",E68)),M02S04F22="Unconditioned",M02S04F22="Electric Heat Only",M02S04F22="Natural Gas Heat Only"),ROUND(M68*O68*Q68/1000,4),
ROUND(M68*O68*Q68/1000*INDEX(BUILDINGTYPE[Waste Heat Factor (e)],MATCH(M02S04F19,BUILDINGTYPE[Building Type],0)),4)))</f>
        <v/>
      </c>
      <c r="BB68" s="975" t="str">
        <f>IF(OR(C68="",E68="",G68="",K68="",M68="",O68="",Q68="",S68="",Z68="",AD68="",AF68="",AH68="",AJ68=""),"",
IF(OR(ISNUMBER(SEARCH("Exterior",E68)),ISNUMBER(SEARCH("Garage",E68)),M02S04F22="Unconditioned",M02S04F22="Electric Heat Only",M02S04F22="Natural Gas Heat Only"),ROUND(AD68*AF68*Q68/1000,4),
ROUND(AD68*AF68*Q68/1000*INDEX(BUILDINGTYPE[Waste Heat Factor (e)],MATCH(M02S04F19,BUILDINGTYPE[Building Type],0)),4)))</f>
        <v/>
      </c>
      <c r="BC68" s="977" t="str">
        <f>IF(OR(G68="",S68=""),"",IF(INDEX(CMLIGHTEFF[EUL],MATCH(S68,CMLIGHTEFF[Eff Desc 1],0))="","",INDEX(CMLIGHTEFF[EUL],MATCH(S68,CMLIGHTEFF[Eff Desc 1],0))))</f>
        <v/>
      </c>
      <c r="BD68" s="979" t="str">
        <f t="shared" ref="BD68" si="73">IF(OR(E68="",G68="",S68=""),"",IF(ISNUMBER(SEARCH("24/7",E68)),"Ext Lighting w/ Peak ",IF(E68="Interior","Interior Lighting",IF(OR(E68="Garage",E68="Exterior"),"Ext Lighting w/o Peak","Err"))))</f>
        <v/>
      </c>
      <c r="BE68" s="971" t="str">
        <f>IFERROR(IF(OR(C68="",E68="",G68="",K68="",M68="",O68="",Q68="",Z68="",AD68="",AF68="",AH68="",AJ68=""),"",ROUND(AO68*INDEX(ENDUSEALL[Factor],MATCH(BD68,ENDUSEALL[End Use to Coincident Peak Demand Factors],0)),4)),"")</f>
        <v/>
      </c>
      <c r="BF68" s="971" t="str">
        <f>IFERROR(IF(OR(C68="",E68="",G68="",K68="",M68="",O68="",Q68="",Z68="",AD68="",AF68="",AH68="",AJ68=""),"",IF(OR(E68="Garage",E68="Exterior"),0,
IF(OR(ISNUMBER(SEARCH("Garage",E68)),M02S04F22="Unconditioned",M02S04F22="Electric Heat Only",M02S04F22="Natural Gas Heat Only"),ROUND((((M68*O68)-(AD68*AF68))/1000)*INDEX(BUILDINGTYPE[Lighting Coincidence Factor],MATCH(M02S04F19,BUILDINGTYPE[Building Type],0)),4),
ROUND((((M68*O68)-(AD68*AF68))/1000)*INDEX(BUILDINGTYPE[WHFd],MATCH(M02S04F19,BUILDINGTYPE[Building Type],0))*INDEX(BUILDINGTYPE[Lighting Coincidence Factor],MATCH(M02S04F19,BUILDINGTYPE[Building Type],0)),4)))),"")</f>
        <v/>
      </c>
      <c r="BG68" s="963" t="str">
        <f t="shared" ref="BG68" si="74">IFERROR(ROUND(AO68*BH68,2),"")</f>
        <v/>
      </c>
      <c r="BH68" s="963" t="str">
        <f>_xlfn.LET(_xlpm.ROWS,MATCH(BD68,ENDUSEALL[End Use to Coincident Peak Demand Factors],0),IFERROR(INDEX(IF(AND(ACTIVEBONUS = TRUE,INDEX(ENDUSEALL[Bonus Rate ($/kWh)],_xlpm.ROWS)&lt;&gt;""),ENDUSEALL[Bonus Rate ($/kWh)],ENDUSEALL[Rate ($/kWh)]),_xlpm.ROWS),""))</f>
        <v/>
      </c>
      <c r="BI68" s="963" t="str">
        <f>_xlfn.LET(_xlpm.BONUS_RATE,INDEX(ENDUSEALL[Bonus Rate ($/kWh)],MATCH(BD68,ENDUSEALL[End Use to Coincident Peak Demand Factors],0)),_xlpm.BASE_RATE,INDEX(ENDUSEALL[Rate ($/kWh)],MATCH(BD68,ENDUSEALL[End Use to Coincident Peak Demand Factors],0)),IFERROR(IF(OR(ACTIVEBONUS &lt;&gt; TRUE,ISNUMBER(AR68) = FALSE,BN68 &lt;&gt; ""),"",AR68-(AO68*_xlpm.BASE_RATE)),""))</f>
        <v/>
      </c>
      <c r="BJ68" s="964" t="str">
        <f>IF(OR(C68="",E68="",G68="",K68="",M68="",O68="",Q68="",Z68="",AD68="",AF68="",AH68="",AJ68=""),"",IF(BL68&lt;&gt;"",SPILLOVERNUMBER,
221&amp;INDEX(LOCATIONTYPE[Measure Number],MATCH(E68,LOCATIONTYPE[Location Type],0))&amp;INDEX(ENDUSEALL[Measure Number Indicator],MATCH(BD68,ENDUSEALL[End Use to Coincident Peak Demand Factors],0))&amp;INDEX(CMLIGHTEFF[Measure Number],MATCH(S68,CMLIGHTEFF[Eff Desc 1],0))))</f>
        <v/>
      </c>
      <c r="BK68" s="966" t="str">
        <f>IFERROR(IF(BN68="", IF(AND(ROUND(AR68/AL68,2)=TOTCOSTCAP, BG68/AL68&gt;TOTCOSTCAP),"75% Total Cost",
IF(FALSE,"100% Incremental Cost",
IF(BH68&lt;KWHRATEMIN, "kWh Incentive Rate Min",
IF(BH68&gt;KWHRATEMAX,"kWh Incentive Rate Cap",
IF(AR68=BI68,"Bonus Incentive",
"kWh Incentive"))))), ""),"")</f>
        <v/>
      </c>
      <c r="BL68" s="966" t="str">
        <f ca="1">IFERROR(
IF(EXPIRATION&lt;&gt;"",PROJSTATEXP,
IF(BN68&gt;0,"",
IF(OR(M02S04F06="",M02S04F06="Select Rate Code",M02S04F06=0),MEASURERATE,
IF(M02S04F19="",MEASUREBLDG,
IF(BA68-BB68&lt;=0,MEASURESAVE,
IF(PAYCUSE&lt;PAYBACKREQ,PROJECTSTATPAYBACK,
IF(CBCUSE&lt;CBREQ,PROJECTSTATCB,""))))))),
MEASURESUBMIT)</f>
        <v>Enter Utility Rate (Building Info Tab)</v>
      </c>
      <c r="BM68" s="963" t="str">
        <f>IFERROR(IF(OR(C68="",E68="",G68="",K68="",M68="",O68="",Q68="",Z68="",AD68="",AF68="",AH68="",AJ68=""),"",
ROUND(((1+ELOSS)*((AO68*INDEX(ELECCB[NPV AEC $/kWh],MATCH(BC68,ELECCB[Year Number],1)))+(BE68*INDEX(ELECCB[NPV ACC $/kW],MATCH(BC68,ELECCB[Year Number],1))))),2)),0)</f>
        <v/>
      </c>
      <c r="BN68" s="968"/>
    </row>
    <row r="69" spans="2:66" ht="15.95" customHeight="1">
      <c r="B69" s="806"/>
      <c r="C69" s="1015"/>
      <c r="D69" s="1015"/>
      <c r="E69" s="1015"/>
      <c r="F69" s="1020"/>
      <c r="G69" s="1014"/>
      <c r="H69" s="1015"/>
      <c r="I69" s="1015"/>
      <c r="J69" s="1015"/>
      <c r="K69" s="1015"/>
      <c r="L69" s="1015"/>
      <c r="M69" s="1011"/>
      <c r="N69" s="1011"/>
      <c r="O69" s="1017"/>
      <c r="P69" s="1017"/>
      <c r="Q69" s="1042"/>
      <c r="R69" s="1043"/>
      <c r="S69" s="1044"/>
      <c r="T69" s="1015"/>
      <c r="U69" s="1015"/>
      <c r="V69" s="1015"/>
      <c r="W69" s="991"/>
      <c r="X69" s="992"/>
      <c r="Y69" s="992"/>
      <c r="Z69" s="991"/>
      <c r="AA69" s="992"/>
      <c r="AB69" s="992"/>
      <c r="AC69" s="993"/>
      <c r="AD69" s="1011"/>
      <c r="AE69" s="1011"/>
      <c r="AF69" s="1009"/>
      <c r="AG69" s="1010"/>
      <c r="AH69" s="998"/>
      <c r="AI69" s="999"/>
      <c r="AJ69" s="999"/>
      <c r="AK69" s="1000"/>
      <c r="AL69" s="1001"/>
      <c r="AM69" s="1002"/>
      <c r="AN69" s="1002"/>
      <c r="AO69" s="1006"/>
      <c r="AP69" s="1007"/>
      <c r="AQ69" s="1008"/>
      <c r="AR69" s="997"/>
      <c r="AS69" s="997"/>
      <c r="AT69" s="997"/>
      <c r="AU69" s="997"/>
      <c r="AX69" s="974"/>
      <c r="AY69" s="974"/>
      <c r="AZ69" s="967"/>
      <c r="BA69" s="976"/>
      <c r="BB69" s="976"/>
      <c r="BC69" s="978"/>
      <c r="BD69" s="980"/>
      <c r="BE69" s="972"/>
      <c r="BF69" s="972"/>
      <c r="BG69" s="830"/>
      <c r="BH69" s="830"/>
      <c r="BI69" s="830"/>
      <c r="BJ69" s="965"/>
      <c r="BK69" s="967"/>
      <c r="BL69" s="967"/>
      <c r="BM69" s="830"/>
      <c r="BN69" s="969"/>
    </row>
    <row r="70" spans="2:66" ht="15.95" customHeight="1">
      <c r="B70" s="806">
        <v>27</v>
      </c>
      <c r="C70" s="1015"/>
      <c r="D70" s="1015"/>
      <c r="E70" s="1015"/>
      <c r="F70" s="1020"/>
      <c r="G70" s="1014"/>
      <c r="H70" s="1015"/>
      <c r="I70" s="1015"/>
      <c r="J70" s="1015"/>
      <c r="K70" s="1015"/>
      <c r="L70" s="1015"/>
      <c r="M70" s="1011"/>
      <c r="N70" s="1011"/>
      <c r="O70" s="1017" t="str">
        <f>IFERROR(IF(G70="","",INDEX(CMLIGHTBASE[Base Watt 1],MATCH(G70,CMLIGHTBASE[Base Desc 1],0))),"")</f>
        <v/>
      </c>
      <c r="P70" s="1017"/>
      <c r="Q70" s="1042"/>
      <c r="R70" s="1043"/>
      <c r="S70" s="1044"/>
      <c r="T70" s="1015"/>
      <c r="U70" s="1015"/>
      <c r="V70" s="1015"/>
      <c r="W70" s="988"/>
      <c r="X70" s="989"/>
      <c r="Y70" s="989"/>
      <c r="Z70" s="988"/>
      <c r="AA70" s="989"/>
      <c r="AB70" s="989"/>
      <c r="AC70" s="990"/>
      <c r="AD70" s="1011"/>
      <c r="AE70" s="1011"/>
      <c r="AF70" s="1009"/>
      <c r="AG70" s="1010"/>
      <c r="AH70" s="998"/>
      <c r="AI70" s="999"/>
      <c r="AJ70" s="999"/>
      <c r="AK70" s="1000"/>
      <c r="AL70" s="1001" t="str">
        <f>IF(OR(C70="",E70="",G70="",K70="",M70="",O70="",Q70="",S70="",Z70="",AD70="",AF70="",AH70="",AJ70=""),"",ROUND(AH70+AJ70,2))</f>
        <v/>
      </c>
      <c r="AM70" s="1002"/>
      <c r="AN70" s="1002"/>
      <c r="AO70" s="1003" t="str">
        <f t="shared" ref="AO70" si="75">IF(OR(C70="",E70="",G70="",K70="",M70="",O70="",Q70="",S70="",Z70="",AD70="",AF70="",AH70="",AJ70=""),"",IF(BA70-BB70&lt;=0,0,BA70-BB70))</f>
        <v/>
      </c>
      <c r="AP70" s="1004"/>
      <c r="AQ70" s="1005"/>
      <c r="AR70" s="996" t="str">
        <f>IF(OR(C70="",E70="",G70="",K70="",M70="",O70="",Q70="",S70="",Z70="",AD70="",AF70="",AH70="",AJ70=""),"", IF(BL70&lt;&gt;"", BL70, IF(BN70&gt;0,BN70, IF(ACTIVEBLOCK="Yes",ROUND(MIN(AL70*0.75,AO70*BLOCKBIDRATE),2),ROUND(MIN(AL70*0.75,BG70),2)))))</f>
        <v/>
      </c>
      <c r="AS70" s="996"/>
      <c r="AT70" s="996"/>
      <c r="AU70" s="996"/>
      <c r="AX70" s="973" t="str">
        <f>IFERROR(IF(OR(C70="",E70="",G70="",K70="",M70="",O70="",Q70="",S70="",Z70="",AD70="",AF70="",AH70="",AJ70=""),"",
ROUND(((1+ELOSS)*((AO70*INDEX(ELECCB[NPV AEC $/kWh],MATCH(BC70,ELECCB[Year Number],1)))+(BE70*INDEX(ELECCB[NPV ACC $/kW],MATCH(BC70,ELECCB[Year Number],1))))/AL70),2)),0)</f>
        <v/>
      </c>
      <c r="AY70" s="973" t="str">
        <f>IFERROR(AL70/M02S04F06/AO70,"")</f>
        <v/>
      </c>
      <c r="AZ70" s="966" t="str">
        <f>IF(S70="","",
_xlfn.LET( _xlpm.Unit, INDEX(CMLIGHTEFF[Unit],MATCH(S70,CMLIGHTEFF[Eff Desc 1],0)),
IFERROR(_xlpm.Unit,"")))</f>
        <v/>
      </c>
      <c r="BA70" s="975" t="str">
        <f>IF(OR(C70="",E70="",G70="",K70="",M70="",O70="",Q70="",S70="",Z70="",AD70="",AF70="",AH70="",AJ70=""),"",
IF(OR(ISNUMBER(SEARCH("Exterior",E70)),ISNUMBER(SEARCH("Garage",E70)),M02S04F22="Unconditioned",M02S04F22="Electric Heat Only",M02S04F22="Natural Gas Heat Only"),ROUND(M70*O70*Q70/1000,4),
ROUND(M70*O70*Q70/1000*INDEX(BUILDINGTYPE[Waste Heat Factor (e)],MATCH(M02S04F19,BUILDINGTYPE[Building Type],0)),4)))</f>
        <v/>
      </c>
      <c r="BB70" s="975" t="str">
        <f>IF(OR(C70="",E70="",G70="",K70="",M70="",O70="",Q70="",S70="",Z70="",AD70="",AF70="",AH70="",AJ70=""),"",
IF(OR(ISNUMBER(SEARCH("Exterior",E70)),ISNUMBER(SEARCH("Garage",E70)),M02S04F22="Unconditioned",M02S04F22="Electric Heat Only",M02S04F22="Natural Gas Heat Only"),ROUND(AD70*AF70*Q70/1000,4),
ROUND(AD70*AF70*Q70/1000*INDEX(BUILDINGTYPE[Waste Heat Factor (e)],MATCH(M02S04F19,BUILDINGTYPE[Building Type],0)),4)))</f>
        <v/>
      </c>
      <c r="BC70" s="977" t="str">
        <f>IF(OR(G70="",S70=""),"",IF(INDEX(CMLIGHTEFF[EUL],MATCH(S70,CMLIGHTEFF[Eff Desc 1],0))="","",INDEX(CMLIGHTEFF[EUL],MATCH(S70,CMLIGHTEFF[Eff Desc 1],0))))</f>
        <v/>
      </c>
      <c r="BD70" s="979" t="str">
        <f t="shared" ref="BD70" si="76">IF(OR(E70="",G70="",S70=""),"",IF(ISNUMBER(SEARCH("24/7",E70)),"Ext Lighting w/ Peak ",IF(E70="Interior","Interior Lighting",IF(OR(E70="Garage",E70="Exterior"),"Ext Lighting w/o Peak","Err"))))</f>
        <v/>
      </c>
      <c r="BE70" s="971" t="str">
        <f>IFERROR(IF(OR(C70="",E70="",G70="",K70="",M70="",O70="",Q70="",Z70="",AD70="",AF70="",AH70="",AJ70=""),"",ROUND(AO70*INDEX(ENDUSEALL[Factor],MATCH(BD70,ENDUSEALL[End Use to Coincident Peak Demand Factors],0)),4)),"")</f>
        <v/>
      </c>
      <c r="BF70" s="971" t="str">
        <f>IFERROR(IF(OR(C70="",E70="",G70="",K70="",M70="",O70="",Q70="",Z70="",AD70="",AF70="",AH70="",AJ70=""),"",IF(OR(E70="Garage",E70="Exterior"),0,
IF(OR(ISNUMBER(SEARCH("Garage",E70)),M02S04F22="Unconditioned",M02S04F22="Electric Heat Only",M02S04F22="Natural Gas Heat Only"),ROUND((((M70*O70)-(AD70*AF70))/1000)*INDEX(BUILDINGTYPE[Lighting Coincidence Factor],MATCH(M02S04F19,BUILDINGTYPE[Building Type],0)),4),
ROUND((((M70*O70)-(AD70*AF70))/1000)*INDEX(BUILDINGTYPE[WHFd],MATCH(M02S04F19,BUILDINGTYPE[Building Type],0))*INDEX(BUILDINGTYPE[Lighting Coincidence Factor],MATCH(M02S04F19,BUILDINGTYPE[Building Type],0)),4)))),"")</f>
        <v/>
      </c>
      <c r="BG70" s="963" t="str">
        <f t="shared" ref="BG70" si="77">IFERROR(ROUND(AO70*BH70,2),"")</f>
        <v/>
      </c>
      <c r="BH70" s="963" t="str">
        <f>_xlfn.LET(_xlpm.ROWS,MATCH(BD70,ENDUSEALL[End Use to Coincident Peak Demand Factors],0),IFERROR(INDEX(IF(AND(ACTIVEBONUS = TRUE,INDEX(ENDUSEALL[Bonus Rate ($/kWh)],_xlpm.ROWS)&lt;&gt;""),ENDUSEALL[Bonus Rate ($/kWh)],ENDUSEALL[Rate ($/kWh)]),_xlpm.ROWS),""))</f>
        <v/>
      </c>
      <c r="BI70" s="963" t="str">
        <f>_xlfn.LET(_xlpm.BONUS_RATE,INDEX(ENDUSEALL[Bonus Rate ($/kWh)],MATCH(BD70,ENDUSEALL[End Use to Coincident Peak Demand Factors],0)),_xlpm.BASE_RATE,INDEX(ENDUSEALL[Rate ($/kWh)],MATCH(BD70,ENDUSEALL[End Use to Coincident Peak Demand Factors],0)),IFERROR(IF(OR(ACTIVEBONUS &lt;&gt; TRUE,ISNUMBER(AR70) = FALSE,BN70 &lt;&gt; ""),"",AR70-(AO70*_xlpm.BASE_RATE)),""))</f>
        <v/>
      </c>
      <c r="BJ70" s="964" t="str">
        <f>IF(OR(C70="",E70="",G70="",K70="",M70="",O70="",Q70="",Z70="",AD70="",AF70="",AH70="",AJ70=""),"",IF(BL70&lt;&gt;"",SPILLOVERNUMBER,
221&amp;INDEX(LOCATIONTYPE[Measure Number],MATCH(E70,LOCATIONTYPE[Location Type],0))&amp;INDEX(ENDUSEALL[Measure Number Indicator],MATCH(BD70,ENDUSEALL[End Use to Coincident Peak Demand Factors],0))&amp;INDEX(CMLIGHTEFF[Measure Number],MATCH(S70,CMLIGHTEFF[Eff Desc 1],0))))</f>
        <v/>
      </c>
      <c r="BK70" s="966" t="str">
        <f>IFERROR(IF(BN70="", IF(AND(ROUND(AR70/AL70,2)=TOTCOSTCAP, BG70/AL70&gt;TOTCOSTCAP),"75% Total Cost",
IF(FALSE,"100% Incremental Cost",
IF(BH70&lt;KWHRATEMIN, "kWh Incentive Rate Min",
IF(BH70&gt;KWHRATEMAX,"kWh Incentive Rate Cap",
IF(AR70=BI70,"Bonus Incentive",
"kWh Incentive"))))), ""),"")</f>
        <v/>
      </c>
      <c r="BL70" s="966" t="str">
        <f ca="1">IFERROR(
IF(EXPIRATION&lt;&gt;"",PROJSTATEXP,
IF(BN70&gt;0,"",
IF(OR(M02S04F06="",M02S04F06="Select Rate Code",M02S04F06=0),MEASURERATE,
IF(M02S04F19="",MEASUREBLDG,
IF(BA70-BB70&lt;=0,MEASURESAVE,
IF(PAYCUSE&lt;PAYBACKREQ,PROJECTSTATPAYBACK,
IF(CBCUSE&lt;CBREQ,PROJECTSTATCB,""))))))),
MEASURESUBMIT)</f>
        <v>Enter Utility Rate (Building Info Tab)</v>
      </c>
      <c r="BM70" s="963" t="str">
        <f>IFERROR(IF(OR(C70="",E70="",G70="",K70="",M70="",O70="",Q70="",Z70="",AD70="",AF70="",AH70="",AJ70=""),"",
ROUND(((1+ELOSS)*((AO70*INDEX(ELECCB[NPV AEC $/kWh],MATCH(BC70,ELECCB[Year Number],1)))+(BE70*INDEX(ELECCB[NPV ACC $/kW],MATCH(BC70,ELECCB[Year Number],1))))),2)),0)</f>
        <v/>
      </c>
      <c r="BN70" s="968"/>
    </row>
    <row r="71" spans="2:66" ht="15.95" customHeight="1">
      <c r="B71" s="806"/>
      <c r="C71" s="1015"/>
      <c r="D71" s="1015"/>
      <c r="E71" s="1015"/>
      <c r="F71" s="1020"/>
      <c r="G71" s="1014"/>
      <c r="H71" s="1015"/>
      <c r="I71" s="1015"/>
      <c r="J71" s="1015"/>
      <c r="K71" s="1015"/>
      <c r="L71" s="1015"/>
      <c r="M71" s="1011"/>
      <c r="N71" s="1011"/>
      <c r="O71" s="1017"/>
      <c r="P71" s="1017"/>
      <c r="Q71" s="1042"/>
      <c r="R71" s="1043"/>
      <c r="S71" s="1044"/>
      <c r="T71" s="1015"/>
      <c r="U71" s="1015"/>
      <c r="V71" s="1015"/>
      <c r="W71" s="991"/>
      <c r="X71" s="992"/>
      <c r="Y71" s="992"/>
      <c r="Z71" s="991"/>
      <c r="AA71" s="992"/>
      <c r="AB71" s="992"/>
      <c r="AC71" s="993"/>
      <c r="AD71" s="1011"/>
      <c r="AE71" s="1011"/>
      <c r="AF71" s="1009"/>
      <c r="AG71" s="1010"/>
      <c r="AH71" s="998"/>
      <c r="AI71" s="999"/>
      <c r="AJ71" s="999"/>
      <c r="AK71" s="1000"/>
      <c r="AL71" s="1001"/>
      <c r="AM71" s="1002"/>
      <c r="AN71" s="1002"/>
      <c r="AO71" s="1006"/>
      <c r="AP71" s="1007"/>
      <c r="AQ71" s="1008"/>
      <c r="AR71" s="997"/>
      <c r="AS71" s="997"/>
      <c r="AT71" s="997"/>
      <c r="AU71" s="997"/>
      <c r="AX71" s="974"/>
      <c r="AY71" s="974"/>
      <c r="AZ71" s="967"/>
      <c r="BA71" s="976"/>
      <c r="BB71" s="976"/>
      <c r="BC71" s="978"/>
      <c r="BD71" s="980"/>
      <c r="BE71" s="972"/>
      <c r="BF71" s="972"/>
      <c r="BG71" s="830"/>
      <c r="BH71" s="830"/>
      <c r="BI71" s="830"/>
      <c r="BJ71" s="965"/>
      <c r="BK71" s="967"/>
      <c r="BL71" s="967"/>
      <c r="BM71" s="830"/>
      <c r="BN71" s="969"/>
    </row>
    <row r="72" spans="2:66" ht="15.95" customHeight="1">
      <c r="B72" s="806">
        <v>28</v>
      </c>
      <c r="C72" s="1015"/>
      <c r="D72" s="1015"/>
      <c r="E72" s="1015"/>
      <c r="F72" s="1020"/>
      <c r="G72" s="1014"/>
      <c r="H72" s="1015"/>
      <c r="I72" s="1015"/>
      <c r="J72" s="1015"/>
      <c r="K72" s="1015"/>
      <c r="L72" s="1015"/>
      <c r="M72" s="1011"/>
      <c r="N72" s="1011"/>
      <c r="O72" s="1017" t="str">
        <f>IFERROR(IF(G72="","",INDEX(CMLIGHTBASE[Base Watt 1],MATCH(G72,CMLIGHTBASE[Base Desc 1],0))),"")</f>
        <v/>
      </c>
      <c r="P72" s="1017"/>
      <c r="Q72" s="1042"/>
      <c r="R72" s="1043"/>
      <c r="S72" s="1044"/>
      <c r="T72" s="1015"/>
      <c r="U72" s="1015"/>
      <c r="V72" s="1015"/>
      <c r="W72" s="988"/>
      <c r="X72" s="989"/>
      <c r="Y72" s="989"/>
      <c r="Z72" s="988"/>
      <c r="AA72" s="989"/>
      <c r="AB72" s="989"/>
      <c r="AC72" s="990"/>
      <c r="AD72" s="1011"/>
      <c r="AE72" s="1011"/>
      <c r="AF72" s="1009"/>
      <c r="AG72" s="1010"/>
      <c r="AH72" s="998"/>
      <c r="AI72" s="999"/>
      <c r="AJ72" s="999"/>
      <c r="AK72" s="1000"/>
      <c r="AL72" s="1001" t="str">
        <f>IF(OR(C72="",E72="",G72="",K72="",M72="",O72="",Q72="",S72="",Z72="",AD72="",AF72="",AH72="",AJ72=""),"",ROUND(AH72+AJ72,2))</f>
        <v/>
      </c>
      <c r="AM72" s="1002"/>
      <c r="AN72" s="1002"/>
      <c r="AO72" s="1003" t="str">
        <f t="shared" ref="AO72" si="78">IF(OR(C72="",E72="",G72="",K72="",M72="",O72="",Q72="",S72="",Z72="",AD72="",AF72="",AH72="",AJ72=""),"",IF(BA72-BB72&lt;=0,0,BA72-BB72))</f>
        <v/>
      </c>
      <c r="AP72" s="1004"/>
      <c r="AQ72" s="1005"/>
      <c r="AR72" s="996" t="str">
        <f>IF(OR(C72="",E72="",G72="",K72="",M72="",O72="",Q72="",S72="",Z72="",AD72="",AF72="",AH72="",AJ72=""),"", IF(BL72&lt;&gt;"", BL72, IF(BN72&gt;0,BN72, IF(ACTIVEBLOCK="Yes",ROUND(MIN(AL72*0.75,AO72*BLOCKBIDRATE),2),ROUND(MIN(AL72*0.75,BG72),2)))))</f>
        <v/>
      </c>
      <c r="AS72" s="996"/>
      <c r="AT72" s="996"/>
      <c r="AU72" s="996"/>
      <c r="AX72" s="973" t="str">
        <f>IFERROR(IF(OR(C72="",E72="",G72="",K72="",M72="",O72="",Q72="",S72="",Z72="",AD72="",AF72="",AH72="",AJ72=""),"",
ROUND(((1+ELOSS)*((AO72*INDEX(ELECCB[NPV AEC $/kWh],MATCH(BC72,ELECCB[Year Number],1)))+(BE72*INDEX(ELECCB[NPV ACC $/kW],MATCH(BC72,ELECCB[Year Number],1))))/AL72),2)),0)</f>
        <v/>
      </c>
      <c r="AY72" s="973" t="str">
        <f>IFERROR(AL72/M02S04F06/AO72,"")</f>
        <v/>
      </c>
      <c r="AZ72" s="966" t="str">
        <f>IF(S72="","",
_xlfn.LET( _xlpm.Unit, INDEX(CMLIGHTEFF[Unit],MATCH(S72,CMLIGHTEFF[Eff Desc 1],0)),
IFERROR(_xlpm.Unit,"")))</f>
        <v/>
      </c>
      <c r="BA72" s="975" t="str">
        <f>IF(OR(C72="",E72="",G72="",K72="",M72="",O72="",Q72="",S72="",Z72="",AD72="",AF72="",AH72="",AJ72=""),"",
IF(OR(ISNUMBER(SEARCH("Exterior",E72)),ISNUMBER(SEARCH("Garage",E72)),M02S04F22="Unconditioned",M02S04F22="Electric Heat Only",M02S04F22="Natural Gas Heat Only"),ROUND(M72*O72*Q72/1000,4),
ROUND(M72*O72*Q72/1000*INDEX(BUILDINGTYPE[Waste Heat Factor (e)],MATCH(M02S04F19,BUILDINGTYPE[Building Type],0)),4)))</f>
        <v/>
      </c>
      <c r="BB72" s="975" t="str">
        <f>IF(OR(C72="",E72="",G72="",K72="",M72="",O72="",Q72="",S72="",Z72="",AD72="",AF72="",AH72="",AJ72=""),"",
IF(OR(ISNUMBER(SEARCH("Exterior",E72)),ISNUMBER(SEARCH("Garage",E72)),M02S04F22="Unconditioned",M02S04F22="Electric Heat Only",M02S04F22="Natural Gas Heat Only"),ROUND(AD72*AF72*Q72/1000,4),
ROUND(AD72*AF72*Q72/1000*INDEX(BUILDINGTYPE[Waste Heat Factor (e)],MATCH(M02S04F19,BUILDINGTYPE[Building Type],0)),4)))</f>
        <v/>
      </c>
      <c r="BC72" s="977" t="str">
        <f>IF(OR(G72="",S72=""),"",IF(INDEX(CMLIGHTEFF[EUL],MATCH(S72,CMLIGHTEFF[Eff Desc 1],0))="","",INDEX(CMLIGHTEFF[EUL],MATCH(S72,CMLIGHTEFF[Eff Desc 1],0))))</f>
        <v/>
      </c>
      <c r="BD72" s="979" t="str">
        <f t="shared" ref="BD72" si="79">IF(OR(E72="",G72="",S72=""),"",IF(ISNUMBER(SEARCH("24/7",E72)),"Ext Lighting w/ Peak ",IF(E72="Interior","Interior Lighting",IF(OR(E72="Garage",E72="Exterior"),"Ext Lighting w/o Peak","Err"))))</f>
        <v/>
      </c>
      <c r="BE72" s="971" t="str">
        <f>IFERROR(IF(OR(C72="",E72="",G72="",K72="",M72="",O72="",Q72="",Z72="",AD72="",AF72="",AH72="",AJ72=""),"",ROUND(AO72*INDEX(ENDUSEALL[Factor],MATCH(BD72,ENDUSEALL[End Use to Coincident Peak Demand Factors],0)),4)),"")</f>
        <v/>
      </c>
      <c r="BF72" s="971" t="str">
        <f>IFERROR(IF(OR(C72="",E72="",G72="",K72="",M72="",O72="",Q72="",Z72="",AD72="",AF72="",AH72="",AJ72=""),"",IF(OR(E72="Garage",E72="Exterior"),0,
IF(OR(ISNUMBER(SEARCH("Garage",E72)),M02S04F22="Unconditioned",M02S04F22="Electric Heat Only",M02S04F22="Natural Gas Heat Only"),ROUND((((M72*O72)-(AD72*AF72))/1000)*INDEX(BUILDINGTYPE[Lighting Coincidence Factor],MATCH(M02S04F19,BUILDINGTYPE[Building Type],0)),4),
ROUND((((M72*O72)-(AD72*AF72))/1000)*INDEX(BUILDINGTYPE[WHFd],MATCH(M02S04F19,BUILDINGTYPE[Building Type],0))*INDEX(BUILDINGTYPE[Lighting Coincidence Factor],MATCH(M02S04F19,BUILDINGTYPE[Building Type],0)),4)))),"")</f>
        <v/>
      </c>
      <c r="BG72" s="963" t="str">
        <f t="shared" ref="BG72" si="80">IFERROR(ROUND(AO72*BH72,2),"")</f>
        <v/>
      </c>
      <c r="BH72" s="963" t="str">
        <f>_xlfn.LET(_xlpm.ROWS,MATCH(BD72,ENDUSEALL[End Use to Coincident Peak Demand Factors],0),IFERROR(INDEX(IF(AND(ACTIVEBONUS = TRUE,INDEX(ENDUSEALL[Bonus Rate ($/kWh)],_xlpm.ROWS)&lt;&gt;""),ENDUSEALL[Bonus Rate ($/kWh)],ENDUSEALL[Rate ($/kWh)]),_xlpm.ROWS),""))</f>
        <v/>
      </c>
      <c r="BI72" s="963" t="str">
        <f>_xlfn.LET(_xlpm.BONUS_RATE,INDEX(ENDUSEALL[Bonus Rate ($/kWh)],MATCH(BD72,ENDUSEALL[End Use to Coincident Peak Demand Factors],0)),_xlpm.BASE_RATE,INDEX(ENDUSEALL[Rate ($/kWh)],MATCH(BD72,ENDUSEALL[End Use to Coincident Peak Demand Factors],0)),IFERROR(IF(OR(ACTIVEBONUS &lt;&gt; TRUE,ISNUMBER(AR72) = FALSE,BN72 &lt;&gt; ""),"",AR72-(AO72*_xlpm.BASE_RATE)),""))</f>
        <v/>
      </c>
      <c r="BJ72" s="964" t="str">
        <f>IF(OR(C72="",E72="",G72="",K72="",M72="",O72="",Q72="",Z72="",AD72="",AF72="",AH72="",AJ72=""),"",IF(BL72&lt;&gt;"",SPILLOVERNUMBER,
221&amp;INDEX(LOCATIONTYPE[Measure Number],MATCH(E72,LOCATIONTYPE[Location Type],0))&amp;INDEX(ENDUSEALL[Measure Number Indicator],MATCH(BD72,ENDUSEALL[End Use to Coincident Peak Demand Factors],0))&amp;INDEX(CMLIGHTEFF[Measure Number],MATCH(S72,CMLIGHTEFF[Eff Desc 1],0))))</f>
        <v/>
      </c>
      <c r="BK72" s="966" t="str">
        <f>IFERROR(IF(BN72="", IF(AND(ROUND(AR72/AL72,2)=TOTCOSTCAP, BG72/AL72&gt;TOTCOSTCAP),"75% Total Cost",
IF(FALSE,"100% Incremental Cost",
IF(BH72&lt;KWHRATEMIN, "kWh Incentive Rate Min",
IF(BH72&gt;KWHRATEMAX,"kWh Incentive Rate Cap",
IF(AR72=BI72,"Bonus Incentive",
"kWh Incentive"))))), ""),"")</f>
        <v/>
      </c>
      <c r="BL72" s="966" t="str">
        <f ca="1">IFERROR(
IF(EXPIRATION&lt;&gt;"",PROJSTATEXP,
IF(BN72&gt;0,"",
IF(OR(M02S04F06="",M02S04F06="Select Rate Code",M02S04F06=0),MEASURERATE,
IF(M02S04F19="",MEASUREBLDG,
IF(BA72-BB72&lt;=0,MEASURESAVE,
IF(PAYCUSE&lt;PAYBACKREQ,PROJECTSTATPAYBACK,
IF(CBCUSE&lt;CBREQ,PROJECTSTATCB,""))))))),
MEASURESUBMIT)</f>
        <v>Enter Utility Rate (Building Info Tab)</v>
      </c>
      <c r="BM72" s="963" t="str">
        <f>IFERROR(IF(OR(C72="",E72="",G72="",K72="",M72="",O72="",Q72="",Z72="",AD72="",AF72="",AH72="",AJ72=""),"",
ROUND(((1+ELOSS)*((AO72*INDEX(ELECCB[NPV AEC $/kWh],MATCH(BC72,ELECCB[Year Number],1)))+(BE72*INDEX(ELECCB[NPV ACC $/kW],MATCH(BC72,ELECCB[Year Number],1))))),2)),0)</f>
        <v/>
      </c>
      <c r="BN72" s="968"/>
    </row>
    <row r="73" spans="2:66" ht="15.95" customHeight="1">
      <c r="B73" s="806"/>
      <c r="C73" s="1015"/>
      <c r="D73" s="1015"/>
      <c r="E73" s="1015"/>
      <c r="F73" s="1020"/>
      <c r="G73" s="1014"/>
      <c r="H73" s="1015"/>
      <c r="I73" s="1015"/>
      <c r="J73" s="1015"/>
      <c r="K73" s="1015"/>
      <c r="L73" s="1015"/>
      <c r="M73" s="1011"/>
      <c r="N73" s="1011"/>
      <c r="O73" s="1017"/>
      <c r="P73" s="1017"/>
      <c r="Q73" s="1042"/>
      <c r="R73" s="1043"/>
      <c r="S73" s="1044"/>
      <c r="T73" s="1015"/>
      <c r="U73" s="1015"/>
      <c r="V73" s="1015"/>
      <c r="W73" s="991"/>
      <c r="X73" s="992"/>
      <c r="Y73" s="992"/>
      <c r="Z73" s="991"/>
      <c r="AA73" s="992"/>
      <c r="AB73" s="992"/>
      <c r="AC73" s="993"/>
      <c r="AD73" s="1011"/>
      <c r="AE73" s="1011"/>
      <c r="AF73" s="1009"/>
      <c r="AG73" s="1010"/>
      <c r="AH73" s="998"/>
      <c r="AI73" s="999"/>
      <c r="AJ73" s="999"/>
      <c r="AK73" s="1000"/>
      <c r="AL73" s="1001"/>
      <c r="AM73" s="1002"/>
      <c r="AN73" s="1002"/>
      <c r="AO73" s="1006"/>
      <c r="AP73" s="1007"/>
      <c r="AQ73" s="1008"/>
      <c r="AR73" s="997"/>
      <c r="AS73" s="997"/>
      <c r="AT73" s="997"/>
      <c r="AU73" s="997"/>
      <c r="AX73" s="974"/>
      <c r="AY73" s="974"/>
      <c r="AZ73" s="967"/>
      <c r="BA73" s="976"/>
      <c r="BB73" s="976"/>
      <c r="BC73" s="978"/>
      <c r="BD73" s="980"/>
      <c r="BE73" s="972"/>
      <c r="BF73" s="972"/>
      <c r="BG73" s="830"/>
      <c r="BH73" s="830"/>
      <c r="BI73" s="830"/>
      <c r="BJ73" s="965"/>
      <c r="BK73" s="967"/>
      <c r="BL73" s="967"/>
      <c r="BM73" s="830"/>
      <c r="BN73" s="969"/>
    </row>
    <row r="74" spans="2:66" ht="15.95" customHeight="1">
      <c r="B74" s="806">
        <v>29</v>
      </c>
      <c r="C74" s="1015"/>
      <c r="D74" s="1015"/>
      <c r="E74" s="1015"/>
      <c r="F74" s="1020"/>
      <c r="G74" s="1014"/>
      <c r="H74" s="1015"/>
      <c r="I74" s="1015"/>
      <c r="J74" s="1015"/>
      <c r="K74" s="1015"/>
      <c r="L74" s="1015"/>
      <c r="M74" s="1011"/>
      <c r="N74" s="1011"/>
      <c r="O74" s="1017" t="str">
        <f>IFERROR(IF(G74="","",INDEX(CMLIGHTBASE[Base Watt 1],MATCH(G74,CMLIGHTBASE[Base Desc 1],0))),"")</f>
        <v/>
      </c>
      <c r="P74" s="1017"/>
      <c r="Q74" s="1042"/>
      <c r="R74" s="1043"/>
      <c r="S74" s="1044"/>
      <c r="T74" s="1015"/>
      <c r="U74" s="1015"/>
      <c r="V74" s="1015"/>
      <c r="W74" s="988"/>
      <c r="X74" s="989"/>
      <c r="Y74" s="989"/>
      <c r="Z74" s="988"/>
      <c r="AA74" s="989"/>
      <c r="AB74" s="989"/>
      <c r="AC74" s="990"/>
      <c r="AD74" s="1011"/>
      <c r="AE74" s="1011"/>
      <c r="AF74" s="1009"/>
      <c r="AG74" s="1010"/>
      <c r="AH74" s="998"/>
      <c r="AI74" s="999"/>
      <c r="AJ74" s="999"/>
      <c r="AK74" s="1000"/>
      <c r="AL74" s="1001" t="str">
        <f>IF(OR(C74="",E74="",G74="",K74="",M74="",O74="",Q74="",S74="",Z74="",AD74="",AF74="",AH74="",AJ74=""),"",ROUND(AH74+AJ74,2))</f>
        <v/>
      </c>
      <c r="AM74" s="1002"/>
      <c r="AN74" s="1002"/>
      <c r="AO74" s="1003" t="str">
        <f t="shared" ref="AO74" si="81">IF(OR(C74="",E74="",G74="",K74="",M74="",O74="",Q74="",S74="",Z74="",AD74="",AF74="",AH74="",AJ74=""),"",IF(BA74-BB74&lt;=0,0,BA74-BB74))</f>
        <v/>
      </c>
      <c r="AP74" s="1004"/>
      <c r="AQ74" s="1005"/>
      <c r="AR74" s="996" t="str">
        <f>IF(OR(C74="",E74="",G74="",K74="",M74="",O74="",Q74="",S74="",Z74="",AD74="",AF74="",AH74="",AJ74=""),"", IF(BL74&lt;&gt;"", BL74, IF(BN74&gt;0,BN74, IF(ACTIVEBLOCK="Yes",ROUND(MIN(AL74*0.75,AO74*BLOCKBIDRATE),2),ROUND(MIN(AL74*0.75,BG74),2)))))</f>
        <v/>
      </c>
      <c r="AS74" s="996"/>
      <c r="AT74" s="996"/>
      <c r="AU74" s="996"/>
      <c r="AX74" s="973" t="str">
        <f>IFERROR(IF(OR(C74="",E74="",G74="",K74="",M74="",O74="",Q74="",S74="",Z74="",AD74="",AF74="",AH74="",AJ74=""),"",
ROUND(((1+ELOSS)*((AO74*INDEX(ELECCB[NPV AEC $/kWh],MATCH(BC74,ELECCB[Year Number],1)))+(BE74*INDEX(ELECCB[NPV ACC $/kW],MATCH(BC74,ELECCB[Year Number],1))))/AL74),2)),0)</f>
        <v/>
      </c>
      <c r="AY74" s="973" t="str">
        <f>IFERROR(AL74/M02S04F06/AO74,"")</f>
        <v/>
      </c>
      <c r="AZ74" s="966" t="str">
        <f>IF(S74="","",
_xlfn.LET( _xlpm.Unit, INDEX(CMLIGHTEFF[Unit],MATCH(S74,CMLIGHTEFF[Eff Desc 1],0)),
IFERROR(_xlpm.Unit,"")))</f>
        <v/>
      </c>
      <c r="BA74" s="975" t="str">
        <f>IF(OR(C74="",E74="",G74="",K74="",M74="",O74="",Q74="",S74="",Z74="",AD74="",AF74="",AH74="",AJ74=""),"",
IF(OR(ISNUMBER(SEARCH("Exterior",E74)),ISNUMBER(SEARCH("Garage",E74)),M02S04F22="Unconditioned",M02S04F22="Electric Heat Only",M02S04F22="Natural Gas Heat Only"),ROUND(M74*O74*Q74/1000,4),
ROUND(M74*O74*Q74/1000*INDEX(BUILDINGTYPE[Waste Heat Factor (e)],MATCH(M02S04F19,BUILDINGTYPE[Building Type],0)),4)))</f>
        <v/>
      </c>
      <c r="BB74" s="975" t="str">
        <f>IF(OR(C74="",E74="",G74="",K74="",M74="",O74="",Q74="",S74="",Z74="",AD74="",AF74="",AH74="",AJ74=""),"",
IF(OR(ISNUMBER(SEARCH("Exterior",E74)),ISNUMBER(SEARCH("Garage",E74)),M02S04F22="Unconditioned",M02S04F22="Electric Heat Only",M02S04F22="Natural Gas Heat Only"),ROUND(AD74*AF74*Q74/1000,4),
ROUND(AD74*AF74*Q74/1000*INDEX(BUILDINGTYPE[Waste Heat Factor (e)],MATCH(M02S04F19,BUILDINGTYPE[Building Type],0)),4)))</f>
        <v/>
      </c>
      <c r="BC74" s="977" t="str">
        <f>IF(OR(G74="",S74=""),"",IF(INDEX(CMLIGHTEFF[EUL],MATCH(S74,CMLIGHTEFF[Eff Desc 1],0))="","",INDEX(CMLIGHTEFF[EUL],MATCH(S74,CMLIGHTEFF[Eff Desc 1],0))))</f>
        <v/>
      </c>
      <c r="BD74" s="979" t="str">
        <f t="shared" ref="BD74" si="82">IF(OR(E74="",G74="",S74=""),"",IF(ISNUMBER(SEARCH("24/7",E74)),"Ext Lighting w/ Peak ",IF(E74="Interior","Interior Lighting",IF(OR(E74="Garage",E74="Exterior"),"Ext Lighting w/o Peak","Err"))))</f>
        <v/>
      </c>
      <c r="BE74" s="971" t="str">
        <f>IFERROR(IF(OR(C74="",E74="",G74="",K74="",M74="",O74="",Q74="",Z74="",AD74="",AF74="",AH74="",AJ74=""),"",ROUND(AO74*INDEX(ENDUSEALL[Factor],MATCH(BD74,ENDUSEALL[End Use to Coincident Peak Demand Factors],0)),4)),"")</f>
        <v/>
      </c>
      <c r="BF74" s="971" t="str">
        <f>IFERROR(IF(OR(C74="",E74="",G74="",K74="",M74="",O74="",Q74="",Z74="",AD74="",AF74="",AH74="",AJ74=""),"",IF(OR(E74="Garage",E74="Exterior"),0,
IF(OR(ISNUMBER(SEARCH("Garage",E74)),M02S04F22="Unconditioned",M02S04F22="Electric Heat Only",M02S04F22="Natural Gas Heat Only"),ROUND((((M74*O74)-(AD74*AF74))/1000)*INDEX(BUILDINGTYPE[Lighting Coincidence Factor],MATCH(M02S04F19,BUILDINGTYPE[Building Type],0)),4),
ROUND((((M74*O74)-(AD74*AF74))/1000)*INDEX(BUILDINGTYPE[WHFd],MATCH(M02S04F19,BUILDINGTYPE[Building Type],0))*INDEX(BUILDINGTYPE[Lighting Coincidence Factor],MATCH(M02S04F19,BUILDINGTYPE[Building Type],0)),4)))),"")</f>
        <v/>
      </c>
      <c r="BG74" s="963" t="str">
        <f t="shared" ref="BG74" si="83">IFERROR(ROUND(AO74*BH74,2),"")</f>
        <v/>
      </c>
      <c r="BH74" s="963" t="str">
        <f>_xlfn.LET(_xlpm.ROWS,MATCH(BD74,ENDUSEALL[End Use to Coincident Peak Demand Factors],0),IFERROR(INDEX(IF(AND(ACTIVEBONUS = TRUE,INDEX(ENDUSEALL[Bonus Rate ($/kWh)],_xlpm.ROWS)&lt;&gt;""),ENDUSEALL[Bonus Rate ($/kWh)],ENDUSEALL[Rate ($/kWh)]),_xlpm.ROWS),""))</f>
        <v/>
      </c>
      <c r="BI74" s="963" t="str">
        <f>_xlfn.LET(_xlpm.BONUS_RATE,INDEX(ENDUSEALL[Bonus Rate ($/kWh)],MATCH(BD74,ENDUSEALL[End Use to Coincident Peak Demand Factors],0)),_xlpm.BASE_RATE,INDEX(ENDUSEALL[Rate ($/kWh)],MATCH(BD74,ENDUSEALL[End Use to Coincident Peak Demand Factors],0)),IFERROR(IF(OR(ACTIVEBONUS &lt;&gt; TRUE,ISNUMBER(AR74) = FALSE,BN74 &lt;&gt; ""),"",AR74-(AO74*_xlpm.BASE_RATE)),""))</f>
        <v/>
      </c>
      <c r="BJ74" s="964" t="str">
        <f>IF(OR(C74="",E74="",G74="",K74="",M74="",O74="",Q74="",Z74="",AD74="",AF74="",AH74="",AJ74=""),"",IF(BL74&lt;&gt;"",SPILLOVERNUMBER,
221&amp;INDEX(LOCATIONTYPE[Measure Number],MATCH(E74,LOCATIONTYPE[Location Type],0))&amp;INDEX(ENDUSEALL[Measure Number Indicator],MATCH(BD74,ENDUSEALL[End Use to Coincident Peak Demand Factors],0))&amp;INDEX(CMLIGHTEFF[Measure Number],MATCH(S74,CMLIGHTEFF[Eff Desc 1],0))))</f>
        <v/>
      </c>
      <c r="BK74" s="966" t="str">
        <f>IFERROR(IF(BN74="", IF(AND(ROUND(AR74/AL74,2)=TOTCOSTCAP, BG74/AL74&gt;TOTCOSTCAP),"75% Total Cost",
IF(FALSE,"100% Incremental Cost",
IF(BH74&lt;KWHRATEMIN, "kWh Incentive Rate Min",
IF(BH74&gt;KWHRATEMAX,"kWh Incentive Rate Cap",
IF(AR74=BI74,"Bonus Incentive",
"kWh Incentive"))))), ""),"")</f>
        <v/>
      </c>
      <c r="BL74" s="966" t="str">
        <f ca="1">IFERROR(
IF(EXPIRATION&lt;&gt;"",PROJSTATEXP,
IF(BN74&gt;0,"",
IF(OR(M02S04F06="",M02S04F06="Select Rate Code",M02S04F06=0),MEASURERATE,
IF(M02S04F19="",MEASUREBLDG,
IF(BA74-BB74&lt;=0,MEASURESAVE,
IF(PAYCUSE&lt;PAYBACKREQ,PROJECTSTATPAYBACK,
IF(CBCUSE&lt;CBREQ,PROJECTSTATCB,""))))))),
MEASURESUBMIT)</f>
        <v>Enter Utility Rate (Building Info Tab)</v>
      </c>
      <c r="BM74" s="963" t="str">
        <f>IFERROR(IF(OR(C74="",E74="",G74="",K74="",M74="",O74="",Q74="",Z74="",AD74="",AF74="",AH74="",AJ74=""),"",
ROUND(((1+ELOSS)*((AO74*INDEX(ELECCB[NPV AEC $/kWh],MATCH(BC74,ELECCB[Year Number],1)))+(BE74*INDEX(ELECCB[NPV ACC $/kW],MATCH(BC74,ELECCB[Year Number],1))))),2)),0)</f>
        <v/>
      </c>
      <c r="BN74" s="968"/>
    </row>
    <row r="75" spans="2:66" ht="15.95" customHeight="1">
      <c r="B75" s="806"/>
      <c r="C75" s="1015"/>
      <c r="D75" s="1015"/>
      <c r="E75" s="1015"/>
      <c r="F75" s="1020"/>
      <c r="G75" s="1014"/>
      <c r="H75" s="1015"/>
      <c r="I75" s="1015"/>
      <c r="J75" s="1015"/>
      <c r="K75" s="1015"/>
      <c r="L75" s="1015"/>
      <c r="M75" s="1011"/>
      <c r="N75" s="1011"/>
      <c r="O75" s="1017"/>
      <c r="P75" s="1017"/>
      <c r="Q75" s="1042"/>
      <c r="R75" s="1043"/>
      <c r="S75" s="1044"/>
      <c r="T75" s="1015"/>
      <c r="U75" s="1015"/>
      <c r="V75" s="1015"/>
      <c r="W75" s="991"/>
      <c r="X75" s="992"/>
      <c r="Y75" s="992"/>
      <c r="Z75" s="991"/>
      <c r="AA75" s="992"/>
      <c r="AB75" s="992"/>
      <c r="AC75" s="993"/>
      <c r="AD75" s="1011"/>
      <c r="AE75" s="1011"/>
      <c r="AF75" s="1009"/>
      <c r="AG75" s="1010"/>
      <c r="AH75" s="998"/>
      <c r="AI75" s="999"/>
      <c r="AJ75" s="999"/>
      <c r="AK75" s="1000"/>
      <c r="AL75" s="1001"/>
      <c r="AM75" s="1002"/>
      <c r="AN75" s="1002"/>
      <c r="AO75" s="1006"/>
      <c r="AP75" s="1007"/>
      <c r="AQ75" s="1008"/>
      <c r="AR75" s="997"/>
      <c r="AS75" s="997"/>
      <c r="AT75" s="997"/>
      <c r="AU75" s="997"/>
      <c r="AX75" s="974"/>
      <c r="AY75" s="974"/>
      <c r="AZ75" s="967"/>
      <c r="BA75" s="976"/>
      <c r="BB75" s="976"/>
      <c r="BC75" s="978"/>
      <c r="BD75" s="980"/>
      <c r="BE75" s="972"/>
      <c r="BF75" s="972"/>
      <c r="BG75" s="830"/>
      <c r="BH75" s="830"/>
      <c r="BI75" s="830"/>
      <c r="BJ75" s="965"/>
      <c r="BK75" s="967"/>
      <c r="BL75" s="967"/>
      <c r="BM75" s="830"/>
      <c r="BN75" s="969"/>
    </row>
    <row r="76" spans="2:66" ht="15.95" customHeight="1">
      <c r="B76" s="806">
        <v>30</v>
      </c>
      <c r="C76" s="1015"/>
      <c r="D76" s="1015"/>
      <c r="E76" s="1015"/>
      <c r="F76" s="1020"/>
      <c r="G76" s="1014"/>
      <c r="H76" s="1015"/>
      <c r="I76" s="1015"/>
      <c r="J76" s="1015"/>
      <c r="K76" s="1015"/>
      <c r="L76" s="1015"/>
      <c r="M76" s="1011"/>
      <c r="N76" s="1011"/>
      <c r="O76" s="1017" t="str">
        <f>IFERROR(IF(G76="","",INDEX(CMLIGHTBASE[Base Watt 1],MATCH(G76,CMLIGHTBASE[Base Desc 1],0))),"")</f>
        <v/>
      </c>
      <c r="P76" s="1017"/>
      <c r="Q76" s="1042"/>
      <c r="R76" s="1043"/>
      <c r="S76" s="1044"/>
      <c r="T76" s="1015"/>
      <c r="U76" s="1015"/>
      <c r="V76" s="1015"/>
      <c r="W76" s="988"/>
      <c r="X76" s="989"/>
      <c r="Y76" s="989"/>
      <c r="Z76" s="988"/>
      <c r="AA76" s="989"/>
      <c r="AB76" s="989"/>
      <c r="AC76" s="990"/>
      <c r="AD76" s="1011"/>
      <c r="AE76" s="1011"/>
      <c r="AF76" s="1009"/>
      <c r="AG76" s="1010"/>
      <c r="AH76" s="998"/>
      <c r="AI76" s="999"/>
      <c r="AJ76" s="999"/>
      <c r="AK76" s="1000"/>
      <c r="AL76" s="1001" t="str">
        <f>IF(OR(C76="",E76="",G76="",K76="",M76="",O76="",Q76="",S76="",Z76="",AD76="",AF76="",AH76="",AJ76=""),"",ROUND(AH76+AJ76,2))</f>
        <v/>
      </c>
      <c r="AM76" s="1002"/>
      <c r="AN76" s="1002"/>
      <c r="AO76" s="1003" t="str">
        <f t="shared" ref="AO76" si="84">IF(OR(C76="",E76="",G76="",K76="",M76="",O76="",Q76="",S76="",Z76="",AD76="",AF76="",AH76="",AJ76=""),"",IF(BA76-BB76&lt;=0,0,BA76-BB76))</f>
        <v/>
      </c>
      <c r="AP76" s="1004"/>
      <c r="AQ76" s="1005"/>
      <c r="AR76" s="996" t="str">
        <f>IF(OR(C76="",E76="",G76="",K76="",M76="",O76="",Q76="",S76="",Z76="",AD76="",AF76="",AH76="",AJ76=""),"", IF(BL76&lt;&gt;"", BL76, IF(BN76&gt;0,BN76, IF(ACTIVEBLOCK="Yes",ROUND(MIN(AL76*0.75,AO76*BLOCKBIDRATE),2),ROUND(MIN(AL76*0.75,BG76),2)))))</f>
        <v/>
      </c>
      <c r="AS76" s="996"/>
      <c r="AT76" s="996"/>
      <c r="AU76" s="996"/>
      <c r="AX76" s="973" t="str">
        <f>IFERROR(IF(OR(C76="",E76="",G76="",K76="",M76="",O76="",Q76="",S76="",Z76="",AD76="",AF76="",AH76="",AJ76=""),"",
ROUND(((1+ELOSS)*((AO76*INDEX(ELECCB[NPV AEC $/kWh],MATCH(BC76,ELECCB[Year Number],1)))+(BE76*INDEX(ELECCB[NPV ACC $/kW],MATCH(BC76,ELECCB[Year Number],1))))/AL76),2)),0)</f>
        <v/>
      </c>
      <c r="AY76" s="973" t="str">
        <f>IFERROR(AL76/M02S04F06/AO76,"")</f>
        <v/>
      </c>
      <c r="AZ76" s="966" t="str">
        <f>IF(S76="","",
_xlfn.LET( _xlpm.Unit, INDEX(CMLIGHTEFF[Unit],MATCH(S76,CMLIGHTEFF[Eff Desc 1],0)),
IFERROR(_xlpm.Unit,"")))</f>
        <v/>
      </c>
      <c r="BA76" s="975" t="str">
        <f>IF(OR(C76="",E76="",G76="",K76="",M76="",O76="",Q76="",S76="",Z76="",AD76="",AF76="",AH76="",AJ76=""),"",
IF(OR(ISNUMBER(SEARCH("Exterior",E76)),ISNUMBER(SEARCH("Garage",E76)),M02S04F22="Unconditioned",M02S04F22="Electric Heat Only",M02S04F22="Natural Gas Heat Only"),ROUND(M76*O76*Q76/1000,4),
ROUND(M76*O76*Q76/1000*INDEX(BUILDINGTYPE[Waste Heat Factor (e)],MATCH(M02S04F19,BUILDINGTYPE[Building Type],0)),4)))</f>
        <v/>
      </c>
      <c r="BB76" s="975" t="str">
        <f>IF(OR(C76="",E76="",G76="",K76="",M76="",O76="",Q76="",S76="",Z76="",AD76="",AF76="",AH76="",AJ76=""),"",
IF(OR(ISNUMBER(SEARCH("Exterior",E76)),ISNUMBER(SEARCH("Garage",E76)),M02S04F22="Unconditioned",M02S04F22="Electric Heat Only",M02S04F22="Natural Gas Heat Only"),ROUND(AD76*AF76*Q76/1000,4),
ROUND(AD76*AF76*Q76/1000*INDEX(BUILDINGTYPE[Waste Heat Factor (e)],MATCH(M02S04F19,BUILDINGTYPE[Building Type],0)),4)))</f>
        <v/>
      </c>
      <c r="BC76" s="977" t="str">
        <f>IF(OR(G76="",S76=""),"",IF(INDEX(CMLIGHTEFF[EUL],MATCH(S76,CMLIGHTEFF[Eff Desc 1],0))="","",INDEX(CMLIGHTEFF[EUL],MATCH(S76,CMLIGHTEFF[Eff Desc 1],0))))</f>
        <v/>
      </c>
      <c r="BD76" s="979" t="str">
        <f t="shared" ref="BD76" si="85">IF(OR(E76="",G76="",S76=""),"",IF(ISNUMBER(SEARCH("24/7",E76)),"Ext Lighting w/ Peak ",IF(E76="Interior","Interior Lighting",IF(OR(E76="Garage",E76="Exterior"),"Ext Lighting w/o Peak","Err"))))</f>
        <v/>
      </c>
      <c r="BE76" s="971" t="str">
        <f>IFERROR(IF(OR(C76="",E76="",G76="",K76="",M76="",O76="",Q76="",Z76="",AD76="",AF76="",AH76="",AJ76=""),"",ROUND(AO76*INDEX(ENDUSEALL[Factor],MATCH(BD76,ENDUSEALL[End Use to Coincident Peak Demand Factors],0)),4)),"")</f>
        <v/>
      </c>
      <c r="BF76" s="971" t="str">
        <f>IFERROR(IF(OR(C76="",E76="",G76="",K76="",M76="",O76="",Q76="",Z76="",AD76="",AF76="",AH76="",AJ76=""),"",IF(OR(E76="Garage",E76="Exterior"),0,
IF(OR(ISNUMBER(SEARCH("Garage",E76)),M02S04F22="Unconditioned",M02S04F22="Electric Heat Only",M02S04F22="Natural Gas Heat Only"),ROUND((((M76*O76)-(AD76*AF76))/1000)*INDEX(BUILDINGTYPE[Lighting Coincidence Factor],MATCH(M02S04F19,BUILDINGTYPE[Building Type],0)),4),
ROUND((((M76*O76)-(AD76*AF76))/1000)*INDEX(BUILDINGTYPE[WHFd],MATCH(M02S04F19,BUILDINGTYPE[Building Type],0))*INDEX(BUILDINGTYPE[Lighting Coincidence Factor],MATCH(M02S04F19,BUILDINGTYPE[Building Type],0)),4)))),"")</f>
        <v/>
      </c>
      <c r="BG76" s="963" t="str">
        <f t="shared" ref="BG76" si="86">IFERROR(ROUND(AO76*BH76,2),"")</f>
        <v/>
      </c>
      <c r="BH76" s="963" t="str">
        <f>_xlfn.LET(_xlpm.ROWS,MATCH(BD76,ENDUSEALL[End Use to Coincident Peak Demand Factors],0),IFERROR(INDEX(IF(AND(ACTIVEBONUS = TRUE,INDEX(ENDUSEALL[Bonus Rate ($/kWh)],_xlpm.ROWS)&lt;&gt;""),ENDUSEALL[Bonus Rate ($/kWh)],ENDUSEALL[Rate ($/kWh)]),_xlpm.ROWS),""))</f>
        <v/>
      </c>
      <c r="BI76" s="963" t="str">
        <f>_xlfn.LET(_xlpm.BONUS_RATE,INDEX(ENDUSEALL[Bonus Rate ($/kWh)],MATCH(BD76,ENDUSEALL[End Use to Coincident Peak Demand Factors],0)),_xlpm.BASE_RATE,INDEX(ENDUSEALL[Rate ($/kWh)],MATCH(BD76,ENDUSEALL[End Use to Coincident Peak Demand Factors],0)),IFERROR(IF(OR(ACTIVEBONUS &lt;&gt; TRUE,ISNUMBER(AR76) = FALSE,BN76 &lt;&gt; ""),"",AR76-(AO76*_xlpm.BASE_RATE)),""))</f>
        <v/>
      </c>
      <c r="BJ76" s="964" t="str">
        <f>IF(OR(C76="",E76="",G76="",K76="",M76="",O76="",Q76="",Z76="",AD76="",AF76="",AH76="",AJ76=""),"",IF(BL76&lt;&gt;"",SPILLOVERNUMBER,
221&amp;INDEX(LOCATIONTYPE[Measure Number],MATCH(E76,LOCATIONTYPE[Location Type],0))&amp;INDEX(ENDUSEALL[Measure Number Indicator],MATCH(BD76,ENDUSEALL[End Use to Coincident Peak Demand Factors],0))&amp;INDEX(CMLIGHTEFF[Measure Number],MATCH(S76,CMLIGHTEFF[Eff Desc 1],0))))</f>
        <v/>
      </c>
      <c r="BK76" s="966" t="str">
        <f>IFERROR(IF(BN76="", IF(AND(ROUND(AR76/AL76,2)=TOTCOSTCAP, BG76/AL76&gt;TOTCOSTCAP),"75% Total Cost",
IF(FALSE,"100% Incremental Cost",
IF(BH76&lt;KWHRATEMIN, "kWh Incentive Rate Min",
IF(BH76&gt;KWHRATEMAX,"kWh Incentive Rate Cap",
IF(AR76=BI76,"Bonus Incentive",
"kWh Incentive"))))), ""),"")</f>
        <v/>
      </c>
      <c r="BL76" s="966" t="str">
        <f ca="1">IFERROR(
IF(EXPIRATION&lt;&gt;"",PROJSTATEXP,
IF(BN76&gt;0,"",
IF(OR(M02S04F06="",M02S04F06="Select Rate Code",M02S04F06=0),MEASURERATE,
IF(M02S04F19="",MEASUREBLDG,
IF(BA76-BB76&lt;=0,MEASURESAVE,
IF(PAYCUSE&lt;PAYBACKREQ,PROJECTSTATPAYBACK,
IF(CBCUSE&lt;CBREQ,PROJECTSTATCB,""))))))),
MEASURESUBMIT)</f>
        <v>Enter Utility Rate (Building Info Tab)</v>
      </c>
      <c r="BM76" s="963" t="str">
        <f>IFERROR(IF(OR(C76="",E76="",G76="",K76="",M76="",O76="",Q76="",Z76="",AD76="",AF76="",AH76="",AJ76=""),"",
ROUND(((1+ELOSS)*((AO76*INDEX(ELECCB[NPV AEC $/kWh],MATCH(BC76,ELECCB[Year Number],1)))+(BE76*INDEX(ELECCB[NPV ACC $/kW],MATCH(BC76,ELECCB[Year Number],1))))),2)),0)</f>
        <v/>
      </c>
      <c r="BN76" s="968"/>
    </row>
    <row r="77" spans="2:66" ht="15.95" customHeight="1">
      <c r="B77" s="806"/>
      <c r="C77" s="1015"/>
      <c r="D77" s="1015"/>
      <c r="E77" s="1015"/>
      <c r="F77" s="1020"/>
      <c r="G77" s="1014"/>
      <c r="H77" s="1015"/>
      <c r="I77" s="1015"/>
      <c r="J77" s="1015"/>
      <c r="K77" s="1015"/>
      <c r="L77" s="1015"/>
      <c r="M77" s="1011"/>
      <c r="N77" s="1011"/>
      <c r="O77" s="1017"/>
      <c r="P77" s="1017"/>
      <c r="Q77" s="1042"/>
      <c r="R77" s="1043"/>
      <c r="S77" s="1044"/>
      <c r="T77" s="1015"/>
      <c r="U77" s="1015"/>
      <c r="V77" s="1015"/>
      <c r="W77" s="991"/>
      <c r="X77" s="992"/>
      <c r="Y77" s="992"/>
      <c r="Z77" s="991"/>
      <c r="AA77" s="992"/>
      <c r="AB77" s="992"/>
      <c r="AC77" s="993"/>
      <c r="AD77" s="1011"/>
      <c r="AE77" s="1011"/>
      <c r="AF77" s="1009"/>
      <c r="AG77" s="1010"/>
      <c r="AH77" s="998"/>
      <c r="AI77" s="999"/>
      <c r="AJ77" s="999"/>
      <c r="AK77" s="1000"/>
      <c r="AL77" s="1001"/>
      <c r="AM77" s="1002"/>
      <c r="AN77" s="1002"/>
      <c r="AO77" s="1006"/>
      <c r="AP77" s="1007"/>
      <c r="AQ77" s="1008"/>
      <c r="AR77" s="997"/>
      <c r="AS77" s="997"/>
      <c r="AT77" s="997"/>
      <c r="AU77" s="997"/>
      <c r="AX77" s="974"/>
      <c r="AY77" s="974"/>
      <c r="AZ77" s="967"/>
      <c r="BA77" s="976"/>
      <c r="BB77" s="976"/>
      <c r="BC77" s="978"/>
      <c r="BD77" s="980"/>
      <c r="BE77" s="972"/>
      <c r="BF77" s="972"/>
      <c r="BG77" s="830"/>
      <c r="BH77" s="830"/>
      <c r="BI77" s="830"/>
      <c r="BJ77" s="965"/>
      <c r="BK77" s="967"/>
      <c r="BL77" s="967"/>
      <c r="BM77" s="830"/>
      <c r="BN77" s="969"/>
    </row>
    <row r="78" spans="2:66" ht="15.95" customHeight="1"/>
    <row r="79" spans="2:66" ht="15.95" hidden="1" customHeight="1"/>
    <row r="80" spans="2:66"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spans="51:58" ht="15.95" hidden="1" customHeight="1"/>
    <row r="114" spans="51:58" ht="15.95" hidden="1" customHeight="1"/>
    <row r="115" spans="51:58" ht="15.95" hidden="1" customHeight="1"/>
    <row r="116" spans="51:58" ht="15.95" hidden="1" customHeight="1"/>
    <row r="117" spans="51:58" ht="15.95" hidden="1" customHeight="1"/>
    <row r="118" spans="51:58" ht="15.95" hidden="1" customHeight="1"/>
    <row r="119" spans="51:58" ht="15.95" hidden="1" customHeight="1"/>
    <row r="120" spans="51:58" ht="15.95" hidden="1" customHeight="1">
      <c r="AY120" s="31"/>
      <c r="AZ120" s="37"/>
      <c r="BA120" s="37"/>
      <c r="BB120" s="37"/>
      <c r="BC120" s="31"/>
      <c r="BD120" s="31"/>
      <c r="BE120" s="31"/>
      <c r="BF120" s="37"/>
    </row>
    <row r="121" spans="51:58" ht="15.95" hidden="1" customHeight="1">
      <c r="AY121" s="31"/>
      <c r="AZ121" s="37"/>
      <c r="BA121" s="37"/>
      <c r="BB121" s="37"/>
      <c r="BC121" s="31"/>
      <c r="BD121" s="31"/>
      <c r="BE121" s="31"/>
      <c r="BF121" s="37"/>
    </row>
    <row r="122" spans="51:58" ht="15.95" hidden="1" customHeight="1">
      <c r="AY122" s="31"/>
      <c r="AZ122" s="37"/>
      <c r="BA122" s="37"/>
      <c r="BB122" s="37"/>
      <c r="BC122" s="31"/>
      <c r="BD122" s="31"/>
      <c r="BE122" s="31"/>
      <c r="BF122" s="37"/>
    </row>
    <row r="123" spans="51:58" ht="15.95" hidden="1" customHeight="1">
      <c r="AY123" s="31"/>
      <c r="AZ123" s="37"/>
      <c r="BA123" s="37"/>
      <c r="BB123" s="37"/>
      <c r="BC123" s="31"/>
      <c r="BD123" s="31"/>
      <c r="BE123" s="31"/>
      <c r="BF123" s="37"/>
    </row>
    <row r="124" spans="51:58" ht="15.95" hidden="1" customHeight="1">
      <c r="AY124" s="31"/>
      <c r="AZ124" s="37"/>
      <c r="BA124" s="37"/>
      <c r="BB124" s="37"/>
      <c r="BC124" s="31"/>
      <c r="BD124" s="31"/>
      <c r="BE124" s="31"/>
      <c r="BF124" s="37"/>
    </row>
    <row r="125" spans="51:58" ht="15.95" hidden="1" customHeight="1">
      <c r="AY125" s="31"/>
      <c r="AZ125" s="37"/>
      <c r="BA125" s="37"/>
      <c r="BB125" s="37"/>
      <c r="BC125" s="31"/>
      <c r="BD125" s="31"/>
      <c r="BE125" s="31"/>
      <c r="BF125" s="37"/>
    </row>
    <row r="126" spans="51:58" ht="15.95" hidden="1" customHeight="1">
      <c r="AY126" s="31"/>
      <c r="AZ126" s="37"/>
      <c r="BA126" s="37"/>
      <c r="BB126" s="37"/>
      <c r="BC126" s="31"/>
      <c r="BD126" s="31"/>
      <c r="BE126" s="31"/>
      <c r="BF126" s="37"/>
    </row>
    <row r="127" spans="51:58" ht="15.95" hidden="1" customHeight="1">
      <c r="AY127" s="31"/>
      <c r="AZ127" s="37"/>
      <c r="BA127" s="37"/>
      <c r="BB127" s="37"/>
      <c r="BC127" s="31"/>
      <c r="BD127" s="31"/>
      <c r="BE127" s="31"/>
      <c r="BF127" s="37"/>
    </row>
    <row r="128" spans="51:58" ht="15.95" hidden="1" customHeight="1">
      <c r="AY128" s="31"/>
      <c r="AZ128" s="37"/>
      <c r="BA128" s="37"/>
      <c r="BB128" s="37"/>
      <c r="BC128" s="31"/>
      <c r="BD128" s="31"/>
      <c r="BE128" s="31"/>
      <c r="BF128" s="37"/>
    </row>
    <row r="129" spans="51:58" ht="15.95" hidden="1" customHeight="1">
      <c r="AY129" s="31"/>
      <c r="AZ129" s="37"/>
      <c r="BA129" s="37"/>
      <c r="BB129" s="37"/>
      <c r="BC129" s="31"/>
      <c r="BD129" s="31"/>
      <c r="BE129" s="31"/>
      <c r="BF129" s="37"/>
    </row>
    <row r="130" spans="51:58" ht="15.95" hidden="1" customHeight="1">
      <c r="AY130" s="31"/>
      <c r="AZ130" s="37"/>
      <c r="BA130" s="37"/>
      <c r="BB130" s="37"/>
      <c r="BC130" s="31"/>
      <c r="BD130" s="31"/>
      <c r="BE130" s="31"/>
      <c r="BF130" s="37"/>
    </row>
    <row r="131" spans="51:58" ht="15.95" hidden="1" customHeight="1">
      <c r="AY131" s="31"/>
      <c r="AZ131" s="37"/>
      <c r="BA131" s="37"/>
      <c r="BB131" s="37"/>
      <c r="BC131" s="31"/>
      <c r="BD131" s="31"/>
      <c r="BE131" s="31"/>
      <c r="BF131" s="37"/>
    </row>
    <row r="132" spans="51:58" ht="15.95" hidden="1" customHeight="1">
      <c r="AY132" s="31"/>
      <c r="AZ132" s="37"/>
      <c r="BA132" s="37"/>
      <c r="BB132" s="37"/>
      <c r="BC132" s="31"/>
      <c r="BD132" s="31"/>
      <c r="BE132" s="31"/>
      <c r="BF132" s="37"/>
    </row>
    <row r="133" spans="51:58" ht="15.95" hidden="1" customHeight="1">
      <c r="AY133" s="31"/>
      <c r="AZ133" s="37"/>
      <c r="BA133" s="37"/>
      <c r="BB133" s="37"/>
      <c r="BC133" s="31"/>
      <c r="BD133" s="31"/>
      <c r="BE133" s="31"/>
      <c r="BF133" s="37"/>
    </row>
    <row r="134" spans="51:58" ht="15.95" hidden="1" customHeight="1">
      <c r="AY134" s="31"/>
      <c r="AZ134" s="37"/>
      <c r="BA134" s="37"/>
      <c r="BB134" s="37"/>
      <c r="BC134" s="31"/>
      <c r="BD134" s="31"/>
      <c r="BE134" s="31"/>
      <c r="BF134" s="37"/>
    </row>
    <row r="135" spans="51:58" ht="15.95" hidden="1" customHeight="1">
      <c r="AY135" s="31"/>
      <c r="AZ135" s="37"/>
      <c r="BA135" s="37"/>
      <c r="BB135" s="37"/>
      <c r="BC135" s="31"/>
      <c r="BD135" s="31"/>
      <c r="BE135" s="31"/>
      <c r="BF135" s="37"/>
    </row>
    <row r="136" spans="51:58" ht="15.95" hidden="1" customHeight="1">
      <c r="AY136" s="31"/>
      <c r="AZ136" s="37"/>
      <c r="BA136" s="37"/>
      <c r="BB136" s="37"/>
      <c r="BC136" s="31"/>
      <c r="BD136" s="31"/>
      <c r="BE136" s="31"/>
      <c r="BF136" s="37"/>
    </row>
    <row r="137" spans="51:58" ht="15.95" hidden="1" customHeight="1">
      <c r="AY137" s="31"/>
      <c r="AZ137" s="37"/>
      <c r="BA137" s="37"/>
      <c r="BB137" s="37"/>
      <c r="BC137" s="31"/>
      <c r="BD137" s="31"/>
      <c r="BE137" s="31"/>
      <c r="BF137" s="37"/>
    </row>
    <row r="138" spans="51:58" ht="15.95" hidden="1" customHeight="1">
      <c r="AY138" s="31"/>
      <c r="AZ138" s="37"/>
      <c r="BA138" s="37"/>
      <c r="BB138" s="37"/>
      <c r="BC138" s="31"/>
      <c r="BD138" s="31"/>
      <c r="BE138" s="31"/>
      <c r="BF138" s="37"/>
    </row>
    <row r="139" spans="51:58" ht="15.95" hidden="1" customHeight="1">
      <c r="AY139" s="31"/>
      <c r="AZ139" s="37"/>
      <c r="BA139" s="37"/>
      <c r="BB139" s="37"/>
      <c r="BC139" s="31"/>
      <c r="BD139" s="31"/>
      <c r="BE139" s="31"/>
      <c r="BF139" s="37"/>
    </row>
    <row r="140" spans="51:58" ht="15.95" hidden="1" customHeight="1">
      <c r="AY140" s="31"/>
      <c r="AZ140" s="37"/>
      <c r="BA140" s="37"/>
      <c r="BB140" s="37"/>
      <c r="BC140" s="31"/>
      <c r="BD140" s="31"/>
      <c r="BE140" s="31"/>
      <c r="BF140" s="37"/>
    </row>
    <row r="141" spans="51:58" ht="15.95" hidden="1" customHeight="1">
      <c r="AY141" s="31"/>
      <c r="AZ141" s="37"/>
      <c r="BA141" s="37"/>
      <c r="BB141" s="37"/>
      <c r="BC141" s="31"/>
      <c r="BD141" s="31"/>
      <c r="BE141" s="31"/>
      <c r="BF141" s="37"/>
    </row>
    <row r="142" spans="51:58" ht="15.95" hidden="1" customHeight="1">
      <c r="AY142" s="31"/>
      <c r="AZ142" s="37"/>
      <c r="BA142" s="37"/>
      <c r="BB142" s="37"/>
      <c r="BC142" s="31"/>
      <c r="BD142" s="31"/>
      <c r="BE142" s="31"/>
      <c r="BF142" s="37"/>
    </row>
    <row r="143" spans="51:58" ht="15.95" hidden="1" customHeight="1">
      <c r="AY143" s="31"/>
      <c r="AZ143" s="37"/>
      <c r="BA143" s="37"/>
      <c r="BB143" s="37"/>
      <c r="BC143" s="31"/>
      <c r="BD143" s="31"/>
      <c r="BE143" s="31"/>
      <c r="BF143" s="37"/>
    </row>
    <row r="144" spans="51:58" ht="15.95" hidden="1" customHeight="1">
      <c r="AY144" s="31"/>
      <c r="AZ144" s="37"/>
      <c r="BA144" s="37"/>
      <c r="BB144" s="37"/>
      <c r="BC144" s="31"/>
      <c r="BD144" s="31"/>
      <c r="BE144" s="31"/>
      <c r="BF144" s="37"/>
    </row>
    <row r="145" spans="51:58" ht="15.95" hidden="1" customHeight="1">
      <c r="AY145" s="31"/>
      <c r="AZ145" s="37"/>
      <c r="BA145" s="37"/>
      <c r="BB145" s="37"/>
      <c r="BC145" s="31"/>
      <c r="BD145" s="31"/>
      <c r="BE145" s="31"/>
      <c r="BF145" s="37"/>
    </row>
    <row r="146" spans="51:58" ht="15.95" hidden="1" customHeight="1">
      <c r="AY146" s="31"/>
      <c r="AZ146" s="37"/>
      <c r="BA146" s="37"/>
      <c r="BB146" s="37"/>
      <c r="BC146" s="31"/>
      <c r="BD146" s="31"/>
      <c r="BE146" s="31"/>
      <c r="BF146" s="37"/>
    </row>
    <row r="147" spans="51:58" ht="15.95" hidden="1" customHeight="1">
      <c r="AY147" s="31"/>
      <c r="AZ147" s="37"/>
      <c r="BA147" s="37"/>
      <c r="BB147" s="37"/>
      <c r="BC147" s="31"/>
      <c r="BD147" s="31"/>
      <c r="BE147" s="31"/>
      <c r="BF147" s="37"/>
    </row>
    <row r="148" spans="51:58" ht="15.95" hidden="1" customHeight="1">
      <c r="AY148" s="31"/>
      <c r="AZ148" s="37"/>
      <c r="BA148" s="37"/>
      <c r="BB148" s="37"/>
      <c r="BC148" s="31"/>
      <c r="BD148" s="31"/>
      <c r="BE148" s="31"/>
      <c r="BF148" s="37"/>
    </row>
    <row r="149" spans="51:58" ht="15.95" hidden="1" customHeight="1">
      <c r="AY149" s="31"/>
      <c r="AZ149" s="37"/>
      <c r="BA149" s="37"/>
      <c r="BB149" s="37"/>
      <c r="BC149" s="31"/>
      <c r="BD149" s="31"/>
      <c r="BE149" s="31"/>
      <c r="BF149" s="37"/>
    </row>
    <row r="150" spans="51:58" ht="15.95" hidden="1" customHeight="1">
      <c r="AY150" s="31"/>
      <c r="AZ150" s="37"/>
      <c r="BA150" s="37"/>
      <c r="BB150" s="37"/>
      <c r="BC150" s="31"/>
      <c r="BD150" s="31"/>
      <c r="BE150" s="31"/>
      <c r="BF150" s="37"/>
    </row>
    <row r="151" spans="51:58" ht="15.95" hidden="1" customHeight="1">
      <c r="AY151" s="31"/>
      <c r="AZ151" s="37"/>
      <c r="BA151" s="37"/>
      <c r="BB151" s="37"/>
      <c r="BC151" s="31"/>
      <c r="BD151" s="31"/>
      <c r="BE151" s="31"/>
      <c r="BF151" s="37"/>
    </row>
    <row r="152" spans="51:58" ht="15.95" hidden="1" customHeight="1">
      <c r="AY152" s="31"/>
      <c r="AZ152" s="37"/>
      <c r="BA152" s="37"/>
      <c r="BB152" s="37"/>
      <c r="BC152" s="31"/>
      <c r="BD152" s="31"/>
      <c r="BE152" s="31"/>
      <c r="BF152" s="37"/>
    </row>
    <row r="153" spans="51:58" ht="15.95" hidden="1" customHeight="1">
      <c r="AY153" s="31"/>
      <c r="AZ153" s="37"/>
      <c r="BA153" s="37"/>
      <c r="BB153" s="37"/>
      <c r="BC153" s="31"/>
      <c r="BD153" s="31"/>
      <c r="BE153" s="31"/>
      <c r="BF153" s="37"/>
    </row>
    <row r="154" spans="51:58" ht="15.95" hidden="1" customHeight="1">
      <c r="AY154" s="31"/>
      <c r="AZ154" s="37"/>
      <c r="BA154" s="37"/>
      <c r="BB154" s="37"/>
      <c r="BC154" s="31"/>
      <c r="BD154" s="31"/>
      <c r="BE154" s="31"/>
      <c r="BF154" s="37"/>
    </row>
    <row r="155" spans="51:58" ht="15.95" hidden="1" customHeight="1">
      <c r="AY155" s="31"/>
      <c r="AZ155" s="37"/>
      <c r="BA155" s="37"/>
      <c r="BB155" s="37"/>
      <c r="BC155" s="31"/>
      <c r="BD155" s="31"/>
      <c r="BE155" s="31"/>
      <c r="BF155" s="37"/>
    </row>
    <row r="156" spans="51:58" ht="15.95" hidden="1" customHeight="1">
      <c r="AY156" s="31"/>
      <c r="AZ156" s="37"/>
      <c r="BA156" s="37"/>
      <c r="BB156" s="37"/>
      <c r="BC156" s="31"/>
      <c r="BD156" s="31"/>
      <c r="BE156" s="31"/>
      <c r="BF156" s="37"/>
    </row>
    <row r="157" spans="51:58" ht="15.95" hidden="1" customHeight="1">
      <c r="AY157" s="31"/>
      <c r="AZ157" s="37"/>
      <c r="BA157" s="37"/>
      <c r="BB157" s="37"/>
      <c r="BC157" s="31"/>
      <c r="BD157" s="31"/>
      <c r="BE157" s="31"/>
      <c r="BF157" s="37"/>
    </row>
    <row r="158" spans="51:58" ht="15.95" hidden="1" customHeight="1">
      <c r="AY158" s="31"/>
      <c r="AZ158" s="37"/>
      <c r="BA158" s="37"/>
      <c r="BB158" s="37"/>
      <c r="BC158" s="31"/>
      <c r="BD158" s="31"/>
      <c r="BE158" s="31"/>
      <c r="BF158" s="37"/>
    </row>
    <row r="159" spans="51:58" ht="15.95" hidden="1" customHeight="1">
      <c r="AY159" s="31"/>
      <c r="AZ159" s="37"/>
      <c r="BA159" s="37"/>
      <c r="BB159" s="37"/>
      <c r="BC159" s="31"/>
      <c r="BD159" s="31"/>
      <c r="BE159" s="31"/>
      <c r="BF159" s="37"/>
    </row>
    <row r="160" spans="51:58" ht="15.95" hidden="1" customHeight="1">
      <c r="AY160" s="31"/>
      <c r="AZ160" s="37"/>
      <c r="BA160" s="37"/>
      <c r="BB160" s="37"/>
      <c r="BC160" s="31"/>
      <c r="BD160" s="31"/>
      <c r="BE160" s="31"/>
      <c r="BF160" s="37"/>
    </row>
    <row r="161" spans="51:58" ht="15.95" hidden="1" customHeight="1">
      <c r="AY161" s="31"/>
      <c r="AZ161" s="37"/>
      <c r="BA161" s="37"/>
      <c r="BB161" s="37"/>
      <c r="BC161" s="31"/>
      <c r="BD161" s="31"/>
      <c r="BE161" s="31"/>
      <c r="BF161" s="37"/>
    </row>
    <row r="162" spans="51:58" ht="15.95" hidden="1" customHeight="1">
      <c r="AY162" s="31"/>
      <c r="AZ162" s="37"/>
      <c r="BA162" s="37"/>
      <c r="BB162" s="37"/>
      <c r="BC162" s="31"/>
      <c r="BD162" s="31"/>
      <c r="BE162" s="31"/>
      <c r="BF162" s="37"/>
    </row>
    <row r="163" spans="51:58" ht="15.95" hidden="1" customHeight="1">
      <c r="AY163" s="31"/>
      <c r="AZ163" s="37"/>
      <c r="BA163" s="37"/>
      <c r="BB163" s="37"/>
      <c r="BC163" s="31"/>
      <c r="BD163" s="31"/>
      <c r="BE163" s="31"/>
      <c r="BF163" s="37"/>
    </row>
    <row r="164" spans="51:58" ht="15.95" hidden="1" customHeight="1">
      <c r="AY164" s="31"/>
      <c r="AZ164" s="37"/>
      <c r="BA164" s="37"/>
      <c r="BB164" s="37"/>
      <c r="BC164" s="31"/>
      <c r="BD164" s="31"/>
      <c r="BE164" s="31"/>
      <c r="BF164" s="37"/>
    </row>
    <row r="165" spans="51:58" ht="15.95" hidden="1" customHeight="1">
      <c r="AY165" s="31"/>
      <c r="AZ165" s="37"/>
      <c r="BA165" s="37"/>
      <c r="BB165" s="37"/>
      <c r="BC165" s="31"/>
      <c r="BD165" s="31"/>
      <c r="BE165" s="31"/>
      <c r="BF165" s="37"/>
    </row>
    <row r="166" spans="51:58" ht="15.95" hidden="1" customHeight="1">
      <c r="AY166" s="31"/>
      <c r="AZ166" s="37"/>
      <c r="BA166" s="37"/>
      <c r="BB166" s="37"/>
      <c r="BC166" s="31"/>
      <c r="BD166" s="31"/>
      <c r="BE166" s="31"/>
      <c r="BF166" s="37"/>
    </row>
    <row r="167" spans="51:58" ht="15.95" hidden="1" customHeight="1">
      <c r="AY167" s="31"/>
      <c r="AZ167" s="37"/>
      <c r="BA167" s="37"/>
      <c r="BB167" s="37"/>
      <c r="BC167" s="31"/>
      <c r="BD167" s="31"/>
      <c r="BE167" s="31"/>
      <c r="BF167" s="37"/>
    </row>
    <row r="168" spans="51:58" ht="15.95" hidden="1" customHeight="1">
      <c r="AY168" s="31"/>
      <c r="AZ168" s="37"/>
      <c r="BA168" s="37"/>
      <c r="BB168" s="37"/>
      <c r="BC168" s="31"/>
      <c r="BD168" s="31"/>
      <c r="BE168" s="31"/>
      <c r="BF168" s="37"/>
    </row>
    <row r="169" spans="51:58" ht="15.95" hidden="1" customHeight="1">
      <c r="AY169" s="31"/>
      <c r="AZ169" s="37"/>
      <c r="BA169" s="37"/>
      <c r="BB169" s="37"/>
      <c r="BC169" s="31"/>
      <c r="BD169" s="31"/>
      <c r="BE169" s="31"/>
      <c r="BF169" s="37"/>
    </row>
    <row r="170" spans="51:58" ht="15.95" hidden="1" customHeight="1">
      <c r="AY170" s="31"/>
      <c r="AZ170" s="37"/>
      <c r="BA170" s="37"/>
      <c r="BB170" s="37"/>
      <c r="BC170" s="31"/>
      <c r="BD170" s="31"/>
      <c r="BE170" s="31"/>
      <c r="BF170" s="37"/>
    </row>
    <row r="171" spans="51:58" ht="15.95" hidden="1" customHeight="1">
      <c r="AY171" s="31"/>
      <c r="AZ171" s="37"/>
      <c r="BA171" s="37"/>
      <c r="BB171" s="37"/>
      <c r="BC171" s="31"/>
      <c r="BD171" s="31"/>
      <c r="BE171" s="31"/>
      <c r="BF171" s="37"/>
    </row>
    <row r="172" spans="51:58" ht="15.95" hidden="1" customHeight="1">
      <c r="AY172" s="31"/>
      <c r="AZ172" s="37"/>
      <c r="BA172" s="37"/>
      <c r="BB172" s="37"/>
      <c r="BC172" s="31"/>
      <c r="BD172" s="31"/>
      <c r="BE172" s="31"/>
      <c r="BF172" s="37"/>
    </row>
    <row r="173" spans="51:58" ht="15.95" hidden="1" customHeight="1">
      <c r="AY173" s="31"/>
      <c r="AZ173" s="37"/>
      <c r="BA173" s="37"/>
      <c r="BB173" s="37"/>
      <c r="BC173" s="31"/>
      <c r="BD173" s="31"/>
      <c r="BE173" s="31"/>
      <c r="BF173" s="37"/>
    </row>
    <row r="174" spans="51:58" ht="15.95" hidden="1" customHeight="1">
      <c r="AY174" s="31"/>
      <c r="AZ174" s="37"/>
      <c r="BA174" s="37"/>
      <c r="BB174" s="37"/>
      <c r="BC174" s="31"/>
      <c r="BD174" s="31"/>
      <c r="BE174" s="31"/>
      <c r="BF174" s="37"/>
    </row>
    <row r="175" spans="51:58" ht="15.95" hidden="1" customHeight="1">
      <c r="AY175" s="31"/>
      <c r="AZ175" s="37"/>
      <c r="BA175" s="37"/>
      <c r="BB175" s="37"/>
      <c r="BC175" s="31"/>
      <c r="BD175" s="31"/>
      <c r="BE175" s="31"/>
      <c r="BF175" s="37"/>
    </row>
    <row r="176" spans="51:58" ht="15.95" hidden="1" customHeight="1">
      <c r="AY176" s="31"/>
      <c r="AZ176" s="37"/>
      <c r="BA176" s="37"/>
      <c r="BB176" s="37"/>
      <c r="BC176" s="31"/>
      <c r="BD176" s="31"/>
      <c r="BE176" s="31"/>
      <c r="BF176" s="37"/>
    </row>
    <row r="177" spans="51:58" ht="15.95" hidden="1" customHeight="1">
      <c r="AY177" s="31"/>
      <c r="AZ177" s="37"/>
      <c r="BA177" s="37"/>
      <c r="BB177" s="37"/>
      <c r="BC177" s="31"/>
      <c r="BD177" s="31"/>
      <c r="BE177" s="31"/>
      <c r="BF177" s="37"/>
    </row>
    <row r="178" spans="51:58" ht="15.95" hidden="1" customHeight="1">
      <c r="AY178" s="31"/>
      <c r="AZ178" s="37"/>
      <c r="BA178" s="37"/>
      <c r="BB178" s="37"/>
      <c r="BC178" s="31"/>
      <c r="BD178" s="31"/>
      <c r="BE178" s="31"/>
      <c r="BF178" s="37"/>
    </row>
    <row r="179" spans="51:58" ht="15.95" hidden="1" customHeight="1">
      <c r="AY179" s="31"/>
      <c r="AZ179" s="37"/>
      <c r="BA179" s="37"/>
      <c r="BB179" s="37"/>
      <c r="BC179" s="31"/>
      <c r="BD179" s="31"/>
      <c r="BE179" s="31"/>
      <c r="BF179" s="37"/>
    </row>
    <row r="180" spans="51:58" ht="15.95" hidden="1" customHeight="1">
      <c r="AY180" s="31"/>
      <c r="AZ180" s="37"/>
      <c r="BA180" s="37"/>
      <c r="BB180" s="37"/>
      <c r="BC180" s="31"/>
      <c r="BD180" s="31"/>
      <c r="BE180" s="31"/>
      <c r="BF180" s="37"/>
    </row>
    <row r="181" spans="51:58" ht="15.95" hidden="1" customHeight="1">
      <c r="AY181" s="31"/>
      <c r="AZ181" s="37"/>
      <c r="BA181" s="37"/>
      <c r="BB181" s="37"/>
      <c r="BC181" s="31"/>
      <c r="BD181" s="31"/>
      <c r="BE181" s="31"/>
      <c r="BF181" s="37"/>
    </row>
    <row r="182" spans="51:58" ht="15.95" hidden="1" customHeight="1">
      <c r="AY182" s="31"/>
      <c r="AZ182" s="37"/>
      <c r="BA182" s="37"/>
      <c r="BB182" s="37"/>
      <c r="BC182" s="31"/>
      <c r="BD182" s="31"/>
      <c r="BE182" s="31"/>
      <c r="BF182" s="37"/>
    </row>
    <row r="183" spans="51:58" ht="15.95" hidden="1" customHeight="1">
      <c r="AY183" s="31"/>
      <c r="AZ183" s="37"/>
      <c r="BA183" s="37"/>
      <c r="BB183" s="37"/>
      <c r="BC183" s="31"/>
      <c r="BD183" s="31"/>
      <c r="BE183" s="31"/>
      <c r="BF183" s="37"/>
    </row>
    <row r="184" spans="51:58" ht="15.95" hidden="1" customHeight="1">
      <c r="AY184" s="31"/>
      <c r="AZ184" s="37"/>
      <c r="BA184" s="37"/>
      <c r="BB184" s="37"/>
      <c r="BC184" s="31"/>
      <c r="BD184" s="31"/>
      <c r="BE184" s="31"/>
      <c r="BF184" s="37"/>
    </row>
    <row r="185" spans="51:58" ht="15.95" hidden="1" customHeight="1">
      <c r="AY185" s="31"/>
      <c r="AZ185" s="37"/>
      <c r="BA185" s="37"/>
      <c r="BB185" s="37"/>
      <c r="BC185" s="31"/>
      <c r="BD185" s="31"/>
      <c r="BE185" s="31"/>
      <c r="BF185" s="37"/>
    </row>
    <row r="186" spans="51:58" ht="15.95" hidden="1" customHeight="1">
      <c r="AY186" s="31"/>
      <c r="AZ186" s="37"/>
      <c r="BA186" s="37"/>
      <c r="BB186" s="37"/>
      <c r="BC186" s="31"/>
      <c r="BD186" s="31"/>
      <c r="BE186" s="31"/>
      <c r="BF186" s="37"/>
    </row>
    <row r="187" spans="51:58" ht="15.95" hidden="1" customHeight="1">
      <c r="AY187" s="31"/>
      <c r="AZ187" s="37"/>
      <c r="BA187" s="37"/>
      <c r="BB187" s="37"/>
      <c r="BC187" s="31"/>
      <c r="BD187" s="31"/>
      <c r="BE187" s="31"/>
      <c r="BF187" s="37"/>
    </row>
    <row r="188" spans="51:58" ht="15.95" hidden="1" customHeight="1">
      <c r="AY188" s="31"/>
      <c r="AZ188" s="37"/>
      <c r="BA188" s="37"/>
      <c r="BB188" s="37"/>
      <c r="BC188" s="31"/>
      <c r="BD188" s="31"/>
      <c r="BE188" s="31"/>
      <c r="BF188" s="37"/>
    </row>
    <row r="189" spans="51:58" ht="15.95" hidden="1" customHeight="1">
      <c r="AY189" s="31"/>
      <c r="AZ189" s="37"/>
      <c r="BA189" s="37"/>
      <c r="BB189" s="37"/>
      <c r="BC189" s="31"/>
      <c r="BD189" s="31"/>
      <c r="BE189" s="31"/>
      <c r="BF189" s="37"/>
    </row>
    <row r="190" spans="51:58" ht="15.95" hidden="1" customHeight="1">
      <c r="AY190" s="31"/>
      <c r="AZ190" s="37"/>
      <c r="BA190" s="37"/>
      <c r="BB190" s="37"/>
      <c r="BC190" s="31"/>
      <c r="BD190" s="31"/>
      <c r="BE190" s="31"/>
      <c r="BF190" s="37"/>
    </row>
    <row r="191" spans="51:58" ht="15.95" hidden="1" customHeight="1">
      <c r="AY191" s="31"/>
      <c r="AZ191" s="37"/>
      <c r="BA191" s="37"/>
      <c r="BB191" s="37"/>
      <c r="BC191" s="31"/>
      <c r="BD191" s="31"/>
      <c r="BE191" s="31"/>
      <c r="BF191" s="37"/>
    </row>
    <row r="192" spans="51:58" ht="15.95" hidden="1" customHeight="1">
      <c r="AY192" s="31"/>
      <c r="AZ192" s="37"/>
      <c r="BA192" s="37"/>
      <c r="BB192" s="37"/>
      <c r="BC192" s="31"/>
      <c r="BD192" s="31"/>
      <c r="BE192" s="31"/>
      <c r="BF192" s="37"/>
    </row>
    <row r="193" spans="1:58" ht="15.95" hidden="1" customHeight="1">
      <c r="AY193" s="31"/>
      <c r="AZ193" s="37"/>
      <c r="BA193" s="37"/>
      <c r="BB193" s="37"/>
      <c r="BC193" s="31"/>
      <c r="BD193" s="31"/>
      <c r="BE193" s="31"/>
      <c r="BF193" s="37"/>
    </row>
    <row r="194" spans="1:58" ht="15.95" hidden="1" customHeight="1">
      <c r="AY194" s="31"/>
      <c r="AZ194" s="37"/>
      <c r="BA194" s="37"/>
      <c r="BB194" s="37"/>
      <c r="BC194" s="31"/>
      <c r="BD194" s="31"/>
      <c r="BE194" s="31"/>
      <c r="BF194" s="37"/>
    </row>
    <row r="195" spans="1:58" ht="15.95" hidden="1" customHeight="1">
      <c r="AY195" s="31"/>
      <c r="AZ195" s="37"/>
      <c r="BA195" s="37"/>
      <c r="BB195" s="37"/>
      <c r="BC195" s="31"/>
      <c r="BD195" s="31"/>
      <c r="BE195" s="31"/>
      <c r="BF195" s="37"/>
    </row>
    <row r="196" spans="1:58" ht="15.95" hidden="1" customHeight="1">
      <c r="AY196" s="31"/>
      <c r="AZ196" s="37"/>
      <c r="BA196" s="37"/>
      <c r="BB196" s="37"/>
      <c r="BC196" s="31"/>
      <c r="BD196" s="31"/>
      <c r="BE196" s="31"/>
      <c r="BF196" s="37"/>
    </row>
    <row r="197" spans="1:58" ht="15.95" hidden="1" customHeight="1">
      <c r="AY197" s="31"/>
      <c r="AZ197" s="37"/>
      <c r="BA197" s="37"/>
      <c r="BB197" s="37"/>
      <c r="BC197" s="31"/>
      <c r="BD197" s="31"/>
      <c r="BE197" s="31"/>
      <c r="BF197" s="37"/>
    </row>
    <row r="198" spans="1:58" ht="15.95" hidden="1" customHeight="1">
      <c r="AY198" s="31"/>
      <c r="AZ198" s="37"/>
      <c r="BA198" s="37"/>
      <c r="BB198" s="37"/>
      <c r="BC198" s="31"/>
      <c r="BD198" s="31"/>
      <c r="BE198" s="31"/>
      <c r="BF198" s="37"/>
    </row>
    <row r="199" spans="1:58" ht="15.95" hidden="1" customHeight="1">
      <c r="AY199" s="31"/>
      <c r="AZ199" s="37"/>
      <c r="BA199" s="37"/>
      <c r="BB199" s="37"/>
      <c r="BC199" s="31"/>
      <c r="BD199" s="31"/>
      <c r="BE199" s="31"/>
      <c r="BF199" s="37"/>
    </row>
    <row r="200" spans="1:58"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c r="BA200" s="970">
        <f>SUM(BA18:BA77)</f>
        <v>0</v>
      </c>
      <c r="BB200" s="970">
        <f>SUM(BB18:BB77)</f>
        <v>0</v>
      </c>
      <c r="BE200" s="971">
        <f>SUM(BE18:BE77)</f>
        <v>0</v>
      </c>
      <c r="BF200" s="971">
        <f>SUM(BF18:BF77)</f>
        <v>0</v>
      </c>
    </row>
    <row r="201" spans="1:58"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c r="BA201" s="970"/>
      <c r="BB201" s="970"/>
      <c r="BE201" s="972"/>
      <c r="BF201" s="972"/>
    </row>
    <row r="202" spans="1:58"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8" ht="15.95" hidden="1" customHeight="1"/>
    <row r="204" spans="1:58" ht="15.95" hidden="1" customHeight="1"/>
  </sheetData>
  <sheetProtection algorithmName="SHA-512" hashValue="ymJSNwsqYBKXI4zks7W5AEVG8q7av2lkshClsKa2BP5pB7Lv4YHlvS8pwiysDgNPMDC/bdCaDKiZdcxXS/EgZw==" saltValue="mz4N/uBGtTmeLHNKcA8f8Q==" spinCount="100000" sheet="1" objects="1" scenarios="1" selectLockedCells="1"/>
  <mergeCells count="1117">
    <mergeCell ref="AS5:AW6"/>
    <mergeCell ref="AS7:AW7"/>
    <mergeCell ref="AS8:AW8"/>
    <mergeCell ref="AD76:AE77"/>
    <mergeCell ref="AF76:AG77"/>
    <mergeCell ref="AH76:AI77"/>
    <mergeCell ref="AO72:AQ73"/>
    <mergeCell ref="AR72:AU73"/>
    <mergeCell ref="B74:B75"/>
    <mergeCell ref="C74:D75"/>
    <mergeCell ref="E74:F75"/>
    <mergeCell ref="G74:J75"/>
    <mergeCell ref="K74:L75"/>
    <mergeCell ref="AJ76:AK77"/>
    <mergeCell ref="AL76:AN77"/>
    <mergeCell ref="AO76:AQ77"/>
    <mergeCell ref="AR76:AU77"/>
    <mergeCell ref="AL74:AN75"/>
    <mergeCell ref="AO74:AQ75"/>
    <mergeCell ref="AR74:AU75"/>
    <mergeCell ref="AL72:AN73"/>
    <mergeCell ref="B76:B77"/>
    <mergeCell ref="C76:D77"/>
    <mergeCell ref="E76:F77"/>
    <mergeCell ref="AO62:AQ63"/>
    <mergeCell ref="AJ58:AK59"/>
    <mergeCell ref="AL64:AN65"/>
    <mergeCell ref="AF74:AG75"/>
    <mergeCell ref="G76:J77"/>
    <mergeCell ref="K76:L77"/>
    <mergeCell ref="M76:N77"/>
    <mergeCell ref="O76:P77"/>
    <mergeCell ref="AD54:AE55"/>
    <mergeCell ref="AF54:AG55"/>
    <mergeCell ref="AF56:AG57"/>
    <mergeCell ref="AH56:AI57"/>
    <mergeCell ref="AJ56:AK57"/>
    <mergeCell ref="AL56:AN57"/>
    <mergeCell ref="Z54:AC55"/>
    <mergeCell ref="Z56:AC57"/>
    <mergeCell ref="AR54:AU55"/>
    <mergeCell ref="M74:N75"/>
    <mergeCell ref="O74:P75"/>
    <mergeCell ref="Q74:R75"/>
    <mergeCell ref="S74:V75"/>
    <mergeCell ref="AD74:AE75"/>
    <mergeCell ref="AH74:AI75"/>
    <mergeCell ref="AJ74:AK75"/>
    <mergeCell ref="AD72:AE73"/>
    <mergeCell ref="AF72:AG73"/>
    <mergeCell ref="AH72:AI73"/>
    <mergeCell ref="AJ72:AK73"/>
    <mergeCell ref="AD70:AE71"/>
    <mergeCell ref="AF70:AG71"/>
    <mergeCell ref="M72:N73"/>
    <mergeCell ref="O72:P73"/>
    <mergeCell ref="Q72:R73"/>
    <mergeCell ref="S72:V73"/>
    <mergeCell ref="AD56:AE57"/>
    <mergeCell ref="Q76:R77"/>
    <mergeCell ref="S76:V77"/>
    <mergeCell ref="AL66:AN67"/>
    <mergeCell ref="AO66:AQ67"/>
    <mergeCell ref="AR66:AU67"/>
    <mergeCell ref="AR70:AU71"/>
    <mergeCell ref="AJ68:AK69"/>
    <mergeCell ref="AL68:AN69"/>
    <mergeCell ref="AO68:AQ69"/>
    <mergeCell ref="AR68:AU69"/>
    <mergeCell ref="AH70:AI71"/>
    <mergeCell ref="AJ70:AK71"/>
    <mergeCell ref="AL70:AN71"/>
    <mergeCell ref="AO70:AQ71"/>
    <mergeCell ref="AH68:AI69"/>
    <mergeCell ref="S60:V61"/>
    <mergeCell ref="W58:Y59"/>
    <mergeCell ref="W74:Y75"/>
    <mergeCell ref="Z74:AC75"/>
    <mergeCell ref="AH60:AI61"/>
    <mergeCell ref="W72:Y73"/>
    <mergeCell ref="AH66:AI67"/>
    <mergeCell ref="AJ66:AK67"/>
    <mergeCell ref="AH62:AI63"/>
    <mergeCell ref="W66:Y67"/>
    <mergeCell ref="AF64:AG65"/>
    <mergeCell ref="AO50:AQ51"/>
    <mergeCell ref="AR50:AU51"/>
    <mergeCell ref="AO64:AQ65"/>
    <mergeCell ref="AR64:AU65"/>
    <mergeCell ref="AR62:AU63"/>
    <mergeCell ref="AJ60:AK61"/>
    <mergeCell ref="AL60:AN61"/>
    <mergeCell ref="AO60:AQ61"/>
    <mergeCell ref="AR60:AU61"/>
    <mergeCell ref="AL58:AN59"/>
    <mergeCell ref="AO58:AQ59"/>
    <mergeCell ref="AR58:AU59"/>
    <mergeCell ref="AO56:AQ57"/>
    <mergeCell ref="AR56:AU57"/>
    <mergeCell ref="AO52:AQ53"/>
    <mergeCell ref="AR52:AU53"/>
    <mergeCell ref="AJ52:AK53"/>
    <mergeCell ref="AO54:AQ55"/>
    <mergeCell ref="AL62:AN63"/>
    <mergeCell ref="AL52:AN53"/>
    <mergeCell ref="AJ62:AK63"/>
    <mergeCell ref="AJ64:AK65"/>
    <mergeCell ref="AJ54:AK55"/>
    <mergeCell ref="AL54:AN55"/>
    <mergeCell ref="B72:B73"/>
    <mergeCell ref="C72:D73"/>
    <mergeCell ref="E72:F73"/>
    <mergeCell ref="G72:J73"/>
    <mergeCell ref="K72:L73"/>
    <mergeCell ref="C62:D63"/>
    <mergeCell ref="AD68:AE69"/>
    <mergeCell ref="AF68:AG69"/>
    <mergeCell ref="B70:B71"/>
    <mergeCell ref="C70:D71"/>
    <mergeCell ref="E70:F71"/>
    <mergeCell ref="G70:J71"/>
    <mergeCell ref="K70:L71"/>
    <mergeCell ref="M70:N71"/>
    <mergeCell ref="O70:P71"/>
    <mergeCell ref="Q70:R71"/>
    <mergeCell ref="S70:V71"/>
    <mergeCell ref="W68:Y69"/>
    <mergeCell ref="W70:Y71"/>
    <mergeCell ref="B68:B69"/>
    <mergeCell ref="C68:D69"/>
    <mergeCell ref="E68:F69"/>
    <mergeCell ref="G68:J69"/>
    <mergeCell ref="K68:L69"/>
    <mergeCell ref="M68:N69"/>
    <mergeCell ref="O68:P69"/>
    <mergeCell ref="Q68:R69"/>
    <mergeCell ref="S68:V69"/>
    <mergeCell ref="Z68:AC69"/>
    <mergeCell ref="B64:B65"/>
    <mergeCell ref="B62:B63"/>
    <mergeCell ref="G64:J65"/>
    <mergeCell ref="K64:L65"/>
    <mergeCell ref="AD64:AE65"/>
    <mergeCell ref="E62:F63"/>
    <mergeCell ref="G62:J63"/>
    <mergeCell ref="K62:L63"/>
    <mergeCell ref="M62:N63"/>
    <mergeCell ref="O62:P63"/>
    <mergeCell ref="Q62:R63"/>
    <mergeCell ref="S62:V63"/>
    <mergeCell ref="W62:Y63"/>
    <mergeCell ref="W64:Y65"/>
    <mergeCell ref="AD62:AE63"/>
    <mergeCell ref="AF62:AG63"/>
    <mergeCell ref="B58:B59"/>
    <mergeCell ref="C58:D59"/>
    <mergeCell ref="E58:F59"/>
    <mergeCell ref="G58:J59"/>
    <mergeCell ref="K58:L59"/>
    <mergeCell ref="M58:N59"/>
    <mergeCell ref="O58:P59"/>
    <mergeCell ref="Q58:R59"/>
    <mergeCell ref="S58:V59"/>
    <mergeCell ref="AD60:AE61"/>
    <mergeCell ref="AF60:AG61"/>
    <mergeCell ref="AD58:AE59"/>
    <mergeCell ref="AF58:AG59"/>
    <mergeCell ref="O60:P61"/>
    <mergeCell ref="Q60:R61"/>
    <mergeCell ref="C64:D65"/>
    <mergeCell ref="E64:F65"/>
    <mergeCell ref="B50:B51"/>
    <mergeCell ref="C50:D51"/>
    <mergeCell ref="B66:B67"/>
    <mergeCell ref="C66:D67"/>
    <mergeCell ref="E66:F67"/>
    <mergeCell ref="M66:N67"/>
    <mergeCell ref="O66:P67"/>
    <mergeCell ref="G66:J67"/>
    <mergeCell ref="K66:L67"/>
    <mergeCell ref="Q66:R67"/>
    <mergeCell ref="S66:V67"/>
    <mergeCell ref="AD66:AE67"/>
    <mergeCell ref="AH64:AI65"/>
    <mergeCell ref="M64:N65"/>
    <mergeCell ref="O64:P65"/>
    <mergeCell ref="Q64:R65"/>
    <mergeCell ref="S64:V65"/>
    <mergeCell ref="AF66:AG67"/>
    <mergeCell ref="B56:B57"/>
    <mergeCell ref="C56:D57"/>
    <mergeCell ref="E56:F57"/>
    <mergeCell ref="Q52:R53"/>
    <mergeCell ref="S52:V53"/>
    <mergeCell ref="AD52:AE53"/>
    <mergeCell ref="Z52:AC53"/>
    <mergeCell ref="S50:V51"/>
    <mergeCell ref="AD50:AE51"/>
    <mergeCell ref="AF50:AG51"/>
    <mergeCell ref="AH50:AI51"/>
    <mergeCell ref="W52:Y53"/>
    <mergeCell ref="G56:J57"/>
    <mergeCell ref="K56:L57"/>
    <mergeCell ref="O48:P49"/>
    <mergeCell ref="S48:V49"/>
    <mergeCell ref="B54:B55"/>
    <mergeCell ref="C54:D55"/>
    <mergeCell ref="E54:F55"/>
    <mergeCell ref="G54:J55"/>
    <mergeCell ref="K54:L55"/>
    <mergeCell ref="M54:N55"/>
    <mergeCell ref="W60:Y61"/>
    <mergeCell ref="B52:B53"/>
    <mergeCell ref="C52:D53"/>
    <mergeCell ref="E52:F53"/>
    <mergeCell ref="G52:J53"/>
    <mergeCell ref="K52:L53"/>
    <mergeCell ref="AF52:AG53"/>
    <mergeCell ref="AH52:AI53"/>
    <mergeCell ref="O54:P55"/>
    <mergeCell ref="Q54:R55"/>
    <mergeCell ref="S54:V55"/>
    <mergeCell ref="AH54:AI55"/>
    <mergeCell ref="B60:B61"/>
    <mergeCell ref="C60:D61"/>
    <mergeCell ref="E60:F61"/>
    <mergeCell ref="G60:J61"/>
    <mergeCell ref="K60:L61"/>
    <mergeCell ref="M60:N61"/>
    <mergeCell ref="M56:N57"/>
    <mergeCell ref="O56:P57"/>
    <mergeCell ref="Q56:R57"/>
    <mergeCell ref="S56:V57"/>
    <mergeCell ref="B48:B49"/>
    <mergeCell ref="AH58:AI59"/>
    <mergeCell ref="C48:D49"/>
    <mergeCell ref="E48:F49"/>
    <mergeCell ref="G48:J49"/>
    <mergeCell ref="K48:L49"/>
    <mergeCell ref="Q48:R49"/>
    <mergeCell ref="Z48:AC49"/>
    <mergeCell ref="Z50:AC51"/>
    <mergeCell ref="AR44:AU45"/>
    <mergeCell ref="AH44:AI45"/>
    <mergeCell ref="AJ44:AK45"/>
    <mergeCell ref="O44:P45"/>
    <mergeCell ref="Q44:R45"/>
    <mergeCell ref="S44:V45"/>
    <mergeCell ref="AD44:AE45"/>
    <mergeCell ref="AO46:AQ47"/>
    <mergeCell ref="AR46:AU47"/>
    <mergeCell ref="AH46:AI47"/>
    <mergeCell ref="AJ46:AK47"/>
    <mergeCell ref="O46:P47"/>
    <mergeCell ref="Q46:R47"/>
    <mergeCell ref="S46:V47"/>
    <mergeCell ref="AD46:AE47"/>
    <mergeCell ref="AO48:AQ49"/>
    <mergeCell ref="AR48:AU49"/>
    <mergeCell ref="AL48:AN49"/>
    <mergeCell ref="E50:F51"/>
    <mergeCell ref="G50:J51"/>
    <mergeCell ref="K50:L51"/>
    <mergeCell ref="M50:N51"/>
    <mergeCell ref="O50:P51"/>
    <mergeCell ref="Q50:R51"/>
    <mergeCell ref="M48:N49"/>
    <mergeCell ref="C42:D43"/>
    <mergeCell ref="E42:F43"/>
    <mergeCell ref="G42:J43"/>
    <mergeCell ref="K42:L43"/>
    <mergeCell ref="M42:N43"/>
    <mergeCell ref="AF44:AG45"/>
    <mergeCell ref="AL44:AN45"/>
    <mergeCell ref="AO44:AQ45"/>
    <mergeCell ref="AF46:AG47"/>
    <mergeCell ref="AL46:AN47"/>
    <mergeCell ref="C46:D47"/>
    <mergeCell ref="E46:F47"/>
    <mergeCell ref="G46:J47"/>
    <mergeCell ref="K46:L47"/>
    <mergeCell ref="M46:N47"/>
    <mergeCell ref="C44:D45"/>
    <mergeCell ref="E44:F45"/>
    <mergeCell ref="G44:J45"/>
    <mergeCell ref="K44:L45"/>
    <mergeCell ref="M44:N45"/>
    <mergeCell ref="AF42:AG43"/>
    <mergeCell ref="AL42:AN43"/>
    <mergeCell ref="AO42:AQ43"/>
    <mergeCell ref="W44:Y45"/>
    <mergeCell ref="W46:Y47"/>
    <mergeCell ref="O38:P39"/>
    <mergeCell ref="Q38:R39"/>
    <mergeCell ref="S38:V39"/>
    <mergeCell ref="AD38:AE39"/>
    <mergeCell ref="AR42:AU43"/>
    <mergeCell ref="AH42:AI43"/>
    <mergeCell ref="AJ42:AK43"/>
    <mergeCell ref="O42:P43"/>
    <mergeCell ref="Q42:R43"/>
    <mergeCell ref="S42:V43"/>
    <mergeCell ref="AD42:AE43"/>
    <mergeCell ref="K40:L41"/>
    <mergeCell ref="M40:N41"/>
    <mergeCell ref="AF40:AG41"/>
    <mergeCell ref="AL40:AN41"/>
    <mergeCell ref="AO40:AQ41"/>
    <mergeCell ref="AR40:AU41"/>
    <mergeCell ref="AH40:AI41"/>
    <mergeCell ref="AJ40:AK41"/>
    <mergeCell ref="O40:P41"/>
    <mergeCell ref="Q40:R41"/>
    <mergeCell ref="S40:V41"/>
    <mergeCell ref="AD40:AE41"/>
    <mergeCell ref="O32:P33"/>
    <mergeCell ref="Q32:R33"/>
    <mergeCell ref="S32:V33"/>
    <mergeCell ref="AD32:AE33"/>
    <mergeCell ref="AL36:AN37"/>
    <mergeCell ref="AO36:AQ37"/>
    <mergeCell ref="AR36:AU37"/>
    <mergeCell ref="AH36:AI37"/>
    <mergeCell ref="AJ36:AK37"/>
    <mergeCell ref="O36:P37"/>
    <mergeCell ref="Q36:R37"/>
    <mergeCell ref="S36:V37"/>
    <mergeCell ref="AD36:AE37"/>
    <mergeCell ref="AL34:AN35"/>
    <mergeCell ref="AO34:AQ35"/>
    <mergeCell ref="AR34:AU35"/>
    <mergeCell ref="AH34:AI35"/>
    <mergeCell ref="AJ34:AK35"/>
    <mergeCell ref="O34:P35"/>
    <mergeCell ref="Q34:R35"/>
    <mergeCell ref="S34:V35"/>
    <mergeCell ref="AD34:AE35"/>
    <mergeCell ref="O30:P31"/>
    <mergeCell ref="Q30:R31"/>
    <mergeCell ref="S30:V31"/>
    <mergeCell ref="AD30:AE31"/>
    <mergeCell ref="K26:L27"/>
    <mergeCell ref="M26:N27"/>
    <mergeCell ref="AF28:AG29"/>
    <mergeCell ref="AL28:AN29"/>
    <mergeCell ref="AO28:AQ29"/>
    <mergeCell ref="K30:L31"/>
    <mergeCell ref="M30:N31"/>
    <mergeCell ref="AH28:AI29"/>
    <mergeCell ref="AJ28:AK29"/>
    <mergeCell ref="O28:P29"/>
    <mergeCell ref="Q28:R29"/>
    <mergeCell ref="S28:V29"/>
    <mergeCell ref="AD28:AE29"/>
    <mergeCell ref="AF30:AG31"/>
    <mergeCell ref="AL30:AN31"/>
    <mergeCell ref="AO30:AQ31"/>
    <mergeCell ref="AL26:AN27"/>
    <mergeCell ref="AH9:AK11"/>
    <mergeCell ref="AL9:AO11"/>
    <mergeCell ref="O20:P21"/>
    <mergeCell ref="AD20:AE21"/>
    <mergeCell ref="AR18:AU19"/>
    <mergeCell ref="Q24:R25"/>
    <mergeCell ref="S24:V25"/>
    <mergeCell ref="AD24:AE25"/>
    <mergeCell ref="AR20:AU21"/>
    <mergeCell ref="AH20:AI21"/>
    <mergeCell ref="AJ20:AK21"/>
    <mergeCell ref="Q20:R21"/>
    <mergeCell ref="S20:V21"/>
    <mergeCell ref="AH22:AI23"/>
    <mergeCell ref="AR26:AU27"/>
    <mergeCell ref="AH26:AI27"/>
    <mergeCell ref="AJ26:AK27"/>
    <mergeCell ref="O26:P27"/>
    <mergeCell ref="Q26:R27"/>
    <mergeCell ref="S26:V27"/>
    <mergeCell ref="AD26:AE27"/>
    <mergeCell ref="T12:W13"/>
    <mergeCell ref="X12:AA13"/>
    <mergeCell ref="AB12:AE13"/>
    <mergeCell ref="AJ22:AK23"/>
    <mergeCell ref="O22:P23"/>
    <mergeCell ref="Q22:R23"/>
    <mergeCell ref="AL18:AN19"/>
    <mergeCell ref="AM13:AU14"/>
    <mergeCell ref="K22:L23"/>
    <mergeCell ref="M22:N23"/>
    <mergeCell ref="AO18:AQ19"/>
    <mergeCell ref="E13:R13"/>
    <mergeCell ref="AJ18:AK19"/>
    <mergeCell ref="S22:V23"/>
    <mergeCell ref="AD22:AE23"/>
    <mergeCell ref="AR22:AU23"/>
    <mergeCell ref="AF22:AG23"/>
    <mergeCell ref="AL22:AN23"/>
    <mergeCell ref="AO22:AQ23"/>
    <mergeCell ref="AO16:AQ17"/>
    <mergeCell ref="AR16:AU17"/>
    <mergeCell ref="AJ17:AK17"/>
    <mergeCell ref="Q18:R19"/>
    <mergeCell ref="S18:V19"/>
    <mergeCell ref="AD18:AE19"/>
    <mergeCell ref="W16:Y17"/>
    <mergeCell ref="W22:Y23"/>
    <mergeCell ref="C30:D31"/>
    <mergeCell ref="E30:F31"/>
    <mergeCell ref="G30:J31"/>
    <mergeCell ref="C28:D29"/>
    <mergeCell ref="E28:F29"/>
    <mergeCell ref="G28:J29"/>
    <mergeCell ref="K28:L29"/>
    <mergeCell ref="M28:N29"/>
    <mergeCell ref="M52:N53"/>
    <mergeCell ref="O52:P53"/>
    <mergeCell ref="B30:B31"/>
    <mergeCell ref="AT1:AW3"/>
    <mergeCell ref="G16:J17"/>
    <mergeCell ref="M16:N17"/>
    <mergeCell ref="O16:P17"/>
    <mergeCell ref="Q16:R17"/>
    <mergeCell ref="S16:V17"/>
    <mergeCell ref="AD16:AE17"/>
    <mergeCell ref="AF16:AG17"/>
    <mergeCell ref="AH16:AK16"/>
    <mergeCell ref="AH17:AI17"/>
    <mergeCell ref="J1:M3"/>
    <mergeCell ref="AL1:AO3"/>
    <mergeCell ref="AP1:AS3"/>
    <mergeCell ref="T14:W14"/>
    <mergeCell ref="X14:AA14"/>
    <mergeCell ref="AB14:AE14"/>
    <mergeCell ref="E16:F17"/>
    <mergeCell ref="AL16:AN17"/>
    <mergeCell ref="K16:L17"/>
    <mergeCell ref="F1:I3"/>
    <mergeCell ref="Q1:AG3"/>
    <mergeCell ref="O200:AI201"/>
    <mergeCell ref="B46:B47"/>
    <mergeCell ref="B44:B45"/>
    <mergeCell ref="B42:B43"/>
    <mergeCell ref="B40:B41"/>
    <mergeCell ref="B38:B39"/>
    <mergeCell ref="B36:B37"/>
    <mergeCell ref="B34:B35"/>
    <mergeCell ref="B32:B33"/>
    <mergeCell ref="C36:D37"/>
    <mergeCell ref="E36:F37"/>
    <mergeCell ref="G36:J37"/>
    <mergeCell ref="K36:L37"/>
    <mergeCell ref="M36:N37"/>
    <mergeCell ref="AF34:AG35"/>
    <mergeCell ref="C34:D35"/>
    <mergeCell ref="E34:F35"/>
    <mergeCell ref="G34:J35"/>
    <mergeCell ref="K34:L35"/>
    <mergeCell ref="M34:N35"/>
    <mergeCell ref="AF36:AG37"/>
    <mergeCell ref="W76:Y77"/>
    <mergeCell ref="C40:D41"/>
    <mergeCell ref="E40:F41"/>
    <mergeCell ref="G40:J41"/>
    <mergeCell ref="C32:D33"/>
    <mergeCell ref="E32:F33"/>
    <mergeCell ref="G32:J33"/>
    <mergeCell ref="K32:L33"/>
    <mergeCell ref="M32:N33"/>
    <mergeCell ref="C38:D39"/>
    <mergeCell ref="E38:F39"/>
    <mergeCell ref="B26:B27"/>
    <mergeCell ref="B24:B25"/>
    <mergeCell ref="B22:B23"/>
    <mergeCell ref="B20:B21"/>
    <mergeCell ref="B18:B19"/>
    <mergeCell ref="N9:Q11"/>
    <mergeCell ref="R9:U11"/>
    <mergeCell ref="V9:Y11"/>
    <mergeCell ref="Z9:AC11"/>
    <mergeCell ref="AD9:AG11"/>
    <mergeCell ref="C24:D25"/>
    <mergeCell ref="E24:F25"/>
    <mergeCell ref="G24:J25"/>
    <mergeCell ref="K24:L25"/>
    <mergeCell ref="M24:N25"/>
    <mergeCell ref="AF26:AG27"/>
    <mergeCell ref="C26:D27"/>
    <mergeCell ref="E26:F27"/>
    <mergeCell ref="G26:J27"/>
    <mergeCell ref="C16:D17"/>
    <mergeCell ref="C20:D21"/>
    <mergeCell ref="E20:F21"/>
    <mergeCell ref="G20:J21"/>
    <mergeCell ref="K20:L21"/>
    <mergeCell ref="M20:N21"/>
    <mergeCell ref="AF18:AG19"/>
    <mergeCell ref="O18:P19"/>
    <mergeCell ref="C18:D19"/>
    <mergeCell ref="E18:F19"/>
    <mergeCell ref="J9:M11"/>
    <mergeCell ref="E22:F23"/>
    <mergeCell ref="G22:J23"/>
    <mergeCell ref="W48:Y49"/>
    <mergeCell ref="W50:Y51"/>
    <mergeCell ref="AO26:AQ27"/>
    <mergeCell ref="AL38:AN39"/>
    <mergeCell ref="AO38:AQ39"/>
    <mergeCell ref="AJ50:AK51"/>
    <mergeCell ref="AD48:AE49"/>
    <mergeCell ref="AF48:AG49"/>
    <mergeCell ref="AH48:AI49"/>
    <mergeCell ref="AJ48:AK49"/>
    <mergeCell ref="AL50:AN51"/>
    <mergeCell ref="W54:Y55"/>
    <mergeCell ref="W56:Y57"/>
    <mergeCell ref="A4:E6"/>
    <mergeCell ref="A7:E8"/>
    <mergeCell ref="G18:J19"/>
    <mergeCell ref="K18:L19"/>
    <mergeCell ref="M18:N19"/>
    <mergeCell ref="AF20:AG21"/>
    <mergeCell ref="AL20:AN21"/>
    <mergeCell ref="AO20:AQ21"/>
    <mergeCell ref="W18:Y19"/>
    <mergeCell ref="W20:Y21"/>
    <mergeCell ref="G38:J39"/>
    <mergeCell ref="AF32:AG33"/>
    <mergeCell ref="M38:N39"/>
    <mergeCell ref="K38:L39"/>
    <mergeCell ref="AF38:AG39"/>
    <mergeCell ref="C22:D23"/>
    <mergeCell ref="O24:P25"/>
    <mergeCell ref="AH18:AI19"/>
    <mergeCell ref="B28:B29"/>
    <mergeCell ref="AR30:AU31"/>
    <mergeCell ref="AH30:AI31"/>
    <mergeCell ref="AJ30:AK31"/>
    <mergeCell ref="AL32:AN33"/>
    <mergeCell ref="AO32:AQ33"/>
    <mergeCell ref="W24:Y25"/>
    <mergeCell ref="W26:Y27"/>
    <mergeCell ref="W28:Y29"/>
    <mergeCell ref="W30:Y31"/>
    <mergeCell ref="W32:Y33"/>
    <mergeCell ref="W34:Y35"/>
    <mergeCell ref="W36:Y37"/>
    <mergeCell ref="W38:Y39"/>
    <mergeCell ref="W40:Y41"/>
    <mergeCell ref="W42:Y43"/>
    <mergeCell ref="AR28:AU29"/>
    <mergeCell ref="AF24:AG25"/>
    <mergeCell ref="AL24:AN25"/>
    <mergeCell ref="AO24:AQ25"/>
    <mergeCell ref="AR24:AU25"/>
    <mergeCell ref="AH24:AI25"/>
    <mergeCell ref="AJ24:AK25"/>
    <mergeCell ref="AR32:AU33"/>
    <mergeCell ref="AH32:AI33"/>
    <mergeCell ref="AJ32:AK33"/>
    <mergeCell ref="AR38:AU39"/>
    <mergeCell ref="AH38:AI39"/>
    <mergeCell ref="AJ38:AK39"/>
    <mergeCell ref="AY16:AY17"/>
    <mergeCell ref="AZ16:AZ17"/>
    <mergeCell ref="BA16:BA17"/>
    <mergeCell ref="BB16:BB17"/>
    <mergeCell ref="BC16:BC17"/>
    <mergeCell ref="BD16:BD17"/>
    <mergeCell ref="BE16:BE17"/>
    <mergeCell ref="BF16:BF17"/>
    <mergeCell ref="Z76:AC77"/>
    <mergeCell ref="Z16:AC17"/>
    <mergeCell ref="Z18:AC19"/>
    <mergeCell ref="Z20:AC21"/>
    <mergeCell ref="Z22:AC23"/>
    <mergeCell ref="Z24:AC25"/>
    <mergeCell ref="Z26:AC27"/>
    <mergeCell ref="Z28:AC29"/>
    <mergeCell ref="Z30:AC31"/>
    <mergeCell ref="Z32:AC33"/>
    <mergeCell ref="Z34:AC35"/>
    <mergeCell ref="Z36:AC37"/>
    <mergeCell ref="Z38:AC39"/>
    <mergeCell ref="Z40:AC41"/>
    <mergeCell ref="Z42:AC43"/>
    <mergeCell ref="Z44:AC45"/>
    <mergeCell ref="Z46:AC47"/>
    <mergeCell ref="Z58:AC59"/>
    <mergeCell ref="Z60:AC61"/>
    <mergeCell ref="Z62:AC63"/>
    <mergeCell ref="Z64:AC65"/>
    <mergeCell ref="Z66:AC67"/>
    <mergeCell ref="Z70:AC71"/>
    <mergeCell ref="Z72:AC73"/>
    <mergeCell ref="BH22:BH23"/>
    <mergeCell ref="BI22:BI23"/>
    <mergeCell ref="BJ22:BJ23"/>
    <mergeCell ref="BK22:BK23"/>
    <mergeCell ref="BL22:BL23"/>
    <mergeCell ref="BM22:BM23"/>
    <mergeCell ref="BN22:BN23"/>
    <mergeCell ref="BG16:BG17"/>
    <mergeCell ref="BH16:BH17"/>
    <mergeCell ref="BI16:BI17"/>
    <mergeCell ref="BJ16:BJ17"/>
    <mergeCell ref="BK16:BK17"/>
    <mergeCell ref="BL16:BL17"/>
    <mergeCell ref="BM16:BM17"/>
    <mergeCell ref="BN16:BN17"/>
    <mergeCell ref="AX18:AX19"/>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BL18:BL19"/>
    <mergeCell ref="BM18:BM19"/>
    <mergeCell ref="AX16:AX17"/>
    <mergeCell ref="BN24:BN25"/>
    <mergeCell ref="AX26:AX27"/>
    <mergeCell ref="AY26:AY27"/>
    <mergeCell ref="AZ26:AZ27"/>
    <mergeCell ref="AX22:AX23"/>
    <mergeCell ref="AY22:AY23"/>
    <mergeCell ref="AZ22:AZ23"/>
    <mergeCell ref="BA22:BA23"/>
    <mergeCell ref="BB22:BB23"/>
    <mergeCell ref="BC22:BC23"/>
    <mergeCell ref="BD22:BD23"/>
    <mergeCell ref="BE22:BE23"/>
    <mergeCell ref="BF22:BF23"/>
    <mergeCell ref="BN18:BN19"/>
    <mergeCell ref="AX20:AX21"/>
    <mergeCell ref="AY20:AY21"/>
    <mergeCell ref="AZ20:AZ21"/>
    <mergeCell ref="BA20:BA21"/>
    <mergeCell ref="BB20:BB21"/>
    <mergeCell ref="BC20:BC21"/>
    <mergeCell ref="BD20:BD21"/>
    <mergeCell ref="BE20:BE21"/>
    <mergeCell ref="BF20:BF21"/>
    <mergeCell ref="BG20:BG21"/>
    <mergeCell ref="BH20:BH21"/>
    <mergeCell ref="BI20:BI21"/>
    <mergeCell ref="BJ20:BJ21"/>
    <mergeCell ref="BK20:BK21"/>
    <mergeCell ref="BL20:BL21"/>
    <mergeCell ref="BM20:BM21"/>
    <mergeCell ref="BN20:BN21"/>
    <mergeCell ref="BG22:BG23"/>
    <mergeCell ref="AX24:AX25"/>
    <mergeCell ref="AY24:AY25"/>
    <mergeCell ref="AZ24:AZ25"/>
    <mergeCell ref="BA24:BA25"/>
    <mergeCell ref="BB24:BB25"/>
    <mergeCell ref="BC24:BC25"/>
    <mergeCell ref="BD24:BD25"/>
    <mergeCell ref="BE24:BE25"/>
    <mergeCell ref="BF24:BF25"/>
    <mergeCell ref="BG24:BG25"/>
    <mergeCell ref="BH24:BH25"/>
    <mergeCell ref="BI24:BI25"/>
    <mergeCell ref="BJ24:BJ25"/>
    <mergeCell ref="BK24:BK25"/>
    <mergeCell ref="BL24:BL25"/>
    <mergeCell ref="BM24:BM25"/>
    <mergeCell ref="AX28:AX29"/>
    <mergeCell ref="AY28:AY29"/>
    <mergeCell ref="AZ28:AZ29"/>
    <mergeCell ref="BA28:BA29"/>
    <mergeCell ref="BB28:BB29"/>
    <mergeCell ref="BC28:BC29"/>
    <mergeCell ref="BD28:BD29"/>
    <mergeCell ref="BE28:BE29"/>
    <mergeCell ref="BF28:BF29"/>
    <mergeCell ref="BN30:BN31"/>
    <mergeCell ref="AX32:AX33"/>
    <mergeCell ref="AY32:AY33"/>
    <mergeCell ref="AZ32:AZ33"/>
    <mergeCell ref="BA26:BA27"/>
    <mergeCell ref="BB26:BB27"/>
    <mergeCell ref="BC26:BC27"/>
    <mergeCell ref="BD26:BD27"/>
    <mergeCell ref="BE26:BE27"/>
    <mergeCell ref="BF26:BF27"/>
    <mergeCell ref="BG26:BG27"/>
    <mergeCell ref="BH26:BH27"/>
    <mergeCell ref="BI26:BI27"/>
    <mergeCell ref="BJ26:BJ27"/>
    <mergeCell ref="BK26:BK27"/>
    <mergeCell ref="BL26:BL27"/>
    <mergeCell ref="BM26:BM27"/>
    <mergeCell ref="BN26:BN27"/>
    <mergeCell ref="BG28:BG29"/>
    <mergeCell ref="BH28:BH29"/>
    <mergeCell ref="BI28:BI29"/>
    <mergeCell ref="BJ28:BJ29"/>
    <mergeCell ref="BK28:BK29"/>
    <mergeCell ref="BL28:BL29"/>
    <mergeCell ref="BM28:BM29"/>
    <mergeCell ref="BN28:BN29"/>
    <mergeCell ref="AX30:AX31"/>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BL30:BL31"/>
    <mergeCell ref="BM30:BM31"/>
    <mergeCell ref="AX34:AX35"/>
    <mergeCell ref="AY34:AY35"/>
    <mergeCell ref="AZ34:AZ35"/>
    <mergeCell ref="BA34:BA35"/>
    <mergeCell ref="BB34:BB35"/>
    <mergeCell ref="BC34:BC35"/>
    <mergeCell ref="BD34:BD35"/>
    <mergeCell ref="BE34:BE35"/>
    <mergeCell ref="BF34:BF35"/>
    <mergeCell ref="BN36:BN37"/>
    <mergeCell ref="AX38:AX39"/>
    <mergeCell ref="AY38:AY39"/>
    <mergeCell ref="AZ38:AZ39"/>
    <mergeCell ref="BA32:BA33"/>
    <mergeCell ref="BB32:BB33"/>
    <mergeCell ref="BC32:BC33"/>
    <mergeCell ref="BD32:BD33"/>
    <mergeCell ref="BE32:BE33"/>
    <mergeCell ref="BF32:BF33"/>
    <mergeCell ref="BG32:BG33"/>
    <mergeCell ref="BH32:BH33"/>
    <mergeCell ref="BI32:BI33"/>
    <mergeCell ref="BJ32:BJ33"/>
    <mergeCell ref="BK32:BK33"/>
    <mergeCell ref="BL32:BL33"/>
    <mergeCell ref="BM32:BM33"/>
    <mergeCell ref="BN32:BN33"/>
    <mergeCell ref="BG34:BG35"/>
    <mergeCell ref="BH34:BH35"/>
    <mergeCell ref="BI34:BI35"/>
    <mergeCell ref="BJ34:BJ35"/>
    <mergeCell ref="BK34:BK35"/>
    <mergeCell ref="BL34:BL35"/>
    <mergeCell ref="BM34:BM35"/>
    <mergeCell ref="BN34:BN35"/>
    <mergeCell ref="AX36:AX37"/>
    <mergeCell ref="AY36:AY37"/>
    <mergeCell ref="AZ36:AZ37"/>
    <mergeCell ref="BA36:BA37"/>
    <mergeCell ref="BB36:BB37"/>
    <mergeCell ref="BC36:BC37"/>
    <mergeCell ref="BD36:BD37"/>
    <mergeCell ref="BE36:BE37"/>
    <mergeCell ref="BF36:BF37"/>
    <mergeCell ref="BG36:BG37"/>
    <mergeCell ref="BH36:BH37"/>
    <mergeCell ref="BI36:BI37"/>
    <mergeCell ref="BJ36:BJ37"/>
    <mergeCell ref="BK36:BK37"/>
    <mergeCell ref="BL36:BL37"/>
    <mergeCell ref="BM36:BM37"/>
    <mergeCell ref="AX40:AX41"/>
    <mergeCell ref="AY40:AY41"/>
    <mergeCell ref="AZ40:AZ41"/>
    <mergeCell ref="BA40:BA41"/>
    <mergeCell ref="BB40:BB41"/>
    <mergeCell ref="BC40:BC41"/>
    <mergeCell ref="BD40:BD41"/>
    <mergeCell ref="BE40:BE41"/>
    <mergeCell ref="BF40:BF41"/>
    <mergeCell ref="BN42:BN43"/>
    <mergeCell ref="AX44:AX45"/>
    <mergeCell ref="AY44:AY45"/>
    <mergeCell ref="AZ44:AZ45"/>
    <mergeCell ref="BA38:BA39"/>
    <mergeCell ref="BB38:BB39"/>
    <mergeCell ref="BC38:BC39"/>
    <mergeCell ref="BD38:BD39"/>
    <mergeCell ref="BE38:BE39"/>
    <mergeCell ref="BF38:BF39"/>
    <mergeCell ref="BG38:BG39"/>
    <mergeCell ref="BH38:BH39"/>
    <mergeCell ref="BI38:BI39"/>
    <mergeCell ref="BJ38:BJ39"/>
    <mergeCell ref="BK38:BK39"/>
    <mergeCell ref="BL38:BL39"/>
    <mergeCell ref="BM38:BM39"/>
    <mergeCell ref="BN38:BN39"/>
    <mergeCell ref="BG40:BG41"/>
    <mergeCell ref="BH40:BH41"/>
    <mergeCell ref="BI40:BI41"/>
    <mergeCell ref="BJ40:BJ41"/>
    <mergeCell ref="BK40:BK41"/>
    <mergeCell ref="BL40:BL41"/>
    <mergeCell ref="BM40:BM41"/>
    <mergeCell ref="BN40:BN41"/>
    <mergeCell ref="AX42:AX43"/>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BL42:BL43"/>
    <mergeCell ref="BM42:BM43"/>
    <mergeCell ref="AX46:AX47"/>
    <mergeCell ref="AY46:AY47"/>
    <mergeCell ref="AZ46:AZ47"/>
    <mergeCell ref="BA46:BA47"/>
    <mergeCell ref="BB46:BB47"/>
    <mergeCell ref="BC46:BC47"/>
    <mergeCell ref="BD46:BD47"/>
    <mergeCell ref="BE46:BE47"/>
    <mergeCell ref="BF46:BF47"/>
    <mergeCell ref="BN48:BN49"/>
    <mergeCell ref="AX50:AX51"/>
    <mergeCell ref="AY50:AY51"/>
    <mergeCell ref="AZ50:AZ51"/>
    <mergeCell ref="BA44:BA45"/>
    <mergeCell ref="BB44:BB45"/>
    <mergeCell ref="BC44:BC45"/>
    <mergeCell ref="BD44:BD45"/>
    <mergeCell ref="BE44:BE45"/>
    <mergeCell ref="BF44:BF45"/>
    <mergeCell ref="BG44:BG45"/>
    <mergeCell ref="BH44:BH45"/>
    <mergeCell ref="BI44:BI45"/>
    <mergeCell ref="BJ44:BJ45"/>
    <mergeCell ref="BK44:BK45"/>
    <mergeCell ref="BL44:BL45"/>
    <mergeCell ref="BM44:BM45"/>
    <mergeCell ref="BN44:BN45"/>
    <mergeCell ref="BG46:BG47"/>
    <mergeCell ref="BH46:BH47"/>
    <mergeCell ref="BI46:BI47"/>
    <mergeCell ref="BJ46:BJ47"/>
    <mergeCell ref="BK46:BK47"/>
    <mergeCell ref="BL46:BL47"/>
    <mergeCell ref="BM46:BM47"/>
    <mergeCell ref="BN46:BN47"/>
    <mergeCell ref="AX48:AX49"/>
    <mergeCell ref="AY48:AY49"/>
    <mergeCell ref="AZ48:AZ49"/>
    <mergeCell ref="BA48:BA49"/>
    <mergeCell ref="BB48:BB49"/>
    <mergeCell ref="BC48:BC49"/>
    <mergeCell ref="BD48:BD49"/>
    <mergeCell ref="BE48:BE49"/>
    <mergeCell ref="BF48:BF49"/>
    <mergeCell ref="BG48:BG49"/>
    <mergeCell ref="BH48:BH49"/>
    <mergeCell ref="BI48:BI49"/>
    <mergeCell ref="BJ48:BJ49"/>
    <mergeCell ref="BK48:BK49"/>
    <mergeCell ref="BL48:BL49"/>
    <mergeCell ref="BM48:BM49"/>
    <mergeCell ref="AX52:AX53"/>
    <mergeCell ref="AY52:AY53"/>
    <mergeCell ref="AZ52:AZ53"/>
    <mergeCell ref="BA52:BA53"/>
    <mergeCell ref="BB52:BB53"/>
    <mergeCell ref="BC52:BC53"/>
    <mergeCell ref="BD52:BD53"/>
    <mergeCell ref="BE52:BE53"/>
    <mergeCell ref="BF52:BF53"/>
    <mergeCell ref="BN54:BN55"/>
    <mergeCell ref="AX56:AX57"/>
    <mergeCell ref="AY56:AY57"/>
    <mergeCell ref="AZ56:AZ57"/>
    <mergeCell ref="BA50:BA51"/>
    <mergeCell ref="BB50:BB51"/>
    <mergeCell ref="BC50:BC51"/>
    <mergeCell ref="BD50:BD51"/>
    <mergeCell ref="BE50:BE51"/>
    <mergeCell ref="BF50:BF51"/>
    <mergeCell ref="BG50:BG51"/>
    <mergeCell ref="BH50:BH51"/>
    <mergeCell ref="BI50:BI51"/>
    <mergeCell ref="BJ50:BJ51"/>
    <mergeCell ref="BK50:BK51"/>
    <mergeCell ref="BL50:BL51"/>
    <mergeCell ref="BM50:BM51"/>
    <mergeCell ref="BN50:BN51"/>
    <mergeCell ref="BG52:BG53"/>
    <mergeCell ref="BH52:BH53"/>
    <mergeCell ref="BI52:BI53"/>
    <mergeCell ref="BJ52:BJ53"/>
    <mergeCell ref="BK52:BK53"/>
    <mergeCell ref="BL52:BL53"/>
    <mergeCell ref="BM52:BM53"/>
    <mergeCell ref="BN52:BN5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BL54:BL55"/>
    <mergeCell ref="BM54:BM55"/>
    <mergeCell ref="AX58:AX59"/>
    <mergeCell ref="AY58:AY59"/>
    <mergeCell ref="AZ58:AZ59"/>
    <mergeCell ref="BA58:BA59"/>
    <mergeCell ref="BB58:BB59"/>
    <mergeCell ref="BC58:BC59"/>
    <mergeCell ref="BD58:BD59"/>
    <mergeCell ref="BE58:BE59"/>
    <mergeCell ref="BF58:BF59"/>
    <mergeCell ref="BN60:BN61"/>
    <mergeCell ref="AX62:AX63"/>
    <mergeCell ref="AY62:AY63"/>
    <mergeCell ref="AZ62:AZ63"/>
    <mergeCell ref="BA56:BA57"/>
    <mergeCell ref="BB56:BB57"/>
    <mergeCell ref="BC56:BC57"/>
    <mergeCell ref="BD56:BD57"/>
    <mergeCell ref="BE56:BE57"/>
    <mergeCell ref="BF56:BF57"/>
    <mergeCell ref="BG56:BG57"/>
    <mergeCell ref="BH56:BH57"/>
    <mergeCell ref="BI56:BI57"/>
    <mergeCell ref="BJ56:BJ57"/>
    <mergeCell ref="BK56:BK57"/>
    <mergeCell ref="BL56:BL57"/>
    <mergeCell ref="BM56:BM57"/>
    <mergeCell ref="BN56:BN57"/>
    <mergeCell ref="BG58:BG59"/>
    <mergeCell ref="BH58:BH59"/>
    <mergeCell ref="BI58:BI59"/>
    <mergeCell ref="BJ58:BJ59"/>
    <mergeCell ref="BK58:BK59"/>
    <mergeCell ref="BL58:BL59"/>
    <mergeCell ref="BM58:BM59"/>
    <mergeCell ref="BN58:BN59"/>
    <mergeCell ref="AX60:AX61"/>
    <mergeCell ref="AY60:AY61"/>
    <mergeCell ref="AZ60:AZ61"/>
    <mergeCell ref="BA60:BA61"/>
    <mergeCell ref="BB60:BB61"/>
    <mergeCell ref="BC60:BC61"/>
    <mergeCell ref="BD60:BD61"/>
    <mergeCell ref="BE60:BE61"/>
    <mergeCell ref="BF60:BF61"/>
    <mergeCell ref="BG60:BG61"/>
    <mergeCell ref="BH60:BH61"/>
    <mergeCell ref="BI60:BI61"/>
    <mergeCell ref="BJ60:BJ61"/>
    <mergeCell ref="BK60:BK61"/>
    <mergeCell ref="BL60:BL61"/>
    <mergeCell ref="BM60:BM61"/>
    <mergeCell ref="AX64:AX65"/>
    <mergeCell ref="AY64:AY65"/>
    <mergeCell ref="AZ64:AZ65"/>
    <mergeCell ref="BA64:BA65"/>
    <mergeCell ref="BB64:BB65"/>
    <mergeCell ref="BC64:BC65"/>
    <mergeCell ref="BD64:BD65"/>
    <mergeCell ref="BE64:BE65"/>
    <mergeCell ref="BF64:BF65"/>
    <mergeCell ref="BA62:BA63"/>
    <mergeCell ref="BB62:BB63"/>
    <mergeCell ref="BC62:BC63"/>
    <mergeCell ref="BD62:BD63"/>
    <mergeCell ref="BE62:BE63"/>
    <mergeCell ref="BF62:BF63"/>
    <mergeCell ref="BG62:BG63"/>
    <mergeCell ref="BH62:BH63"/>
    <mergeCell ref="BI62:BI63"/>
    <mergeCell ref="BJ62:BJ63"/>
    <mergeCell ref="BK62:BK63"/>
    <mergeCell ref="BL62:BL63"/>
    <mergeCell ref="BM62:BM63"/>
    <mergeCell ref="BN62:BN63"/>
    <mergeCell ref="BG64:BG65"/>
    <mergeCell ref="BH64:BH65"/>
    <mergeCell ref="BI64:BI65"/>
    <mergeCell ref="BJ64:BJ65"/>
    <mergeCell ref="BK64:BK65"/>
    <mergeCell ref="BL64:BL65"/>
    <mergeCell ref="BM64:BM65"/>
    <mergeCell ref="BN64:BN65"/>
    <mergeCell ref="BJ70:BJ71"/>
    <mergeCell ref="BK70:BK71"/>
    <mergeCell ref="BL70:BL71"/>
    <mergeCell ref="BM70:BM71"/>
    <mergeCell ref="BN70:BN71"/>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BL66:BL67"/>
    <mergeCell ref="BM66:BM67"/>
    <mergeCell ref="BL72:BL73"/>
    <mergeCell ref="BM72:BM73"/>
    <mergeCell ref="AX70:AX71"/>
    <mergeCell ref="AY70:AY71"/>
    <mergeCell ref="AZ70:AZ71"/>
    <mergeCell ref="BA70:BA71"/>
    <mergeCell ref="BB70:BB71"/>
    <mergeCell ref="BC70:BC71"/>
    <mergeCell ref="BD70:BD71"/>
    <mergeCell ref="BE70:BE71"/>
    <mergeCell ref="BF70:BF71"/>
    <mergeCell ref="BN66:BN67"/>
    <mergeCell ref="AX68:AX69"/>
    <mergeCell ref="AY68:AY69"/>
    <mergeCell ref="AZ68:AZ69"/>
    <mergeCell ref="BA68:BA69"/>
    <mergeCell ref="BB68:BB69"/>
    <mergeCell ref="BC68:BC69"/>
    <mergeCell ref="BD68:BD69"/>
    <mergeCell ref="BE68:BE69"/>
    <mergeCell ref="BF68:BF69"/>
    <mergeCell ref="BG68:BG69"/>
    <mergeCell ref="BH68:BH69"/>
    <mergeCell ref="BI68:BI69"/>
    <mergeCell ref="BJ68:BJ69"/>
    <mergeCell ref="BK68:BK69"/>
    <mergeCell ref="BL68:BL69"/>
    <mergeCell ref="BM68:BM69"/>
    <mergeCell ref="BN68:BN69"/>
    <mergeCell ref="BG70:BG71"/>
    <mergeCell ref="BH70:BH71"/>
    <mergeCell ref="BI70:BI71"/>
    <mergeCell ref="BN72:BN73"/>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BL74:BL75"/>
    <mergeCell ref="BM74:BM75"/>
    <mergeCell ref="BN74:BN75"/>
    <mergeCell ref="AX72:AX73"/>
    <mergeCell ref="AY72:AY73"/>
    <mergeCell ref="AZ72:AZ73"/>
    <mergeCell ref="BA72:BA73"/>
    <mergeCell ref="BB72:BB73"/>
    <mergeCell ref="BC72:BC73"/>
    <mergeCell ref="BD72:BD73"/>
    <mergeCell ref="BE72:BE73"/>
    <mergeCell ref="BF72:BF73"/>
    <mergeCell ref="BG72:BG73"/>
    <mergeCell ref="BH72:BH73"/>
    <mergeCell ref="BI72:BI73"/>
    <mergeCell ref="BJ72:BJ73"/>
    <mergeCell ref="BK72:BK73"/>
    <mergeCell ref="BG76:BG77"/>
    <mergeCell ref="BH76:BH77"/>
    <mergeCell ref="BI76:BI77"/>
    <mergeCell ref="BJ76:BJ77"/>
    <mergeCell ref="BK76:BK77"/>
    <mergeCell ref="BL76:BL77"/>
    <mergeCell ref="BM76:BM77"/>
    <mergeCell ref="BN76:BN77"/>
    <mergeCell ref="BA200:BA201"/>
    <mergeCell ref="BB200:BB201"/>
    <mergeCell ref="BE200:BE201"/>
    <mergeCell ref="BF200:BF201"/>
    <mergeCell ref="AX76:AX77"/>
    <mergeCell ref="AY76:AY77"/>
    <mergeCell ref="AZ76:AZ77"/>
    <mergeCell ref="BA76:BA77"/>
    <mergeCell ref="BB76:BB77"/>
    <mergeCell ref="BC76:BC77"/>
    <mergeCell ref="BD76:BD77"/>
    <mergeCell ref="BE76:BE77"/>
    <mergeCell ref="BF76:BF77"/>
  </mergeCells>
  <conditionalFormatting sqref="E18:V77 Z18:AK77">
    <cfRule type="expression" dxfId="105" priority="12">
      <formula>AND(ISBLANK($C18)=FALSE,OR(ISBLANK(E18)=TRUE,E18=""))</formula>
    </cfRule>
  </conditionalFormatting>
  <conditionalFormatting sqref="O18:P77">
    <cfRule type="expression" dxfId="104" priority="2">
      <formula>IF($O18&lt;&gt;INDEX(CMELIGHTBASEW,MATCH(G18,CMELIGHTBASE1,0)),TRUE,FALSE)</formula>
    </cfRule>
  </conditionalFormatting>
  <conditionalFormatting sqref="AR18:AU77">
    <cfRule type="expression" dxfId="103" priority="1388" stopIfTrue="1">
      <formula>ISNUMBER($AR18)=FALSE</formula>
    </cfRule>
    <cfRule type="expression" dxfId="102" priority="1389">
      <formula>$AR18 &lt;&gt; #REF!</formula>
    </cfRule>
  </conditionalFormatting>
  <conditionalFormatting sqref="AS8:AW8">
    <cfRule type="expression" dxfId="101" priority="7">
      <formula>IF($AS$8=PROJSTATMEASURE,FALSE,TRUE)</formula>
    </cfRule>
  </conditionalFormatting>
  <dataValidations xWindow="1448" yWindow="777" count="11">
    <dataValidation type="decimal" allowBlank="1" showInputMessage="1" showErrorMessage="1" prompt="This is the TOTAL Material Cost of the measure, NOT a per unit basis." sqref="AH18:AI77" xr:uid="{CE83EFE3-4D4C-4561-A15B-29D7FF850794}">
      <formula1>0</formula1>
      <formula2>999999999</formula2>
    </dataValidation>
    <dataValidation type="decimal" allowBlank="1" showInputMessage="1" showErrorMessage="1" prompt="This is the TOTAL Labor Cost of the measure, NOT a per unit basis." sqref="AJ18:AK77" xr:uid="{1169B241-57CD-4FA4-9C70-1BF6E0598EC6}">
      <formula1>0</formula1>
      <formula2>999999999</formula2>
    </dataValidation>
    <dataValidation type="list" allowBlank="1" showInputMessage="1" showErrorMessage="1" prompt="Please enter the location type. Conditioned garages will be &quot;Interior&quot; and unconditioned garages will be &quot;Garage&quot; or &quot;Garage 24/7&quot;" sqref="E18:F77" xr:uid="{5FEB58E8-D017-4C34-83E4-7B2E76B540A3}">
      <formula1>LOCATIONTYPELIST</formula1>
    </dataValidation>
    <dataValidation type="list" allowBlank="1" showInputMessage="1" showErrorMessage="1" sqref="G18:J77" xr:uid="{2F2F0605-6D9B-4EAF-A167-BBFF04A0FE3A}">
      <formula1>CMELIGHTBASE1</formula1>
    </dataValidation>
    <dataValidation type="whole" operator="greaterThanOrEqual" allowBlank="1" showInputMessage="1" showErrorMessage="1" errorTitle="Invalid Entry" error="Value must be a whole number." sqref="M18:N77 AD18:AE77" xr:uid="{AB3841D7-CF13-49C4-BDE1-E887D7777A49}">
      <formula1>0</formula1>
    </dataValidation>
    <dataValidation type="whole" allowBlank="1" showInputMessage="1" showErrorMessage="1" prompt="Enter annual operating hours for lamp/fixture._x000a_(Ex: 8 hours/day * 5 days/week * 52 weeks/year = 2080 hours/year)" sqref="Q18:R77" xr:uid="{84800BE9-AB21-44D6-A700-CF6A3B8264E7}">
      <formula1>0</formula1>
      <formula2>8760</formula2>
    </dataValidation>
    <dataValidation type="decimal" operator="greaterThanOrEqual" allowBlank="1" showInputMessage="1" showErrorMessage="1" sqref="AF18:AG77 O18:P77" xr:uid="{33FCBBF7-0350-44CA-A249-5DC9AEFD37AF}">
      <formula1>0</formula1>
    </dataValidation>
    <dataValidation allowBlank="1" showInputMessage="1" showErrorMessage="1" prompt="Install Location should describe the area where the equipment installed. (e.g. Room 201, Garage, Mechanical Room)" sqref="C18:D77" xr:uid="{D0D6F855-E328-4F50-BE25-5E8CE3A34F8A}"/>
    <dataValidation allowBlank="1" showInputMessage="1" showErrorMessage="1" prompt="Enter the Brand and Model # as it appears in technical documents and invoices." sqref="W18 W20 W22 W24 W26 W28 W30 W32 W34 W36 W38 W40 W42 W44 W46 W48 W50 W52 W54 W56 W58 W60 W62 W64 W66 W68 W70 W72 W74 W76 Z20 Z18 Z22 Z24 Z26 Z28 Z30 Z32 Z34 Z36 Z38 Z40 Z42 Z44 Z46 Z48 Z50 Z52 Z54 Z56 Z58 Z60 Z62 Z64 Z66 Z68 Z70 Z72 Z74 Z76" xr:uid="{E182587A-2CFE-485B-9F39-881A9993EC10}"/>
    <dataValidation type="list" allowBlank="1" showInputMessage="1" showErrorMessage="1" sqref="S18:V77" xr:uid="{C1CB6AD5-D357-4620-9001-3C7E4E7AA400}">
      <formula1>CMELIGHTEFF1</formula1>
    </dataValidation>
    <dataValidation type="list" allowBlank="1" showInputMessage="1" sqref="BD18:BD77" xr:uid="{FA64FDA5-21C8-4A64-A44C-B42B904FD560}">
      <formula1>ENDUSECAT</formula1>
    </dataValidation>
  </dataValidations>
  <hyperlinks>
    <hyperlink ref="J9:M11" location="'M03-S02'!C18" tooltip="Lighting" display="'M03-S02'!C18" xr:uid="{97FCFE0F-213C-447A-9C62-628A930BC349}"/>
    <hyperlink ref="N9:Q11" location="'M03-S03'!C18" tooltip="Lighting Controls" display="'M03-S03'!C18" xr:uid="{6B5208F2-03CC-4A25-A7F4-44853BF9BAE6}"/>
    <hyperlink ref="R9:U11" location="'M03-S04'!C18" tooltip="Refrigeration" display="'M03-S04'!C18" xr:uid="{972ACDEF-B9D7-4A86-84F3-81428AFFC1D3}"/>
    <hyperlink ref="V9:Y11" location="'M03-S05'!C18" tooltip="HVAC" display="'M03-S05'!C18" xr:uid="{CD0B0B93-9715-430F-8E8C-D8D01C41D1DE}"/>
    <hyperlink ref="AD9:AG11" location="'M03-S06'!C18" tooltip="Compressed Air / Process" display="'M03-S06'!C18" xr:uid="{258422E5-B50F-4722-8693-7CFC876BA6EC}"/>
    <hyperlink ref="AH9:AK11" location="'M03-S07'!C18" tooltip="Water Heating / Cooking" display="'M03-S07'!C18" xr:uid="{9C1649F1-A745-496D-B1A8-25CEF8ED2F2D}"/>
    <hyperlink ref="Z9:AC11" location="'M03-S08'!C18" tooltip="Motors and Drives" display="'M03-S08'!C18" xr:uid="{AD343F28-8F5F-449E-9CD2-89926D65E94C}"/>
    <hyperlink ref="AL9:AO11" location="'M04-S09'!C18" tooltip="Miscellaneous" display="'M04-S09'!C18" xr:uid="{1C80A8BC-DBC0-4158-BAD3-1D56BED907BC}"/>
    <hyperlink ref="B202" r:id="rId1" xr:uid="{F18C8A1F-AB9C-4F78-9874-84DF3C7B7E2C}"/>
    <hyperlink ref="J1:M3" location="'M01-S02'!J1" tooltip="Instructions" display="'M01-S02'!J1" xr:uid="{8AE803DF-9124-4ADA-9BF9-0C8C400D8E7F}"/>
    <hyperlink ref="AP1:AS3" location="'M05-S05'!AL1" tooltip=" " display="'M05-S05'!AL1" xr:uid="{DED3BEA4-15FF-41B9-B74A-BC15465E07E9}"/>
    <hyperlink ref="AL1:AO3" location="'M05-S04'!AH1" tooltip=" " display="'M05-S04'!AH1" xr:uid="{ADADDA0E-3C83-4534-B2E9-E1DD24808631}"/>
    <hyperlink ref="AT1:AW3" location="'M01-S03'!AP1" tooltip="Contact" display="'M01-S03'!AP1" xr:uid="{20DBBEDD-267B-44C0-B902-E665CBDA15F9}"/>
  </hyperlinks>
  <printOptions horizontalCentered="1"/>
  <pageMargins left="0" right="0" top="0" bottom="0" header="0" footer="0"/>
  <pageSetup scale="4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75823-EC48-4C80-A049-FFAA253B5C7D}">
  <sheetPr codeName="Sheet27">
    <tabColor theme="8" tint="0.59999389629810485"/>
    <pageSetUpPr fitToPage="1"/>
  </sheetPr>
  <dimension ref="A1:BP204"/>
  <sheetViews>
    <sheetView showGridLines="0" showRowColHeaders="0" zoomScale="85" zoomScaleNormal="85" workbookViewId="0">
      <selection activeCell="T28" sqref="T28:V29"/>
    </sheetView>
  </sheetViews>
  <sheetFormatPr defaultColWidth="0" defaultRowHeight="15" customHeight="1" zeroHeight="1"/>
  <cols>
    <col min="1" max="49" width="4.7109375" customWidth="1"/>
    <col min="50" max="51" width="9.42578125" hidden="1"/>
    <col min="52" max="52" width="15.7109375" hidden="1"/>
    <col min="53" max="57" width="9.42578125" hidden="1"/>
    <col min="58" max="58" width="14.7109375" hidden="1"/>
    <col min="59" max="67" width="9.42578125" hidden="1"/>
    <col min="68" max="68" width="11.5703125" hidden="1"/>
    <col min="69" max="16384" width="4.7109375" hidden="1"/>
  </cols>
  <sheetData>
    <row r="1" spans="1:66"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6"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6"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66" ht="15.95" customHeight="1">
      <c r="A4" s="666">
        <f>INCENTOTAL</f>
        <v>0</v>
      </c>
      <c r="B4" s="666"/>
      <c r="C4" s="666"/>
      <c r="D4" s="666"/>
      <c r="E4" s="666"/>
      <c r="F4" s="203"/>
      <c r="G4" s="203"/>
      <c r="H4" s="203"/>
      <c r="I4" s="203"/>
    </row>
    <row r="5" spans="1:66" ht="15.95" customHeight="1">
      <c r="A5" s="667"/>
      <c r="B5" s="667"/>
      <c r="C5" s="667"/>
      <c r="D5" s="667"/>
      <c r="E5" s="667"/>
      <c r="F5" s="432"/>
      <c r="G5" s="432"/>
      <c r="H5" s="432"/>
      <c r="I5" s="432"/>
      <c r="AS5" s="1059">
        <f ca="1">PROGRESSSTATUS</f>
        <v>0</v>
      </c>
      <c r="AT5" s="1059"/>
      <c r="AU5" s="1059"/>
      <c r="AV5" s="1059"/>
      <c r="AW5" s="1059"/>
      <c r="AX5" s="22"/>
      <c r="AY5" s="119" t="s">
        <v>1315</v>
      </c>
      <c r="AZ5" s="119" t="s">
        <v>325</v>
      </c>
      <c r="BA5" s="52"/>
      <c r="BB5" s="52"/>
    </row>
    <row r="6" spans="1:66" ht="15.95" customHeight="1">
      <c r="A6" s="667"/>
      <c r="B6" s="667"/>
      <c r="C6" s="667"/>
      <c r="D6" s="667"/>
      <c r="E6" s="667"/>
      <c r="F6" s="432"/>
      <c r="G6" s="432"/>
      <c r="H6" s="432"/>
      <c r="I6" s="432"/>
      <c r="AS6" s="1059"/>
      <c r="AT6" s="1059"/>
      <c r="AU6" s="1059"/>
      <c r="AV6" s="1059"/>
      <c r="AW6" s="1059"/>
      <c r="AX6" s="118" t="s">
        <v>1320</v>
      </c>
      <c r="AY6" s="117" t="str">
        <f>CBPRESE</f>
        <v>NA</v>
      </c>
      <c r="AZ6" s="181" t="str">
        <f>PAYPRESE</f>
        <v>NA</v>
      </c>
      <c r="BA6" s="52"/>
      <c r="BB6" s="52"/>
    </row>
    <row r="7" spans="1:66" ht="15.95" customHeight="1">
      <c r="A7" s="629" t="s">
        <v>83</v>
      </c>
      <c r="B7" s="629"/>
      <c r="C7" s="629"/>
      <c r="D7" s="629"/>
      <c r="E7" s="629"/>
      <c r="F7" s="85"/>
      <c r="G7" s="85"/>
      <c r="H7" s="85"/>
      <c r="I7" s="85"/>
      <c r="AS7" s="629" t="s">
        <v>299</v>
      </c>
      <c r="AT7" s="629"/>
      <c r="AU7" s="629"/>
      <c r="AV7" s="629"/>
      <c r="AW7" s="629"/>
      <c r="AX7" s="118" t="s">
        <v>135</v>
      </c>
      <c r="AY7" s="117" t="str">
        <f>CBCUSE</f>
        <v>NA</v>
      </c>
      <c r="AZ7" s="181" t="str">
        <f>PAYCUSE</f>
        <v>NA</v>
      </c>
      <c r="BA7" s="52"/>
      <c r="BB7" s="52"/>
    </row>
    <row r="8" spans="1:66" ht="15.95" customHeight="1" thickBot="1">
      <c r="A8" s="632"/>
      <c r="B8" s="632"/>
      <c r="C8" s="632"/>
      <c r="D8" s="632"/>
      <c r="E8" s="632"/>
      <c r="F8" s="429"/>
      <c r="G8" s="429"/>
      <c r="H8" s="429"/>
      <c r="I8" s="85"/>
      <c r="AS8" s="628" t="str">
        <f ca="1">PROJSTATUS</f>
        <v>Enter Measures</v>
      </c>
      <c r="AT8" s="628"/>
      <c r="AU8" s="628"/>
      <c r="AV8" s="628"/>
      <c r="AW8" s="628"/>
      <c r="AX8" s="118" t="s">
        <v>596</v>
      </c>
      <c r="AY8" s="117" t="str">
        <f>CBALL</f>
        <v>NA</v>
      </c>
      <c r="AZ8" s="181" t="str">
        <f>PAYALL</f>
        <v>NA</v>
      </c>
      <c r="BA8" s="52"/>
      <c r="BB8" s="52"/>
    </row>
    <row r="9" spans="1:66" s="88" customFormat="1" ht="15.95" customHeight="1">
      <c r="B9" s="89"/>
      <c r="C9" s="89"/>
      <c r="D9" s="89"/>
      <c r="E9" s="89"/>
      <c r="F9" s="89"/>
      <c r="G9" s="112"/>
      <c r="H9" s="111"/>
      <c r="I9" s="111"/>
      <c r="J9" s="927"/>
      <c r="K9" s="928"/>
      <c r="L9" s="928"/>
      <c r="M9" s="928"/>
      <c r="N9" s="818" t="str">
        <f>M3S3</f>
        <v>Lighting Controls</v>
      </c>
      <c r="O9" s="818"/>
      <c r="P9" s="818"/>
      <c r="Q9" s="818"/>
      <c r="R9" s="815" t="str">
        <f>M3S4</f>
        <v>Refrigeration</v>
      </c>
      <c r="S9" s="816"/>
      <c r="T9" s="816"/>
      <c r="U9" s="816"/>
      <c r="V9" s="815" t="str">
        <f>M3S5</f>
        <v>HVAC</v>
      </c>
      <c r="W9" s="816"/>
      <c r="X9" s="816"/>
      <c r="Y9" s="816"/>
      <c r="Z9" s="815" t="str">
        <f>M4S8</f>
        <v>Motors and Drives</v>
      </c>
      <c r="AA9" s="816"/>
      <c r="AB9" s="816"/>
      <c r="AC9" s="816"/>
      <c r="AD9" s="815" t="str">
        <f>M3S6</f>
        <v>Compressed Air / Process</v>
      </c>
      <c r="AE9" s="816"/>
      <c r="AF9" s="816"/>
      <c r="AG9" s="816"/>
      <c r="AH9" s="815" t="str">
        <f>M3S7</f>
        <v>Water Heating / Food Services</v>
      </c>
      <c r="AI9" s="816"/>
      <c r="AJ9" s="816"/>
      <c r="AK9" s="816"/>
      <c r="AL9" s="815" t="str">
        <f>M4S9</f>
        <v>Miscellaneous</v>
      </c>
      <c r="AM9" s="816"/>
      <c r="AN9" s="816"/>
      <c r="AO9" s="816"/>
      <c r="AP9" s="110"/>
      <c r="AQ9" s="110"/>
      <c r="AR9" s="110"/>
      <c r="AS9" s="110"/>
      <c r="AT9"/>
      <c r="AU9" s="110"/>
      <c r="AV9" s="110"/>
      <c r="BD9"/>
    </row>
    <row r="10" spans="1:66" s="88" customFormat="1" ht="15.95" customHeight="1">
      <c r="B10" s="89"/>
      <c r="C10" s="89"/>
      <c r="D10" s="89"/>
      <c r="E10" s="89"/>
      <c r="F10" s="89"/>
      <c r="G10"/>
      <c r="J10" s="878"/>
      <c r="K10" s="878"/>
      <c r="L10" s="878"/>
      <c r="M10" s="878"/>
      <c r="N10" s="819"/>
      <c r="O10" s="819"/>
      <c r="P10" s="819"/>
      <c r="Q10" s="819"/>
      <c r="R10" s="817"/>
      <c r="S10" s="817"/>
      <c r="T10" s="817"/>
      <c r="U10" s="817"/>
      <c r="V10" s="817"/>
      <c r="W10" s="817"/>
      <c r="X10" s="817"/>
      <c r="Y10" s="817"/>
      <c r="Z10" s="817"/>
      <c r="AA10" s="817"/>
      <c r="AB10" s="817"/>
      <c r="AC10" s="817"/>
      <c r="AD10" s="817"/>
      <c r="AE10" s="817"/>
      <c r="AF10" s="817"/>
      <c r="AG10" s="817"/>
      <c r="AH10" s="817"/>
      <c r="AI10" s="817"/>
      <c r="AJ10" s="817"/>
      <c r="AK10" s="817"/>
      <c r="AL10" s="817"/>
      <c r="AM10" s="817"/>
      <c r="AN10" s="817"/>
      <c r="AO10" s="817"/>
      <c r="AP10" s="89"/>
      <c r="AQ10" s="89"/>
      <c r="AR10" s="89"/>
      <c r="AS10" s="89"/>
      <c r="AT10"/>
      <c r="AU10" s="89"/>
      <c r="AV10" s="89"/>
      <c r="BD10"/>
    </row>
    <row r="11" spans="1:66" ht="15.95" customHeight="1">
      <c r="B11" s="106"/>
      <c r="C11" s="106"/>
      <c r="D11" s="106"/>
      <c r="E11" s="106"/>
      <c r="F11" s="106"/>
      <c r="J11" s="878"/>
      <c r="K11" s="878"/>
      <c r="L11" s="878"/>
      <c r="M11" s="878"/>
      <c r="N11" s="819"/>
      <c r="O11" s="819"/>
      <c r="P11" s="819"/>
      <c r="Q11" s="819"/>
      <c r="R11" s="817"/>
      <c r="S11" s="817"/>
      <c r="T11" s="817"/>
      <c r="U11" s="817"/>
      <c r="V11" s="817"/>
      <c r="W11" s="817"/>
      <c r="X11" s="817"/>
      <c r="Y11" s="817"/>
      <c r="Z11" s="817"/>
      <c r="AA11" s="817"/>
      <c r="AB11" s="817"/>
      <c r="AC11" s="817"/>
      <c r="AD11" s="817"/>
      <c r="AE11" s="817"/>
      <c r="AF11" s="817"/>
      <c r="AG11" s="817"/>
      <c r="AH11" s="817"/>
      <c r="AI11" s="817"/>
      <c r="AJ11" s="817"/>
      <c r="AK11" s="817"/>
      <c r="AL11" s="817"/>
      <c r="AM11" s="817"/>
      <c r="AN11" s="817"/>
      <c r="AO11" s="817"/>
      <c r="AP11" s="106"/>
      <c r="AQ11" s="106"/>
      <c r="AR11" s="106"/>
      <c r="AS11" s="106"/>
      <c r="AU11" s="106"/>
      <c r="AV11" s="106"/>
    </row>
    <row r="12" spans="1:66" ht="15.95" customHeight="1">
      <c r="A12" s="86"/>
      <c r="B12" s="86"/>
      <c r="C12" s="86"/>
      <c r="D12" s="86"/>
      <c r="E12" s="86"/>
      <c r="F12" s="86"/>
      <c r="G12" s="86"/>
      <c r="T12" s="821">
        <f>SUM(AR18:AU184)</f>
        <v>0</v>
      </c>
      <c r="U12" s="821"/>
      <c r="V12" s="821"/>
      <c r="W12" s="821"/>
      <c r="X12" s="821">
        <f ca="1">SUMIF(AR18:AU184,"&gt;0",AL18:AN184)</f>
        <v>0</v>
      </c>
      <c r="Y12" s="821"/>
      <c r="Z12" s="821"/>
      <c r="AA12" s="821"/>
      <c r="AB12" s="820">
        <f ca="1">SUMIF(AR18:AU184,"&gt;0",AO18:AQ184)</f>
        <v>0</v>
      </c>
      <c r="AC12" s="820"/>
      <c r="AD12" s="820"/>
      <c r="AE12" s="820"/>
      <c r="BD12" s="88"/>
    </row>
    <row r="13" spans="1:66" ht="15.95" customHeight="1">
      <c r="A13" s="86"/>
      <c r="B13" s="86"/>
      <c r="C13" s="86"/>
      <c r="D13" s="86"/>
      <c r="E13" s="1035" t="s">
        <v>3058</v>
      </c>
      <c r="F13" s="1035"/>
      <c r="G13" s="1035"/>
      <c r="H13" s="1035"/>
      <c r="I13" s="1035"/>
      <c r="J13" s="1035"/>
      <c r="K13" s="1035"/>
      <c r="L13" s="1035"/>
      <c r="M13" s="1035"/>
      <c r="N13" s="1035"/>
      <c r="O13" s="1035"/>
      <c r="P13" s="1035"/>
      <c r="Q13" s="1035"/>
      <c r="R13" s="1035"/>
      <c r="T13" s="821"/>
      <c r="U13" s="821"/>
      <c r="V13" s="821"/>
      <c r="W13" s="821"/>
      <c r="X13" s="821"/>
      <c r="Y13" s="821"/>
      <c r="Z13" s="821"/>
      <c r="AA13" s="821"/>
      <c r="AB13" s="820"/>
      <c r="AC13" s="820"/>
      <c r="AD13" s="820"/>
      <c r="AE13" s="820"/>
      <c r="AM13" s="840" t="str">
        <f>IF(OR(IFERROR(MATCH("75% Total Cost", BK:BK, 0), FALSE), IFERROR(MATCH("100% Incremental Cost", BK:BK, 0), FALSE)), "The incentive for one or more measures is capped due to measure cost.", "")</f>
        <v/>
      </c>
      <c r="AN13" s="840"/>
      <c r="AO13" s="840"/>
      <c r="AP13" s="840"/>
      <c r="AQ13" s="840"/>
      <c r="AR13" s="840"/>
      <c r="AS13" s="840"/>
      <c r="AT13" s="840"/>
      <c r="AU13" s="840"/>
    </row>
    <row r="14" spans="1:66" ht="15.95" customHeight="1">
      <c r="T14" s="758" t="s">
        <v>1717</v>
      </c>
      <c r="U14" s="758"/>
      <c r="V14" s="758"/>
      <c r="W14" s="758"/>
      <c r="X14" s="758" t="s">
        <v>67</v>
      </c>
      <c r="Y14" s="758"/>
      <c r="Z14" s="758"/>
      <c r="AA14" s="758"/>
      <c r="AB14" s="758" t="s">
        <v>1161</v>
      </c>
      <c r="AC14" s="758"/>
      <c r="AD14" s="758"/>
      <c r="AE14" s="758"/>
      <c r="AM14" s="840"/>
      <c r="AN14" s="840"/>
      <c r="AO14" s="840"/>
      <c r="AP14" s="840"/>
      <c r="AQ14" s="840"/>
      <c r="AR14" s="840"/>
      <c r="AS14" s="840"/>
      <c r="AT14" s="840"/>
      <c r="AU14" s="840"/>
    </row>
    <row r="15" spans="1:66" ht="15.95" customHeight="1"/>
    <row r="16" spans="1:66" ht="15.95" customHeight="1">
      <c r="C16" s="723" t="s">
        <v>1238</v>
      </c>
      <c r="D16" s="723"/>
      <c r="E16" s="723"/>
      <c r="F16" s="723"/>
      <c r="G16" s="723"/>
      <c r="H16" s="723"/>
      <c r="I16" s="723"/>
      <c r="J16" s="723"/>
      <c r="K16" s="723"/>
      <c r="L16" s="723"/>
      <c r="M16" s="723" t="s">
        <v>1261</v>
      </c>
      <c r="N16" s="723"/>
      <c r="O16" s="723" t="s">
        <v>74</v>
      </c>
      <c r="P16" s="723"/>
      <c r="Q16" s="723" t="s">
        <v>1670</v>
      </c>
      <c r="R16" s="723"/>
      <c r="S16" s="723"/>
      <c r="T16" s="723" t="s">
        <v>2914</v>
      </c>
      <c r="U16" s="723"/>
      <c r="V16" s="723"/>
      <c r="W16" s="723" t="s">
        <v>2912</v>
      </c>
      <c r="X16" s="723"/>
      <c r="Y16" s="723"/>
      <c r="Z16" s="723"/>
      <c r="AA16" s="723" t="s">
        <v>2913</v>
      </c>
      <c r="AB16" s="723"/>
      <c r="AC16" s="723"/>
      <c r="AD16" s="723"/>
      <c r="AE16" s="723" t="s">
        <v>1249</v>
      </c>
      <c r="AF16" s="723"/>
      <c r="AG16" s="723"/>
      <c r="AH16" s="814" t="s">
        <v>1243</v>
      </c>
      <c r="AI16" s="814"/>
      <c r="AJ16" s="814"/>
      <c r="AK16" s="814"/>
      <c r="AL16" s="723" t="s">
        <v>1304</v>
      </c>
      <c r="AM16" s="723"/>
      <c r="AN16" s="723"/>
      <c r="AO16" s="723" t="s">
        <v>1108</v>
      </c>
      <c r="AP16" s="723"/>
      <c r="AQ16" s="723"/>
      <c r="AR16" s="723" t="s">
        <v>83</v>
      </c>
      <c r="AS16" s="723"/>
      <c r="AT16" s="723"/>
      <c r="AU16" s="723"/>
      <c r="AV16" s="66"/>
      <c r="AW16" s="66"/>
      <c r="AX16" s="756" t="s">
        <v>132</v>
      </c>
      <c r="AY16" s="756" t="s">
        <v>325</v>
      </c>
      <c r="AZ16" s="756" t="s">
        <v>1116</v>
      </c>
      <c r="BA16" s="756" t="s">
        <v>635</v>
      </c>
      <c r="BB16" s="756" t="s">
        <v>1256</v>
      </c>
      <c r="BC16" s="756" t="s">
        <v>88</v>
      </c>
      <c r="BD16" s="756" t="s">
        <v>1305</v>
      </c>
      <c r="BE16" s="756" t="s">
        <v>1307</v>
      </c>
      <c r="BF16" s="756" t="s">
        <v>1466</v>
      </c>
      <c r="BG16" s="736" t="s">
        <v>2125</v>
      </c>
      <c r="BH16" s="736" t="s">
        <v>703</v>
      </c>
      <c r="BI16" s="756" t="s">
        <v>1765</v>
      </c>
      <c r="BJ16" s="756" t="s">
        <v>85</v>
      </c>
      <c r="BK16" s="736" t="s">
        <v>1306</v>
      </c>
      <c r="BL16" s="756" t="s">
        <v>309</v>
      </c>
      <c r="BM16" s="736" t="s">
        <v>2130</v>
      </c>
      <c r="BN16" s="736" t="s">
        <v>2401</v>
      </c>
    </row>
    <row r="17" spans="1:66" ht="15.95" customHeight="1" thickBot="1">
      <c r="B17" s="22"/>
      <c r="C17" s="724"/>
      <c r="D17" s="724"/>
      <c r="E17" s="724"/>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t="s">
        <v>1241</v>
      </c>
      <c r="AI17" s="724"/>
      <c r="AJ17" s="724" t="s">
        <v>1242</v>
      </c>
      <c r="AK17" s="724"/>
      <c r="AL17" s="724"/>
      <c r="AM17" s="724"/>
      <c r="AN17" s="724"/>
      <c r="AO17" s="724"/>
      <c r="AP17" s="724"/>
      <c r="AQ17" s="724"/>
      <c r="AR17" s="724"/>
      <c r="AS17" s="724"/>
      <c r="AT17" s="724"/>
      <c r="AU17" s="724"/>
      <c r="AV17" s="44"/>
      <c r="AW17" s="44"/>
      <c r="AX17" s="757"/>
      <c r="AY17" s="757"/>
      <c r="AZ17" s="757"/>
      <c r="BA17" s="757"/>
      <c r="BB17" s="757"/>
      <c r="BC17" s="757"/>
      <c r="BD17" s="757"/>
      <c r="BE17" s="757"/>
      <c r="BF17" s="757"/>
      <c r="BG17" s="737"/>
      <c r="BH17" s="737"/>
      <c r="BI17" s="757"/>
      <c r="BJ17" s="757"/>
      <c r="BK17" s="737"/>
      <c r="BL17" s="757"/>
      <c r="BM17" s="737"/>
      <c r="BN17" s="737"/>
    </row>
    <row r="18" spans="1:66" ht="15.95" customHeight="1">
      <c r="B18" s="806">
        <v>1</v>
      </c>
      <c r="C18" s="1079"/>
      <c r="D18" s="720"/>
      <c r="E18" s="720"/>
      <c r="F18" s="720"/>
      <c r="G18" s="720"/>
      <c r="H18" s="720"/>
      <c r="I18" s="720"/>
      <c r="J18" s="720"/>
      <c r="K18" s="720"/>
      <c r="L18" s="720"/>
      <c r="M18" s="1081" t="str">
        <f>IFERROR(IF(C18="","",INDEX(CMELIGHTCON[Wattage Unit],MATCH(C18,CMELIGHTCON[Proj Desc 1],0))),"")</f>
        <v/>
      </c>
      <c r="N18" s="1081"/>
      <c r="O18" s="1078"/>
      <c r="P18" s="1078"/>
      <c r="Q18" s="1083"/>
      <c r="R18" s="1083"/>
      <c r="S18" s="1083"/>
      <c r="T18" s="1061"/>
      <c r="U18" s="1061"/>
      <c r="V18" s="1082"/>
      <c r="W18" s="1060"/>
      <c r="X18" s="1061"/>
      <c r="Y18" s="1061"/>
      <c r="Z18" s="1061"/>
      <c r="AA18" s="1061"/>
      <c r="AB18" s="1061"/>
      <c r="AC18" s="1061"/>
      <c r="AD18" s="1061"/>
      <c r="AE18" s="1061"/>
      <c r="AF18" s="1061"/>
      <c r="AG18" s="1080"/>
      <c r="AH18" s="1072"/>
      <c r="AI18" s="1073"/>
      <c r="AJ18" s="1074"/>
      <c r="AK18" s="1075"/>
      <c r="AL18" s="1057" t="str">
        <f>IF(OR(C18="",Q18="",AA18="",O18="",AE18="",AH18="",AJ18="",T18="",W18=""),"",ROUND(AH18+AJ18,2))</f>
        <v/>
      </c>
      <c r="AM18" s="1058"/>
      <c r="AN18" s="1058"/>
      <c r="AO18" s="1033" t="str">
        <f>IF(OR(C18="",Q18="",AA18="",O18="",AE18="",AH18="",AJ18="",T18="",W18=""),"",IF(BA18-BB18&lt;=0,0,ROUND(BA18-BB18,4)))</f>
        <v/>
      </c>
      <c r="AP18" s="1033"/>
      <c r="AQ18" s="1033"/>
      <c r="AR18" s="1064" t="str">
        <f>IF(OR(C18="",Q18="",AA18="",O18="",AE18="",AH18="",AJ18="",T18="",W18=""),"",
IF(BL18&lt;&gt;"",BL18,IF(BN18&gt;0,BN18,
IF(ACTIVEBLOCK="Yes",ROUND(MIN(AL18*0.75,AO18*BLOCKBIDRATE),2),
ROUND(MIN(AL18*0.75,BG18),2)))))</f>
        <v/>
      </c>
      <c r="AS18" s="1065"/>
      <c r="AT18" s="1065"/>
      <c r="AU18" s="1066"/>
      <c r="AV18" s="44"/>
      <c r="AW18" s="44"/>
      <c r="AX18" s="974" t="str">
        <f>IFERROR(IF(OR(C18="",Q18="",AA18="",O18="",AE18="",AH18="",AJ18="",T18="",W18=""),"",
ROUND(((1+ELOSS)*((AO18*INDEX(ELECCB[NPV AEC $/kWh],MATCH(BC18,ELECCB[Year Number],1)))+(BE18*INDEX(ELECCB[NPV ACC $/kW],MATCH(BC18,ELECCB[Year Number],1))))/AL18),2)),0)</f>
        <v/>
      </c>
      <c r="AY18" s="974" t="str">
        <f>IFERROR(AL18/M02S04F06/AO18,"")</f>
        <v/>
      </c>
      <c r="AZ18" s="967" t="str">
        <f>IF(C18="","",INDEX(CMELIGHTCON[Wattage Unit],MATCH(C18,CMELIGHTCON[Proj Desc 1],0)))</f>
        <v/>
      </c>
      <c r="BA18" s="976" t="str">
        <f>IF(OR(C18="",Q18="",AA18="",O18="",AE18="",AH18="",AJ18="",T18="",W18=""),"",
IF(OR(M02S04F22="Unconditioned",M02S04F22="Electric Heat Only",M02S04F22="Natural Gas Heat Only"),ROUND((Q18/1000)*T18,4),
ROUND((Q18/1000)*T18*INDEX(BUILDINGTYPE[Waste Heat Factor (e)],MATCH(M02S04F19,BUILDINGTYPE[Building Type],0)),4)))</f>
        <v/>
      </c>
      <c r="BB18" s="976" t="str">
        <f>IF(OR(C18="",Q18="",AA18="",O18="",AE18="",AH18="",AJ18="",T18="",W18=""),"",
IF(OR(M02S04F22="Unconditioned",M02S04F22="Electric Heat Only",M02S04F22="Natural Gas Heat Only"),BA18-ROUND((Q18/1000)*T18*INDEX(CMELIGHTCON[Energy Savings Factor],MATCH(C18,CMELIGHTCON[Proj Desc 1],0)),4),
BA18-ROUND((Q18/1000)*T18*INDEX(CMELIGHTCON[Energy Savings Factor],MATCH(C18,CMELIGHTCON[Proj Desc 1],0))*INDEX(BUILDINGTYPE[Waste Heat Factor (e)],MATCH(M02S04F19,BUILDINGTYPE[Building Type],0)),4)))</f>
        <v/>
      </c>
      <c r="BC18" s="978" t="str">
        <f>IF(OR(C18=""),"",IF(INDEX(CMELIGHTCON[EUL],MATCH(C18,CMELIGHTCON[Proj Desc 1],0))="","",INDEX(CMELIGHTCON[EUL],MATCH(C18,CMELIGHTCON[Proj Desc 1],0))))</f>
        <v/>
      </c>
      <c r="BD18" s="980" t="str">
        <f>IF(OR(C18=""),"",IF(INDEX(CMELIGHTCON[End Use Category],MATCH(C18,CMELIGHTCON[Proj Desc 1],0))="","",INDEX(CMELIGHTCON[End Use Category],MATCH(C18,CMELIGHTCON[Proj Desc 1],0))))</f>
        <v/>
      </c>
      <c r="BE18" s="972" t="str">
        <f>IFERROR(IF(OR(C18="",Q18="",AA18="",O18="",AE18="",AH18="",AJ18="",T18="",W18=""),"",ROUND(AO18*INDEX(ENDUSEALL[Factor],MATCH(BD18,ENDUSEALL[End Use to Coincident Peak Demand Factors],0)),4)),"")</f>
        <v/>
      </c>
      <c r="BF18" s="1076" t="str">
        <f>IFERROR(IF(OR(C18="",Q18="",AA18="",O18="",AE18="",AH18="",AJ18="",T18="",W18=""),"",
IF(OR(M02S04F22="Unconditioned",M02S04F22="Electric Heat Only",M02S04F22="Natural Gas Heat Only"),ROUND(Q18/1000*(INDEX(BUILDINGTYPE[Lighting Coincidence Factor],MATCH(M02S04F19,BUILDINGTYPE[Building Type],0))-0.15),4),
ROUND(Q18/1000*(INDEX(BUILDINGTYPE[Lighting Coincidence Factor],MATCH(M02S04F19,BUILDINGTYPE[Building Type],0))-0.15)*INDEX(BUILDINGTYPE[WHFd],MATCH(M02S04F19,BUILDINGTYPE[Building Type],0)),4))),"")</f>
        <v/>
      </c>
      <c r="BG18" s="830" t="str">
        <f>IFERROR(ROUND(AO18*BH18,2),"")</f>
        <v/>
      </c>
      <c r="BH18" s="830" t="str">
        <f>_xlfn.LET(_xlpm.ROWS,MATCH(BD18,ENDUSEALL[End Use to Coincident Peak Demand Factors],0),IFERROR(INDEX(IF(AND(ACTIVEBONUS = TRUE,INDEX(ENDUSEALL[Bonus Rate ($/kWh)],_xlpm.ROWS)&lt;&gt;""),ENDUSEALL[Bonus Rate ($/kWh)],ENDUSEALL[Rate ($/kWh)]),_xlpm.ROWS),""))</f>
        <v/>
      </c>
      <c r="BI18" s="830" t="str">
        <f>_xlfn.LET(_xlpm.BONUS_RATE,INDEX(ENDUSEALL[Bonus Rate ($/kWh)],MATCH(BD18,ENDUSEALL[End Use to Coincident Peak Demand Factors],0)),_xlpm.BASE_RATE,INDEX(ENDUSEALL[Rate ($/kWh)],MATCH(BD18,ENDUSEALL[End Use to Coincident Peak Demand Factors],0)),IFERROR(IF(OR(ACTIVEBONUS &lt;&gt; TRUE,ISNUMBER(AR18) = FALSE,BN18 &lt;&gt; ""),"",AR18-(AO18*_xlpm.BASE_RATE)),""))</f>
        <v/>
      </c>
      <c r="BJ18" s="965" t="str">
        <f>IF(OR(C18="",Q18="",AA18="",O18="",AE18="",AH18="",AJ18="",T18="",W18=""),"",IF(BL18&lt;&gt;"",SPILLOVERNUMBER,INDEX(CMELIGHTCON[Measure Number],MATCH(C18,CMELIGHTCON[Proj Desc 1],0))))</f>
        <v/>
      </c>
      <c r="BK18" s="967" t="str">
        <f>IFERROR(IF(BN18="", IF(AND(ROUND(AR18/AL18,2)=TOTCOSTCAP, BG18/AL18&gt;TOTCOSTCAP),"75% Total Cost",
IF(FALSE,"100% Incremental Cost",
IF(BH18&lt;KWHRATEMIN, "kWh Incentive Rate Min",
IF(BH18&gt;KWHRATEMAX,"kWh Incentive Rate Cap",
IF(AR18=BI18,"Bonus Incentive",
"kWh Incentive"))))), ""),"")</f>
        <v/>
      </c>
      <c r="BL18" s="967" t="str">
        <f ca="1">IFERROR(
IF(EXPIRATION&lt;&gt;"",PROJSTATEXP,
IF(BN18&gt;0,"",
IF(OR(M02S04F06="",M02S04F06="Select Rate Code",M02S04F06=0),MEASURERATE,
IF(M02S04F19="",MEASUREBLDG,
IF(BA18-BB18&lt;=0,MEASURESAVE,
IF(PAYCUSE&lt;PAYBACKREQ,PROJECTSTATPAYBACK,
IF(CBCUSE&lt;CBREQ,PROJECTSTATCB,""))))))),
MEASURESUBMIT)</f>
        <v>Enter Utility Rate (Building Info Tab)</v>
      </c>
      <c r="BM18" s="830" t="str">
        <f>IFERROR(IF(OR(C18="",Q18="",AA18="",O18="",AE18="",AH18="",AJ18="",T18="",W18=""),"",
ROUND(((1+ELOSS)*((AO18*INDEX(ELECCB[NPV AEC $/kWh],MATCH(BC18,ELECCB[Year Number],1)))+(BE18*INDEX(ELECCB[NPV ACC $/kW],MATCH(BC18,ELECCB[Year Number],1))))),2)),0)</f>
        <v/>
      </c>
      <c r="BN18" s="969"/>
    </row>
    <row r="19" spans="1:66" ht="15.95" customHeight="1">
      <c r="B19" s="806"/>
      <c r="C19" s="991"/>
      <c r="D19" s="992"/>
      <c r="E19" s="992"/>
      <c r="F19" s="992"/>
      <c r="G19" s="992"/>
      <c r="H19" s="992"/>
      <c r="I19" s="992"/>
      <c r="J19" s="992"/>
      <c r="K19" s="992"/>
      <c r="L19" s="992"/>
      <c r="M19" s="1070"/>
      <c r="N19" s="1070"/>
      <c r="O19" s="1011"/>
      <c r="P19" s="1011"/>
      <c r="Q19" s="1009"/>
      <c r="R19" s="1009"/>
      <c r="S19" s="1009"/>
      <c r="T19" s="1015"/>
      <c r="U19" s="1015"/>
      <c r="V19" s="1071"/>
      <c r="W19" s="1014"/>
      <c r="X19" s="1015"/>
      <c r="Y19" s="1015"/>
      <c r="Z19" s="1015"/>
      <c r="AA19" s="1015"/>
      <c r="AB19" s="1015"/>
      <c r="AC19" s="1015"/>
      <c r="AD19" s="1015"/>
      <c r="AE19" s="1015"/>
      <c r="AF19" s="1015"/>
      <c r="AG19" s="1020"/>
      <c r="AH19" s="998"/>
      <c r="AI19" s="999"/>
      <c r="AJ19" s="1062"/>
      <c r="AK19" s="1063"/>
      <c r="AL19" s="1001"/>
      <c r="AM19" s="1002"/>
      <c r="AN19" s="1002"/>
      <c r="AO19" s="1034"/>
      <c r="AP19" s="1034"/>
      <c r="AQ19" s="1034"/>
      <c r="AR19" s="1067"/>
      <c r="AS19" s="1068"/>
      <c r="AT19" s="1068"/>
      <c r="AU19" s="1069"/>
      <c r="AV19" s="44"/>
      <c r="AW19" s="44"/>
      <c r="AX19" s="982"/>
      <c r="AY19" s="982"/>
      <c r="AZ19" s="983"/>
      <c r="BA19" s="984"/>
      <c r="BB19" s="984"/>
      <c r="BC19" s="985"/>
      <c r="BD19" s="986"/>
      <c r="BE19" s="970"/>
      <c r="BF19" s="1077"/>
      <c r="BG19" s="831"/>
      <c r="BH19" s="831"/>
      <c r="BI19" s="831"/>
      <c r="BJ19" s="987"/>
      <c r="BK19" s="983"/>
      <c r="BL19" s="983"/>
      <c r="BM19" s="831"/>
      <c r="BN19" s="981"/>
    </row>
    <row r="20" spans="1:66" ht="15.95" customHeight="1">
      <c r="A20" s="85"/>
      <c r="B20" s="806">
        <v>2</v>
      </c>
      <c r="C20" s="988"/>
      <c r="D20" s="989"/>
      <c r="E20" s="989"/>
      <c r="F20" s="989"/>
      <c r="G20" s="989"/>
      <c r="H20" s="989"/>
      <c r="I20" s="989"/>
      <c r="J20" s="989"/>
      <c r="K20" s="989"/>
      <c r="L20" s="989"/>
      <c r="M20" s="1070" t="str">
        <f>IFERROR(IF(C20="","",INDEX(CMELIGHTCON[Wattage Unit],MATCH(C20,CMELIGHTCON[Proj Desc 1],0))),"")</f>
        <v/>
      </c>
      <c r="N20" s="1070"/>
      <c r="O20" s="1011"/>
      <c r="P20" s="1011"/>
      <c r="Q20" s="1009"/>
      <c r="R20" s="1009"/>
      <c r="S20" s="1009"/>
      <c r="T20" s="1015"/>
      <c r="U20" s="1015"/>
      <c r="V20" s="1071"/>
      <c r="W20" s="1014"/>
      <c r="X20" s="1015"/>
      <c r="Y20" s="1015"/>
      <c r="Z20" s="1015"/>
      <c r="AA20" s="1015"/>
      <c r="AB20" s="1015"/>
      <c r="AC20" s="1015"/>
      <c r="AD20" s="1015"/>
      <c r="AE20" s="1015"/>
      <c r="AF20" s="1015"/>
      <c r="AG20" s="1020"/>
      <c r="AH20" s="998"/>
      <c r="AI20" s="999"/>
      <c r="AJ20" s="1062"/>
      <c r="AK20" s="1063"/>
      <c r="AL20" s="1057" t="str">
        <f>IF(OR(C20="",Q20="",AA20="",O20="",AE20="",AH20="",AJ20=""),"",ROUND(AH20+AJ20,2))</f>
        <v/>
      </c>
      <c r="AM20" s="1058"/>
      <c r="AN20" s="1058"/>
      <c r="AO20" s="1033" t="str">
        <f>IF(OR(C20="",Q20="",AA20="",O20="",AE20="",AH20="",AJ20=""),"",IF(BA20-BB20&lt;=0,0,ROUND(BA20-BB20,4)))</f>
        <v/>
      </c>
      <c r="AP20" s="1033"/>
      <c r="AQ20" s="1033"/>
      <c r="AR20" s="1064" t="str">
        <f>IF(OR(C20="",Q20="",AA20="",O20="",AE20="",AH20="",AJ20=""),"",
IF(BL20&lt;&gt;"",BL20,IF(BN20&gt;0,BN20,
IF(ACTIVEBLOCK="Yes",ROUND(MIN(AL20*0.75,AO20*BLOCKBIDRATE),2),
ROUND(MIN(AL20*0.75,BG20),2)))))</f>
        <v/>
      </c>
      <c r="AS20" s="1065"/>
      <c r="AT20" s="1065"/>
      <c r="AU20" s="1066"/>
      <c r="AV20" s="44"/>
      <c r="AW20" s="44"/>
      <c r="AX20" s="974" t="str">
        <f>IFERROR(IF(OR(C20="",Q20="",AA20="",O20="",AE20="",AH20="",AJ20=""),"",
ROUND(((1+ELOSS)*((AO20*INDEX(ELECCB[NPV AEC $/kWh],MATCH(BC20,ELECCB[Year Number],1)))+(BE20*INDEX(ELECCB[NPV ACC $/kW],MATCH(BC20,ELECCB[Year Number],1))))/AL20),2)),0)</f>
        <v/>
      </c>
      <c r="AY20" s="974" t="str">
        <f>IFERROR(AL20/M02S04F06/AO20,"")</f>
        <v/>
      </c>
      <c r="AZ20" s="967" t="str">
        <f>IF(C20="","",INDEX(CMELIGHTCON[Wattage Unit],MATCH(C20,CMELIGHTCON[Proj Desc 1],0)))</f>
        <v/>
      </c>
      <c r="BA20" s="976" t="str">
        <f>IF(OR(C20="",Q20="",AA20="",O20="",AE20="",AH20="",AJ20=""),"",
IF(OR(M02S04F22="Unconditioned",M02S04F22="Electric Heat Only",M02S04F22="Natural Gas Heat Only"),ROUND((Q20/1000)*T20,4),
ROUND((Q20/1000)*T20*INDEX(BUILDINGTYPE[Waste Heat Factor (e)],MATCH(M02S04F19,BUILDINGTYPE[Building Type],0)),4)))</f>
        <v/>
      </c>
      <c r="BB20" s="976" t="str">
        <f>IF(OR(C20="",Q20="",AA20="",O20="",AE20="",AH20="",AJ20=""),"",
IF(OR(M02S04F22="Unconditioned",M02S04F22="Electric Heat Only",M02S04F22="Natural Gas Heat Only"),BA20-ROUND((Q20/1000)*T20*INDEX(CMELIGHTCON[Energy Savings Factor],MATCH(C20,CMELIGHTCON[Proj Desc 1],0)),4),
BA20-ROUND((Q20/1000)*T20*INDEX(CMELIGHTCON[Energy Savings Factor],MATCH(C20,CMELIGHTCON[Proj Desc 1],0))*INDEX(BUILDINGTYPE[Waste Heat Factor (e)],MATCH(M02S04F19,BUILDINGTYPE[Building Type],0)),4)))</f>
        <v/>
      </c>
      <c r="BC20" s="978" t="str">
        <f>IF(OR(C20=""),"",IF(INDEX(CMELIGHTCON[EUL],MATCH(C20,CMELIGHTCON[Proj Desc 1],0))="","",INDEX(CMELIGHTCON[EUL],MATCH(C20,CMELIGHTCON[Proj Desc 1],0))))</f>
        <v/>
      </c>
      <c r="BD20" s="980" t="str">
        <f>IF(OR(C20=""),"",IF(INDEX(CMELIGHTCON[End Use Category],MATCH(C20,CMELIGHTCON[Proj Desc 1],0))="","",INDEX(CMELIGHTCON[End Use Category],MATCH(C20,CMELIGHTCON[Proj Desc 1],0))))</f>
        <v/>
      </c>
      <c r="BE20" s="972" t="str">
        <f>IFERROR(IF(OR(C20="",Q20="",AA20="",O20="",AE20="",AH20="",AJ20=""),"",ROUND(AO20*INDEX(ENDUSEALL[Factor],MATCH(BD20,ENDUSEALL[End Use to Coincident Peak Demand Factors],0)),4)),"")</f>
        <v/>
      </c>
      <c r="BF20" s="1076" t="str">
        <f>IFERROR(IF(OR(C20="",Q20="",AA20="",O20="",AE20="",AH20="",AJ20=""),"",
IF(OR(M02S04F22="Unconditioned",M02S04F22="Electric Heat Only",M02S04F22="Natural Gas Heat Only"),ROUND(Q20/1000*(INDEX(BUILDINGTYPE[Lighting Coincidence Factor],MATCH(M02S04F19,BUILDINGTYPE[Building Type],0))-0.15),4),
ROUND(Q20/1000*(INDEX(BUILDINGTYPE[Lighting Coincidence Factor],MATCH(M02S04F19,BUILDINGTYPE[Building Type],0))-0.15)*INDEX(BUILDINGTYPE[WHFd],MATCH(M02S04F19,BUILDINGTYPE[Building Type],0)),4))),"")</f>
        <v/>
      </c>
      <c r="BG20" s="830" t="str">
        <f t="shared" ref="BG20" si="0">IFERROR(ROUND(AO20*BH20,2),"")</f>
        <v/>
      </c>
      <c r="BH20" s="963" t="str">
        <f>_xlfn.LET(_xlpm.ROWS,MATCH(BD20,ENDUSEALL[End Use to Coincident Peak Demand Factors],0),IFERROR(INDEX(IF(AND(ACTIVEBONUS = TRUE,INDEX(ENDUSEALL[Bonus Rate ($/kWh)],_xlpm.ROWS)&lt;&gt;""),ENDUSEALL[Bonus Rate ($/kWh)],ENDUSEALL[Rate ($/kWh)]),_xlpm.ROWS),""))</f>
        <v/>
      </c>
      <c r="BI20" s="963" t="str">
        <f>_xlfn.LET(_xlpm.BONUS_RATE,INDEX(ENDUSEALL[Bonus Rate ($/kWh)],MATCH(BD20,ENDUSEALL[End Use to Coincident Peak Demand Factors],0)),_xlpm.BASE_RATE,INDEX(ENDUSEALL[Rate ($/kWh)],MATCH(BD20,ENDUSEALL[End Use to Coincident Peak Demand Factors],0)),IFERROR(IF(OR(ACTIVEBONUS &lt;&gt; TRUE,ISNUMBER(AR20) = FALSE,BN20 &lt;&gt; ""),"",AR20-(AO20*_xlpm.BASE_RATE)),""))</f>
        <v/>
      </c>
      <c r="BJ20" s="965" t="str">
        <f>IF(OR(C20="",Q20="",AA20="",O20="",AE20="",AH20="",AJ20=""),"",IF(BL20&lt;&gt;"",SPILLOVERNUMBER,INDEX(CMELIGHTCON[Measure Number],MATCH(C20,CMELIGHTCON[Proj Desc 1],0))))</f>
        <v/>
      </c>
      <c r="BK20" s="967" t="str">
        <f>IFERROR(IF(BN20="", IF(AND(ROUND(AR20/AL20,2)=TOTCOSTCAP, BG20/AL20&gt;TOTCOSTCAP),"75% Total Cost",
IF(FALSE,"100% Incremental Cost",
IF(BH20&lt;KWHRATEMIN, "kWh Incentive Rate Min",
IF(BH20&gt;KWHRATEMAX,"kWh Incentive Rate Cap",
IF(AR20=BI20,"Bonus Incentive",
"kWh Incentive"))))), ""),"")</f>
        <v/>
      </c>
      <c r="BL20" s="966" t="str">
        <f ca="1">IFERROR(
IF(EXPIRATION&lt;&gt;"",PROJSTATEXP,
IF(BN20&gt;0,"",
IF(OR(M02S04F06="",M02S04F06="Select Rate Code",M02S04F06=0),MEASURERATE,
IF(M02S04F19="",MEASUREBLDG,
IF(BA20-BB20&lt;=0,MEASURESAVE,
IF(PAYCUSE&lt;PAYBACKREQ,PROJECTSTATPAYBACK,
IF(CBCUSE&lt;CBREQ,PROJECTSTATCB,""))))))),
MEASURESUBMIT)</f>
        <v>Enter Utility Rate (Building Info Tab)</v>
      </c>
      <c r="BM20" s="830" t="str">
        <f>IFERROR(IF(OR(C20="",Q20="",AA20="",O20="",AE20="",AH20="",AJ20=""),"",
ROUND(((1+ELOSS)*((AO20*INDEX(ELECCB[NPV AEC $/kWh],MATCH(BC20,ELECCB[Year Number],1)))+(BE20*INDEX(ELECCB[NPV ACC $/kW],MATCH(BC20,ELECCB[Year Number],1))))),2)),0)</f>
        <v/>
      </c>
      <c r="BN20" s="969"/>
    </row>
    <row r="21" spans="1:66" ht="15.95" customHeight="1">
      <c r="B21" s="806"/>
      <c r="C21" s="991"/>
      <c r="D21" s="992"/>
      <c r="E21" s="992"/>
      <c r="F21" s="992"/>
      <c r="G21" s="992"/>
      <c r="H21" s="992"/>
      <c r="I21" s="992"/>
      <c r="J21" s="992"/>
      <c r="K21" s="992"/>
      <c r="L21" s="992"/>
      <c r="M21" s="1070"/>
      <c r="N21" s="1070"/>
      <c r="O21" s="1011"/>
      <c r="P21" s="1011"/>
      <c r="Q21" s="1009"/>
      <c r="R21" s="1009"/>
      <c r="S21" s="1009"/>
      <c r="T21" s="1015"/>
      <c r="U21" s="1015"/>
      <c r="V21" s="1071"/>
      <c r="W21" s="1014"/>
      <c r="X21" s="1015"/>
      <c r="Y21" s="1015"/>
      <c r="Z21" s="1015"/>
      <c r="AA21" s="1015"/>
      <c r="AB21" s="1015"/>
      <c r="AC21" s="1015"/>
      <c r="AD21" s="1015"/>
      <c r="AE21" s="1015"/>
      <c r="AF21" s="1015"/>
      <c r="AG21" s="1020"/>
      <c r="AH21" s="998"/>
      <c r="AI21" s="999"/>
      <c r="AJ21" s="1062"/>
      <c r="AK21" s="1063"/>
      <c r="AL21" s="1001"/>
      <c r="AM21" s="1002"/>
      <c r="AN21" s="1002"/>
      <c r="AO21" s="1034"/>
      <c r="AP21" s="1034"/>
      <c r="AQ21" s="1034"/>
      <c r="AR21" s="1067"/>
      <c r="AS21" s="1068"/>
      <c r="AT21" s="1068"/>
      <c r="AU21" s="1069"/>
      <c r="AV21" s="44"/>
      <c r="AW21" s="44"/>
      <c r="AX21" s="982"/>
      <c r="AY21" s="982"/>
      <c r="AZ21" s="983"/>
      <c r="BA21" s="984"/>
      <c r="BB21" s="984"/>
      <c r="BC21" s="985"/>
      <c r="BD21" s="986"/>
      <c r="BE21" s="970"/>
      <c r="BF21" s="1077"/>
      <c r="BG21" s="831"/>
      <c r="BH21" s="830"/>
      <c r="BI21" s="830"/>
      <c r="BJ21" s="987"/>
      <c r="BK21" s="983"/>
      <c r="BL21" s="967"/>
      <c r="BM21" s="831"/>
      <c r="BN21" s="981"/>
    </row>
    <row r="22" spans="1:66" s="22" customFormat="1" ht="15.95" customHeight="1">
      <c r="A22" s="120"/>
      <c r="B22" s="806">
        <v>3</v>
      </c>
      <c r="C22" s="988"/>
      <c r="D22" s="989"/>
      <c r="E22" s="989"/>
      <c r="F22" s="989"/>
      <c r="G22" s="989"/>
      <c r="H22" s="989"/>
      <c r="I22" s="989"/>
      <c r="J22" s="989"/>
      <c r="K22" s="989"/>
      <c r="L22" s="989"/>
      <c r="M22" s="1070" t="str">
        <f>IFERROR(IF(C22="","",INDEX(CMELIGHTCON[Wattage Unit],MATCH(C22,CMELIGHTCON[Proj Desc 1],0))),"")</f>
        <v/>
      </c>
      <c r="N22" s="1070"/>
      <c r="O22" s="1011"/>
      <c r="P22" s="1011"/>
      <c r="Q22" s="1009"/>
      <c r="R22" s="1009"/>
      <c r="S22" s="1009"/>
      <c r="T22" s="1015"/>
      <c r="U22" s="1015"/>
      <c r="V22" s="1071"/>
      <c r="W22" s="1014"/>
      <c r="X22" s="1015"/>
      <c r="Y22" s="1015"/>
      <c r="Z22" s="1015"/>
      <c r="AA22" s="1015"/>
      <c r="AB22" s="1015"/>
      <c r="AC22" s="1015"/>
      <c r="AD22" s="1015"/>
      <c r="AE22" s="1015"/>
      <c r="AF22" s="1015"/>
      <c r="AG22" s="1020"/>
      <c r="AH22" s="998"/>
      <c r="AI22" s="999"/>
      <c r="AJ22" s="1062"/>
      <c r="AK22" s="1063"/>
      <c r="AL22" s="1057" t="str">
        <f>IF(OR(C22="",Q22="",AA22="",O22="",AE22="",AH22="",AJ22=""),"",ROUND(AH22+AJ22,2))</f>
        <v/>
      </c>
      <c r="AM22" s="1058"/>
      <c r="AN22" s="1058"/>
      <c r="AO22" s="1033" t="str">
        <f>IF(OR(C22="",Q22="",AA22="",O22="",AE22="",AH22="",AJ22=""),"",IF(BA22-BB22&lt;=0,0,ROUND(BA22-BB22,4)))</f>
        <v/>
      </c>
      <c r="AP22" s="1033"/>
      <c r="AQ22" s="1033"/>
      <c r="AR22" s="1064" t="str">
        <f>IF(OR(C22="",Q22="",AA22="",O22="",AE22="",AH22="",AJ22=""),"",
IF(BL22&lt;&gt;"",BL22,IF(BN22&gt;0,BN22,
IF(ACTIVEBLOCK="Yes",ROUND(MIN(AL22*0.75,AO22*BLOCKBIDRATE),2),
ROUND(MIN(AL22*0.75,BG22),2)))))</f>
        <v/>
      </c>
      <c r="AS22" s="1065"/>
      <c r="AT22" s="1065"/>
      <c r="AU22" s="1066"/>
      <c r="AV22" s="66"/>
      <c r="AW22" s="66"/>
      <c r="AX22" s="974" t="str">
        <f>IFERROR(IF(OR(C22="",Q22="",AA22="",O22="",AE22="",AH22="",AJ22=""),"",
ROUND(((1+ELOSS)*((AO22*INDEX(ELECCB[NPV AEC $/kWh],MATCH(BC22,ELECCB[Year Number],1)))+(BE22*INDEX(ELECCB[NPV ACC $/kW],MATCH(BC22,ELECCB[Year Number],1))))/AL22),2)),0)</f>
        <v/>
      </c>
      <c r="AY22" s="974" t="str">
        <f>IFERROR(AL22/M02S04F06/AO22,"")</f>
        <v/>
      </c>
      <c r="AZ22" s="967" t="str">
        <f>IF(C22="","",INDEX(CMELIGHTCON[Wattage Unit],MATCH(C22,CMELIGHTCON[Proj Desc 1],0)))</f>
        <v/>
      </c>
      <c r="BA22" s="976" t="str">
        <f>IF(OR(C22="",Q22="",AA22="",O22="",AE22="",AH22="",AJ22=""),"",
IF(OR(M02S04F22="Unconditioned",M02S04F22="Electric Heat Only",M02S04F22="Natural Gas Heat Only"),ROUND((Q22/1000)*T22,4),
ROUND((Q22/1000)*T22*INDEX(BUILDINGTYPE[Waste Heat Factor (e)],MATCH(M02S04F19,BUILDINGTYPE[Building Type],0)),4)))</f>
        <v/>
      </c>
      <c r="BB22" s="976" t="str">
        <f>IF(OR(C22="",Q22="",AA22="",O22="",AE22="",AH22="",AJ22=""),"",
IF(OR(M02S04F22="Unconditioned",M02S04F22="Electric Heat Only",M02S04F22="Natural Gas Heat Only"),BA22-ROUND((Q22/1000)*T22*INDEX(CMELIGHTCON[Energy Savings Factor],MATCH(C22,CMELIGHTCON[Proj Desc 1],0)),4),
BA22-ROUND((Q22/1000)*T22*INDEX(CMELIGHTCON[Energy Savings Factor],MATCH(C22,CMELIGHTCON[Proj Desc 1],0))*INDEX(BUILDINGTYPE[Waste Heat Factor (e)],MATCH(M02S04F19,BUILDINGTYPE[Building Type],0)),4)))</f>
        <v/>
      </c>
      <c r="BC22" s="978" t="str">
        <f>IF(OR(C22=""),"",IF(INDEX(CMELIGHTCON[EUL],MATCH(C22,CMELIGHTCON[Proj Desc 1],0))="","",INDEX(CMELIGHTCON[EUL],MATCH(C22,CMELIGHTCON[Proj Desc 1],0))))</f>
        <v/>
      </c>
      <c r="BD22" s="980" t="str">
        <f>IF(OR(C22=""),"",IF(INDEX(CMELIGHTCON[End Use Category],MATCH(C22,CMELIGHTCON[Proj Desc 1],0))="","",INDEX(CMELIGHTCON[End Use Category],MATCH(C22,CMELIGHTCON[Proj Desc 1],0))))</f>
        <v/>
      </c>
      <c r="BE22" s="972" t="str">
        <f>IFERROR(IF(OR(C22="",Q22="",AA22="",O22="",AE22="",AH22="",AJ22=""),"",ROUND(AO22*INDEX(ENDUSEALL[Factor],MATCH(BD22,ENDUSEALL[End Use to Coincident Peak Demand Factors],0)),4)),"")</f>
        <v/>
      </c>
      <c r="BF22" s="1076" t="str">
        <f>IFERROR(IF(OR(C22="",Q22="",AA22="",O22="",AE22="",AH22="",AJ22=""),"",
IF(OR(M02S04F22="Unconditioned",M02S04F22="Electric Heat Only",M02S04F22="Natural Gas Heat Only"),ROUND(Q22/1000*(INDEX(BUILDINGTYPE[Lighting Coincidence Factor],MATCH(M02S04F19,BUILDINGTYPE[Building Type],0))-0.15),4),
ROUND(Q22/1000*(INDEX(BUILDINGTYPE[Lighting Coincidence Factor],MATCH(M02S04F19,BUILDINGTYPE[Building Type],0))-0.15)*INDEX(BUILDINGTYPE[WHFd],MATCH(M02S04F19,BUILDINGTYPE[Building Type],0)),4))),"")</f>
        <v/>
      </c>
      <c r="BG22" s="830" t="str">
        <f t="shared" ref="BG22" si="1">IFERROR(ROUND(AO22*BH22,2),"")</f>
        <v/>
      </c>
      <c r="BH22" s="963" t="str">
        <f>_xlfn.LET(_xlpm.ROWS,MATCH(BD22,ENDUSEALL[End Use to Coincident Peak Demand Factors],0),IFERROR(INDEX(IF(AND(ACTIVEBONUS = TRUE,INDEX(ENDUSEALL[Bonus Rate ($/kWh)],_xlpm.ROWS)&lt;&gt;""),ENDUSEALL[Bonus Rate ($/kWh)],ENDUSEALL[Rate ($/kWh)]),_xlpm.ROWS),""))</f>
        <v/>
      </c>
      <c r="BI22" s="963" t="str">
        <f>_xlfn.LET(_xlpm.BONUS_RATE,INDEX(ENDUSEALL[Bonus Rate ($/kWh)],MATCH(BD22,ENDUSEALL[End Use to Coincident Peak Demand Factors],0)),_xlpm.BASE_RATE,INDEX(ENDUSEALL[Rate ($/kWh)],MATCH(BD22,ENDUSEALL[End Use to Coincident Peak Demand Factors],0)),IFERROR(IF(OR(ACTIVEBONUS &lt;&gt; TRUE,ISNUMBER(AR22) = FALSE,BN22 &lt;&gt; ""),"",AR22-(AO22*_xlpm.BASE_RATE)),""))</f>
        <v/>
      </c>
      <c r="BJ22" s="965" t="str">
        <f>IF(OR(C22="",Q22="",AA22="",O22="",AE22="",AH22="",AJ22=""),"",IF(BL22&lt;&gt;"",SPILLOVERNUMBER,INDEX(CMELIGHTCON[Measure Number],MATCH(C22,CMELIGHTCON[Proj Desc 1],0))))</f>
        <v/>
      </c>
      <c r="BK22" s="967" t="str">
        <f>IFERROR(IF(BN22="", IF(AND(ROUND(AR22/AL22,2)=TOTCOSTCAP, BG22/AL22&gt;TOTCOSTCAP),"75% Total Cost",
IF(FALSE,"100% Incremental Cost",
IF(BH22&lt;KWHRATEMIN, "kWh Incentive Rate Min",
IF(BH22&gt;KWHRATEMAX,"kWh Incentive Rate Cap",
IF(AR22=BI22,"Bonus Incentive",
"kWh Incentive"))))), ""),"")</f>
        <v/>
      </c>
      <c r="BL22" s="966" t="str">
        <f ca="1">IFERROR(
IF(EXPIRATION&lt;&gt;"",PROJSTATEXP,
IF(BN22&gt;0,"",
IF(OR(M02S04F06="",M02S04F06="Select Rate Code",M02S04F06=0),MEASURERATE,
IF(M02S04F19="",MEASUREBLDG,
IF(BA22-BB22&lt;=0,MEASURESAVE,
IF(PAYCUSE&lt;PAYBACKREQ,PROJECTSTATPAYBACK,
IF(CBCUSE&lt;CBREQ,PROJECTSTATCB,""))))))),
MEASURESUBMIT)</f>
        <v>Enter Utility Rate (Building Info Tab)</v>
      </c>
      <c r="BM22" s="830" t="str">
        <f>IFERROR(IF(OR(C22="",Q22="",AA22="",O22="",AE22="",AH22="",AJ22=""),"",
ROUND(((1+ELOSS)*((AO22*INDEX(ELECCB[NPV AEC $/kWh],MATCH(BC22,ELECCB[Year Number],1)))+(BE22*INDEX(ELECCB[NPV ACC $/kW],MATCH(BC22,ELECCB[Year Number],1))))),2)),0)</f>
        <v/>
      </c>
      <c r="BN22" s="969"/>
    </row>
    <row r="23" spans="1:66" s="22" customFormat="1" ht="15.95" customHeight="1">
      <c r="A23" s="120"/>
      <c r="B23" s="806"/>
      <c r="C23" s="991"/>
      <c r="D23" s="992"/>
      <c r="E23" s="992"/>
      <c r="F23" s="992"/>
      <c r="G23" s="992"/>
      <c r="H23" s="992"/>
      <c r="I23" s="992"/>
      <c r="J23" s="992"/>
      <c r="K23" s="992"/>
      <c r="L23" s="992"/>
      <c r="M23" s="1070"/>
      <c r="N23" s="1070"/>
      <c r="O23" s="1011"/>
      <c r="P23" s="1011"/>
      <c r="Q23" s="1009"/>
      <c r="R23" s="1009"/>
      <c r="S23" s="1009"/>
      <c r="T23" s="1015"/>
      <c r="U23" s="1015"/>
      <c r="V23" s="1071"/>
      <c r="W23" s="1014"/>
      <c r="X23" s="1015"/>
      <c r="Y23" s="1015"/>
      <c r="Z23" s="1015"/>
      <c r="AA23" s="1015"/>
      <c r="AB23" s="1015"/>
      <c r="AC23" s="1015"/>
      <c r="AD23" s="1015"/>
      <c r="AE23" s="1015"/>
      <c r="AF23" s="1015"/>
      <c r="AG23" s="1020"/>
      <c r="AH23" s="998"/>
      <c r="AI23" s="999"/>
      <c r="AJ23" s="1062"/>
      <c r="AK23" s="1063"/>
      <c r="AL23" s="1001"/>
      <c r="AM23" s="1002"/>
      <c r="AN23" s="1002"/>
      <c r="AO23" s="1034"/>
      <c r="AP23" s="1034"/>
      <c r="AQ23" s="1034"/>
      <c r="AR23" s="1067"/>
      <c r="AS23" s="1068"/>
      <c r="AT23" s="1068"/>
      <c r="AU23" s="1069"/>
      <c r="AV23" s="66"/>
      <c r="AW23" s="66"/>
      <c r="AX23" s="982"/>
      <c r="AY23" s="982"/>
      <c r="AZ23" s="983"/>
      <c r="BA23" s="984"/>
      <c r="BB23" s="984"/>
      <c r="BC23" s="985"/>
      <c r="BD23" s="986"/>
      <c r="BE23" s="970"/>
      <c r="BF23" s="1077"/>
      <c r="BG23" s="831"/>
      <c r="BH23" s="830"/>
      <c r="BI23" s="830"/>
      <c r="BJ23" s="987"/>
      <c r="BK23" s="983"/>
      <c r="BL23" s="967"/>
      <c r="BM23" s="831"/>
      <c r="BN23" s="981"/>
    </row>
    <row r="24" spans="1:66" ht="15.95" customHeight="1">
      <c r="B24" s="806">
        <v>4</v>
      </c>
      <c r="C24" s="988"/>
      <c r="D24" s="989"/>
      <c r="E24" s="989"/>
      <c r="F24" s="989"/>
      <c r="G24" s="989"/>
      <c r="H24" s="989"/>
      <c r="I24" s="989"/>
      <c r="J24" s="989"/>
      <c r="K24" s="989"/>
      <c r="L24" s="989"/>
      <c r="M24" s="1070" t="str">
        <f>IFERROR(IF(C24="","",INDEX(CMELIGHTCON[Wattage Unit],MATCH(C24,CMELIGHTCON[Proj Desc 1],0))),"")</f>
        <v/>
      </c>
      <c r="N24" s="1070"/>
      <c r="O24" s="1011"/>
      <c r="P24" s="1011"/>
      <c r="Q24" s="1009"/>
      <c r="R24" s="1009"/>
      <c r="S24" s="1009"/>
      <c r="T24" s="1015"/>
      <c r="U24" s="1015"/>
      <c r="V24" s="1071"/>
      <c r="W24" s="1014"/>
      <c r="X24" s="1015"/>
      <c r="Y24" s="1015"/>
      <c r="Z24" s="1015"/>
      <c r="AA24" s="1015"/>
      <c r="AB24" s="1015"/>
      <c r="AC24" s="1015"/>
      <c r="AD24" s="1015"/>
      <c r="AE24" s="1015"/>
      <c r="AF24" s="1015"/>
      <c r="AG24" s="1020"/>
      <c r="AH24" s="998"/>
      <c r="AI24" s="999"/>
      <c r="AJ24" s="1062"/>
      <c r="AK24" s="1063"/>
      <c r="AL24" s="1057" t="str">
        <f>IF(OR(C24="",Q24="",AA24="",O24="",AE24="",AH24="",AJ24=""),"",ROUND(AH24+AJ24,2))</f>
        <v/>
      </c>
      <c r="AM24" s="1058"/>
      <c r="AN24" s="1058"/>
      <c r="AO24" s="1033" t="str">
        <f>IF(OR(C24="",Q24="",AA24="",O24="",AE24="",AH24="",AJ24=""),"",IF(BA24-BB24&lt;=0,0,ROUND(BA24-BB24,4)))</f>
        <v/>
      </c>
      <c r="AP24" s="1033"/>
      <c r="AQ24" s="1033"/>
      <c r="AR24" s="1064" t="str">
        <f>IF(OR(C24="",Q24="",AA24="",O24="",AE24="",AH24="",AJ24=""),"",
IF(BL24&lt;&gt;"",BL24,IF(BN24&gt;0,BN24,
IF(ACTIVEBLOCK="Yes",ROUND(MIN(AL24*0.75,AO24*BLOCKBIDRATE),2),
ROUND(MIN(AL24*0.75,BG24),2)))))</f>
        <v/>
      </c>
      <c r="AS24" s="1065"/>
      <c r="AT24" s="1065"/>
      <c r="AU24" s="1066"/>
      <c r="AV24" s="44"/>
      <c r="AW24" s="44"/>
      <c r="AX24" s="974" t="str">
        <f>IFERROR(IF(OR(C24="",Q24="",AA24="",O24="",AE24="",AH24="",AJ24=""),"",
ROUND(((1+ELOSS)*((AO24*INDEX(ELECCB[NPV AEC $/kWh],MATCH(BC24,ELECCB[Year Number],1)))+(BE24*INDEX(ELECCB[NPV ACC $/kW],MATCH(BC24,ELECCB[Year Number],1))))/AL24),2)),0)</f>
        <v/>
      </c>
      <c r="AY24" s="974" t="str">
        <f>IFERROR(AL24/M02S04F06/AO24,"")</f>
        <v/>
      </c>
      <c r="AZ24" s="967" t="str">
        <f>IF(C24="","",INDEX(CMELIGHTCON[Wattage Unit],MATCH(C24,CMELIGHTCON[Proj Desc 1],0)))</f>
        <v/>
      </c>
      <c r="BA24" s="976" t="str">
        <f>IF(OR(C24="",Q24="",AA24="",O24="",AE24="",AH24="",AJ24=""),"",
IF(OR(M02S04F22="Unconditioned",M02S04F22="Electric Heat Only",M02S04F22="Natural Gas Heat Only"),ROUND((Q24/1000)*T24,4),
ROUND((Q24/1000)*T24*INDEX(BUILDINGTYPE[Waste Heat Factor (e)],MATCH(M02S04F19,BUILDINGTYPE[Building Type],0)),4)))</f>
        <v/>
      </c>
      <c r="BB24" s="976" t="str">
        <f>IF(OR(C24="",Q24="",AA24="",O24="",AE24="",AH24="",AJ24=""),"",
IF(OR(M02S04F22="Unconditioned",M02S04F22="Electric Heat Only",M02S04F22="Natural Gas Heat Only"),BA24-ROUND((Q24/1000)*T24*INDEX(CMELIGHTCON[Energy Savings Factor],MATCH(C24,CMELIGHTCON[Proj Desc 1],0)),4),
BA24-ROUND((Q24/1000)*T24*INDEX(CMELIGHTCON[Energy Savings Factor],MATCH(C24,CMELIGHTCON[Proj Desc 1],0))*INDEX(BUILDINGTYPE[Waste Heat Factor (e)],MATCH(M02S04F19,BUILDINGTYPE[Building Type],0)),4)))</f>
        <v/>
      </c>
      <c r="BC24" s="978" t="str">
        <f>IF(OR(C24=""),"",IF(INDEX(CMELIGHTCON[EUL],MATCH(C24,CMELIGHTCON[Proj Desc 1],0))="","",INDEX(CMELIGHTCON[EUL],MATCH(C24,CMELIGHTCON[Proj Desc 1],0))))</f>
        <v/>
      </c>
      <c r="BD24" s="980" t="str">
        <f>IF(OR(C24=""),"",IF(INDEX(CMELIGHTCON[End Use Category],MATCH(C24,CMELIGHTCON[Proj Desc 1],0))="","",INDEX(CMELIGHTCON[End Use Category],MATCH(C24,CMELIGHTCON[Proj Desc 1],0))))</f>
        <v/>
      </c>
      <c r="BE24" s="972" t="str">
        <f>IFERROR(IF(OR(C24="",Q24="",AA24="",O24="",AE24="",AH24="",AJ24=""),"",ROUND(AO24*INDEX(ENDUSEALL[Factor],MATCH(BD24,ENDUSEALL[End Use to Coincident Peak Demand Factors],0)),4)),"")</f>
        <v/>
      </c>
      <c r="BF24" s="1076" t="str">
        <f>IFERROR(IF(OR(C24="",Q24="",AA24="",O24="",AE24="",AH24="",AJ24=""),"",
IF(OR(M02S04F22="Unconditioned",M02S04F22="Electric Heat Only",M02S04F22="Natural Gas Heat Only"),ROUND(Q24/1000*(INDEX(BUILDINGTYPE[Lighting Coincidence Factor],MATCH(M02S04F19,BUILDINGTYPE[Building Type],0))-0.15),4),
ROUND(Q24/1000*(INDEX(BUILDINGTYPE[Lighting Coincidence Factor],MATCH(M02S04F19,BUILDINGTYPE[Building Type],0))-0.15)*INDEX(BUILDINGTYPE[WHFd],MATCH(M02S04F19,BUILDINGTYPE[Building Type],0)),4))),"")</f>
        <v/>
      </c>
      <c r="BG24" s="830" t="str">
        <f t="shared" ref="BG24" si="2">IFERROR(ROUND(AO24*BH24,2),"")</f>
        <v/>
      </c>
      <c r="BH24" s="963" t="str">
        <f>_xlfn.LET(_xlpm.ROWS,MATCH(BD24,ENDUSEALL[End Use to Coincident Peak Demand Factors],0),IFERROR(INDEX(IF(AND(ACTIVEBONUS = TRUE,INDEX(ENDUSEALL[Bonus Rate ($/kWh)],_xlpm.ROWS)&lt;&gt;""),ENDUSEALL[Bonus Rate ($/kWh)],ENDUSEALL[Rate ($/kWh)]),_xlpm.ROWS),""))</f>
        <v/>
      </c>
      <c r="BI24" s="963" t="str">
        <f>_xlfn.LET(_xlpm.BONUS_RATE,INDEX(ENDUSEALL[Bonus Rate ($/kWh)],MATCH(BD24,ENDUSEALL[End Use to Coincident Peak Demand Factors],0)),_xlpm.BASE_RATE,INDEX(ENDUSEALL[Rate ($/kWh)],MATCH(BD24,ENDUSEALL[End Use to Coincident Peak Demand Factors],0)),IFERROR(IF(OR(ACTIVEBONUS &lt;&gt; TRUE,ISNUMBER(AR24) = FALSE,BN24 &lt;&gt; ""),"",AR24-(AO24*_xlpm.BASE_RATE)),""))</f>
        <v/>
      </c>
      <c r="BJ24" s="965" t="str">
        <f>IF(OR(C24="",Q24="",AA24="",O24="",AE24="",AH24="",AJ24=""),"",IF(BL24&lt;&gt;"",SPILLOVERNUMBER,INDEX(CMELIGHTCON[Measure Number],MATCH(C24,CMELIGHTCON[Proj Desc 1],0))))</f>
        <v/>
      </c>
      <c r="BK24" s="967" t="str">
        <f>IFERROR(IF(BN24="", IF(AND(ROUND(AR24/AL24,2)=TOTCOSTCAP, BG24/AL24&gt;TOTCOSTCAP),"75% Total Cost",
IF(FALSE,"100% Incremental Cost",
IF(BH24&lt;KWHRATEMIN, "kWh Incentive Rate Min",
IF(BH24&gt;KWHRATEMAX,"kWh Incentive Rate Cap",
IF(AR24=BI24,"Bonus Incentive",
"kWh Incentive"))))), ""),"")</f>
        <v/>
      </c>
      <c r="BL24" s="966" t="str">
        <f ca="1">IFERROR(
IF(EXPIRATION&lt;&gt;"",PROJSTATEXP,
IF(BN24&gt;0,"",
IF(OR(M02S04F06="",M02S04F06="Select Rate Code",M02S04F06=0),MEASURERATE,
IF(M02S04F19="",MEASUREBLDG,
IF(BA24-BB24&lt;=0,MEASURESAVE,
IF(PAYCUSE&lt;PAYBACKREQ,PROJECTSTATPAYBACK,
IF(CBCUSE&lt;CBREQ,PROJECTSTATCB,""))))))),
MEASURESUBMIT)</f>
        <v>Enter Utility Rate (Building Info Tab)</v>
      </c>
      <c r="BM24" s="830" t="str">
        <f>IFERROR(IF(OR(C24="",Q24="",AA24="",O24="",AE24="",AH24="",AJ24=""),"",
ROUND(((1+ELOSS)*((AO24*INDEX(ELECCB[NPV AEC $/kWh],MATCH(BC24,ELECCB[Year Number],1)))+(BE24*INDEX(ELECCB[NPV ACC $/kW],MATCH(BC24,ELECCB[Year Number],1))))),2)),0)</f>
        <v/>
      </c>
      <c r="BN24" s="969"/>
    </row>
    <row r="25" spans="1:66" ht="15.95" customHeight="1">
      <c r="A25" s="85"/>
      <c r="B25" s="806"/>
      <c r="C25" s="991"/>
      <c r="D25" s="992"/>
      <c r="E25" s="992"/>
      <c r="F25" s="992"/>
      <c r="G25" s="992"/>
      <c r="H25" s="992"/>
      <c r="I25" s="992"/>
      <c r="J25" s="992"/>
      <c r="K25" s="992"/>
      <c r="L25" s="992"/>
      <c r="M25" s="1070"/>
      <c r="N25" s="1070"/>
      <c r="O25" s="1011"/>
      <c r="P25" s="1011"/>
      <c r="Q25" s="1009"/>
      <c r="R25" s="1009"/>
      <c r="S25" s="1009"/>
      <c r="T25" s="1015"/>
      <c r="U25" s="1015"/>
      <c r="V25" s="1071"/>
      <c r="W25" s="1014"/>
      <c r="X25" s="1015"/>
      <c r="Y25" s="1015"/>
      <c r="Z25" s="1015"/>
      <c r="AA25" s="1015"/>
      <c r="AB25" s="1015"/>
      <c r="AC25" s="1015"/>
      <c r="AD25" s="1015"/>
      <c r="AE25" s="1015"/>
      <c r="AF25" s="1015"/>
      <c r="AG25" s="1020"/>
      <c r="AH25" s="998"/>
      <c r="AI25" s="999"/>
      <c r="AJ25" s="1062"/>
      <c r="AK25" s="1063"/>
      <c r="AL25" s="1001"/>
      <c r="AM25" s="1002"/>
      <c r="AN25" s="1002"/>
      <c r="AO25" s="1034"/>
      <c r="AP25" s="1034"/>
      <c r="AQ25" s="1034"/>
      <c r="AR25" s="1067"/>
      <c r="AS25" s="1068"/>
      <c r="AT25" s="1068"/>
      <c r="AU25" s="1069"/>
      <c r="AV25" s="44"/>
      <c r="AW25" s="44"/>
      <c r="AX25" s="982"/>
      <c r="AY25" s="982"/>
      <c r="AZ25" s="983"/>
      <c r="BA25" s="984"/>
      <c r="BB25" s="984"/>
      <c r="BC25" s="985"/>
      <c r="BD25" s="986"/>
      <c r="BE25" s="970"/>
      <c r="BF25" s="1077"/>
      <c r="BG25" s="831"/>
      <c r="BH25" s="830"/>
      <c r="BI25" s="830"/>
      <c r="BJ25" s="987"/>
      <c r="BK25" s="983"/>
      <c r="BL25" s="967"/>
      <c r="BM25" s="831"/>
      <c r="BN25" s="981"/>
    </row>
    <row r="26" spans="1:66" ht="15.95" customHeight="1">
      <c r="B26" s="806">
        <v>5</v>
      </c>
      <c r="C26" s="988"/>
      <c r="D26" s="989"/>
      <c r="E26" s="989"/>
      <c r="F26" s="989"/>
      <c r="G26" s="989"/>
      <c r="H26" s="989"/>
      <c r="I26" s="989"/>
      <c r="J26" s="989"/>
      <c r="K26" s="989"/>
      <c r="L26" s="989"/>
      <c r="M26" s="1070" t="str">
        <f>IFERROR(IF(C26="","",INDEX(CMELIGHTCON[Wattage Unit],MATCH(C26,CMELIGHTCON[Proj Desc 1],0))),"")</f>
        <v/>
      </c>
      <c r="N26" s="1070"/>
      <c r="O26" s="1011"/>
      <c r="P26" s="1011"/>
      <c r="Q26" s="1009"/>
      <c r="R26" s="1009"/>
      <c r="S26" s="1009"/>
      <c r="T26" s="1015"/>
      <c r="U26" s="1015"/>
      <c r="V26" s="1071"/>
      <c r="W26" s="1014"/>
      <c r="X26" s="1015"/>
      <c r="Y26" s="1015"/>
      <c r="Z26" s="1015"/>
      <c r="AA26" s="1015"/>
      <c r="AB26" s="1015"/>
      <c r="AC26" s="1015"/>
      <c r="AD26" s="1015"/>
      <c r="AE26" s="1015"/>
      <c r="AF26" s="1015"/>
      <c r="AG26" s="1020"/>
      <c r="AH26" s="998"/>
      <c r="AI26" s="999"/>
      <c r="AJ26" s="1062"/>
      <c r="AK26" s="1063"/>
      <c r="AL26" s="1057" t="str">
        <f>IF(OR(C26="",Q26="",AA26="",O26="",AE26="",AH26="",AJ26=""),"",ROUND(AH26+AJ26,2))</f>
        <v/>
      </c>
      <c r="AM26" s="1058"/>
      <c r="AN26" s="1058"/>
      <c r="AO26" s="1033" t="str">
        <f>IF(OR(C26="",Q26="",AA26="",O26="",AE26="",AH26="",AJ26=""),"",IF(BA26-BB26&lt;=0,0,ROUND(BA26-BB26,4)))</f>
        <v/>
      </c>
      <c r="AP26" s="1033"/>
      <c r="AQ26" s="1033"/>
      <c r="AR26" s="1064" t="str">
        <f>IF(OR(C26="",Q26="",AA26="",O26="",AE26="",AH26="",AJ26=""),"",
IF(BL26&lt;&gt;"",BL26,IF(BN26&gt;0,BN26,
IF(ACTIVEBLOCK="Yes",ROUND(MIN(AL26*0.75,AO26*BLOCKBIDRATE),2),
ROUND(MIN(AL26*0.75,BG26),2)))))</f>
        <v/>
      </c>
      <c r="AS26" s="1065"/>
      <c r="AT26" s="1065"/>
      <c r="AU26" s="1066"/>
      <c r="AV26" s="44"/>
      <c r="AW26" s="44"/>
      <c r="AX26" s="974" t="str">
        <f>IFERROR(IF(OR(C26="",Q26="",AA26="",O26="",AE26="",AH26="",AJ26=""),"",
ROUND(((1+ELOSS)*((AO26*INDEX(ELECCB[NPV AEC $/kWh],MATCH(BC26,ELECCB[Year Number],1)))+(BE26*INDEX(ELECCB[NPV ACC $/kW],MATCH(BC26,ELECCB[Year Number],1))))/AL26),2)),0)</f>
        <v/>
      </c>
      <c r="AY26" s="974" t="str">
        <f>IFERROR(AL26/M02S04F06/AO26,"")</f>
        <v/>
      </c>
      <c r="AZ26" s="967" t="str">
        <f>IF(C26="","",INDEX(CMELIGHTCON[Wattage Unit],MATCH(C26,CMELIGHTCON[Proj Desc 1],0)))</f>
        <v/>
      </c>
      <c r="BA26" s="976" t="str">
        <f>IF(OR(C26="",Q26="",AA26="",O26="",AE26="",AH26="",AJ26=""),"",
IF(OR(M02S04F22="Unconditioned",M02S04F22="Electric Heat Only",M02S04F22="Natural Gas Heat Only"),ROUND((Q26/1000)*T26,4),
ROUND((Q26/1000)*T26*INDEX(BUILDINGTYPE[Waste Heat Factor (e)],MATCH(M02S04F19,BUILDINGTYPE[Building Type],0)),4)))</f>
        <v/>
      </c>
      <c r="BB26" s="976" t="str">
        <f>IF(OR(C26="",Q26="",AA26="",O26="",AE26="",AH26="",AJ26=""),"",
IF(OR(M02S04F22="Unconditioned",M02S04F22="Electric Heat Only",M02S04F22="Natural Gas Heat Only"),BA26-ROUND((Q26/1000)*T26*INDEX(CMELIGHTCON[Energy Savings Factor],MATCH(C26,CMELIGHTCON[Proj Desc 1],0)),4),
BA26-ROUND((Q26/1000)*T26*INDEX(CMELIGHTCON[Energy Savings Factor],MATCH(C26,CMELIGHTCON[Proj Desc 1],0))*INDEX(BUILDINGTYPE[Waste Heat Factor (e)],MATCH(M02S04F19,BUILDINGTYPE[Building Type],0)),4)))</f>
        <v/>
      </c>
      <c r="BC26" s="978" t="str">
        <f>IF(OR(C26=""),"",IF(INDEX(CMELIGHTCON[EUL],MATCH(C26,CMELIGHTCON[Proj Desc 1],0))="","",INDEX(CMELIGHTCON[EUL],MATCH(C26,CMELIGHTCON[Proj Desc 1],0))))</f>
        <v/>
      </c>
      <c r="BD26" s="980" t="str">
        <f>IF(OR(C26=""),"",IF(INDEX(CMELIGHTCON[End Use Category],MATCH(C26,CMELIGHTCON[Proj Desc 1],0))="","",INDEX(CMELIGHTCON[End Use Category],MATCH(C26,CMELIGHTCON[Proj Desc 1],0))))</f>
        <v/>
      </c>
      <c r="BE26" s="972" t="str">
        <f>IFERROR(IF(OR(C26="",Q26="",AA26="",O26="",AE26="",AH26="",AJ26=""),"",ROUND(AO26*INDEX(ENDUSEALL[Factor],MATCH(BD26,ENDUSEALL[End Use to Coincident Peak Demand Factors],0)),4)),"")</f>
        <v/>
      </c>
      <c r="BF26" s="1076" t="str">
        <f>IFERROR(IF(OR(C26="",Q26="",AA26="",O26="",AE26="",AH26="",AJ26=""),"",
IF(OR(M02S04F22="Unconditioned",M02S04F22="Electric Heat Only",M02S04F22="Natural Gas Heat Only"),ROUND(Q26/1000*(INDEX(BUILDINGTYPE[Lighting Coincidence Factor],MATCH(M02S04F19,BUILDINGTYPE[Building Type],0))-0.15),4),
ROUND(Q26/1000*(INDEX(BUILDINGTYPE[Lighting Coincidence Factor],MATCH(M02S04F19,BUILDINGTYPE[Building Type],0))-0.15)*INDEX(BUILDINGTYPE[WHFd],MATCH(M02S04F19,BUILDINGTYPE[Building Type],0)),4))),"")</f>
        <v/>
      </c>
      <c r="BG26" s="830" t="str">
        <f t="shared" ref="BG26" si="3">IFERROR(ROUND(AO26*BH26,2),"")</f>
        <v/>
      </c>
      <c r="BH26" s="963" t="str">
        <f>_xlfn.LET(_xlpm.ROWS,MATCH(BD26,ENDUSEALL[End Use to Coincident Peak Demand Factors],0),IFERROR(INDEX(IF(AND(ACTIVEBONUS = TRUE,INDEX(ENDUSEALL[Bonus Rate ($/kWh)],_xlpm.ROWS)&lt;&gt;""),ENDUSEALL[Bonus Rate ($/kWh)],ENDUSEALL[Rate ($/kWh)]),_xlpm.ROWS),""))</f>
        <v/>
      </c>
      <c r="BI26" s="963" t="str">
        <f>_xlfn.LET(_xlpm.BONUS_RATE,INDEX(ENDUSEALL[Bonus Rate ($/kWh)],MATCH(BD26,ENDUSEALL[End Use to Coincident Peak Demand Factors],0)),_xlpm.BASE_RATE,INDEX(ENDUSEALL[Rate ($/kWh)],MATCH(BD26,ENDUSEALL[End Use to Coincident Peak Demand Factors],0)),IFERROR(IF(OR(ACTIVEBONUS &lt;&gt; TRUE,ISNUMBER(AR26) = FALSE,BN26 &lt;&gt; ""),"",AR26-(AO26*_xlpm.BASE_RATE)),""))</f>
        <v/>
      </c>
      <c r="BJ26" s="965" t="str">
        <f>IF(OR(C26="",Q26="",AA26="",O26="",AE26="",AH26="",AJ26=""),"",IF(BL26&lt;&gt;"",SPILLOVERNUMBER,INDEX(CMELIGHTCON[Measure Number],MATCH(C26,CMELIGHTCON[Proj Desc 1],0))))</f>
        <v/>
      </c>
      <c r="BK26" s="967" t="str">
        <f>IFERROR(IF(BN26="", IF(AND(ROUND(AR26/AL26,2)=TOTCOSTCAP, BG26/AL26&gt;TOTCOSTCAP),"75% Total Cost",
IF(FALSE,"100% Incremental Cost",
IF(BH26&lt;KWHRATEMIN, "kWh Incentive Rate Min",
IF(BH26&gt;KWHRATEMAX,"kWh Incentive Rate Cap",
IF(AR26=BI26,"Bonus Incentive",
"kWh Incentive"))))), ""),"")</f>
        <v/>
      </c>
      <c r="BL26" s="966" t="str">
        <f ca="1">IFERROR(
IF(EXPIRATION&lt;&gt;"",PROJSTATEXP,
IF(BN26&gt;0,"",
IF(OR(M02S04F06="",M02S04F06="Select Rate Code",M02S04F06=0),MEASURERATE,
IF(M02S04F19="",MEASUREBLDG,
IF(BA26-BB26&lt;=0,MEASURESAVE,
IF(PAYCUSE&lt;PAYBACKREQ,PROJECTSTATPAYBACK,
IF(CBCUSE&lt;CBREQ,PROJECTSTATCB,""))))))),
MEASURESUBMIT)</f>
        <v>Enter Utility Rate (Building Info Tab)</v>
      </c>
      <c r="BM26" s="830" t="str">
        <f>IFERROR(IF(OR(C26="",Q26="",AA26="",O26="",AE26="",AH26="",AJ26=""),"",
ROUND(((1+ELOSS)*((AO26*INDEX(ELECCB[NPV AEC $/kWh],MATCH(BC26,ELECCB[Year Number],1)))+(BE26*INDEX(ELECCB[NPV ACC $/kW],MATCH(BC26,ELECCB[Year Number],1))))),2)),0)</f>
        <v/>
      </c>
      <c r="BN26" s="969"/>
    </row>
    <row r="27" spans="1:66" ht="15.95" customHeight="1">
      <c r="B27" s="806"/>
      <c r="C27" s="991"/>
      <c r="D27" s="992"/>
      <c r="E27" s="992"/>
      <c r="F27" s="992"/>
      <c r="G27" s="992"/>
      <c r="H27" s="992"/>
      <c r="I27" s="992"/>
      <c r="J27" s="992"/>
      <c r="K27" s="992"/>
      <c r="L27" s="992"/>
      <c r="M27" s="1070"/>
      <c r="N27" s="1070"/>
      <c r="O27" s="1011"/>
      <c r="P27" s="1011"/>
      <c r="Q27" s="1009"/>
      <c r="R27" s="1009"/>
      <c r="S27" s="1009"/>
      <c r="T27" s="1015"/>
      <c r="U27" s="1015"/>
      <c r="V27" s="1071"/>
      <c r="W27" s="1014"/>
      <c r="X27" s="1015"/>
      <c r="Y27" s="1015"/>
      <c r="Z27" s="1015"/>
      <c r="AA27" s="1015"/>
      <c r="AB27" s="1015"/>
      <c r="AC27" s="1015"/>
      <c r="AD27" s="1015"/>
      <c r="AE27" s="1015"/>
      <c r="AF27" s="1015"/>
      <c r="AG27" s="1020"/>
      <c r="AH27" s="998"/>
      <c r="AI27" s="999"/>
      <c r="AJ27" s="1062"/>
      <c r="AK27" s="1063"/>
      <c r="AL27" s="1001"/>
      <c r="AM27" s="1002"/>
      <c r="AN27" s="1002"/>
      <c r="AO27" s="1034"/>
      <c r="AP27" s="1034"/>
      <c r="AQ27" s="1034"/>
      <c r="AR27" s="1067"/>
      <c r="AS27" s="1068"/>
      <c r="AT27" s="1068"/>
      <c r="AU27" s="1069"/>
      <c r="AV27" s="44"/>
      <c r="AW27" s="44"/>
      <c r="AX27" s="982"/>
      <c r="AY27" s="982"/>
      <c r="AZ27" s="983"/>
      <c r="BA27" s="984"/>
      <c r="BB27" s="984"/>
      <c r="BC27" s="985"/>
      <c r="BD27" s="986"/>
      <c r="BE27" s="970"/>
      <c r="BF27" s="1077"/>
      <c r="BG27" s="831"/>
      <c r="BH27" s="830"/>
      <c r="BI27" s="830"/>
      <c r="BJ27" s="987"/>
      <c r="BK27" s="983"/>
      <c r="BL27" s="967"/>
      <c r="BM27" s="831"/>
      <c r="BN27" s="981"/>
    </row>
    <row r="28" spans="1:66" ht="15.95" customHeight="1">
      <c r="B28" s="806">
        <v>6</v>
      </c>
      <c r="C28" s="988"/>
      <c r="D28" s="989"/>
      <c r="E28" s="989"/>
      <c r="F28" s="989"/>
      <c r="G28" s="989"/>
      <c r="H28" s="989"/>
      <c r="I28" s="989"/>
      <c r="J28" s="989"/>
      <c r="K28" s="989"/>
      <c r="L28" s="989"/>
      <c r="M28" s="1070" t="str">
        <f>IFERROR(IF(C28="","",INDEX(CMELIGHTCON[Wattage Unit],MATCH(C28,CMELIGHTCON[Proj Desc 1],0))),"")</f>
        <v/>
      </c>
      <c r="N28" s="1070"/>
      <c r="O28" s="1011"/>
      <c r="P28" s="1011"/>
      <c r="Q28" s="1009"/>
      <c r="R28" s="1009"/>
      <c r="S28" s="1009"/>
      <c r="T28" s="1015"/>
      <c r="U28" s="1015"/>
      <c r="V28" s="1071"/>
      <c r="W28" s="1014"/>
      <c r="X28" s="1015"/>
      <c r="Y28" s="1015"/>
      <c r="Z28" s="1015"/>
      <c r="AA28" s="1015"/>
      <c r="AB28" s="1015"/>
      <c r="AC28" s="1015"/>
      <c r="AD28" s="1015"/>
      <c r="AE28" s="1015"/>
      <c r="AF28" s="1015"/>
      <c r="AG28" s="1020"/>
      <c r="AH28" s="998"/>
      <c r="AI28" s="999"/>
      <c r="AJ28" s="1062"/>
      <c r="AK28" s="1063"/>
      <c r="AL28" s="1057" t="str">
        <f>IF(OR(C28="",Q28="",AA28="",O28="",AE28="",AH28="",AJ28=""),"",ROUND(AH28+AJ28,2))</f>
        <v/>
      </c>
      <c r="AM28" s="1058"/>
      <c r="AN28" s="1058"/>
      <c r="AO28" s="1033" t="str">
        <f>IF(OR(C28="",Q28="",AA28="",O28="",AE28="",AH28="",AJ28=""),"",IF(BA28-BB28&lt;=0,0,ROUND(BA28-BB28,4)))</f>
        <v/>
      </c>
      <c r="AP28" s="1033"/>
      <c r="AQ28" s="1033"/>
      <c r="AR28" s="1064" t="str">
        <f>IF(OR(C28="",Q28="",AA28="",O28="",AE28="",AH28="",AJ28=""),"",
IF(BL28&lt;&gt;"",BL28,IF(BN28&gt;0,BN28,
IF(ACTIVEBLOCK="Yes",ROUND(MIN(AL28*0.75,AO28*BLOCKBIDRATE),2),
ROUND(MIN(AL28*0.75,BG28),2)))))</f>
        <v/>
      </c>
      <c r="AS28" s="1065"/>
      <c r="AT28" s="1065"/>
      <c r="AU28" s="1066"/>
      <c r="AV28" s="44"/>
      <c r="AW28" s="44"/>
      <c r="AX28" s="974" t="str">
        <f>IFERROR(IF(OR(C28="",Q28="",AA28="",O28="",AE28="",AH28="",AJ28=""),"",
ROUND(((1+ELOSS)*((AO28*INDEX(ELECCB[NPV AEC $/kWh],MATCH(BC28,ELECCB[Year Number],1)))+(BE28*INDEX(ELECCB[NPV ACC $/kW],MATCH(BC28,ELECCB[Year Number],1))))/AL28),2)),0)</f>
        <v/>
      </c>
      <c r="AY28" s="974" t="str">
        <f>IFERROR(AL28/M02S04F06/AO28,"")</f>
        <v/>
      </c>
      <c r="AZ28" s="967" t="str">
        <f>IF(C28="","",INDEX(CMELIGHTCON[Wattage Unit],MATCH(C28,CMELIGHTCON[Proj Desc 1],0)))</f>
        <v/>
      </c>
      <c r="BA28" s="976" t="str">
        <f>IF(OR(C28="",Q28="",AA28="",O28="",AE28="",AH28="",AJ28=""),"",
IF(OR(M02S04F22="Unconditioned",M02S04F22="Electric Heat Only",M02S04F22="Natural Gas Heat Only"),ROUND((Q28/1000)*T28,4),
ROUND((Q28/1000)*T28*INDEX(BUILDINGTYPE[Waste Heat Factor (e)],MATCH(M02S04F19,BUILDINGTYPE[Building Type],0)),4)))</f>
        <v/>
      </c>
      <c r="BB28" s="976" t="str">
        <f>IF(OR(C28="",Q28="",AA28="",O28="",AE28="",AH28="",AJ28=""),"",
IF(OR(M02S04F22="Unconditioned",M02S04F22="Electric Heat Only",M02S04F22="Natural Gas Heat Only"),BA28-ROUND((Q28/1000)*T28*INDEX(CMELIGHTCON[Energy Savings Factor],MATCH(C28,CMELIGHTCON[Proj Desc 1],0)),4),
BA28-ROUND((Q28/1000)*T28*INDEX(CMELIGHTCON[Energy Savings Factor],MATCH(C28,CMELIGHTCON[Proj Desc 1],0))*INDEX(BUILDINGTYPE[Waste Heat Factor (e)],MATCH(M02S04F19,BUILDINGTYPE[Building Type],0)),4)))</f>
        <v/>
      </c>
      <c r="BC28" s="978" t="str">
        <f>IF(OR(C28=""),"",IF(INDEX(CMELIGHTCON[EUL],MATCH(C28,CMELIGHTCON[Proj Desc 1],0))="","",INDEX(CMELIGHTCON[EUL],MATCH(C28,CMELIGHTCON[Proj Desc 1],0))))</f>
        <v/>
      </c>
      <c r="BD28" s="980" t="str">
        <f>IF(OR(C28=""),"",IF(INDEX(CMELIGHTCON[End Use Category],MATCH(C28,CMELIGHTCON[Proj Desc 1],0))="","",INDEX(CMELIGHTCON[End Use Category],MATCH(C28,CMELIGHTCON[Proj Desc 1],0))))</f>
        <v/>
      </c>
      <c r="BE28" s="972" t="str">
        <f>IFERROR(IF(OR(C28="",Q28="",AA28="",O28="",AE28="",AH28="",AJ28=""),"",ROUND(AO28*INDEX(ENDUSEALL[Factor],MATCH(BD28,ENDUSEALL[End Use to Coincident Peak Demand Factors],0)),4)),"")</f>
        <v/>
      </c>
      <c r="BF28" s="1076" t="str">
        <f>IFERROR(IF(OR(C28="",Q28="",AA28="",O28="",AE28="",AH28="",AJ28=""),"",
IF(OR(M02S04F22="Unconditioned",M02S04F22="Electric Heat Only",M02S04F22="Natural Gas Heat Only"),ROUND(Q28/1000*(INDEX(BUILDINGTYPE[Lighting Coincidence Factor],MATCH(M02S04F19,BUILDINGTYPE[Building Type],0))-0.15),4),
ROUND(Q28/1000*(INDEX(BUILDINGTYPE[Lighting Coincidence Factor],MATCH(M02S04F19,BUILDINGTYPE[Building Type],0))-0.15)*INDEX(BUILDINGTYPE[WHFd],MATCH(M02S04F19,BUILDINGTYPE[Building Type],0)),4))),"")</f>
        <v/>
      </c>
      <c r="BG28" s="830" t="str">
        <f t="shared" ref="BG28" si="4">IFERROR(ROUND(AO28*BH28,2),"")</f>
        <v/>
      </c>
      <c r="BH28" s="963" t="str">
        <f>_xlfn.LET(_xlpm.ROWS,MATCH(BD28,ENDUSEALL[End Use to Coincident Peak Demand Factors],0),IFERROR(INDEX(IF(AND(ACTIVEBONUS = TRUE,INDEX(ENDUSEALL[Bonus Rate ($/kWh)],_xlpm.ROWS)&lt;&gt;""),ENDUSEALL[Bonus Rate ($/kWh)],ENDUSEALL[Rate ($/kWh)]),_xlpm.ROWS),""))</f>
        <v/>
      </c>
      <c r="BI28" s="963" t="str">
        <f>_xlfn.LET(_xlpm.BONUS_RATE,INDEX(ENDUSEALL[Bonus Rate ($/kWh)],MATCH(BD28,ENDUSEALL[End Use to Coincident Peak Demand Factors],0)),_xlpm.BASE_RATE,INDEX(ENDUSEALL[Rate ($/kWh)],MATCH(BD28,ENDUSEALL[End Use to Coincident Peak Demand Factors],0)),IFERROR(IF(OR(ACTIVEBONUS &lt;&gt; TRUE,ISNUMBER(AR28) = FALSE,BN28 &lt;&gt; ""),"",AR28-(AO28*_xlpm.BASE_RATE)),""))</f>
        <v/>
      </c>
      <c r="BJ28" s="965" t="str">
        <f>IF(OR(C28="",Q28="",AA28="",O28="",AE28="",AH28="",AJ28=""),"",IF(BL28&lt;&gt;"",SPILLOVERNUMBER,INDEX(CMELIGHTCON[Measure Number],MATCH(C28,CMELIGHTCON[Proj Desc 1],0))))</f>
        <v/>
      </c>
      <c r="BK28" s="967" t="str">
        <f>IFERROR(IF(BN28="", IF(AND(ROUND(AR28/AL28,2)=TOTCOSTCAP, BG28/AL28&gt;TOTCOSTCAP),"75% Total Cost",
IF(FALSE,"100% Incremental Cost",
IF(BH28&lt;KWHRATEMIN, "kWh Incentive Rate Min",
IF(BH28&gt;KWHRATEMAX,"kWh Incentive Rate Cap",
IF(AR28=BI28,"Bonus Incentive",
"kWh Incentive"))))), ""),"")</f>
        <v/>
      </c>
      <c r="BL28" s="966" t="str">
        <f ca="1">IFERROR(
IF(EXPIRATION&lt;&gt;"",PROJSTATEXP,
IF(BN28&gt;0,"",
IF(OR(M02S04F06="",M02S04F06="Select Rate Code",M02S04F06=0),MEASURERATE,
IF(M02S04F19="",MEASUREBLDG,
IF(BA28-BB28&lt;=0,MEASURESAVE,
IF(PAYCUSE&lt;PAYBACKREQ,PROJECTSTATPAYBACK,
IF(CBCUSE&lt;CBREQ,PROJECTSTATCB,""))))))),
MEASURESUBMIT)</f>
        <v>Enter Utility Rate (Building Info Tab)</v>
      </c>
      <c r="BM28" s="830" t="str">
        <f>IFERROR(IF(OR(C28="",Q28="",AA28="",O28="",AE28="",AH28="",AJ28=""),"",
ROUND(((1+ELOSS)*((AO28*INDEX(ELECCB[NPV AEC $/kWh],MATCH(BC28,ELECCB[Year Number],1)))+(BE28*INDEX(ELECCB[NPV ACC $/kW],MATCH(BC28,ELECCB[Year Number],1))))),2)),0)</f>
        <v/>
      </c>
      <c r="BN28" s="969"/>
    </row>
    <row r="29" spans="1:66" ht="15.95" customHeight="1">
      <c r="B29" s="806"/>
      <c r="C29" s="991"/>
      <c r="D29" s="992"/>
      <c r="E29" s="992"/>
      <c r="F29" s="992"/>
      <c r="G29" s="992"/>
      <c r="H29" s="992"/>
      <c r="I29" s="992"/>
      <c r="J29" s="992"/>
      <c r="K29" s="992"/>
      <c r="L29" s="992"/>
      <c r="M29" s="1070"/>
      <c r="N29" s="1070"/>
      <c r="O29" s="1011"/>
      <c r="P29" s="1011"/>
      <c r="Q29" s="1009"/>
      <c r="R29" s="1009"/>
      <c r="S29" s="1009"/>
      <c r="T29" s="1015"/>
      <c r="U29" s="1015"/>
      <c r="V29" s="1071"/>
      <c r="W29" s="1014"/>
      <c r="X29" s="1015"/>
      <c r="Y29" s="1015"/>
      <c r="Z29" s="1015"/>
      <c r="AA29" s="1015"/>
      <c r="AB29" s="1015"/>
      <c r="AC29" s="1015"/>
      <c r="AD29" s="1015"/>
      <c r="AE29" s="1015"/>
      <c r="AF29" s="1015"/>
      <c r="AG29" s="1020"/>
      <c r="AH29" s="998"/>
      <c r="AI29" s="999"/>
      <c r="AJ29" s="1062"/>
      <c r="AK29" s="1063"/>
      <c r="AL29" s="1001"/>
      <c r="AM29" s="1002"/>
      <c r="AN29" s="1002"/>
      <c r="AO29" s="1034"/>
      <c r="AP29" s="1034"/>
      <c r="AQ29" s="1034"/>
      <c r="AR29" s="1067"/>
      <c r="AS29" s="1068"/>
      <c r="AT29" s="1068"/>
      <c r="AU29" s="1069"/>
      <c r="AV29" s="44"/>
      <c r="AW29" s="44"/>
      <c r="AX29" s="982"/>
      <c r="AY29" s="982"/>
      <c r="AZ29" s="983"/>
      <c r="BA29" s="984"/>
      <c r="BB29" s="984"/>
      <c r="BC29" s="985"/>
      <c r="BD29" s="986"/>
      <c r="BE29" s="970"/>
      <c r="BF29" s="1077"/>
      <c r="BG29" s="831"/>
      <c r="BH29" s="830"/>
      <c r="BI29" s="830"/>
      <c r="BJ29" s="987"/>
      <c r="BK29" s="983"/>
      <c r="BL29" s="967"/>
      <c r="BM29" s="831"/>
      <c r="BN29" s="981"/>
    </row>
    <row r="30" spans="1:66" ht="15.95" customHeight="1">
      <c r="B30" s="806">
        <v>7</v>
      </c>
      <c r="C30" s="988"/>
      <c r="D30" s="989"/>
      <c r="E30" s="989"/>
      <c r="F30" s="989"/>
      <c r="G30" s="989"/>
      <c r="H30" s="989"/>
      <c r="I30" s="989"/>
      <c r="J30" s="989"/>
      <c r="K30" s="989"/>
      <c r="L30" s="989"/>
      <c r="M30" s="1070" t="str">
        <f>IFERROR(IF(C30="","",INDEX(CMELIGHTCON[Wattage Unit],MATCH(C30,CMELIGHTCON[Proj Desc 1],0))),"")</f>
        <v/>
      </c>
      <c r="N30" s="1070"/>
      <c r="O30" s="1011"/>
      <c r="P30" s="1011"/>
      <c r="Q30" s="1009"/>
      <c r="R30" s="1009"/>
      <c r="S30" s="1009"/>
      <c r="T30" s="1015"/>
      <c r="U30" s="1015"/>
      <c r="V30" s="1071"/>
      <c r="W30" s="1014"/>
      <c r="X30" s="1015"/>
      <c r="Y30" s="1015"/>
      <c r="Z30" s="1015"/>
      <c r="AA30" s="1015"/>
      <c r="AB30" s="1015"/>
      <c r="AC30" s="1015"/>
      <c r="AD30" s="1015"/>
      <c r="AE30" s="1015"/>
      <c r="AF30" s="1015"/>
      <c r="AG30" s="1020"/>
      <c r="AH30" s="998"/>
      <c r="AI30" s="999"/>
      <c r="AJ30" s="1062"/>
      <c r="AK30" s="1063"/>
      <c r="AL30" s="1057" t="str">
        <f>IF(OR(C30="",Q30="",AA30="",O30="",AE30="",AH30="",AJ30=""),"",ROUND(AH30+AJ30,2))</f>
        <v/>
      </c>
      <c r="AM30" s="1058"/>
      <c r="AN30" s="1058"/>
      <c r="AO30" s="1033" t="str">
        <f>IF(OR(C30="",Q30="",AA30="",O30="",AE30="",AH30="",AJ30=""),"",IF(BA30-BB30&lt;=0,0,ROUND(BA30-BB30,4)))</f>
        <v/>
      </c>
      <c r="AP30" s="1033"/>
      <c r="AQ30" s="1033"/>
      <c r="AR30" s="1064" t="str">
        <f>IF(OR(C30="",Q30="",AA30="",O30="",AE30="",AH30="",AJ30=""),"",
IF(BL30&lt;&gt;"",BL30,IF(BN30&gt;0,BN30,
IF(ACTIVEBLOCK="Yes",ROUND(MIN(AL30*0.75,AO30*BLOCKBIDRATE),2),
ROUND(MIN(AL30*0.75,BG30),2)))))</f>
        <v/>
      </c>
      <c r="AS30" s="1065"/>
      <c r="AT30" s="1065"/>
      <c r="AU30" s="1066"/>
      <c r="AV30" s="44"/>
      <c r="AW30" s="44"/>
      <c r="AX30" s="974" t="str">
        <f>IFERROR(IF(OR(C30="",Q30="",AA30="",O30="",AE30="",AH30="",AJ30=""),"",
ROUND(((1+ELOSS)*((AO30*INDEX(ELECCB[NPV AEC $/kWh],MATCH(BC30,ELECCB[Year Number],1)))+(BE30*INDEX(ELECCB[NPV ACC $/kW],MATCH(BC30,ELECCB[Year Number],1))))/AL30),2)),0)</f>
        <v/>
      </c>
      <c r="AY30" s="974" t="str">
        <f>IFERROR(AL30/M02S04F06/AO30,"")</f>
        <v/>
      </c>
      <c r="AZ30" s="967" t="str">
        <f>IF(C30="","",INDEX(CMELIGHTCON[Wattage Unit],MATCH(C30,CMELIGHTCON[Proj Desc 1],0)))</f>
        <v/>
      </c>
      <c r="BA30" s="976" t="str">
        <f>IF(OR(C30="",Q30="",AA30="",O30="",AE30="",AH30="",AJ30=""),"",
IF(OR(M02S04F22="Unconditioned",M02S04F22="Electric Heat Only",M02S04F22="Natural Gas Heat Only"),ROUND((Q30/1000)*T30,4),
ROUND((Q30/1000)*T30*INDEX(BUILDINGTYPE[Waste Heat Factor (e)],MATCH(M02S04F19,BUILDINGTYPE[Building Type],0)),4)))</f>
        <v/>
      </c>
      <c r="BB30" s="976" t="str">
        <f>IF(OR(C30="",Q30="",AA30="",O30="",AE30="",AH30="",AJ30=""),"",
IF(OR(M02S04F22="Unconditioned",M02S04F22="Electric Heat Only",M02S04F22="Natural Gas Heat Only"),BA30-ROUND((Q30/1000)*T30*INDEX(CMELIGHTCON[Energy Savings Factor],MATCH(C30,CMELIGHTCON[Proj Desc 1],0)),4),
BA30-ROUND((Q30/1000)*T30*INDEX(CMELIGHTCON[Energy Savings Factor],MATCH(C30,CMELIGHTCON[Proj Desc 1],0))*INDEX(BUILDINGTYPE[Waste Heat Factor (e)],MATCH(M02S04F19,BUILDINGTYPE[Building Type],0)),4)))</f>
        <v/>
      </c>
      <c r="BC30" s="978" t="str">
        <f>IF(OR(C30=""),"",IF(INDEX(CMELIGHTCON[EUL],MATCH(C30,CMELIGHTCON[Proj Desc 1],0))="","",INDEX(CMELIGHTCON[EUL],MATCH(C30,CMELIGHTCON[Proj Desc 1],0))))</f>
        <v/>
      </c>
      <c r="BD30" s="980" t="str">
        <f>IF(OR(C30=""),"",IF(INDEX(CMELIGHTCON[End Use Category],MATCH(C30,CMELIGHTCON[Proj Desc 1],0))="","",INDEX(CMELIGHTCON[End Use Category],MATCH(C30,CMELIGHTCON[Proj Desc 1],0))))</f>
        <v/>
      </c>
      <c r="BE30" s="972" t="str">
        <f>IFERROR(IF(OR(C30="",Q30="",AA30="",O30="",AE30="",AH30="",AJ30=""),"",ROUND(AO30*INDEX(ENDUSEALL[Factor],MATCH(BD30,ENDUSEALL[End Use to Coincident Peak Demand Factors],0)),4)),"")</f>
        <v/>
      </c>
      <c r="BF30" s="1076" t="str">
        <f>IFERROR(IF(OR(C30="",Q30="",AA30="",O30="",AE30="",AH30="",AJ30=""),"",
IF(OR(M02S04F22="Unconditioned",M02S04F22="Electric Heat Only",M02S04F22="Natural Gas Heat Only"),ROUND(Q30/1000*(INDEX(BUILDINGTYPE[Lighting Coincidence Factor],MATCH(M02S04F19,BUILDINGTYPE[Building Type],0))-0.15),4),
ROUND(Q30/1000*(INDEX(BUILDINGTYPE[Lighting Coincidence Factor],MATCH(M02S04F19,BUILDINGTYPE[Building Type],0))-0.15)*INDEX(BUILDINGTYPE[WHFd],MATCH(M02S04F19,BUILDINGTYPE[Building Type],0)),4))),"")</f>
        <v/>
      </c>
      <c r="BG30" s="830" t="str">
        <f t="shared" ref="BG30" si="5">IFERROR(ROUND(AO30*BH30,2),"")</f>
        <v/>
      </c>
      <c r="BH30" s="963" t="str">
        <f>_xlfn.LET(_xlpm.ROWS,MATCH(BD30,ENDUSEALL[End Use to Coincident Peak Demand Factors],0),IFERROR(INDEX(IF(AND(ACTIVEBONUS = TRUE,INDEX(ENDUSEALL[Bonus Rate ($/kWh)],_xlpm.ROWS)&lt;&gt;""),ENDUSEALL[Bonus Rate ($/kWh)],ENDUSEALL[Rate ($/kWh)]),_xlpm.ROWS),""))</f>
        <v/>
      </c>
      <c r="BI30" s="963" t="str">
        <f>_xlfn.LET(_xlpm.BONUS_RATE,INDEX(ENDUSEALL[Bonus Rate ($/kWh)],MATCH(BD30,ENDUSEALL[End Use to Coincident Peak Demand Factors],0)),_xlpm.BASE_RATE,INDEX(ENDUSEALL[Rate ($/kWh)],MATCH(BD30,ENDUSEALL[End Use to Coincident Peak Demand Factors],0)),IFERROR(IF(OR(ACTIVEBONUS &lt;&gt; TRUE,ISNUMBER(AR30) = FALSE,BN30 &lt;&gt; ""),"",AR30-(AO30*_xlpm.BASE_RATE)),""))</f>
        <v/>
      </c>
      <c r="BJ30" s="965" t="str">
        <f>IF(OR(C30="",Q30="",AA30="",O30="",AE30="",AH30="",AJ30=""),"",IF(BL30&lt;&gt;"",SPILLOVERNUMBER,INDEX(CMELIGHTCON[Measure Number],MATCH(C30,CMELIGHTCON[Proj Desc 1],0))))</f>
        <v/>
      </c>
      <c r="BK30" s="967" t="str">
        <f>IFERROR(IF(BN30="", IF(AND(ROUND(AR30/AL30,2)=TOTCOSTCAP, BG30/AL30&gt;TOTCOSTCAP),"75% Total Cost",
IF(FALSE,"100% Incremental Cost",
IF(BH30&lt;KWHRATEMIN, "kWh Incentive Rate Min",
IF(BH30&gt;KWHRATEMAX,"kWh Incentive Rate Cap",
IF(AR30=BI30,"Bonus Incentive",
"kWh Incentive"))))), ""),"")</f>
        <v/>
      </c>
      <c r="BL30" s="966" t="str">
        <f ca="1">IFERROR(
IF(EXPIRATION&lt;&gt;"",PROJSTATEXP,
IF(BN30&gt;0,"",
IF(OR(M02S04F06="",M02S04F06="Select Rate Code",M02S04F06=0),MEASURERATE,
IF(M02S04F19="",MEASUREBLDG,
IF(BA30-BB30&lt;=0,MEASURESAVE,
IF(PAYCUSE&lt;PAYBACKREQ,PROJECTSTATPAYBACK,
IF(CBCUSE&lt;CBREQ,PROJECTSTATCB,""))))))),
MEASURESUBMIT)</f>
        <v>Enter Utility Rate (Building Info Tab)</v>
      </c>
      <c r="BM30" s="830" t="str">
        <f>IFERROR(IF(OR(C30="",Q30="",AA30="",O30="",AE30="",AH30="",AJ30=""),"",
ROUND(((1+ELOSS)*((AO30*INDEX(ELECCB[NPV AEC $/kWh],MATCH(BC30,ELECCB[Year Number],1)))+(BE30*INDEX(ELECCB[NPV ACC $/kW],MATCH(BC30,ELECCB[Year Number],1))))),2)),0)</f>
        <v/>
      </c>
      <c r="BN30" s="969"/>
    </row>
    <row r="31" spans="1:66" ht="15.95" customHeight="1">
      <c r="B31" s="806"/>
      <c r="C31" s="991"/>
      <c r="D31" s="992"/>
      <c r="E31" s="992"/>
      <c r="F31" s="992"/>
      <c r="G31" s="992"/>
      <c r="H31" s="992"/>
      <c r="I31" s="992"/>
      <c r="J31" s="992"/>
      <c r="K31" s="992"/>
      <c r="L31" s="992"/>
      <c r="M31" s="1070"/>
      <c r="N31" s="1070"/>
      <c r="O31" s="1011"/>
      <c r="P31" s="1011"/>
      <c r="Q31" s="1009"/>
      <c r="R31" s="1009"/>
      <c r="S31" s="1009"/>
      <c r="T31" s="1015"/>
      <c r="U31" s="1015"/>
      <c r="V31" s="1071"/>
      <c r="W31" s="1014"/>
      <c r="X31" s="1015"/>
      <c r="Y31" s="1015"/>
      <c r="Z31" s="1015"/>
      <c r="AA31" s="1015"/>
      <c r="AB31" s="1015"/>
      <c r="AC31" s="1015"/>
      <c r="AD31" s="1015"/>
      <c r="AE31" s="1015"/>
      <c r="AF31" s="1015"/>
      <c r="AG31" s="1020"/>
      <c r="AH31" s="998"/>
      <c r="AI31" s="999"/>
      <c r="AJ31" s="1062"/>
      <c r="AK31" s="1063"/>
      <c r="AL31" s="1001"/>
      <c r="AM31" s="1002"/>
      <c r="AN31" s="1002"/>
      <c r="AO31" s="1034"/>
      <c r="AP31" s="1034"/>
      <c r="AQ31" s="1034"/>
      <c r="AR31" s="1067"/>
      <c r="AS31" s="1068"/>
      <c r="AT31" s="1068"/>
      <c r="AU31" s="1069"/>
      <c r="AV31" s="44"/>
      <c r="AW31" s="44"/>
      <c r="AX31" s="982"/>
      <c r="AY31" s="982"/>
      <c r="AZ31" s="983"/>
      <c r="BA31" s="984"/>
      <c r="BB31" s="984"/>
      <c r="BC31" s="985"/>
      <c r="BD31" s="986"/>
      <c r="BE31" s="970"/>
      <c r="BF31" s="1077"/>
      <c r="BG31" s="831"/>
      <c r="BH31" s="830"/>
      <c r="BI31" s="830"/>
      <c r="BJ31" s="987"/>
      <c r="BK31" s="983"/>
      <c r="BL31" s="967"/>
      <c r="BM31" s="831"/>
      <c r="BN31" s="981"/>
    </row>
    <row r="32" spans="1:66" ht="15.95" customHeight="1">
      <c r="B32" s="806">
        <v>8</v>
      </c>
      <c r="C32" s="988"/>
      <c r="D32" s="989"/>
      <c r="E32" s="989"/>
      <c r="F32" s="989"/>
      <c r="G32" s="989"/>
      <c r="H32" s="989"/>
      <c r="I32" s="989"/>
      <c r="J32" s="989"/>
      <c r="K32" s="989"/>
      <c r="L32" s="989"/>
      <c r="M32" s="1070" t="str">
        <f>IFERROR(IF(C32="","",INDEX(CMELIGHTCON[Wattage Unit],MATCH(C32,CMELIGHTCON[Proj Desc 1],0))),"")</f>
        <v/>
      </c>
      <c r="N32" s="1070"/>
      <c r="O32" s="1011"/>
      <c r="P32" s="1011"/>
      <c r="Q32" s="1009"/>
      <c r="R32" s="1009"/>
      <c r="S32" s="1009"/>
      <c r="T32" s="1015"/>
      <c r="U32" s="1015"/>
      <c r="V32" s="1071"/>
      <c r="W32" s="1014"/>
      <c r="X32" s="1015"/>
      <c r="Y32" s="1015"/>
      <c r="Z32" s="1015"/>
      <c r="AA32" s="1015"/>
      <c r="AB32" s="1015"/>
      <c r="AC32" s="1015"/>
      <c r="AD32" s="1015"/>
      <c r="AE32" s="1015"/>
      <c r="AF32" s="1015"/>
      <c r="AG32" s="1020"/>
      <c r="AH32" s="998"/>
      <c r="AI32" s="999"/>
      <c r="AJ32" s="1062"/>
      <c r="AK32" s="1063"/>
      <c r="AL32" s="1057" t="str">
        <f>IF(OR(C32="",Q32="",AA32="",O32="",AE32="",AH32="",AJ32=""),"",ROUND(AH32+AJ32,2))</f>
        <v/>
      </c>
      <c r="AM32" s="1058"/>
      <c r="AN32" s="1058"/>
      <c r="AO32" s="1033" t="str">
        <f>IF(OR(C32="",Q32="",AA32="",O32="",AE32="",AH32="",AJ32=""),"",IF(BA32-BB32&lt;=0,0,ROUND(BA32-BB32,4)))</f>
        <v/>
      </c>
      <c r="AP32" s="1033"/>
      <c r="AQ32" s="1033"/>
      <c r="AR32" s="1064" t="str">
        <f>IF(OR(C32="",Q32="",AA32="",O32="",AE32="",AH32="",AJ32=""),"",
IF(BL32&lt;&gt;"",BL32,IF(BN32&gt;0,BN32,
IF(ACTIVEBLOCK="Yes",ROUND(MIN(AL32*0.75,AO32*BLOCKBIDRATE),2),
ROUND(MIN(AL32*0.75,BG32),2)))))</f>
        <v/>
      </c>
      <c r="AS32" s="1065"/>
      <c r="AT32" s="1065"/>
      <c r="AU32" s="1066"/>
      <c r="AV32" s="44"/>
      <c r="AW32" s="44"/>
      <c r="AX32" s="974" t="str">
        <f>IFERROR(IF(OR(C32="",Q32="",AA32="",O32="",AE32="",AH32="",AJ32=""),"",
ROUND(((1+ELOSS)*((AO32*INDEX(ELECCB[NPV AEC $/kWh],MATCH(BC32,ELECCB[Year Number],1)))+(BE32*INDEX(ELECCB[NPV ACC $/kW],MATCH(BC32,ELECCB[Year Number],1))))/AL32),2)),0)</f>
        <v/>
      </c>
      <c r="AY32" s="974" t="str">
        <f>IFERROR(AL32/M02S04F06/AO32,"")</f>
        <v/>
      </c>
      <c r="AZ32" s="967" t="str">
        <f>IF(C32="","",INDEX(CMELIGHTCON[Wattage Unit],MATCH(C32,CMELIGHTCON[Proj Desc 1],0)))</f>
        <v/>
      </c>
      <c r="BA32" s="976" t="str">
        <f>IF(OR(C32="",Q32="",AA32="",O32="",AE32="",AH32="",AJ32=""),"",
IF(OR(M02S04F22="Unconditioned",M02S04F22="Electric Heat Only",M02S04F22="Natural Gas Heat Only"),ROUND((Q32/1000)*T32,4),
ROUND((Q32/1000)*T32*INDEX(BUILDINGTYPE[Waste Heat Factor (e)],MATCH(M02S04F19,BUILDINGTYPE[Building Type],0)),4)))</f>
        <v/>
      </c>
      <c r="BB32" s="976" t="str">
        <f>IF(OR(C32="",Q32="",AA32="",O32="",AE32="",AH32="",AJ32=""),"",
IF(OR(M02S04F22="Unconditioned",M02S04F22="Electric Heat Only",M02S04F22="Natural Gas Heat Only"),BA32-ROUND((Q32/1000)*T32*INDEX(CMELIGHTCON[Energy Savings Factor],MATCH(C32,CMELIGHTCON[Proj Desc 1],0)),4),
BA32-ROUND((Q32/1000)*T32*INDEX(CMELIGHTCON[Energy Savings Factor],MATCH(C32,CMELIGHTCON[Proj Desc 1],0))*INDEX(BUILDINGTYPE[Waste Heat Factor (e)],MATCH(M02S04F19,BUILDINGTYPE[Building Type],0)),4)))</f>
        <v/>
      </c>
      <c r="BC32" s="978" t="str">
        <f>IF(OR(C32=""),"",IF(INDEX(CMELIGHTCON[EUL],MATCH(C32,CMELIGHTCON[Proj Desc 1],0))="","",INDEX(CMELIGHTCON[EUL],MATCH(C32,CMELIGHTCON[Proj Desc 1],0))))</f>
        <v/>
      </c>
      <c r="BD32" s="980" t="str">
        <f>IF(OR(C32=""),"",IF(INDEX(CMELIGHTCON[End Use Category],MATCH(C32,CMELIGHTCON[Proj Desc 1],0))="","",INDEX(CMELIGHTCON[End Use Category],MATCH(C32,CMELIGHTCON[Proj Desc 1],0))))</f>
        <v/>
      </c>
      <c r="BE32" s="972" t="str">
        <f>IFERROR(IF(OR(C32="",Q32="",AA32="",O32="",AE32="",AH32="",AJ32=""),"",ROUND(AO32*INDEX(ENDUSEALL[Factor],MATCH(BD32,ENDUSEALL[End Use to Coincident Peak Demand Factors],0)),4)),"")</f>
        <v/>
      </c>
      <c r="BF32" s="1076" t="str">
        <f>IFERROR(IF(OR(C32="",Q32="",AA32="",O32="",AE32="",AH32="",AJ32=""),"",
IF(OR(M02S04F22="Unconditioned",M02S04F22="Electric Heat Only",M02S04F22="Natural Gas Heat Only"),ROUND(Q32/1000*(INDEX(BUILDINGTYPE[Lighting Coincidence Factor],MATCH(M02S04F19,BUILDINGTYPE[Building Type],0))-0.15),4),
ROUND(Q32/1000*(INDEX(BUILDINGTYPE[Lighting Coincidence Factor],MATCH(M02S04F19,BUILDINGTYPE[Building Type],0))-0.15)*INDEX(BUILDINGTYPE[WHFd],MATCH(M02S04F19,BUILDINGTYPE[Building Type],0)),4))),"")</f>
        <v/>
      </c>
      <c r="BG32" s="830" t="str">
        <f t="shared" ref="BG32" si="6">IFERROR(ROUND(AO32*BH32,2),"")</f>
        <v/>
      </c>
      <c r="BH32" s="963" t="str">
        <f>_xlfn.LET(_xlpm.ROWS,MATCH(BD32,ENDUSEALL[End Use to Coincident Peak Demand Factors],0),IFERROR(INDEX(IF(AND(ACTIVEBONUS = TRUE,INDEX(ENDUSEALL[Bonus Rate ($/kWh)],_xlpm.ROWS)&lt;&gt;""),ENDUSEALL[Bonus Rate ($/kWh)],ENDUSEALL[Rate ($/kWh)]),_xlpm.ROWS),""))</f>
        <v/>
      </c>
      <c r="BI32" s="963" t="str">
        <f>_xlfn.LET(_xlpm.BONUS_RATE,INDEX(ENDUSEALL[Bonus Rate ($/kWh)],MATCH(BD32,ENDUSEALL[End Use to Coincident Peak Demand Factors],0)),_xlpm.BASE_RATE,INDEX(ENDUSEALL[Rate ($/kWh)],MATCH(BD32,ENDUSEALL[End Use to Coincident Peak Demand Factors],0)),IFERROR(IF(OR(ACTIVEBONUS &lt;&gt; TRUE,ISNUMBER(AR32) = FALSE,BN32 &lt;&gt; ""),"",AR32-(AO32*_xlpm.BASE_RATE)),""))</f>
        <v/>
      </c>
      <c r="BJ32" s="965" t="str">
        <f>IF(OR(C32="",Q32="",AA32="",O32="",AE32="",AH32="",AJ32=""),"",IF(BL32&lt;&gt;"",SPILLOVERNUMBER,INDEX(CMELIGHTCON[Measure Number],MATCH(C32,CMELIGHTCON[Proj Desc 1],0))))</f>
        <v/>
      </c>
      <c r="BK32" s="967" t="str">
        <f>IFERROR(IF(BN32="", IF(AND(ROUND(AR32/AL32,2)=TOTCOSTCAP, BG32/AL32&gt;TOTCOSTCAP),"75% Total Cost",
IF(FALSE,"100% Incremental Cost",
IF(BH32&lt;KWHRATEMIN, "kWh Incentive Rate Min",
IF(BH32&gt;KWHRATEMAX,"kWh Incentive Rate Cap",
IF(AR32=BI32,"Bonus Incentive",
"kWh Incentive"))))), ""),"")</f>
        <v/>
      </c>
      <c r="BL32" s="966" t="str">
        <f ca="1">IFERROR(
IF(EXPIRATION&lt;&gt;"",PROJSTATEXP,
IF(BN32&gt;0,"",
IF(OR(M02S04F06="",M02S04F06="Select Rate Code",M02S04F06=0),MEASURERATE,
IF(M02S04F19="",MEASUREBLDG,
IF(BA32-BB32&lt;=0,MEASURESAVE,
IF(PAYCUSE&lt;PAYBACKREQ,PROJECTSTATPAYBACK,
IF(CBCUSE&lt;CBREQ,PROJECTSTATCB,""))))))),
MEASURESUBMIT)</f>
        <v>Enter Utility Rate (Building Info Tab)</v>
      </c>
      <c r="BM32" s="830" t="str">
        <f>IFERROR(IF(OR(C32="",Q32="",AA32="",O32="",AE32="",AH32="",AJ32=""),"",
ROUND(((1+ELOSS)*((AO32*INDEX(ELECCB[NPV AEC $/kWh],MATCH(BC32,ELECCB[Year Number],1)))+(BE32*INDEX(ELECCB[NPV ACC $/kW],MATCH(BC32,ELECCB[Year Number],1))))),2)),0)</f>
        <v/>
      </c>
      <c r="BN32" s="969"/>
    </row>
    <row r="33" spans="2:66" ht="15.95" customHeight="1">
      <c r="B33" s="806"/>
      <c r="C33" s="991"/>
      <c r="D33" s="992"/>
      <c r="E33" s="992"/>
      <c r="F33" s="992"/>
      <c r="G33" s="992"/>
      <c r="H33" s="992"/>
      <c r="I33" s="992"/>
      <c r="J33" s="992"/>
      <c r="K33" s="992"/>
      <c r="L33" s="992"/>
      <c r="M33" s="1070"/>
      <c r="N33" s="1070"/>
      <c r="O33" s="1011"/>
      <c r="P33" s="1011"/>
      <c r="Q33" s="1009"/>
      <c r="R33" s="1009"/>
      <c r="S33" s="1009"/>
      <c r="T33" s="1015"/>
      <c r="U33" s="1015"/>
      <c r="V33" s="1071"/>
      <c r="W33" s="1014"/>
      <c r="X33" s="1015"/>
      <c r="Y33" s="1015"/>
      <c r="Z33" s="1015"/>
      <c r="AA33" s="1015"/>
      <c r="AB33" s="1015"/>
      <c r="AC33" s="1015"/>
      <c r="AD33" s="1015"/>
      <c r="AE33" s="1015"/>
      <c r="AF33" s="1015"/>
      <c r="AG33" s="1020"/>
      <c r="AH33" s="998"/>
      <c r="AI33" s="999"/>
      <c r="AJ33" s="1062"/>
      <c r="AK33" s="1063"/>
      <c r="AL33" s="1001"/>
      <c r="AM33" s="1002"/>
      <c r="AN33" s="1002"/>
      <c r="AO33" s="1034"/>
      <c r="AP33" s="1034"/>
      <c r="AQ33" s="1034"/>
      <c r="AR33" s="1067"/>
      <c r="AS33" s="1068"/>
      <c r="AT33" s="1068"/>
      <c r="AU33" s="1069"/>
      <c r="AV33" s="44"/>
      <c r="AW33" s="44"/>
      <c r="AX33" s="982"/>
      <c r="AY33" s="982"/>
      <c r="AZ33" s="983"/>
      <c r="BA33" s="984"/>
      <c r="BB33" s="984"/>
      <c r="BC33" s="985"/>
      <c r="BD33" s="986"/>
      <c r="BE33" s="970"/>
      <c r="BF33" s="1077"/>
      <c r="BG33" s="831"/>
      <c r="BH33" s="830"/>
      <c r="BI33" s="830"/>
      <c r="BJ33" s="987"/>
      <c r="BK33" s="983"/>
      <c r="BL33" s="967"/>
      <c r="BM33" s="831"/>
      <c r="BN33" s="981"/>
    </row>
    <row r="34" spans="2:66" ht="15.95" customHeight="1">
      <c r="B34" s="806">
        <v>9</v>
      </c>
      <c r="C34" s="988"/>
      <c r="D34" s="989"/>
      <c r="E34" s="989"/>
      <c r="F34" s="989"/>
      <c r="G34" s="989"/>
      <c r="H34" s="989"/>
      <c r="I34" s="989"/>
      <c r="J34" s="989"/>
      <c r="K34" s="989"/>
      <c r="L34" s="989"/>
      <c r="M34" s="1070" t="str">
        <f>IFERROR(IF(C34="","",INDEX(CMELIGHTCON[Wattage Unit],MATCH(C34,CMELIGHTCON[Proj Desc 1],0))),"")</f>
        <v/>
      </c>
      <c r="N34" s="1070"/>
      <c r="O34" s="1011"/>
      <c r="P34" s="1011"/>
      <c r="Q34" s="1009"/>
      <c r="R34" s="1009"/>
      <c r="S34" s="1009"/>
      <c r="T34" s="1015"/>
      <c r="U34" s="1015"/>
      <c r="V34" s="1071"/>
      <c r="W34" s="1014"/>
      <c r="X34" s="1015"/>
      <c r="Y34" s="1015"/>
      <c r="Z34" s="1015"/>
      <c r="AA34" s="1015"/>
      <c r="AB34" s="1015"/>
      <c r="AC34" s="1015"/>
      <c r="AD34" s="1015"/>
      <c r="AE34" s="1015"/>
      <c r="AF34" s="1015"/>
      <c r="AG34" s="1020"/>
      <c r="AH34" s="998"/>
      <c r="AI34" s="999"/>
      <c r="AJ34" s="1062"/>
      <c r="AK34" s="1063"/>
      <c r="AL34" s="1057" t="str">
        <f>IF(OR(C34="",Q34="",AA34="",O34="",AE34="",AH34="",AJ34=""),"",ROUND(AH34+AJ34,2))</f>
        <v/>
      </c>
      <c r="AM34" s="1058"/>
      <c r="AN34" s="1058"/>
      <c r="AO34" s="1033" t="str">
        <f>IF(OR(C34="",Q34="",AA34="",O34="",AE34="",AH34="",AJ34=""),"",IF(BA34-BB34&lt;=0,0,ROUND(BA34-BB34,4)))</f>
        <v/>
      </c>
      <c r="AP34" s="1033"/>
      <c r="AQ34" s="1033"/>
      <c r="AR34" s="1064" t="str">
        <f>IF(OR(C34="",Q34="",AA34="",O34="",AE34="",AH34="",AJ34=""),"",
IF(BL34&lt;&gt;"",BL34,IF(BN34&gt;0,BN34,
IF(ACTIVEBLOCK="Yes",ROUND(MIN(AL34*0.75,AO34*BLOCKBIDRATE),2),
ROUND(MIN(AL34*0.75,BG34),2)))))</f>
        <v/>
      </c>
      <c r="AS34" s="1065"/>
      <c r="AT34" s="1065"/>
      <c r="AU34" s="1066"/>
      <c r="AV34" s="44"/>
      <c r="AW34" s="44"/>
      <c r="AX34" s="974" t="str">
        <f>IFERROR(IF(OR(C34="",Q34="",AA34="",O34="",AE34="",AH34="",AJ34=""),"",
ROUND(((1+ELOSS)*((AO34*INDEX(ELECCB[NPV AEC $/kWh],MATCH(BC34,ELECCB[Year Number],1)))+(BE34*INDEX(ELECCB[NPV ACC $/kW],MATCH(BC34,ELECCB[Year Number],1))))/AL34),2)),0)</f>
        <v/>
      </c>
      <c r="AY34" s="974" t="str">
        <f>IFERROR(AL34/M02S04F06/AO34,"")</f>
        <v/>
      </c>
      <c r="AZ34" s="967" t="str">
        <f>IF(C34="","",INDEX(CMELIGHTCON[Wattage Unit],MATCH(C34,CMELIGHTCON[Proj Desc 1],0)))</f>
        <v/>
      </c>
      <c r="BA34" s="976" t="str">
        <f>IF(OR(C34="",Q34="",AA34="",O34="",AE34="",AH34="",AJ34=""),"",
IF(OR(M02S04F22="Unconditioned",M02S04F22="Electric Heat Only",M02S04F22="Natural Gas Heat Only"),ROUND((Q34/1000)*T34,4),
ROUND((Q34/1000)*T34*INDEX(BUILDINGTYPE[Waste Heat Factor (e)],MATCH(M02S04F19,BUILDINGTYPE[Building Type],0)),4)))</f>
        <v/>
      </c>
      <c r="BB34" s="976" t="str">
        <f>IF(OR(C34="",Q34="",AA34="",O34="",AE34="",AH34="",AJ34=""),"",
IF(OR(M02S04F22="Unconditioned",M02S04F22="Electric Heat Only",M02S04F22="Natural Gas Heat Only"),BA34-ROUND((Q34/1000)*T34*INDEX(CMELIGHTCON[Energy Savings Factor],MATCH(C34,CMELIGHTCON[Proj Desc 1],0)),4),
BA34-ROUND((Q34/1000)*T34*INDEX(CMELIGHTCON[Energy Savings Factor],MATCH(C34,CMELIGHTCON[Proj Desc 1],0))*INDEX(BUILDINGTYPE[Waste Heat Factor (e)],MATCH(M02S04F19,BUILDINGTYPE[Building Type],0)),4)))</f>
        <v/>
      </c>
      <c r="BC34" s="978" t="str">
        <f>IF(OR(C34=""),"",IF(INDEX(CMELIGHTCON[EUL],MATCH(C34,CMELIGHTCON[Proj Desc 1],0))="","",INDEX(CMELIGHTCON[EUL],MATCH(C34,CMELIGHTCON[Proj Desc 1],0))))</f>
        <v/>
      </c>
      <c r="BD34" s="980" t="str">
        <f>IF(OR(C34=""),"",IF(INDEX(CMELIGHTCON[End Use Category],MATCH(C34,CMELIGHTCON[Proj Desc 1],0))="","",INDEX(CMELIGHTCON[End Use Category],MATCH(C34,CMELIGHTCON[Proj Desc 1],0))))</f>
        <v/>
      </c>
      <c r="BE34" s="972" t="str">
        <f>IFERROR(IF(OR(C34="",Q34="",AA34="",O34="",AE34="",AH34="",AJ34=""),"",ROUND(AO34*INDEX(ENDUSEALL[Factor],MATCH(BD34,ENDUSEALL[End Use to Coincident Peak Demand Factors],0)),4)),"")</f>
        <v/>
      </c>
      <c r="BF34" s="1076" t="str">
        <f>IFERROR(IF(OR(C34="",Q34="",AA34="",O34="",AE34="",AH34="",AJ34=""),"",
IF(OR(M02S04F22="Unconditioned",M02S04F22="Electric Heat Only",M02S04F22="Natural Gas Heat Only"),ROUND(Q34/1000*(INDEX(BUILDINGTYPE[Lighting Coincidence Factor],MATCH(M02S04F19,BUILDINGTYPE[Building Type],0))-0.15),4),
ROUND(Q34/1000*(INDEX(BUILDINGTYPE[Lighting Coincidence Factor],MATCH(M02S04F19,BUILDINGTYPE[Building Type],0))-0.15)*INDEX(BUILDINGTYPE[WHFd],MATCH(M02S04F19,BUILDINGTYPE[Building Type],0)),4))),"")</f>
        <v/>
      </c>
      <c r="BG34" s="830" t="str">
        <f t="shared" ref="BG34" si="7">IFERROR(ROUND(AO34*BH34,2),"")</f>
        <v/>
      </c>
      <c r="BH34" s="963" t="str">
        <f>_xlfn.LET(_xlpm.ROWS,MATCH(BD34,ENDUSEALL[End Use to Coincident Peak Demand Factors],0),IFERROR(INDEX(IF(AND(ACTIVEBONUS = TRUE,INDEX(ENDUSEALL[Bonus Rate ($/kWh)],_xlpm.ROWS)&lt;&gt;""),ENDUSEALL[Bonus Rate ($/kWh)],ENDUSEALL[Rate ($/kWh)]),_xlpm.ROWS),""))</f>
        <v/>
      </c>
      <c r="BI34" s="963" t="str">
        <f>_xlfn.LET(_xlpm.BONUS_RATE,INDEX(ENDUSEALL[Bonus Rate ($/kWh)],MATCH(BD34,ENDUSEALL[End Use to Coincident Peak Demand Factors],0)),_xlpm.BASE_RATE,INDEX(ENDUSEALL[Rate ($/kWh)],MATCH(BD34,ENDUSEALL[End Use to Coincident Peak Demand Factors],0)),IFERROR(IF(OR(ACTIVEBONUS &lt;&gt; TRUE,ISNUMBER(AR34) = FALSE,BN34 &lt;&gt; ""),"",AR34-(AO34*_xlpm.BASE_RATE)),""))</f>
        <v/>
      </c>
      <c r="BJ34" s="965" t="str">
        <f>IF(OR(C34="",Q34="",AA34="",O34="",AE34="",AH34="",AJ34=""),"",IF(BL34&lt;&gt;"",SPILLOVERNUMBER,INDEX(CMELIGHTCON[Measure Number],MATCH(C34,CMELIGHTCON[Proj Desc 1],0))))</f>
        <v/>
      </c>
      <c r="BK34" s="967" t="str">
        <f>IFERROR(IF(BN34="", IF(AND(ROUND(AR34/AL34,2)=TOTCOSTCAP, BG34/AL34&gt;TOTCOSTCAP),"75% Total Cost",
IF(FALSE,"100% Incremental Cost",
IF(BH34&lt;KWHRATEMIN, "kWh Incentive Rate Min",
IF(BH34&gt;KWHRATEMAX,"kWh Incentive Rate Cap",
IF(AR34=BI34,"Bonus Incentive",
"kWh Incentive"))))), ""),"")</f>
        <v/>
      </c>
      <c r="BL34" s="966" t="str">
        <f ca="1">IFERROR(
IF(EXPIRATION&lt;&gt;"",PROJSTATEXP,
IF(BN34&gt;0,"",
IF(OR(M02S04F06="",M02S04F06="Select Rate Code",M02S04F06=0),MEASURERATE,
IF(M02S04F19="",MEASUREBLDG,
IF(BA34-BB34&lt;=0,MEASURESAVE,
IF(PAYCUSE&lt;PAYBACKREQ,PROJECTSTATPAYBACK,
IF(CBCUSE&lt;CBREQ,PROJECTSTATCB,""))))))),
MEASURESUBMIT)</f>
        <v>Enter Utility Rate (Building Info Tab)</v>
      </c>
      <c r="BM34" s="830" t="str">
        <f>IFERROR(IF(OR(C34="",Q34="",AA34="",O34="",AE34="",AH34="",AJ34=""),"",
ROUND(((1+ELOSS)*((AO34*INDEX(ELECCB[NPV AEC $/kWh],MATCH(BC34,ELECCB[Year Number],1)))+(BE34*INDEX(ELECCB[NPV ACC $/kW],MATCH(BC34,ELECCB[Year Number],1))))),2)),0)</f>
        <v/>
      </c>
      <c r="BN34" s="969"/>
    </row>
    <row r="35" spans="2:66" ht="15.95" customHeight="1">
      <c r="B35" s="806"/>
      <c r="C35" s="991"/>
      <c r="D35" s="992"/>
      <c r="E35" s="992"/>
      <c r="F35" s="992"/>
      <c r="G35" s="992"/>
      <c r="H35" s="992"/>
      <c r="I35" s="992"/>
      <c r="J35" s="992"/>
      <c r="K35" s="992"/>
      <c r="L35" s="992"/>
      <c r="M35" s="1070"/>
      <c r="N35" s="1070"/>
      <c r="O35" s="1011"/>
      <c r="P35" s="1011"/>
      <c r="Q35" s="1009"/>
      <c r="R35" s="1009"/>
      <c r="S35" s="1009"/>
      <c r="T35" s="1015"/>
      <c r="U35" s="1015"/>
      <c r="V35" s="1071"/>
      <c r="W35" s="1014"/>
      <c r="X35" s="1015"/>
      <c r="Y35" s="1015"/>
      <c r="Z35" s="1015"/>
      <c r="AA35" s="1015"/>
      <c r="AB35" s="1015"/>
      <c r="AC35" s="1015"/>
      <c r="AD35" s="1015"/>
      <c r="AE35" s="1015"/>
      <c r="AF35" s="1015"/>
      <c r="AG35" s="1020"/>
      <c r="AH35" s="998"/>
      <c r="AI35" s="999"/>
      <c r="AJ35" s="1062"/>
      <c r="AK35" s="1063"/>
      <c r="AL35" s="1001"/>
      <c r="AM35" s="1002"/>
      <c r="AN35" s="1002"/>
      <c r="AO35" s="1034"/>
      <c r="AP35" s="1034"/>
      <c r="AQ35" s="1034"/>
      <c r="AR35" s="1067"/>
      <c r="AS35" s="1068"/>
      <c r="AT35" s="1068"/>
      <c r="AU35" s="1069"/>
      <c r="AV35" s="44"/>
      <c r="AW35" s="44"/>
      <c r="AX35" s="982"/>
      <c r="AY35" s="982"/>
      <c r="AZ35" s="983"/>
      <c r="BA35" s="984"/>
      <c r="BB35" s="984"/>
      <c r="BC35" s="985"/>
      <c r="BD35" s="986"/>
      <c r="BE35" s="970"/>
      <c r="BF35" s="1077"/>
      <c r="BG35" s="831"/>
      <c r="BH35" s="830"/>
      <c r="BI35" s="830"/>
      <c r="BJ35" s="987"/>
      <c r="BK35" s="983"/>
      <c r="BL35" s="967"/>
      <c r="BM35" s="831"/>
      <c r="BN35" s="981"/>
    </row>
    <row r="36" spans="2:66" ht="15.95" customHeight="1">
      <c r="B36" s="806">
        <v>10</v>
      </c>
      <c r="C36" s="988"/>
      <c r="D36" s="989"/>
      <c r="E36" s="989"/>
      <c r="F36" s="989"/>
      <c r="G36" s="989"/>
      <c r="H36" s="989"/>
      <c r="I36" s="989"/>
      <c r="J36" s="989"/>
      <c r="K36" s="989"/>
      <c r="L36" s="989"/>
      <c r="M36" s="1070" t="str">
        <f>IFERROR(IF(C36="","",INDEX(CMELIGHTCON[Wattage Unit],MATCH(C36,CMELIGHTCON[Proj Desc 1],0))),"")</f>
        <v/>
      </c>
      <c r="N36" s="1070"/>
      <c r="O36" s="1011"/>
      <c r="P36" s="1011"/>
      <c r="Q36" s="1009"/>
      <c r="R36" s="1009"/>
      <c r="S36" s="1009"/>
      <c r="T36" s="1015"/>
      <c r="U36" s="1015"/>
      <c r="V36" s="1071"/>
      <c r="W36" s="1014"/>
      <c r="X36" s="1015"/>
      <c r="Y36" s="1015"/>
      <c r="Z36" s="1015"/>
      <c r="AA36" s="1015"/>
      <c r="AB36" s="1015"/>
      <c r="AC36" s="1015"/>
      <c r="AD36" s="1015"/>
      <c r="AE36" s="1015"/>
      <c r="AF36" s="1015"/>
      <c r="AG36" s="1020"/>
      <c r="AH36" s="998"/>
      <c r="AI36" s="999"/>
      <c r="AJ36" s="1062"/>
      <c r="AK36" s="1063"/>
      <c r="AL36" s="1057" t="str">
        <f>IF(OR(C36="",Q36="",AA36="",O36="",AE36="",AH36="",AJ36=""),"",ROUND(AH36+AJ36,2))</f>
        <v/>
      </c>
      <c r="AM36" s="1058"/>
      <c r="AN36" s="1058"/>
      <c r="AO36" s="1033" t="str">
        <f>IF(OR(C36="",Q36="",AA36="",O36="",AE36="",AH36="",AJ36=""),"",IF(BA36-BB36&lt;=0,0,ROUND(BA36-BB36,4)))</f>
        <v/>
      </c>
      <c r="AP36" s="1033"/>
      <c r="AQ36" s="1033"/>
      <c r="AR36" s="1064" t="str">
        <f>IF(OR(C36="",Q36="",AA36="",O36="",AE36="",AH36="",AJ36=""),"",
IF(BL36&lt;&gt;"",BL36,IF(BN36&gt;0,BN36,
IF(ACTIVEBLOCK="Yes",ROUND(MIN(AL36*0.75,AO36*BLOCKBIDRATE),2),
ROUND(MIN(AL36*0.75,BG36),2)))))</f>
        <v/>
      </c>
      <c r="AS36" s="1065"/>
      <c r="AT36" s="1065"/>
      <c r="AU36" s="1066"/>
      <c r="AV36" s="44"/>
      <c r="AW36" s="44"/>
      <c r="AX36" s="974" t="str">
        <f>IFERROR(IF(OR(C36="",Q36="",AA36="",O36="",AE36="",AH36="",AJ36=""),"",
ROUND(((1+ELOSS)*((AO36*INDEX(ELECCB[NPV AEC $/kWh],MATCH(BC36,ELECCB[Year Number],1)))+(BE36*INDEX(ELECCB[NPV ACC $/kW],MATCH(BC36,ELECCB[Year Number],1))))/AL36),2)),0)</f>
        <v/>
      </c>
      <c r="AY36" s="974" t="str">
        <f>IFERROR(AL36/M02S04F06/AO36,"")</f>
        <v/>
      </c>
      <c r="AZ36" s="967" t="str">
        <f>IF(C36="","",INDEX(CMELIGHTCON[Wattage Unit],MATCH(C36,CMELIGHTCON[Proj Desc 1],0)))</f>
        <v/>
      </c>
      <c r="BA36" s="976" t="str">
        <f>IF(OR(C36="",Q36="",AA36="",O36="",AE36="",AH36="",AJ36=""),"",
IF(OR(M02S04F22="Unconditioned",M02S04F22="Electric Heat Only",M02S04F22="Natural Gas Heat Only"),ROUND((Q36/1000)*T36,4),
ROUND((Q36/1000)*T36*INDEX(BUILDINGTYPE[Waste Heat Factor (e)],MATCH(M02S04F19,BUILDINGTYPE[Building Type],0)),4)))</f>
        <v/>
      </c>
      <c r="BB36" s="976" t="str">
        <f>IF(OR(C36="",Q36="",AA36="",O36="",AE36="",AH36="",AJ36=""),"",
IF(OR(M02S04F22="Unconditioned",M02S04F22="Electric Heat Only",M02S04F22="Natural Gas Heat Only"),BA36-ROUND((Q36/1000)*T36*INDEX(CMELIGHTCON[Energy Savings Factor],MATCH(C36,CMELIGHTCON[Proj Desc 1],0)),4),
BA36-ROUND((Q36/1000)*T36*INDEX(CMELIGHTCON[Energy Savings Factor],MATCH(C36,CMELIGHTCON[Proj Desc 1],0))*INDEX(BUILDINGTYPE[Waste Heat Factor (e)],MATCH(M02S04F19,BUILDINGTYPE[Building Type],0)),4)))</f>
        <v/>
      </c>
      <c r="BC36" s="978" t="str">
        <f>IF(OR(C36=""),"",IF(INDEX(CMELIGHTCON[EUL],MATCH(C36,CMELIGHTCON[Proj Desc 1],0))="","",INDEX(CMELIGHTCON[EUL],MATCH(C36,CMELIGHTCON[Proj Desc 1],0))))</f>
        <v/>
      </c>
      <c r="BD36" s="980" t="str">
        <f>IF(OR(C36=""),"",IF(INDEX(CMELIGHTCON[End Use Category],MATCH(C36,CMELIGHTCON[Proj Desc 1],0))="","",INDEX(CMELIGHTCON[End Use Category],MATCH(C36,CMELIGHTCON[Proj Desc 1],0))))</f>
        <v/>
      </c>
      <c r="BE36" s="972" t="str">
        <f>IFERROR(IF(OR(C36="",Q36="",AA36="",O36="",AE36="",AH36="",AJ36=""),"",ROUND(AO36*INDEX(ENDUSEALL[Factor],MATCH(BD36,ENDUSEALL[End Use to Coincident Peak Demand Factors],0)),4)),"")</f>
        <v/>
      </c>
      <c r="BF36" s="1076" t="str">
        <f>IFERROR(IF(OR(C36="",Q36="",AA36="",O36="",AE36="",AH36="",AJ36=""),"",
IF(OR(M02S04F22="Unconditioned",M02S04F22="Electric Heat Only",M02S04F22="Natural Gas Heat Only"),ROUND(Q36/1000*(INDEX(BUILDINGTYPE[Lighting Coincidence Factor],MATCH(M02S04F19,BUILDINGTYPE[Building Type],0))-0.15),4),
ROUND(Q36/1000*(INDEX(BUILDINGTYPE[Lighting Coincidence Factor],MATCH(M02S04F19,BUILDINGTYPE[Building Type],0))-0.15)*INDEX(BUILDINGTYPE[WHFd],MATCH(M02S04F19,BUILDINGTYPE[Building Type],0)),4))),"")</f>
        <v/>
      </c>
      <c r="BG36" s="830" t="str">
        <f t="shared" ref="BG36" si="8">IFERROR(ROUND(AO36*BH36,2),"")</f>
        <v/>
      </c>
      <c r="BH36" s="963" t="str">
        <f>_xlfn.LET(_xlpm.ROWS,MATCH(BD36,ENDUSEALL[End Use to Coincident Peak Demand Factors],0),IFERROR(INDEX(IF(AND(ACTIVEBONUS = TRUE,INDEX(ENDUSEALL[Bonus Rate ($/kWh)],_xlpm.ROWS)&lt;&gt;""),ENDUSEALL[Bonus Rate ($/kWh)],ENDUSEALL[Rate ($/kWh)]),_xlpm.ROWS),""))</f>
        <v/>
      </c>
      <c r="BI36" s="963" t="str">
        <f>_xlfn.LET(_xlpm.BONUS_RATE,INDEX(ENDUSEALL[Bonus Rate ($/kWh)],MATCH(BD36,ENDUSEALL[End Use to Coincident Peak Demand Factors],0)),_xlpm.BASE_RATE,INDEX(ENDUSEALL[Rate ($/kWh)],MATCH(BD36,ENDUSEALL[End Use to Coincident Peak Demand Factors],0)),IFERROR(IF(OR(ACTIVEBONUS &lt;&gt; TRUE,ISNUMBER(AR36) = FALSE,BN36 &lt;&gt; ""),"",AR36-(AO36*_xlpm.BASE_RATE)),""))</f>
        <v/>
      </c>
      <c r="BJ36" s="965" t="str">
        <f>IF(OR(C36="",Q36="",AA36="",O36="",AE36="",AH36="",AJ36=""),"",IF(BL36&lt;&gt;"",SPILLOVERNUMBER,INDEX(CMELIGHTCON[Measure Number],MATCH(C36,CMELIGHTCON[Proj Desc 1],0))))</f>
        <v/>
      </c>
      <c r="BK36" s="967" t="str">
        <f>IFERROR(IF(BN36="", IF(AND(ROUND(AR36/AL36,2)=TOTCOSTCAP, BG36/AL36&gt;TOTCOSTCAP),"75% Total Cost",
IF(FALSE,"100% Incremental Cost",
IF(BH36&lt;KWHRATEMIN, "kWh Incentive Rate Min",
IF(BH36&gt;KWHRATEMAX,"kWh Incentive Rate Cap",
IF(AR36=BI36,"Bonus Incentive",
"kWh Incentive"))))), ""),"")</f>
        <v/>
      </c>
      <c r="BL36" s="966" t="str">
        <f ca="1">IFERROR(
IF(EXPIRATION&lt;&gt;"",PROJSTATEXP,
IF(BN36&gt;0,"",
IF(OR(M02S04F06="",M02S04F06="Select Rate Code",M02S04F06=0),MEASURERATE,
IF(M02S04F19="",MEASUREBLDG,
IF(BA36-BB36&lt;=0,MEASURESAVE,
IF(PAYCUSE&lt;PAYBACKREQ,PROJECTSTATPAYBACK,
IF(CBCUSE&lt;CBREQ,PROJECTSTATCB,""))))))),
MEASURESUBMIT)</f>
        <v>Enter Utility Rate (Building Info Tab)</v>
      </c>
      <c r="BM36" s="830" t="str">
        <f>IFERROR(IF(OR(C36="",Q36="",AA36="",O36="",AE36="",AH36="",AJ36=""),"",
ROUND(((1+ELOSS)*((AO36*INDEX(ELECCB[NPV AEC $/kWh],MATCH(BC36,ELECCB[Year Number],1)))+(BE36*INDEX(ELECCB[NPV ACC $/kW],MATCH(BC36,ELECCB[Year Number],1))))),2)),0)</f>
        <v/>
      </c>
      <c r="BN36" s="969"/>
    </row>
    <row r="37" spans="2:66" ht="15.95" customHeight="1">
      <c r="B37" s="806"/>
      <c r="C37" s="991"/>
      <c r="D37" s="992"/>
      <c r="E37" s="992"/>
      <c r="F37" s="992"/>
      <c r="G37" s="992"/>
      <c r="H37" s="992"/>
      <c r="I37" s="992"/>
      <c r="J37" s="992"/>
      <c r="K37" s="992"/>
      <c r="L37" s="992"/>
      <c r="M37" s="1070"/>
      <c r="N37" s="1070"/>
      <c r="O37" s="1011"/>
      <c r="P37" s="1011"/>
      <c r="Q37" s="1009"/>
      <c r="R37" s="1009"/>
      <c r="S37" s="1009"/>
      <c r="T37" s="1015"/>
      <c r="U37" s="1015"/>
      <c r="V37" s="1071"/>
      <c r="W37" s="1014"/>
      <c r="X37" s="1015"/>
      <c r="Y37" s="1015"/>
      <c r="Z37" s="1015"/>
      <c r="AA37" s="1015"/>
      <c r="AB37" s="1015"/>
      <c r="AC37" s="1015"/>
      <c r="AD37" s="1015"/>
      <c r="AE37" s="1015"/>
      <c r="AF37" s="1015"/>
      <c r="AG37" s="1020"/>
      <c r="AH37" s="998"/>
      <c r="AI37" s="999"/>
      <c r="AJ37" s="1062"/>
      <c r="AK37" s="1063"/>
      <c r="AL37" s="1001"/>
      <c r="AM37" s="1002"/>
      <c r="AN37" s="1002"/>
      <c r="AO37" s="1034"/>
      <c r="AP37" s="1034"/>
      <c r="AQ37" s="1034"/>
      <c r="AR37" s="1067"/>
      <c r="AS37" s="1068"/>
      <c r="AT37" s="1068"/>
      <c r="AU37" s="1069"/>
      <c r="AV37" s="44"/>
      <c r="AW37" s="44"/>
      <c r="AX37" s="982"/>
      <c r="AY37" s="982"/>
      <c r="AZ37" s="983"/>
      <c r="BA37" s="984"/>
      <c r="BB37" s="984"/>
      <c r="BC37" s="985"/>
      <c r="BD37" s="986"/>
      <c r="BE37" s="970"/>
      <c r="BF37" s="1077"/>
      <c r="BG37" s="831"/>
      <c r="BH37" s="830"/>
      <c r="BI37" s="830"/>
      <c r="BJ37" s="987"/>
      <c r="BK37" s="983"/>
      <c r="BL37" s="967"/>
      <c r="BM37" s="831"/>
      <c r="BN37" s="981"/>
    </row>
    <row r="38" spans="2:66" ht="15.95" customHeight="1">
      <c r="B38" s="806"/>
      <c r="C38" s="322"/>
      <c r="D38" s="322"/>
      <c r="E38" s="322"/>
      <c r="F38" s="322"/>
    </row>
    <row r="39" spans="2:66" ht="15.95" hidden="1" customHeight="1">
      <c r="B39" s="806"/>
      <c r="C39" s="322"/>
      <c r="D39" s="322"/>
      <c r="E39" s="322"/>
      <c r="F39" s="322"/>
    </row>
    <row r="40" spans="2:66" ht="15.95" hidden="1" customHeight="1">
      <c r="B40" s="806"/>
      <c r="C40" s="322"/>
      <c r="D40" s="322"/>
      <c r="E40" s="322"/>
      <c r="F40" s="322"/>
    </row>
    <row r="41" spans="2:66" ht="15.95" hidden="1" customHeight="1">
      <c r="B41" s="806"/>
      <c r="C41" s="322"/>
      <c r="D41" s="322"/>
      <c r="E41" s="322"/>
      <c r="F41" s="322"/>
    </row>
    <row r="42" spans="2:66" ht="15.95" hidden="1" customHeight="1">
      <c r="B42" s="806"/>
      <c r="C42" s="322"/>
      <c r="D42" s="322"/>
      <c r="E42" s="322"/>
      <c r="F42" s="322"/>
    </row>
    <row r="43" spans="2:66" ht="15.95" hidden="1" customHeight="1">
      <c r="B43" s="806"/>
      <c r="C43" s="322"/>
      <c r="D43" s="322"/>
      <c r="E43" s="322"/>
      <c r="F43" s="322"/>
    </row>
    <row r="44" spans="2:66" ht="15.95" hidden="1" customHeight="1">
      <c r="B44" s="806"/>
      <c r="C44" s="322"/>
      <c r="D44" s="322"/>
      <c r="E44" s="322"/>
      <c r="F44" s="322"/>
    </row>
    <row r="45" spans="2:66" ht="15.95" hidden="1" customHeight="1">
      <c r="B45" s="806"/>
      <c r="C45" s="322"/>
      <c r="D45" s="322"/>
      <c r="E45" s="322"/>
      <c r="F45" s="322"/>
    </row>
    <row r="46" spans="2:66" ht="15.95" hidden="1" customHeight="1">
      <c r="B46" s="806"/>
      <c r="C46" s="322"/>
      <c r="D46" s="322"/>
      <c r="E46" s="322"/>
      <c r="F46" s="322"/>
    </row>
    <row r="47" spans="2:66" ht="15.95" hidden="1" customHeight="1">
      <c r="B47" s="806"/>
      <c r="C47" s="322"/>
      <c r="D47" s="322"/>
      <c r="E47" s="322"/>
      <c r="F47" s="322"/>
    </row>
    <row r="48" spans="2:66" ht="15.95" hidden="1" customHeight="1">
      <c r="AY48" s="31"/>
      <c r="AZ48" s="37"/>
      <c r="BA48" s="37"/>
      <c r="BB48" s="37"/>
      <c r="BE48" s="31"/>
      <c r="BF48" s="37"/>
    </row>
    <row r="49" spans="51:58" ht="15.95" hidden="1" customHeight="1">
      <c r="AY49" s="31"/>
      <c r="AZ49" s="37"/>
      <c r="BA49" s="37"/>
      <c r="BB49" s="37"/>
      <c r="BE49" s="31"/>
      <c r="BF49" s="37"/>
    </row>
    <row r="50" spans="51:58" ht="15.95" hidden="1" customHeight="1">
      <c r="AY50" s="31"/>
      <c r="AZ50" s="37"/>
      <c r="BA50" s="37"/>
      <c r="BB50" s="37"/>
      <c r="BE50" s="31"/>
      <c r="BF50" s="37"/>
    </row>
    <row r="51" spans="51:58" ht="15.95" hidden="1" customHeight="1">
      <c r="AY51" s="31"/>
      <c r="AZ51" s="37"/>
      <c r="BA51" s="37"/>
      <c r="BB51" s="37"/>
      <c r="BE51" s="31"/>
      <c r="BF51" s="37"/>
    </row>
    <row r="52" spans="51:58" ht="15.95" hidden="1" customHeight="1">
      <c r="AY52" s="31"/>
      <c r="AZ52" s="37"/>
      <c r="BA52" s="37"/>
      <c r="BB52" s="37"/>
      <c r="BE52" s="31"/>
      <c r="BF52" s="37"/>
    </row>
    <row r="53" spans="51:58" ht="15.95" hidden="1" customHeight="1">
      <c r="AY53" s="31"/>
      <c r="AZ53" s="37"/>
      <c r="BA53" s="37"/>
      <c r="BB53" s="37"/>
      <c r="BE53" s="31"/>
      <c r="BF53" s="37"/>
    </row>
    <row r="54" spans="51:58" ht="15.95" hidden="1" customHeight="1">
      <c r="AY54" s="31"/>
      <c r="AZ54" s="37"/>
      <c r="BA54" s="37"/>
      <c r="BB54" s="37"/>
      <c r="BE54" s="31"/>
      <c r="BF54" s="37"/>
    </row>
    <row r="55" spans="51:58" ht="15.95" hidden="1" customHeight="1">
      <c r="AY55" s="31"/>
      <c r="AZ55" s="37"/>
      <c r="BA55" s="37"/>
      <c r="BB55" s="37"/>
      <c r="BE55" s="31"/>
      <c r="BF55" s="37"/>
    </row>
    <row r="56" spans="51:58" ht="15.95" hidden="1" customHeight="1">
      <c r="AY56" s="31"/>
      <c r="AZ56" s="37"/>
      <c r="BA56" s="37"/>
      <c r="BB56" s="37"/>
      <c r="BE56" s="31"/>
      <c r="BF56" s="37"/>
    </row>
    <row r="57" spans="51:58" ht="15.95" hidden="1" customHeight="1">
      <c r="AY57" s="31"/>
      <c r="AZ57" s="37"/>
      <c r="BA57" s="37"/>
      <c r="BB57" s="37"/>
      <c r="BE57" s="31"/>
      <c r="BF57" s="37"/>
    </row>
    <row r="58" spans="51:58" ht="15.95" hidden="1" customHeight="1">
      <c r="AY58" s="31"/>
      <c r="AZ58" s="37"/>
      <c r="BA58" s="37"/>
      <c r="BB58" s="37"/>
      <c r="BE58" s="31"/>
      <c r="BF58" s="37"/>
    </row>
    <row r="59" spans="51:58" ht="15.95" hidden="1" customHeight="1">
      <c r="AY59" s="31"/>
      <c r="AZ59" s="37"/>
      <c r="BA59" s="37"/>
      <c r="BB59" s="37"/>
      <c r="BE59" s="31"/>
      <c r="BF59" s="37"/>
    </row>
    <row r="60" spans="51:58" ht="15.95" hidden="1" customHeight="1">
      <c r="AY60" s="31"/>
      <c r="AZ60" s="37"/>
      <c r="BA60" s="37"/>
      <c r="BB60" s="37"/>
      <c r="BE60" s="31"/>
      <c r="BF60" s="37"/>
    </row>
    <row r="61" spans="51:58" ht="15.95" hidden="1" customHeight="1">
      <c r="AY61" s="31"/>
      <c r="AZ61" s="37"/>
      <c r="BA61" s="37"/>
      <c r="BB61" s="37"/>
      <c r="BE61" s="31"/>
      <c r="BF61" s="37"/>
    </row>
    <row r="62" spans="51:58" ht="15.95" hidden="1" customHeight="1">
      <c r="AY62" s="31"/>
      <c r="AZ62" s="37"/>
      <c r="BA62" s="37"/>
      <c r="BB62" s="37"/>
      <c r="BE62" s="31"/>
      <c r="BF62" s="37"/>
    </row>
    <row r="63" spans="51:58" ht="15.95" hidden="1" customHeight="1">
      <c r="AY63" s="31"/>
      <c r="AZ63" s="37"/>
      <c r="BA63" s="37"/>
      <c r="BB63" s="37"/>
      <c r="BE63" s="31"/>
      <c r="BF63" s="37"/>
    </row>
    <row r="64" spans="51:58" ht="15.95" hidden="1" customHeight="1">
      <c r="AY64" s="31"/>
      <c r="AZ64" s="37"/>
      <c r="BA64" s="37"/>
      <c r="BB64" s="37"/>
      <c r="BE64" s="31"/>
      <c r="BF64" s="37"/>
    </row>
    <row r="65" spans="51:58" ht="15.95" hidden="1" customHeight="1">
      <c r="AY65" s="31"/>
      <c r="AZ65" s="37"/>
      <c r="BA65" s="37"/>
      <c r="BB65" s="37"/>
      <c r="BE65" s="31"/>
      <c r="BF65" s="37"/>
    </row>
    <row r="66" spans="51:58" ht="15.95" hidden="1" customHeight="1">
      <c r="AY66" s="31"/>
      <c r="AZ66" s="37"/>
      <c r="BA66" s="37"/>
      <c r="BB66" s="37"/>
      <c r="BE66" s="31"/>
      <c r="BF66" s="37"/>
    </row>
    <row r="67" spans="51:58" ht="15.95" hidden="1" customHeight="1">
      <c r="AY67" s="31"/>
      <c r="AZ67" s="37"/>
      <c r="BA67" s="37"/>
      <c r="BB67" s="37"/>
      <c r="BE67" s="31"/>
      <c r="BF67" s="37"/>
    </row>
    <row r="68" spans="51:58" ht="15.95" hidden="1" customHeight="1">
      <c r="AY68" s="31"/>
      <c r="AZ68" s="37"/>
      <c r="BA68" s="37"/>
      <c r="BB68" s="37"/>
      <c r="BE68" s="31"/>
      <c r="BF68" s="37"/>
    </row>
    <row r="69" spans="51:58" ht="15.95" hidden="1" customHeight="1">
      <c r="AY69" s="31"/>
      <c r="AZ69" s="37"/>
      <c r="BA69" s="37"/>
      <c r="BB69" s="37"/>
      <c r="BE69" s="31"/>
      <c r="BF69" s="37"/>
    </row>
    <row r="70" spans="51:58" ht="15.95" hidden="1" customHeight="1">
      <c r="AY70" s="31"/>
      <c r="AZ70" s="37"/>
      <c r="BA70" s="37"/>
      <c r="BB70" s="37"/>
      <c r="BE70" s="31"/>
      <c r="BF70" s="37"/>
    </row>
    <row r="71" spans="51:58" ht="15.95" hidden="1" customHeight="1">
      <c r="AY71" s="31"/>
      <c r="AZ71" s="37"/>
      <c r="BA71" s="37"/>
      <c r="BB71" s="37"/>
      <c r="BE71" s="31"/>
      <c r="BF71" s="37"/>
    </row>
    <row r="72" spans="51:58" ht="15.95" hidden="1" customHeight="1">
      <c r="AY72" s="31"/>
      <c r="AZ72" s="37"/>
      <c r="BA72" s="37"/>
      <c r="BB72" s="37"/>
      <c r="BE72" s="31"/>
      <c r="BF72" s="37"/>
    </row>
    <row r="73" spans="51:58" ht="15.95" hidden="1" customHeight="1">
      <c r="AY73" s="31"/>
      <c r="AZ73" s="37"/>
      <c r="BA73" s="37"/>
      <c r="BB73" s="37"/>
      <c r="BE73" s="31"/>
      <c r="BF73" s="37"/>
    </row>
    <row r="74" spans="51:58" ht="15.95" hidden="1" customHeight="1">
      <c r="AY74" s="31"/>
      <c r="AZ74" s="37"/>
      <c r="BA74" s="37"/>
      <c r="BB74" s="37"/>
      <c r="BE74" s="31"/>
      <c r="BF74" s="37"/>
    </row>
    <row r="75" spans="51:58" ht="15.95" hidden="1" customHeight="1">
      <c r="AY75" s="31"/>
      <c r="AZ75" s="37"/>
      <c r="BA75" s="37"/>
      <c r="BB75" s="37"/>
      <c r="BE75" s="31"/>
      <c r="BF75" s="37"/>
    </row>
    <row r="76" spans="51:58" ht="15.95" hidden="1" customHeight="1">
      <c r="AY76" s="31"/>
      <c r="AZ76" s="37"/>
      <c r="BA76" s="37"/>
      <c r="BB76" s="37"/>
      <c r="BE76" s="31"/>
      <c r="BF76" s="37"/>
    </row>
    <row r="77" spans="51:58" ht="15.95" hidden="1" customHeight="1">
      <c r="AY77" s="31"/>
      <c r="AZ77" s="37"/>
      <c r="BA77" s="37"/>
      <c r="BB77" s="37"/>
      <c r="BE77" s="31"/>
      <c r="BF77" s="37"/>
    </row>
    <row r="78" spans="51:58" ht="15.95" hidden="1" customHeight="1">
      <c r="AY78" s="31"/>
      <c r="AZ78" s="37"/>
      <c r="BA78" s="37"/>
      <c r="BB78" s="37"/>
      <c r="BE78" s="31"/>
      <c r="BF78" s="37"/>
    </row>
    <row r="79" spans="51:58" ht="15.95" hidden="1" customHeight="1">
      <c r="AY79" s="31"/>
      <c r="AZ79" s="37"/>
      <c r="BA79" s="37"/>
      <c r="BB79" s="37"/>
      <c r="BE79" s="31"/>
      <c r="BF79" s="37"/>
    </row>
    <row r="80" spans="51:58" ht="15.95" hidden="1" customHeight="1">
      <c r="AY80" s="31"/>
      <c r="AZ80" s="37"/>
      <c r="BA80" s="37"/>
      <c r="BB80" s="37"/>
      <c r="BE80" s="31"/>
      <c r="BF80" s="37"/>
    </row>
    <row r="81" spans="51:58" ht="15.95" hidden="1" customHeight="1">
      <c r="AY81" s="31"/>
      <c r="AZ81" s="37"/>
      <c r="BA81" s="37"/>
      <c r="BB81" s="37"/>
      <c r="BE81" s="31"/>
      <c r="BF81" s="37"/>
    </row>
    <row r="82" spans="51:58" ht="15.95" hidden="1" customHeight="1">
      <c r="AY82" s="31"/>
      <c r="AZ82" s="37"/>
      <c r="BA82" s="37"/>
      <c r="BB82" s="37"/>
      <c r="BE82" s="31"/>
      <c r="BF82" s="37"/>
    </row>
    <row r="83" spans="51:58" ht="15.95" hidden="1" customHeight="1">
      <c r="AY83" s="31"/>
      <c r="AZ83" s="37"/>
      <c r="BA83" s="37"/>
      <c r="BB83" s="37"/>
      <c r="BE83" s="31"/>
      <c r="BF83" s="37"/>
    </row>
    <row r="84" spans="51:58" ht="15.95" hidden="1" customHeight="1">
      <c r="AY84" s="31"/>
      <c r="AZ84" s="37"/>
      <c r="BA84" s="37"/>
      <c r="BB84" s="37"/>
      <c r="BE84" s="31"/>
      <c r="BF84" s="37"/>
    </row>
    <row r="85" spans="51:58" ht="15.95" hidden="1" customHeight="1">
      <c r="AY85" s="31"/>
      <c r="AZ85" s="37"/>
      <c r="BA85" s="37"/>
      <c r="BB85" s="37"/>
      <c r="BE85" s="31"/>
      <c r="BF85" s="37"/>
    </row>
    <row r="86" spans="51:58" ht="15.95" hidden="1" customHeight="1">
      <c r="AY86" s="31"/>
      <c r="AZ86" s="37"/>
      <c r="BA86" s="37"/>
      <c r="BB86" s="37"/>
      <c r="BE86" s="31"/>
      <c r="BF86" s="37"/>
    </row>
    <row r="87" spans="51:58" ht="15.95" hidden="1" customHeight="1">
      <c r="AY87" s="31"/>
      <c r="AZ87" s="37"/>
      <c r="BA87" s="37"/>
      <c r="BB87" s="37"/>
      <c r="BE87" s="31"/>
      <c r="BF87" s="37"/>
    </row>
    <row r="88" spans="51:58" ht="15.95" hidden="1" customHeight="1">
      <c r="AY88" s="31"/>
      <c r="AZ88" s="37"/>
      <c r="BA88" s="37"/>
      <c r="BB88" s="37"/>
      <c r="BE88" s="31"/>
      <c r="BF88" s="37"/>
    </row>
    <row r="89" spans="51:58" ht="15.95" hidden="1" customHeight="1">
      <c r="AY89" s="31"/>
      <c r="AZ89" s="37"/>
      <c r="BA89" s="37"/>
      <c r="BB89" s="37"/>
      <c r="BE89" s="31"/>
      <c r="BF89" s="37"/>
    </row>
    <row r="90" spans="51:58" ht="15.95" hidden="1" customHeight="1">
      <c r="AY90" s="31"/>
      <c r="AZ90" s="37"/>
      <c r="BA90" s="37"/>
      <c r="BB90" s="37"/>
      <c r="BE90" s="31"/>
      <c r="BF90" s="37"/>
    </row>
    <row r="91" spans="51:58" ht="15.95" hidden="1" customHeight="1">
      <c r="AY91" s="31"/>
      <c r="AZ91" s="37"/>
      <c r="BA91" s="37"/>
      <c r="BB91" s="37"/>
      <c r="BE91" s="31"/>
      <c r="BF91" s="37"/>
    </row>
    <row r="92" spans="51:58" ht="15.95" hidden="1" customHeight="1">
      <c r="AY92" s="31"/>
      <c r="AZ92" s="37"/>
      <c r="BA92" s="37"/>
      <c r="BB92" s="37"/>
      <c r="BE92" s="31"/>
      <c r="BF92" s="37"/>
    </row>
    <row r="93" spans="51:58" ht="15.95" hidden="1" customHeight="1">
      <c r="AY93" s="31"/>
      <c r="AZ93" s="37"/>
      <c r="BA93" s="37"/>
      <c r="BB93" s="37"/>
      <c r="BE93" s="31"/>
      <c r="BF93" s="37"/>
    </row>
    <row r="94" spans="51:58" ht="15.95" hidden="1" customHeight="1">
      <c r="AY94" s="31"/>
      <c r="AZ94" s="37"/>
      <c r="BA94" s="37"/>
      <c r="BB94" s="37"/>
      <c r="BE94" s="31"/>
      <c r="BF94" s="37"/>
    </row>
    <row r="95" spans="51:58" ht="15.95" hidden="1" customHeight="1">
      <c r="AY95" s="31"/>
      <c r="AZ95" s="37"/>
      <c r="BA95" s="37"/>
      <c r="BB95" s="37"/>
      <c r="BE95" s="31"/>
      <c r="BF95" s="37"/>
    </row>
    <row r="96" spans="51:58" ht="15.95" hidden="1" customHeight="1">
      <c r="AY96" s="31"/>
      <c r="AZ96" s="37"/>
      <c r="BA96" s="37"/>
      <c r="BB96" s="37"/>
      <c r="BE96" s="31"/>
      <c r="BF96" s="37"/>
    </row>
    <row r="97" spans="51:58" ht="15.95" hidden="1" customHeight="1">
      <c r="AY97" s="31"/>
      <c r="AZ97" s="37"/>
      <c r="BA97" s="37"/>
      <c r="BB97" s="37"/>
      <c r="BE97" s="31"/>
      <c r="BF97" s="37"/>
    </row>
    <row r="98" spans="51:58" ht="15.95" hidden="1" customHeight="1">
      <c r="AY98" s="31"/>
      <c r="AZ98" s="37"/>
      <c r="BA98" s="37"/>
      <c r="BB98" s="37"/>
      <c r="BE98" s="31"/>
      <c r="BF98" s="37"/>
    </row>
    <row r="99" spans="51:58" ht="15.95" hidden="1" customHeight="1">
      <c r="AY99" s="31"/>
      <c r="AZ99" s="37"/>
      <c r="BA99" s="37"/>
      <c r="BB99" s="37"/>
      <c r="BE99" s="31"/>
      <c r="BF99" s="37"/>
    </row>
    <row r="100" spans="51:58" ht="15.95" hidden="1" customHeight="1">
      <c r="AY100" s="31"/>
      <c r="AZ100" s="37"/>
      <c r="BA100" s="37"/>
      <c r="BB100" s="37"/>
      <c r="BE100" s="31"/>
      <c r="BF100" s="37"/>
    </row>
    <row r="101" spans="51:58" ht="15.95" hidden="1" customHeight="1">
      <c r="AY101" s="31"/>
      <c r="AZ101" s="37"/>
      <c r="BA101" s="37"/>
      <c r="BB101" s="37"/>
      <c r="BE101" s="31"/>
      <c r="BF101" s="37"/>
    </row>
    <row r="102" spans="51:58" ht="15.95" hidden="1" customHeight="1">
      <c r="AY102" s="31"/>
      <c r="AZ102" s="37"/>
      <c r="BA102" s="37"/>
      <c r="BB102" s="37"/>
      <c r="BE102" s="31"/>
      <c r="BF102" s="37"/>
    </row>
    <row r="103" spans="51:58" ht="15.95" hidden="1" customHeight="1">
      <c r="AY103" s="31"/>
      <c r="AZ103" s="37"/>
      <c r="BA103" s="37"/>
      <c r="BB103" s="37"/>
      <c r="BE103" s="31"/>
      <c r="BF103" s="37"/>
    </row>
    <row r="104" spans="51:58" ht="15.95" hidden="1" customHeight="1">
      <c r="AY104" s="31"/>
      <c r="AZ104" s="37"/>
      <c r="BA104" s="37"/>
      <c r="BB104" s="37"/>
      <c r="BE104" s="31"/>
      <c r="BF104" s="37"/>
    </row>
    <row r="105" spans="51:58" ht="15.95" hidden="1" customHeight="1">
      <c r="AY105" s="31"/>
      <c r="AZ105" s="37"/>
      <c r="BA105" s="37"/>
      <c r="BB105" s="37"/>
      <c r="BE105" s="31"/>
      <c r="BF105" s="37"/>
    </row>
    <row r="106" spans="51:58" ht="15.95" hidden="1" customHeight="1">
      <c r="AY106" s="31"/>
      <c r="AZ106" s="37"/>
      <c r="BA106" s="37"/>
      <c r="BB106" s="37"/>
      <c r="BE106" s="31"/>
      <c r="BF106" s="37"/>
    </row>
    <row r="107" spans="51:58" ht="15.95" hidden="1" customHeight="1">
      <c r="AY107" s="31"/>
      <c r="AZ107" s="37"/>
      <c r="BA107" s="37"/>
      <c r="BB107" s="37"/>
      <c r="BE107" s="31"/>
      <c r="BF107" s="37"/>
    </row>
    <row r="108" spans="51:58" ht="15.95" hidden="1" customHeight="1">
      <c r="AY108" s="31"/>
      <c r="AZ108" s="37"/>
      <c r="BA108" s="37"/>
      <c r="BB108" s="37"/>
      <c r="BE108" s="31"/>
      <c r="BF108" s="37"/>
    </row>
    <row r="109" spans="51:58" ht="15.95" hidden="1" customHeight="1">
      <c r="AY109" s="31"/>
      <c r="AZ109" s="37"/>
      <c r="BA109" s="37"/>
      <c r="BB109" s="37"/>
      <c r="BE109" s="31"/>
      <c r="BF109" s="37"/>
    </row>
    <row r="110" spans="51:58" ht="15.95" hidden="1" customHeight="1">
      <c r="AY110" s="31"/>
      <c r="AZ110" s="37"/>
      <c r="BA110" s="37"/>
      <c r="BB110" s="37"/>
      <c r="BE110" s="31"/>
      <c r="BF110" s="37"/>
    </row>
    <row r="111" spans="51:58" ht="15.95" hidden="1" customHeight="1">
      <c r="AY111" s="31"/>
      <c r="AZ111" s="37"/>
      <c r="BA111" s="37"/>
      <c r="BB111" s="37"/>
      <c r="BE111" s="31"/>
      <c r="BF111" s="37"/>
    </row>
    <row r="112" spans="51:58" ht="15.95" hidden="1" customHeight="1">
      <c r="AY112" s="31"/>
      <c r="AZ112" s="37"/>
      <c r="BA112" s="37"/>
      <c r="BB112" s="37"/>
      <c r="BE112" s="31"/>
      <c r="BF112" s="37"/>
    </row>
    <row r="113" spans="51:58" ht="15.95" hidden="1" customHeight="1">
      <c r="AY113" s="31"/>
      <c r="AZ113" s="37"/>
      <c r="BA113" s="37"/>
      <c r="BB113" s="37"/>
      <c r="BE113" s="31"/>
      <c r="BF113" s="37"/>
    </row>
    <row r="114" spans="51:58" ht="15.95" hidden="1" customHeight="1">
      <c r="AY114" s="31"/>
      <c r="AZ114" s="37"/>
      <c r="BA114" s="37"/>
      <c r="BB114" s="37"/>
      <c r="BE114" s="31"/>
      <c r="BF114" s="37"/>
    </row>
    <row r="115" spans="51:58" ht="15.95" hidden="1" customHeight="1">
      <c r="AY115" s="31"/>
      <c r="AZ115" s="37"/>
      <c r="BA115" s="37"/>
      <c r="BB115" s="37"/>
      <c r="BE115" s="31"/>
      <c r="BF115" s="37"/>
    </row>
    <row r="116" spans="51:58" ht="15.95" hidden="1" customHeight="1">
      <c r="AY116" s="31"/>
      <c r="AZ116" s="37"/>
      <c r="BA116" s="37"/>
      <c r="BB116" s="37"/>
      <c r="BE116" s="31"/>
      <c r="BF116" s="37"/>
    </row>
    <row r="117" spans="51:58" ht="15.95" hidden="1" customHeight="1">
      <c r="AY117" s="31"/>
      <c r="AZ117" s="37"/>
      <c r="BA117" s="37"/>
      <c r="BB117" s="37"/>
      <c r="BE117" s="31"/>
      <c r="BF117" s="37"/>
    </row>
    <row r="118" spans="51:58" ht="15.95" hidden="1" customHeight="1">
      <c r="AY118" s="31"/>
      <c r="AZ118" s="37"/>
      <c r="BA118" s="37"/>
      <c r="BB118" s="37"/>
      <c r="BE118" s="31"/>
      <c r="BF118" s="37"/>
    </row>
    <row r="119" spans="51:58" ht="15.95" hidden="1" customHeight="1">
      <c r="AY119" s="31"/>
      <c r="AZ119" s="37"/>
      <c r="BA119" s="37"/>
      <c r="BB119" s="37"/>
      <c r="BE119" s="31"/>
      <c r="BF119" s="37"/>
    </row>
    <row r="120" spans="51:58" ht="15.95" hidden="1" customHeight="1">
      <c r="AY120" s="31"/>
      <c r="AZ120" s="37"/>
      <c r="BA120" s="37"/>
      <c r="BB120" s="37"/>
      <c r="BE120" s="31"/>
      <c r="BF120" s="37"/>
    </row>
    <row r="121" spans="51:58" ht="15.95" hidden="1" customHeight="1">
      <c r="AY121" s="31"/>
      <c r="AZ121" s="37"/>
      <c r="BA121" s="37"/>
      <c r="BB121" s="37"/>
      <c r="BE121" s="31"/>
      <c r="BF121" s="37"/>
    </row>
    <row r="122" spans="51:58" ht="15.95" hidden="1" customHeight="1">
      <c r="AY122" s="31"/>
      <c r="AZ122" s="37"/>
      <c r="BA122" s="37"/>
      <c r="BB122" s="37"/>
      <c r="BE122" s="31"/>
      <c r="BF122" s="37"/>
    </row>
    <row r="123" spans="51:58" ht="15.95" hidden="1" customHeight="1">
      <c r="AY123" s="31"/>
      <c r="AZ123" s="37"/>
      <c r="BA123" s="37"/>
      <c r="BB123" s="37"/>
      <c r="BE123" s="31"/>
      <c r="BF123" s="37"/>
    </row>
    <row r="124" spans="51:58" ht="15.95" hidden="1" customHeight="1">
      <c r="AY124" s="31"/>
      <c r="AZ124" s="37"/>
      <c r="BA124" s="37"/>
      <c r="BB124" s="37"/>
      <c r="BE124" s="31"/>
      <c r="BF124" s="37"/>
    </row>
    <row r="125" spans="51:58" ht="15.95" hidden="1" customHeight="1">
      <c r="AY125" s="31"/>
      <c r="AZ125" s="37"/>
      <c r="BA125" s="37"/>
      <c r="BB125" s="37"/>
      <c r="BE125" s="31"/>
      <c r="BF125" s="37"/>
    </row>
    <row r="126" spans="51:58" ht="15.95" hidden="1" customHeight="1">
      <c r="AY126" s="31"/>
      <c r="AZ126" s="37"/>
      <c r="BA126" s="37"/>
      <c r="BB126" s="37"/>
      <c r="BE126" s="31"/>
      <c r="BF126" s="37"/>
    </row>
    <row r="127" spans="51:58" ht="15.95" hidden="1" customHeight="1">
      <c r="AY127" s="31"/>
      <c r="AZ127" s="37"/>
      <c r="BA127" s="37"/>
      <c r="BB127" s="37"/>
      <c r="BE127" s="31"/>
      <c r="BF127" s="37"/>
    </row>
    <row r="128" spans="51:58" ht="15.95" hidden="1" customHeight="1">
      <c r="AY128" s="31"/>
      <c r="AZ128" s="37"/>
      <c r="BA128" s="37"/>
      <c r="BB128" s="37"/>
      <c r="BE128" s="31"/>
      <c r="BF128" s="37"/>
    </row>
    <row r="129" spans="51:58" ht="15.95" hidden="1" customHeight="1">
      <c r="AY129" s="31"/>
      <c r="AZ129" s="37"/>
      <c r="BA129" s="37"/>
      <c r="BB129" s="37"/>
      <c r="BE129" s="31"/>
      <c r="BF129" s="37"/>
    </row>
    <row r="130" spans="51:58" ht="15.95" hidden="1" customHeight="1">
      <c r="AY130" s="31"/>
      <c r="AZ130" s="37"/>
      <c r="BA130" s="37"/>
      <c r="BB130" s="37"/>
      <c r="BE130" s="31"/>
      <c r="BF130" s="37"/>
    </row>
    <row r="131" spans="51:58" ht="15.95" hidden="1" customHeight="1">
      <c r="AY131" s="31"/>
      <c r="AZ131" s="37"/>
      <c r="BA131" s="37"/>
      <c r="BB131" s="37"/>
      <c r="BE131" s="31"/>
      <c r="BF131" s="37"/>
    </row>
    <row r="132" spans="51:58" ht="15.95" hidden="1" customHeight="1">
      <c r="AY132" s="31"/>
      <c r="AZ132" s="37"/>
      <c r="BA132" s="37"/>
      <c r="BB132" s="37"/>
      <c r="BE132" s="31"/>
      <c r="BF132" s="37"/>
    </row>
    <row r="133" spans="51:58" ht="15.95" hidden="1" customHeight="1">
      <c r="AY133" s="31"/>
      <c r="AZ133" s="37"/>
      <c r="BA133" s="37"/>
      <c r="BB133" s="37"/>
      <c r="BE133" s="31"/>
      <c r="BF133" s="37"/>
    </row>
    <row r="134" spans="51:58" ht="15.95" hidden="1" customHeight="1">
      <c r="AY134" s="31"/>
      <c r="AZ134" s="37"/>
      <c r="BA134" s="37"/>
      <c r="BB134" s="37"/>
      <c r="BE134" s="31"/>
      <c r="BF134" s="37"/>
    </row>
    <row r="135" spans="51:58" ht="15.95" hidden="1" customHeight="1">
      <c r="AY135" s="31"/>
      <c r="AZ135" s="37"/>
      <c r="BA135" s="37"/>
      <c r="BB135" s="37"/>
      <c r="BE135" s="31"/>
      <c r="BF135" s="37"/>
    </row>
    <row r="136" spans="51:58" ht="15.95" hidden="1" customHeight="1">
      <c r="AY136" s="31"/>
      <c r="AZ136" s="37"/>
      <c r="BA136" s="37"/>
      <c r="BB136" s="37"/>
      <c r="BE136" s="31"/>
      <c r="BF136" s="37"/>
    </row>
    <row r="137" spans="51:58" ht="15.95" hidden="1" customHeight="1">
      <c r="AY137" s="31"/>
      <c r="AZ137" s="37"/>
      <c r="BA137" s="37"/>
      <c r="BB137" s="37"/>
      <c r="BE137" s="31"/>
      <c r="BF137" s="37"/>
    </row>
    <row r="138" spans="51:58" ht="15.95" hidden="1" customHeight="1">
      <c r="AY138" s="31"/>
      <c r="AZ138" s="37"/>
      <c r="BA138" s="37"/>
      <c r="BB138" s="37"/>
      <c r="BE138" s="31"/>
      <c r="BF138" s="37"/>
    </row>
    <row r="139" spans="51:58" ht="15.95" hidden="1" customHeight="1">
      <c r="AY139" s="31"/>
      <c r="AZ139" s="37"/>
      <c r="BA139" s="37"/>
      <c r="BB139" s="37"/>
      <c r="BE139" s="31"/>
      <c r="BF139" s="37"/>
    </row>
    <row r="140" spans="51:58" ht="15.95" hidden="1" customHeight="1">
      <c r="AY140" s="31"/>
      <c r="AZ140" s="37"/>
      <c r="BA140" s="37"/>
      <c r="BB140" s="37"/>
      <c r="BE140" s="31"/>
      <c r="BF140" s="37"/>
    </row>
    <row r="141" spans="51:58" ht="15.95" hidden="1" customHeight="1">
      <c r="AY141" s="31"/>
      <c r="AZ141" s="37"/>
      <c r="BA141" s="37"/>
      <c r="BB141" s="37"/>
      <c r="BE141" s="31"/>
      <c r="BF141" s="37"/>
    </row>
    <row r="142" spans="51:58" ht="15.95" hidden="1" customHeight="1">
      <c r="AY142" s="31"/>
      <c r="AZ142" s="37"/>
      <c r="BA142" s="37"/>
      <c r="BB142" s="37"/>
      <c r="BE142" s="31"/>
      <c r="BF142" s="37"/>
    </row>
    <row r="143" spans="51:58" ht="15.95" hidden="1" customHeight="1">
      <c r="AY143" s="31"/>
      <c r="AZ143" s="37"/>
      <c r="BA143" s="37"/>
      <c r="BB143" s="37"/>
      <c r="BE143" s="31"/>
      <c r="BF143" s="37"/>
    </row>
    <row r="144" spans="51:58" ht="15.95" hidden="1" customHeight="1">
      <c r="AY144" s="31"/>
      <c r="AZ144" s="37"/>
      <c r="BA144" s="37"/>
      <c r="BB144" s="37"/>
      <c r="BE144" s="31"/>
      <c r="BF144" s="37"/>
    </row>
    <row r="145" spans="51:58" ht="15.95" hidden="1" customHeight="1">
      <c r="AY145" s="31"/>
      <c r="AZ145" s="37"/>
      <c r="BA145" s="37"/>
      <c r="BB145" s="37"/>
      <c r="BE145" s="31"/>
      <c r="BF145" s="37"/>
    </row>
    <row r="146" spans="51:58" ht="15.95" hidden="1" customHeight="1">
      <c r="AY146" s="31"/>
      <c r="AZ146" s="37"/>
      <c r="BA146" s="37"/>
      <c r="BB146" s="37"/>
      <c r="BE146" s="31"/>
      <c r="BF146" s="37"/>
    </row>
    <row r="147" spans="51:58" ht="15.95" hidden="1" customHeight="1">
      <c r="AY147" s="31"/>
      <c r="AZ147" s="37"/>
      <c r="BA147" s="37"/>
      <c r="BB147" s="37"/>
      <c r="BE147" s="31"/>
      <c r="BF147" s="37"/>
    </row>
    <row r="148" spans="51:58" ht="15.95" hidden="1" customHeight="1">
      <c r="AY148" s="31"/>
      <c r="AZ148" s="37"/>
      <c r="BA148" s="37"/>
      <c r="BB148" s="37"/>
      <c r="BE148" s="31"/>
      <c r="BF148" s="37"/>
    </row>
    <row r="149" spans="51:58" ht="15.95" hidden="1" customHeight="1">
      <c r="AY149" s="31"/>
      <c r="AZ149" s="37"/>
      <c r="BA149" s="37"/>
      <c r="BB149" s="37"/>
      <c r="BE149" s="31"/>
      <c r="BF149" s="37"/>
    </row>
    <row r="150" spans="51:58" ht="15.95" hidden="1" customHeight="1">
      <c r="AY150" s="31"/>
      <c r="AZ150" s="37"/>
      <c r="BA150" s="37"/>
      <c r="BB150" s="37"/>
      <c r="BE150" s="31"/>
      <c r="BF150" s="37"/>
    </row>
    <row r="151" spans="51:58" ht="15.95" hidden="1" customHeight="1">
      <c r="AY151" s="31"/>
      <c r="AZ151" s="37"/>
      <c r="BA151" s="37"/>
      <c r="BB151" s="37"/>
      <c r="BE151" s="31"/>
      <c r="BF151" s="37"/>
    </row>
    <row r="152" spans="51:58" ht="15.95" hidden="1" customHeight="1">
      <c r="AY152" s="31"/>
      <c r="AZ152" s="37"/>
      <c r="BA152" s="37"/>
      <c r="BB152" s="37"/>
      <c r="BE152" s="31"/>
      <c r="BF152" s="37"/>
    </row>
    <row r="153" spans="51:58" ht="15.95" hidden="1" customHeight="1">
      <c r="AY153" s="31"/>
      <c r="AZ153" s="37"/>
      <c r="BA153" s="37"/>
      <c r="BB153" s="37"/>
      <c r="BE153" s="31"/>
      <c r="BF153" s="37"/>
    </row>
    <row r="154" spans="51:58" ht="15.95" hidden="1" customHeight="1">
      <c r="AY154" s="31"/>
      <c r="AZ154" s="37"/>
      <c r="BA154" s="37"/>
      <c r="BB154" s="37"/>
      <c r="BE154" s="31"/>
      <c r="BF154" s="37"/>
    </row>
    <row r="155" spans="51:58" ht="15.95" hidden="1" customHeight="1">
      <c r="AY155" s="31"/>
      <c r="AZ155" s="37"/>
      <c r="BA155" s="37"/>
      <c r="BB155" s="37"/>
      <c r="BE155" s="31"/>
      <c r="BF155" s="37"/>
    </row>
    <row r="156" spans="51:58" ht="15.95" hidden="1" customHeight="1">
      <c r="AY156" s="31"/>
      <c r="AZ156" s="37"/>
      <c r="BA156" s="37"/>
      <c r="BB156" s="37"/>
      <c r="BE156" s="31"/>
      <c r="BF156" s="37"/>
    </row>
    <row r="157" spans="51:58" ht="15.95" hidden="1" customHeight="1">
      <c r="AY157" s="31"/>
      <c r="AZ157" s="37"/>
      <c r="BA157" s="37"/>
      <c r="BB157" s="37"/>
      <c r="BE157" s="31"/>
      <c r="BF157" s="37"/>
    </row>
    <row r="158" spans="51:58" ht="15.95" hidden="1" customHeight="1">
      <c r="AY158" s="31"/>
      <c r="AZ158" s="37"/>
      <c r="BA158" s="37"/>
      <c r="BB158" s="37"/>
      <c r="BE158" s="31"/>
      <c r="BF158" s="37"/>
    </row>
    <row r="159" spans="51:58" ht="15.95" hidden="1" customHeight="1">
      <c r="AY159" s="31"/>
      <c r="AZ159" s="37"/>
      <c r="BA159" s="37"/>
      <c r="BB159" s="37"/>
      <c r="BE159" s="31"/>
      <c r="BF159" s="37"/>
    </row>
    <row r="160" spans="51:58" ht="15.95" hidden="1" customHeight="1">
      <c r="AY160" s="31"/>
      <c r="AZ160" s="37"/>
      <c r="BA160" s="37"/>
      <c r="BB160" s="37"/>
      <c r="BE160" s="31"/>
      <c r="BF160" s="37"/>
    </row>
    <row r="161" spans="51:58" ht="15.95" hidden="1" customHeight="1">
      <c r="AY161" s="31"/>
      <c r="AZ161" s="37"/>
      <c r="BA161" s="37"/>
      <c r="BB161" s="37"/>
      <c r="BE161" s="31"/>
      <c r="BF161" s="37"/>
    </row>
    <row r="162" spans="51:58" ht="15.95" hidden="1" customHeight="1">
      <c r="AY162" s="31"/>
      <c r="AZ162" s="37"/>
      <c r="BA162" s="37"/>
      <c r="BB162" s="37"/>
      <c r="BE162" s="31"/>
      <c r="BF162" s="37"/>
    </row>
    <row r="163" spans="51:58" ht="15.95" hidden="1" customHeight="1">
      <c r="AY163" s="31"/>
      <c r="AZ163" s="37"/>
      <c r="BA163" s="37"/>
      <c r="BB163" s="37"/>
      <c r="BE163" s="31"/>
      <c r="BF163" s="37"/>
    </row>
    <row r="164" spans="51:58" ht="15.95" hidden="1" customHeight="1">
      <c r="AY164" s="31"/>
      <c r="AZ164" s="37"/>
      <c r="BA164" s="37"/>
      <c r="BB164" s="37"/>
      <c r="BE164" s="31"/>
      <c r="BF164" s="37"/>
    </row>
    <row r="165" spans="51:58" ht="15.95" hidden="1" customHeight="1">
      <c r="AY165" s="31"/>
      <c r="AZ165" s="37"/>
      <c r="BA165" s="37"/>
      <c r="BB165" s="37"/>
      <c r="BE165" s="31"/>
      <c r="BF165" s="37"/>
    </row>
    <row r="166" spans="51:58" ht="15.95" hidden="1" customHeight="1">
      <c r="AY166" s="31"/>
      <c r="AZ166" s="37"/>
      <c r="BA166" s="37"/>
      <c r="BB166" s="37"/>
      <c r="BE166" s="31"/>
      <c r="BF166" s="37"/>
    </row>
    <row r="167" spans="51:58" ht="15.95" hidden="1" customHeight="1">
      <c r="AY167" s="31"/>
      <c r="AZ167" s="37"/>
      <c r="BA167" s="37"/>
      <c r="BB167" s="37"/>
      <c r="BE167" s="31"/>
      <c r="BF167" s="37"/>
    </row>
    <row r="168" spans="51:58" ht="15.95" hidden="1" customHeight="1">
      <c r="AY168" s="31"/>
      <c r="AZ168" s="37"/>
      <c r="BA168" s="37"/>
      <c r="BB168" s="37"/>
      <c r="BE168" s="31"/>
      <c r="BF168" s="37"/>
    </row>
    <row r="169" spans="51:58" ht="15.95" hidden="1" customHeight="1">
      <c r="AY169" s="31"/>
      <c r="AZ169" s="37"/>
      <c r="BA169" s="37"/>
      <c r="BB169" s="37"/>
      <c r="BE169" s="31"/>
      <c r="BF169" s="37"/>
    </row>
    <row r="170" spans="51:58" ht="15.95" hidden="1" customHeight="1">
      <c r="AY170" s="31"/>
      <c r="AZ170" s="37"/>
      <c r="BA170" s="37"/>
      <c r="BB170" s="37"/>
      <c r="BE170" s="31"/>
      <c r="BF170" s="37"/>
    </row>
    <row r="171" spans="51:58" ht="15.95" hidden="1" customHeight="1">
      <c r="AY171" s="31"/>
      <c r="AZ171" s="37"/>
      <c r="BA171" s="37"/>
      <c r="BB171" s="37"/>
      <c r="BE171" s="31"/>
      <c r="BF171" s="37"/>
    </row>
    <row r="172" spans="51:58" ht="15.95" hidden="1" customHeight="1">
      <c r="AY172" s="31"/>
      <c r="AZ172" s="37"/>
      <c r="BA172" s="37"/>
      <c r="BB172" s="37"/>
      <c r="BE172" s="31"/>
      <c r="BF172" s="37"/>
    </row>
    <row r="173" spans="51:58" ht="15.95" hidden="1" customHeight="1">
      <c r="AY173" s="31"/>
      <c r="AZ173" s="37"/>
      <c r="BA173" s="37"/>
      <c r="BB173" s="37"/>
      <c r="BE173" s="31"/>
      <c r="BF173" s="37"/>
    </row>
    <row r="174" spans="51:58" ht="15.95" hidden="1" customHeight="1">
      <c r="AY174" s="31"/>
      <c r="AZ174" s="37"/>
      <c r="BA174" s="37"/>
      <c r="BB174" s="37"/>
      <c r="BE174" s="31"/>
      <c r="BF174" s="37"/>
    </row>
    <row r="175" spans="51:58" ht="15.95" hidden="1" customHeight="1">
      <c r="AY175" s="31"/>
      <c r="AZ175" s="37"/>
      <c r="BA175" s="37"/>
      <c r="BB175" s="37"/>
      <c r="BE175" s="31"/>
      <c r="BF175" s="37"/>
    </row>
    <row r="176" spans="51:58" ht="15.95" hidden="1" customHeight="1">
      <c r="AY176" s="31"/>
      <c r="AZ176" s="37"/>
      <c r="BA176" s="37"/>
      <c r="BB176" s="37"/>
      <c r="BE176" s="31"/>
      <c r="BF176" s="37"/>
    </row>
    <row r="177" spans="51:58" ht="15.95" hidden="1" customHeight="1">
      <c r="AY177" s="31"/>
      <c r="AZ177" s="37"/>
      <c r="BA177" s="37"/>
      <c r="BB177" s="37"/>
      <c r="BE177" s="31"/>
      <c r="BF177" s="37"/>
    </row>
    <row r="178" spans="51:58" ht="15.95" hidden="1" customHeight="1">
      <c r="AY178" s="31"/>
      <c r="AZ178" s="37"/>
      <c r="BA178" s="37"/>
      <c r="BB178" s="37"/>
      <c r="BE178" s="31"/>
      <c r="BF178" s="37"/>
    </row>
    <row r="179" spans="51:58" ht="15.95" hidden="1" customHeight="1">
      <c r="AY179" s="31"/>
      <c r="AZ179" s="37"/>
      <c r="BA179" s="37"/>
      <c r="BB179" s="37"/>
      <c r="BE179" s="31"/>
      <c r="BF179" s="37"/>
    </row>
    <row r="180" spans="51:58" ht="15.95" hidden="1" customHeight="1">
      <c r="AY180" s="31"/>
      <c r="AZ180" s="37"/>
      <c r="BA180" s="37"/>
      <c r="BB180" s="37"/>
      <c r="BE180" s="31"/>
      <c r="BF180" s="37"/>
    </row>
    <row r="181" spans="51:58" ht="15.95" hidden="1" customHeight="1">
      <c r="AY181" s="31"/>
      <c r="AZ181" s="37"/>
      <c r="BA181" s="37"/>
      <c r="BB181" s="37"/>
      <c r="BE181" s="31"/>
      <c r="BF181" s="37"/>
    </row>
    <row r="182" spans="51:58" ht="15.95" hidden="1" customHeight="1">
      <c r="AY182" s="31"/>
      <c r="AZ182" s="37"/>
      <c r="BA182" s="37"/>
      <c r="BB182" s="37"/>
      <c r="BE182" s="31"/>
      <c r="BF182" s="37"/>
    </row>
    <row r="183" spans="51:58" ht="15.95" hidden="1" customHeight="1">
      <c r="AY183" s="31"/>
      <c r="AZ183" s="37"/>
      <c r="BA183" s="37"/>
      <c r="BB183" s="37"/>
      <c r="BE183" s="31"/>
      <c r="BF183" s="37"/>
    </row>
    <row r="184" spans="51:58" ht="15.95" hidden="1" customHeight="1">
      <c r="AY184" s="31"/>
      <c r="AZ184" s="37"/>
      <c r="BA184" s="37"/>
      <c r="BB184" s="37"/>
      <c r="BE184" s="31"/>
      <c r="BF184" s="37"/>
    </row>
    <row r="185" spans="51:58" ht="15.95" hidden="1" customHeight="1">
      <c r="AY185" s="31"/>
      <c r="AZ185" s="37"/>
      <c r="BA185" s="37"/>
      <c r="BB185" s="37"/>
      <c r="BE185" s="31"/>
      <c r="BF185" s="37"/>
    </row>
    <row r="186" spans="51:58" ht="15.95" hidden="1" customHeight="1">
      <c r="AY186" s="31"/>
      <c r="AZ186" s="37"/>
      <c r="BA186" s="37"/>
      <c r="BB186" s="37"/>
      <c r="BE186" s="31"/>
      <c r="BF186" s="37"/>
    </row>
    <row r="187" spans="51:58" ht="15.95" hidden="1" customHeight="1">
      <c r="AY187" s="31"/>
      <c r="AZ187" s="37"/>
      <c r="BA187" s="37"/>
      <c r="BB187" s="37"/>
      <c r="BE187" s="31"/>
      <c r="BF187" s="37"/>
    </row>
    <row r="188" spans="51:58" ht="15.95" hidden="1" customHeight="1">
      <c r="AY188" s="31"/>
      <c r="AZ188" s="37"/>
      <c r="BA188" s="37"/>
      <c r="BB188" s="37"/>
      <c r="BE188" s="31"/>
      <c r="BF188" s="37"/>
    </row>
    <row r="189" spans="51:58" ht="15.95" hidden="1" customHeight="1">
      <c r="AY189" s="31"/>
      <c r="AZ189" s="37"/>
      <c r="BA189" s="37"/>
      <c r="BB189" s="37"/>
      <c r="BE189" s="31"/>
      <c r="BF189" s="37"/>
    </row>
    <row r="190" spans="51:58" ht="15.95" hidden="1" customHeight="1">
      <c r="AY190" s="31"/>
      <c r="AZ190" s="37"/>
      <c r="BA190" s="37"/>
      <c r="BB190" s="37"/>
      <c r="BE190" s="31"/>
      <c r="BF190" s="37"/>
    </row>
    <row r="191" spans="51:58" ht="15.95" hidden="1" customHeight="1">
      <c r="AY191" s="31"/>
      <c r="AZ191" s="37"/>
      <c r="BA191" s="37"/>
      <c r="BB191" s="37"/>
      <c r="BE191" s="31"/>
      <c r="BF191" s="37"/>
    </row>
    <row r="192" spans="51:58" ht="15.95" hidden="1" customHeight="1">
      <c r="AY192" s="31"/>
      <c r="AZ192" s="37"/>
      <c r="BA192" s="37"/>
      <c r="BB192" s="37"/>
      <c r="BE192" s="31"/>
      <c r="BF192" s="37"/>
    </row>
    <row r="193" spans="1:58" ht="15.95" hidden="1" customHeight="1">
      <c r="AY193" s="31"/>
      <c r="AZ193" s="37"/>
      <c r="BA193" s="37"/>
      <c r="BB193" s="37"/>
      <c r="BE193" s="31"/>
      <c r="BF193" s="37"/>
    </row>
    <row r="194" spans="1:58" ht="15.95" hidden="1" customHeight="1">
      <c r="AY194" s="31"/>
      <c r="AZ194" s="37"/>
      <c r="BA194" s="37"/>
      <c r="BB194" s="37"/>
      <c r="BE194" s="31"/>
      <c r="BF194" s="37"/>
    </row>
    <row r="195" spans="1:58" ht="15.95" hidden="1" customHeight="1">
      <c r="AY195" s="31"/>
      <c r="AZ195" s="37"/>
      <c r="BA195" s="37"/>
      <c r="BB195" s="37"/>
      <c r="BE195" s="31"/>
      <c r="BF195" s="37"/>
    </row>
    <row r="196" spans="1:58" ht="15.95" hidden="1" customHeight="1">
      <c r="AY196" s="31"/>
      <c r="AZ196" s="37"/>
      <c r="BA196" s="37"/>
      <c r="BB196" s="37"/>
      <c r="BE196" s="31"/>
      <c r="BF196" s="37"/>
    </row>
    <row r="197" spans="1:58" ht="15.95" hidden="1" customHeight="1">
      <c r="AY197" s="31"/>
      <c r="AZ197" s="37"/>
      <c r="BA197" s="37"/>
      <c r="BB197" s="37"/>
      <c r="BE197" s="31"/>
      <c r="BF197" s="37"/>
    </row>
    <row r="198" spans="1:58" ht="15.95" hidden="1" customHeight="1">
      <c r="AY198" s="31"/>
      <c r="AZ198" s="37"/>
      <c r="BA198" s="37"/>
      <c r="BB198" s="37"/>
      <c r="BE198" s="31"/>
      <c r="BF198" s="37"/>
    </row>
    <row r="199" spans="1:58" ht="15.95" hidden="1" customHeight="1">
      <c r="AY199" s="31"/>
      <c r="AZ199" s="37"/>
      <c r="BA199" s="37"/>
      <c r="BB199" s="37"/>
      <c r="BE199" s="31"/>
      <c r="BF199" s="37"/>
    </row>
    <row r="200" spans="1:58"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c r="BA200" s="970">
        <f>SUM(BA18:BA37)</f>
        <v>0</v>
      </c>
      <c r="BB200" s="970">
        <f>SUM(BB18:BB37)</f>
        <v>0</v>
      </c>
      <c r="BE200" s="971">
        <f>SUM(BE18:BE37)</f>
        <v>0</v>
      </c>
      <c r="BF200" s="971">
        <f>SUM(BF18:BF37)</f>
        <v>0</v>
      </c>
    </row>
    <row r="201" spans="1:58"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c r="BA201" s="970"/>
      <c r="BB201" s="970"/>
      <c r="BE201" s="972"/>
      <c r="BF201" s="972"/>
    </row>
    <row r="202" spans="1:58"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8" ht="15.95" hidden="1" customHeight="1"/>
    <row r="204" spans="1:58" ht="15.95" hidden="1" customHeight="1"/>
  </sheetData>
  <sheetProtection algorithmName="SHA-512" hashValue="FC6gZCBc0RQqZhBLZhkSiuNag5hlOhsIMSQayQ2V3fkUQQyzvF8xRz1G3JtFm+SUVHXV2He5OFxLYS6VeKG8Mg==" saltValue="dNGWGCXoqFixBki6Wk1ixQ==" spinCount="100000" sheet="1" objects="1" scenarios="1" selectLockedCells="1"/>
  <mergeCells count="378">
    <mergeCell ref="BN34:BN35"/>
    <mergeCell ref="BN36:BN37"/>
    <mergeCell ref="BN16:BN17"/>
    <mergeCell ref="BN18:BN19"/>
    <mergeCell ref="BN20:BN21"/>
    <mergeCell ref="BN22:BN23"/>
    <mergeCell ref="BN24:BN25"/>
    <mergeCell ref="BN26:BN27"/>
    <mergeCell ref="BN28:BN29"/>
    <mergeCell ref="BN30:BN31"/>
    <mergeCell ref="BN32:BN33"/>
    <mergeCell ref="BM34:BM35"/>
    <mergeCell ref="BM36:BM37"/>
    <mergeCell ref="BM16:BM17"/>
    <mergeCell ref="BM18:BM19"/>
    <mergeCell ref="BM20:BM21"/>
    <mergeCell ref="BM22:BM23"/>
    <mergeCell ref="BM24:BM25"/>
    <mergeCell ref="BM26:BM27"/>
    <mergeCell ref="BM28:BM29"/>
    <mergeCell ref="BM30:BM31"/>
    <mergeCell ref="BM32:BM33"/>
    <mergeCell ref="T18:V19"/>
    <mergeCell ref="T22:V23"/>
    <mergeCell ref="T24:V25"/>
    <mergeCell ref="T26:V27"/>
    <mergeCell ref="T28:V29"/>
    <mergeCell ref="T30:V31"/>
    <mergeCell ref="T32:V33"/>
    <mergeCell ref="T34:V35"/>
    <mergeCell ref="Q18:S19"/>
    <mergeCell ref="Q34:S35"/>
    <mergeCell ref="Q20:S21"/>
    <mergeCell ref="Q22:S23"/>
    <mergeCell ref="T20:V21"/>
    <mergeCell ref="O16:P17"/>
    <mergeCell ref="C30:L31"/>
    <mergeCell ref="C32:L33"/>
    <mergeCell ref="C34:L35"/>
    <mergeCell ref="C36:L37"/>
    <mergeCell ref="AE16:AG17"/>
    <mergeCell ref="AE18:AG19"/>
    <mergeCell ref="AE20:AG21"/>
    <mergeCell ref="AE22:AG23"/>
    <mergeCell ref="AE24:AG25"/>
    <mergeCell ref="AE26:AG27"/>
    <mergeCell ref="AE28:AG29"/>
    <mergeCell ref="Q30:S31"/>
    <mergeCell ref="Q32:S33"/>
    <mergeCell ref="AA32:AD33"/>
    <mergeCell ref="AA28:AD29"/>
    <mergeCell ref="AA26:AD27"/>
    <mergeCell ref="AA18:AD19"/>
    <mergeCell ref="T16:V17"/>
    <mergeCell ref="M16:N17"/>
    <mergeCell ref="M18:N19"/>
    <mergeCell ref="M20:N21"/>
    <mergeCell ref="M22:N23"/>
    <mergeCell ref="C16:L17"/>
    <mergeCell ref="O18:P19"/>
    <mergeCell ref="C20:L21"/>
    <mergeCell ref="C22:L23"/>
    <mergeCell ref="C24:L25"/>
    <mergeCell ref="C26:L27"/>
    <mergeCell ref="C28:L29"/>
    <mergeCell ref="M28:N29"/>
    <mergeCell ref="O22:P23"/>
    <mergeCell ref="C18:L19"/>
    <mergeCell ref="M24:N25"/>
    <mergeCell ref="M26:N27"/>
    <mergeCell ref="O28:P29"/>
    <mergeCell ref="O26:P27"/>
    <mergeCell ref="O20:P21"/>
    <mergeCell ref="BJ34:BJ35"/>
    <mergeCell ref="BK34:BK35"/>
    <mergeCell ref="BJ36:BJ37"/>
    <mergeCell ref="BK36:BK37"/>
    <mergeCell ref="AR18:AU19"/>
    <mergeCell ref="AX18:AX19"/>
    <mergeCell ref="AY18:AY19"/>
    <mergeCell ref="BA20:BA21"/>
    <mergeCell ref="BA22:BA23"/>
    <mergeCell ref="AR24:AU25"/>
    <mergeCell ref="AX24:AX25"/>
    <mergeCell ref="BA36:BA37"/>
    <mergeCell ref="BC36:BC37"/>
    <mergeCell ref="BD36:BD37"/>
    <mergeCell ref="BE36:BE37"/>
    <mergeCell ref="BB36:BB37"/>
    <mergeCell ref="BF36:BF37"/>
    <mergeCell ref="BG36:BG37"/>
    <mergeCell ref="BC34:BC35"/>
    <mergeCell ref="BA34:BA35"/>
    <mergeCell ref="BB34:BB35"/>
    <mergeCell ref="BD34:BD35"/>
    <mergeCell ref="BE34:BE35"/>
    <mergeCell ref="BH34:BH35"/>
    <mergeCell ref="AL36:AN37"/>
    <mergeCell ref="AO36:AQ37"/>
    <mergeCell ref="AR36:AU37"/>
    <mergeCell ref="AX36:AX37"/>
    <mergeCell ref="BL36:BL37"/>
    <mergeCell ref="BL34:BL35"/>
    <mergeCell ref="BL26:BL27"/>
    <mergeCell ref="BJ26:BJ27"/>
    <mergeCell ref="BK26:BK27"/>
    <mergeCell ref="BJ28:BJ29"/>
    <mergeCell ref="BK28:BK29"/>
    <mergeCell ref="BL28:BL29"/>
    <mergeCell ref="BD28:BD29"/>
    <mergeCell ref="BE28:BE29"/>
    <mergeCell ref="BE26:BE27"/>
    <mergeCell ref="BF26:BF27"/>
    <mergeCell ref="BJ32:BJ33"/>
    <mergeCell ref="BK32:BK33"/>
    <mergeCell ref="BL32:BL33"/>
    <mergeCell ref="BI26:BI27"/>
    <mergeCell ref="BI28:BI29"/>
    <mergeCell ref="BI30:BI31"/>
    <mergeCell ref="BI32:BI33"/>
    <mergeCell ref="BH36:BH37"/>
    <mergeCell ref="BF34:BF35"/>
    <mergeCell ref="BG34:BG35"/>
    <mergeCell ref="BI34:BI35"/>
    <mergeCell ref="BI36:BI37"/>
    <mergeCell ref="BF32:BF33"/>
    <mergeCell ref="BG32:BG33"/>
    <mergeCell ref="BH32:BH33"/>
    <mergeCell ref="BE32:BE33"/>
    <mergeCell ref="BA32:BA33"/>
    <mergeCell ref="BD32:BD33"/>
    <mergeCell ref="AX32:AX33"/>
    <mergeCell ref="BL30:BL31"/>
    <mergeCell ref="BD30:BD31"/>
    <mergeCell ref="BE30:BE31"/>
    <mergeCell ref="BF30:BF31"/>
    <mergeCell ref="BG30:BG31"/>
    <mergeCell ref="BH30:BH31"/>
    <mergeCell ref="AR30:AU31"/>
    <mergeCell ref="AX30:AX31"/>
    <mergeCell ref="AY30:AY31"/>
    <mergeCell ref="AZ30:AZ31"/>
    <mergeCell ref="BC30:BC31"/>
    <mergeCell ref="BJ30:BJ31"/>
    <mergeCell ref="BK30:BK31"/>
    <mergeCell ref="BB30:BB31"/>
    <mergeCell ref="BA30:BA31"/>
    <mergeCell ref="BB32:BB33"/>
    <mergeCell ref="AY32:AY33"/>
    <mergeCell ref="AZ32:AZ33"/>
    <mergeCell ref="BG28:BG29"/>
    <mergeCell ref="BH28:BH29"/>
    <mergeCell ref="AJ28:AK29"/>
    <mergeCell ref="AL28:AN29"/>
    <mergeCell ref="AO28:AQ29"/>
    <mergeCell ref="AR28:AU29"/>
    <mergeCell ref="AX28:AX29"/>
    <mergeCell ref="AY28:AY29"/>
    <mergeCell ref="AZ28:AZ29"/>
    <mergeCell ref="BC28:BC29"/>
    <mergeCell ref="BA28:BA29"/>
    <mergeCell ref="BB28:BB29"/>
    <mergeCell ref="BF28:BF29"/>
    <mergeCell ref="BH26:BH27"/>
    <mergeCell ref="AR26:AU27"/>
    <mergeCell ref="AX26:AX27"/>
    <mergeCell ref="AY26:AY27"/>
    <mergeCell ref="BF24:BF25"/>
    <mergeCell ref="BG24:BG25"/>
    <mergeCell ref="BH24:BH25"/>
    <mergeCell ref="AZ26:AZ27"/>
    <mergeCell ref="BA24:BA25"/>
    <mergeCell ref="BA26:BA27"/>
    <mergeCell ref="BG26:BG27"/>
    <mergeCell ref="BD26:BD27"/>
    <mergeCell ref="BC26:BC27"/>
    <mergeCell ref="BB24:BB25"/>
    <mergeCell ref="BB26:BB27"/>
    <mergeCell ref="BJ24:BJ25"/>
    <mergeCell ref="BL24:BL25"/>
    <mergeCell ref="BK24:BK25"/>
    <mergeCell ref="BF22:BF23"/>
    <mergeCell ref="BG22:BG23"/>
    <mergeCell ref="AO22:AQ23"/>
    <mergeCell ref="AR22:AU23"/>
    <mergeCell ref="AX22:AX23"/>
    <mergeCell ref="AY22:AY23"/>
    <mergeCell ref="AZ22:AZ23"/>
    <mergeCell ref="BD24:BD25"/>
    <mergeCell ref="BE24:BE25"/>
    <mergeCell ref="BI22:BI23"/>
    <mergeCell ref="BI24:BI25"/>
    <mergeCell ref="AY24:AY25"/>
    <mergeCell ref="AZ24:AZ25"/>
    <mergeCell ref="BC24:BC25"/>
    <mergeCell ref="BL22:BL23"/>
    <mergeCell ref="BJ22:BJ23"/>
    <mergeCell ref="BK22:BK23"/>
    <mergeCell ref="BD22:BD23"/>
    <mergeCell ref="BE22:BE23"/>
    <mergeCell ref="BH22:BH23"/>
    <mergeCell ref="BB22:BB23"/>
    <mergeCell ref="BL20:BL21"/>
    <mergeCell ref="BI16:BI17"/>
    <mergeCell ref="BI18:BI19"/>
    <mergeCell ref="AR20:AU21"/>
    <mergeCell ref="BG18:BG19"/>
    <mergeCell ref="BH18:BH19"/>
    <mergeCell ref="AA22:AD23"/>
    <mergeCell ref="AH22:AI23"/>
    <mergeCell ref="AJ22:AK23"/>
    <mergeCell ref="AL22:AN23"/>
    <mergeCell ref="BE20:BE21"/>
    <mergeCell ref="BF20:BF21"/>
    <mergeCell ref="BG20:BG21"/>
    <mergeCell ref="BH20:BH21"/>
    <mergeCell ref="BL18:BL19"/>
    <mergeCell ref="BJ16:BJ17"/>
    <mergeCell ref="AL16:AN17"/>
    <mergeCell ref="AA20:AD21"/>
    <mergeCell ref="AH20:AI21"/>
    <mergeCell ref="AJ20:AK21"/>
    <mergeCell ref="AL20:AN21"/>
    <mergeCell ref="AO20:AQ21"/>
    <mergeCell ref="BC22:BC23"/>
    <mergeCell ref="BJ20:BJ21"/>
    <mergeCell ref="BI20:BI21"/>
    <mergeCell ref="AX20:AX21"/>
    <mergeCell ref="AY20:AY21"/>
    <mergeCell ref="AZ20:AZ21"/>
    <mergeCell ref="BH16:BH17"/>
    <mergeCell ref="BK20:BK21"/>
    <mergeCell ref="BK18:BK19"/>
    <mergeCell ref="BJ18:BJ19"/>
    <mergeCell ref="AZ18:AZ19"/>
    <mergeCell ref="BE16:BE17"/>
    <mergeCell ref="BF16:BF17"/>
    <mergeCell ref="BA18:BA19"/>
    <mergeCell ref="BB18:BB19"/>
    <mergeCell ref="BK16:BK17"/>
    <mergeCell ref="BB20:BB21"/>
    <mergeCell ref="AX16:AX17"/>
    <mergeCell ref="AY16:AY17"/>
    <mergeCell ref="BF18:BF19"/>
    <mergeCell ref="BC20:BC21"/>
    <mergeCell ref="BD20:BD21"/>
    <mergeCell ref="BC18:BC19"/>
    <mergeCell ref="BD18:BD19"/>
    <mergeCell ref="BE18:BE19"/>
    <mergeCell ref="A4:E6"/>
    <mergeCell ref="A7:E8"/>
    <mergeCell ref="Q1:AG3"/>
    <mergeCell ref="AP1:AS3"/>
    <mergeCell ref="BL16:BL17"/>
    <mergeCell ref="AH17:AI17"/>
    <mergeCell ref="AJ17:AK17"/>
    <mergeCell ref="Q16:S17"/>
    <mergeCell ref="AA16:AD17"/>
    <mergeCell ref="AH16:AK16"/>
    <mergeCell ref="T12:W13"/>
    <mergeCell ref="X12:AA13"/>
    <mergeCell ref="AB12:AE13"/>
    <mergeCell ref="BG16:BG17"/>
    <mergeCell ref="AZ16:AZ17"/>
    <mergeCell ref="BD16:BD17"/>
    <mergeCell ref="BA16:BA17"/>
    <mergeCell ref="BB16:BB17"/>
    <mergeCell ref="BC16:BC17"/>
    <mergeCell ref="AS5:AW6"/>
    <mergeCell ref="AS7:AW7"/>
    <mergeCell ref="AS8:AW8"/>
    <mergeCell ref="AR16:AU17"/>
    <mergeCell ref="AM13:AU14"/>
    <mergeCell ref="F1:I3"/>
    <mergeCell ref="J1:M3"/>
    <mergeCell ref="AL1:AO3"/>
    <mergeCell ref="J9:M11"/>
    <mergeCell ref="N9:Q11"/>
    <mergeCell ref="R9:U11"/>
    <mergeCell ref="V9:Y11"/>
    <mergeCell ref="AH9:AK11"/>
    <mergeCell ref="AL9:AO11"/>
    <mergeCell ref="Z9:AC11"/>
    <mergeCell ref="AD9:AG11"/>
    <mergeCell ref="E13:R13"/>
    <mergeCell ref="B34:B35"/>
    <mergeCell ref="B32:B33"/>
    <mergeCell ref="B30:B31"/>
    <mergeCell ref="B18:B19"/>
    <mergeCell ref="AO16:AQ17"/>
    <mergeCell ref="AO18:AQ19"/>
    <mergeCell ref="X14:AA14"/>
    <mergeCell ref="AB14:AE14"/>
    <mergeCell ref="AH18:AI19"/>
    <mergeCell ref="AJ18:AK19"/>
    <mergeCell ref="AL18:AN19"/>
    <mergeCell ref="AH26:AI27"/>
    <mergeCell ref="AJ26:AK27"/>
    <mergeCell ref="AL26:AN27"/>
    <mergeCell ref="AA24:AD25"/>
    <mergeCell ref="O24:P25"/>
    <mergeCell ref="T14:W14"/>
    <mergeCell ref="AH24:AI25"/>
    <mergeCell ref="AJ24:AK25"/>
    <mergeCell ref="AL24:AN25"/>
    <mergeCell ref="AO24:AQ25"/>
    <mergeCell ref="AO26:AQ27"/>
    <mergeCell ref="AH28:AI29"/>
    <mergeCell ref="AH36:AI37"/>
    <mergeCell ref="Q24:S25"/>
    <mergeCell ref="Q26:S27"/>
    <mergeCell ref="Q28:S29"/>
    <mergeCell ref="M30:N31"/>
    <mergeCell ref="AE30:AG31"/>
    <mergeCell ref="AE32:AG33"/>
    <mergeCell ref="AE34:AG35"/>
    <mergeCell ref="AE36:AG37"/>
    <mergeCell ref="M36:N37"/>
    <mergeCell ref="T36:V37"/>
    <mergeCell ref="M32:N33"/>
    <mergeCell ref="Q36:S37"/>
    <mergeCell ref="AA36:AD37"/>
    <mergeCell ref="O36:P37"/>
    <mergeCell ref="O32:P33"/>
    <mergeCell ref="B44:B45"/>
    <mergeCell ref="B42:B43"/>
    <mergeCell ref="B40:B41"/>
    <mergeCell ref="B28:B29"/>
    <mergeCell ref="B26:B27"/>
    <mergeCell ref="B24:B25"/>
    <mergeCell ref="B22:B23"/>
    <mergeCell ref="AA30:AD31"/>
    <mergeCell ref="O30:P31"/>
    <mergeCell ref="W36:Z37"/>
    <mergeCell ref="W34:Z35"/>
    <mergeCell ref="BF200:BF201"/>
    <mergeCell ref="BA200:BA201"/>
    <mergeCell ref="BB200:BB201"/>
    <mergeCell ref="BE200:BE201"/>
    <mergeCell ref="B20:B21"/>
    <mergeCell ref="B38:B39"/>
    <mergeCell ref="B36:B37"/>
    <mergeCell ref="BC32:BC33"/>
    <mergeCell ref="AR34:AU35"/>
    <mergeCell ref="AX34:AX35"/>
    <mergeCell ref="AY34:AY35"/>
    <mergeCell ref="AZ34:AZ35"/>
    <mergeCell ref="AA34:AD35"/>
    <mergeCell ref="O34:P35"/>
    <mergeCell ref="M34:N35"/>
    <mergeCell ref="AH34:AI35"/>
    <mergeCell ref="AJ34:AK35"/>
    <mergeCell ref="AL34:AN35"/>
    <mergeCell ref="AO34:AQ35"/>
    <mergeCell ref="AY36:AY37"/>
    <mergeCell ref="AZ36:AZ37"/>
    <mergeCell ref="AJ36:AK37"/>
    <mergeCell ref="O200:AI201"/>
    <mergeCell ref="B46:B47"/>
    <mergeCell ref="AT1:AW3"/>
    <mergeCell ref="W18:Z19"/>
    <mergeCell ref="W20:Z21"/>
    <mergeCell ref="W22:Z23"/>
    <mergeCell ref="W24:Z25"/>
    <mergeCell ref="W26:Z27"/>
    <mergeCell ref="W28:Z29"/>
    <mergeCell ref="W30:Z31"/>
    <mergeCell ref="W32:Z33"/>
    <mergeCell ref="AH30:AI31"/>
    <mergeCell ref="AJ30:AK31"/>
    <mergeCell ref="AH32:AI33"/>
    <mergeCell ref="AJ32:AK33"/>
    <mergeCell ref="W16:Z17"/>
    <mergeCell ref="AL32:AN33"/>
    <mergeCell ref="AO32:AQ33"/>
    <mergeCell ref="AR32:AU33"/>
    <mergeCell ref="AL30:AN31"/>
    <mergeCell ref="AO30:AQ31"/>
  </mergeCells>
  <conditionalFormatting sqref="O18:V37 AA18:AK37">
    <cfRule type="expression" dxfId="100" priority="813">
      <formula>AND(ISBLANK($C18)=FALSE,OR(ISBLANK(O18)=TRUE,O18=""))</formula>
    </cfRule>
  </conditionalFormatting>
  <conditionalFormatting sqref="AR18:AU37">
    <cfRule type="expression" dxfId="99" priority="1" stopIfTrue="1">
      <formula>ISNUMBER($AR18)=FALSE</formula>
    </cfRule>
    <cfRule type="expression" dxfId="98" priority="14">
      <formula>$AR18 &lt;&gt; $BG18</formula>
    </cfRule>
  </conditionalFormatting>
  <conditionalFormatting sqref="AS8:AW8">
    <cfRule type="expression" dxfId="97" priority="12">
      <formula>IF($AS$8=PROJSTATMEASURE,FALSE,TRUE)</formula>
    </cfRule>
  </conditionalFormatting>
  <conditionalFormatting sqref="BC18:BC37">
    <cfRule type="expression" dxfId="96" priority="1392">
      <formula>AND($BC18="",$C18&lt;&gt;"")</formula>
    </cfRule>
  </conditionalFormatting>
  <conditionalFormatting sqref="BD18:BD37">
    <cfRule type="expression" dxfId="95" priority="1393">
      <formula>AND($BD18="",$C18&lt;&gt;"")</formula>
    </cfRule>
  </conditionalFormatting>
  <dataValidations count="9">
    <dataValidation type="list" allowBlank="1" showInputMessage="1" showErrorMessage="1" sqref="C36 C20 C22 C24 C26 C28 C30 C32 C34 C18" xr:uid="{86E4F604-E72E-43CA-A217-660814AC0B36}">
      <formula1>CUSTLIGHTCONTLIST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F1BC8847-D77F-47BA-9B77-7260CB369CAC}">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4F6F4D52-58F2-4D86-B9DA-3087ED2F435C}">
      <formula1>0</formula1>
      <formula2>999999999</formula2>
    </dataValidation>
    <dataValidation type="whole" operator="greaterThan" allowBlank="1" showInputMessage="1" showErrorMessage="1" errorTitle="Invalid Entry" error="Value must be a whole number greater than zero." sqref="O18:P37" xr:uid="{DD5835BE-B336-4B0E-958B-2B1FA815D567}">
      <formula1>0</formula1>
    </dataValidation>
    <dataValidation type="list" allowBlank="1" showInputMessage="1" showErrorMessage="1" sqref="BD18:BD37" xr:uid="{CA003099-C941-4354-991D-338094DEFB82}">
      <formula1>ENDUSECAT</formula1>
    </dataValidation>
    <dataValidation type="whole" allowBlank="1" showInputMessage="1" showErrorMessage="1" error="Enter valid operating hours. " prompt="Enter the annual operating hours of the lighting before the controls were installed. " sqref="T36 T20 T18 T22 T24 T26 T28 T30 T32 T34" xr:uid="{AB5FC76F-C449-4F99-BB63-AA0529F24F45}">
      <formula1>0</formula1>
      <formula2>8760</formula2>
    </dataValidation>
    <dataValidation allowBlank="1" showInputMessage="1" showErrorMessage="1" prompt="Install Location should describe the area where the equipment installed. (e.g. Room 201, Garage, Mechanical Room)" sqref="AE18:AG37" xr:uid="{1C6E9D7D-598C-446D-99F3-82DB8EF21A09}"/>
    <dataValidation allowBlank="1" showInputMessage="1" showErrorMessage="1" prompt="Enter the Brand and Model # as it appears in technical documents and invoices." sqref="W18:AD37" xr:uid="{7A5DCCD5-A989-418B-95EE-A6841746081F}"/>
    <dataValidation type="whole" allowBlank="1" showInputMessage="1" showErrorMessage="1" prompt="Please enter the COMBINED total wattage controlled by the network lighting fixtures._x000a__x000a_Please submit a lighting design or fixture schedule for verification of controlled wattage" sqref="Q18:S37" xr:uid="{2589ACAF-EC05-4791-8389-6EF0334C6065}">
      <formula1>0</formula1>
      <formula2>9999999</formula2>
    </dataValidation>
  </dataValidations>
  <hyperlinks>
    <hyperlink ref="N9:Q11" location="'M03-S03'!C18" tooltip="Lighting Controls" display="'M03-S03'!C18" xr:uid="{D6490B76-05E0-430B-BC2F-86973AF04851}"/>
    <hyperlink ref="R9:U11" location="'M03-S04'!C18" tooltip="Refrigeration" display="'M03-S04'!C18" xr:uid="{C7A64760-2C68-43EE-A966-277F74D44A3D}"/>
    <hyperlink ref="V9:Y11" location="'M03-S05'!C18" tooltip="HVAC" display="'M03-S05'!C18" xr:uid="{5369C52E-FB19-4C70-A584-726AD6A11A66}"/>
    <hyperlink ref="AD9:AG11" location="'M03-S06'!C18" tooltip="Compressed Air / Process" display="'M03-S06'!C18" xr:uid="{7855DFBD-E8F0-4FEC-8C1D-4E4FBE141092}"/>
    <hyperlink ref="AH9:AK11" location="'M03-S07'!C18" tooltip="Water Heating / Cooking" display="'M03-S07'!C18" xr:uid="{9D33EAF6-9DF9-4361-8C39-A8DE1F30C97D}"/>
    <hyperlink ref="Z9:AC11" location="'M03-S08'!C18" tooltip="Motors and Drives" display="'M03-S08'!C18" xr:uid="{2E39D83C-68F9-4606-91F2-72C572A08603}"/>
    <hyperlink ref="AL9:AO11" location="'M04-S09'!C18" tooltip="Miscellaneous" display="'M04-S09'!C18" xr:uid="{46C356AA-2035-4C15-B265-094AF86B3CBF}"/>
    <hyperlink ref="B202" r:id="rId1" xr:uid="{CC0D921E-EA48-49E6-97A9-A28E8850FC23}"/>
    <hyperlink ref="J1:M3" location="'M01-S02'!J1" tooltip="Instructions" display="'M01-S02'!J1" xr:uid="{18252252-04C0-49E1-9A26-F91FA2328986}"/>
    <hyperlink ref="AP1:AS3" location="'M05-S05'!AL1" tooltip=" " display="'M05-S05'!AL1" xr:uid="{5134112F-5CA4-45C2-B61D-5CC56AAED061}"/>
    <hyperlink ref="AL1:AO3" location="'M05-S04'!AH1" tooltip=" " display="'M05-S04'!AH1" xr:uid="{88BE017E-98E1-4D0E-88A6-2CE970778B7E}"/>
    <hyperlink ref="AT1:AW3" location="'M01-S03'!AP1" tooltip="Contact" display="'M01-S03'!AP1" xr:uid="{4EC3A2F4-654C-4428-8B84-7269C7FDF8D4}"/>
  </hyperlinks>
  <printOptions horizontalCentered="1"/>
  <pageMargins left="0" right="0" top="0" bottom="0" header="0" footer="0"/>
  <pageSetup scale="4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2C419-291E-4B55-B556-CACC2915A764}">
  <sheetPr codeName="Sheet28">
    <tabColor theme="8" tint="0.59999389629810485"/>
    <pageSetUpPr fitToPage="1"/>
  </sheetPr>
  <dimension ref="A1:BR204"/>
  <sheetViews>
    <sheetView showGridLines="0" showRowColHeaders="0" zoomScale="85" zoomScaleNormal="85" workbookViewId="0">
      <selection activeCell="BA18" sqref="BA18:BA19"/>
    </sheetView>
  </sheetViews>
  <sheetFormatPr defaultColWidth="0" defaultRowHeight="15" customHeight="1" zeroHeight="1"/>
  <cols>
    <col min="1" max="49" width="4.7109375" customWidth="1"/>
    <col min="50" max="51" width="9.42578125" hidden="1"/>
    <col min="52" max="52" width="15.7109375" hidden="1"/>
    <col min="53" max="59" width="9.42578125" hidden="1"/>
    <col min="60" max="60" width="14.7109375" hidden="1"/>
    <col min="61" max="61" width="9.42578125" hidden="1"/>
    <col min="62" max="62" width="18.28515625" hidden="1"/>
    <col min="63" max="63" width="18.85546875" hidden="1"/>
    <col min="64" max="64" width="16.7109375" hidden="1"/>
    <col min="65" max="67" width="9.42578125" hidden="1"/>
    <col min="68" max="68" width="13.140625" hidden="1"/>
    <col min="69" max="69" width="13" hidden="1"/>
    <col min="70" max="70" width="15.28515625" hidden="1"/>
    <col min="71" max="16384" width="4.7109375" hidden="1"/>
  </cols>
  <sheetData>
    <row r="1" spans="1:68"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8"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8"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68" ht="15.95" customHeight="1">
      <c r="A4" s="666">
        <f>INCENTOTAL</f>
        <v>0</v>
      </c>
      <c r="B4" s="666"/>
      <c r="C4" s="666"/>
      <c r="D4" s="666"/>
      <c r="E4" s="666"/>
      <c r="F4" s="203"/>
      <c r="G4" s="203"/>
      <c r="H4" s="203"/>
      <c r="I4" s="203"/>
    </row>
    <row r="5" spans="1:68" ht="15.95" customHeight="1">
      <c r="A5" s="667"/>
      <c r="B5" s="667"/>
      <c r="C5" s="667"/>
      <c r="D5" s="667"/>
      <c r="E5" s="667"/>
      <c r="F5" s="432"/>
      <c r="G5" s="432"/>
      <c r="H5" s="432"/>
      <c r="I5" s="432"/>
      <c r="AS5" s="1059">
        <f ca="1">PROGRESSSTATUS</f>
        <v>0</v>
      </c>
      <c r="AT5" s="1059"/>
      <c r="AU5" s="1059"/>
      <c r="AV5" s="1059"/>
      <c r="AW5" s="1059"/>
      <c r="AX5" s="22"/>
      <c r="AY5" s="119" t="s">
        <v>1315</v>
      </c>
      <c r="AZ5" s="119" t="s">
        <v>325</v>
      </c>
      <c r="BA5" s="52"/>
      <c r="BB5" s="52"/>
    </row>
    <row r="6" spans="1:68" ht="15.95" customHeight="1">
      <c r="A6" s="667"/>
      <c r="B6" s="667"/>
      <c r="C6" s="667"/>
      <c r="D6" s="667"/>
      <c r="E6" s="667"/>
      <c r="F6" s="432"/>
      <c r="G6" s="432"/>
      <c r="H6" s="432"/>
      <c r="I6" s="432"/>
      <c r="AS6" s="1059"/>
      <c r="AT6" s="1059"/>
      <c r="AU6" s="1059"/>
      <c r="AV6" s="1059"/>
      <c r="AW6" s="1059"/>
      <c r="AX6" s="118" t="s">
        <v>1320</v>
      </c>
      <c r="AY6" s="117" t="str">
        <f>CBPRESE</f>
        <v>NA</v>
      </c>
      <c r="AZ6" s="181" t="str">
        <f>PAYPRESE</f>
        <v>NA</v>
      </c>
    </row>
    <row r="7" spans="1:68" ht="15.95" customHeight="1">
      <c r="A7" s="629" t="s">
        <v>83</v>
      </c>
      <c r="B7" s="629"/>
      <c r="C7" s="629"/>
      <c r="D7" s="629"/>
      <c r="E7" s="629"/>
      <c r="F7" s="85"/>
      <c r="G7" s="85"/>
      <c r="H7" s="85"/>
      <c r="I7" s="85"/>
      <c r="AS7" s="629" t="s">
        <v>299</v>
      </c>
      <c r="AT7" s="629"/>
      <c r="AU7" s="629"/>
      <c r="AV7" s="629"/>
      <c r="AW7" s="629"/>
      <c r="AX7" s="118" t="s">
        <v>135</v>
      </c>
      <c r="AY7" s="117" t="str">
        <f>CBCUSE</f>
        <v>NA</v>
      </c>
      <c r="AZ7" s="181" t="str">
        <f>PAYCUSE</f>
        <v>NA</v>
      </c>
      <c r="BA7" s="52"/>
      <c r="BB7" s="52"/>
    </row>
    <row r="8" spans="1:68" ht="15.95" customHeight="1" thickBot="1">
      <c r="A8" s="632"/>
      <c r="B8" s="632"/>
      <c r="C8" s="632"/>
      <c r="D8" s="632"/>
      <c r="E8" s="632"/>
      <c r="F8" s="429"/>
      <c r="G8" s="429"/>
      <c r="H8" s="429"/>
      <c r="I8" s="429"/>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28" t="str">
        <f ca="1">PROJSTATUS</f>
        <v>Enter Measures</v>
      </c>
      <c r="AT8" s="628"/>
      <c r="AU8" s="628"/>
      <c r="AV8" s="628"/>
      <c r="AW8" s="628"/>
      <c r="AX8" s="118" t="s">
        <v>596</v>
      </c>
      <c r="AY8" s="117" t="str">
        <f>CBALL</f>
        <v>NA</v>
      </c>
      <c r="AZ8" s="181" t="str">
        <f>PAYALL</f>
        <v>NA</v>
      </c>
      <c r="BA8" s="52"/>
      <c r="BB8" s="52"/>
    </row>
    <row r="9" spans="1:68" s="88" customFormat="1" ht="15.95" customHeight="1">
      <c r="B9" s="89"/>
      <c r="C9" s="89"/>
      <c r="D9" s="89"/>
      <c r="E9" s="89"/>
      <c r="F9" s="89"/>
      <c r="J9" s="877"/>
      <c r="K9" s="878"/>
      <c r="L9" s="878"/>
      <c r="M9" s="878"/>
      <c r="N9" s="876" t="str">
        <f>M3S3</f>
        <v>Lighting Controls</v>
      </c>
      <c r="O9" s="817"/>
      <c r="P9" s="817"/>
      <c r="Q9" s="817"/>
      <c r="R9" s="819" t="str">
        <f>M3S4</f>
        <v>Refrigeration</v>
      </c>
      <c r="S9" s="819"/>
      <c r="T9" s="819"/>
      <c r="U9" s="819"/>
      <c r="V9" s="876" t="str">
        <f>M3S5</f>
        <v>HVAC</v>
      </c>
      <c r="W9" s="817"/>
      <c r="X9" s="817"/>
      <c r="Y9" s="817"/>
      <c r="Z9" s="876" t="str">
        <f>M4S8</f>
        <v>Motors and Drives</v>
      </c>
      <c r="AA9" s="817"/>
      <c r="AB9" s="817"/>
      <c r="AC9" s="817"/>
      <c r="AD9" s="876" t="str">
        <f>M3S6</f>
        <v>Compressed Air / Process</v>
      </c>
      <c r="AE9" s="817"/>
      <c r="AF9" s="817"/>
      <c r="AG9" s="817"/>
      <c r="AH9" s="876" t="str">
        <f>M3S7</f>
        <v>Water Heating / Food Services</v>
      </c>
      <c r="AI9" s="817"/>
      <c r="AJ9" s="817"/>
      <c r="AK9" s="817"/>
      <c r="AL9" s="876" t="str">
        <f>M4S9</f>
        <v>Miscellaneous</v>
      </c>
      <c r="AM9" s="817"/>
      <c r="AN9" s="817"/>
      <c r="AO9" s="817"/>
      <c r="AP9" s="89"/>
      <c r="AQ9" s="89"/>
      <c r="AR9" s="89"/>
      <c r="AS9"/>
      <c r="AU9" s="89"/>
      <c r="AV9" s="89"/>
    </row>
    <row r="10" spans="1:68" s="88" customFormat="1" ht="15.95" customHeight="1">
      <c r="B10" s="89"/>
      <c r="C10" s="89"/>
      <c r="D10" s="89"/>
      <c r="E10" s="89"/>
      <c r="F10" s="89"/>
      <c r="J10" s="878"/>
      <c r="K10" s="878"/>
      <c r="L10" s="878"/>
      <c r="M10" s="878"/>
      <c r="N10" s="817"/>
      <c r="O10" s="817"/>
      <c r="P10" s="817"/>
      <c r="Q10" s="817"/>
      <c r="R10" s="819"/>
      <c r="S10" s="819"/>
      <c r="T10" s="819"/>
      <c r="U10" s="819"/>
      <c r="V10" s="817"/>
      <c r="W10" s="817"/>
      <c r="X10" s="817"/>
      <c r="Y10" s="817"/>
      <c r="Z10" s="817"/>
      <c r="AA10" s="817"/>
      <c r="AB10" s="817"/>
      <c r="AC10" s="817"/>
      <c r="AD10" s="817"/>
      <c r="AE10" s="817"/>
      <c r="AF10" s="817"/>
      <c r="AG10" s="817"/>
      <c r="AH10" s="817"/>
      <c r="AI10" s="817"/>
      <c r="AJ10" s="817"/>
      <c r="AK10" s="817"/>
      <c r="AL10" s="817"/>
      <c r="AM10" s="817"/>
      <c r="AN10" s="817"/>
      <c r="AO10" s="817"/>
      <c r="AP10" s="89"/>
      <c r="AQ10" s="89"/>
      <c r="AR10" s="89"/>
      <c r="AS10"/>
      <c r="AU10" s="89"/>
      <c r="AV10" s="89"/>
    </row>
    <row r="11" spans="1:68" ht="15.95" customHeight="1">
      <c r="B11" s="106"/>
      <c r="C11" s="106"/>
      <c r="D11" s="106"/>
      <c r="E11" s="106"/>
      <c r="F11" s="106"/>
      <c r="J11" s="878"/>
      <c r="K11" s="878"/>
      <c r="L11" s="878"/>
      <c r="M11" s="878"/>
      <c r="N11" s="817"/>
      <c r="O11" s="817"/>
      <c r="P11" s="817"/>
      <c r="Q11" s="817"/>
      <c r="R11" s="819"/>
      <c r="S11" s="819"/>
      <c r="T11" s="819"/>
      <c r="U11" s="819"/>
      <c r="V11" s="817"/>
      <c r="W11" s="817"/>
      <c r="X11" s="817"/>
      <c r="Y11" s="817"/>
      <c r="Z11" s="817"/>
      <c r="AA11" s="817"/>
      <c r="AB11" s="817"/>
      <c r="AC11" s="817"/>
      <c r="AD11" s="817"/>
      <c r="AE11" s="817"/>
      <c r="AF11" s="817"/>
      <c r="AG11" s="817"/>
      <c r="AH11" s="817"/>
      <c r="AI11" s="817"/>
      <c r="AJ11" s="817"/>
      <c r="AK11" s="817"/>
      <c r="AL11" s="817"/>
      <c r="AM11" s="817"/>
      <c r="AN11" s="817"/>
      <c r="AO11" s="817"/>
      <c r="AP11" s="106"/>
      <c r="AQ11" s="106"/>
      <c r="AR11" s="106"/>
      <c r="AU11" s="106"/>
      <c r="AV11" s="106"/>
    </row>
    <row r="12" spans="1:68" ht="15.95" customHeight="1">
      <c r="A12" s="86"/>
      <c r="B12" s="86"/>
      <c r="C12" s="86"/>
      <c r="D12" s="86"/>
      <c r="E12" s="86"/>
      <c r="F12" s="86"/>
      <c r="G12" s="86"/>
      <c r="T12" s="821">
        <f>SUM(AR18:AU184)</f>
        <v>0</v>
      </c>
      <c r="U12" s="821"/>
      <c r="V12" s="821"/>
      <c r="W12" s="821"/>
      <c r="X12" s="821">
        <f ca="1">SUMIF(AR18:AU184,"&gt;0",AL18:AN184)</f>
        <v>0</v>
      </c>
      <c r="Y12" s="821"/>
      <c r="Z12" s="821"/>
      <c r="AA12" s="821"/>
      <c r="AB12" s="820">
        <f ca="1">SUMIF(AR18:AU184,"&gt;0",AO18:AQ184)</f>
        <v>0</v>
      </c>
      <c r="AC12" s="820"/>
      <c r="AD12" s="820"/>
      <c r="AE12" s="820"/>
      <c r="AT12" s="377"/>
    </row>
    <row r="13" spans="1:68" ht="15.95" customHeight="1">
      <c r="A13" s="86"/>
      <c r="B13" s="86"/>
      <c r="C13" s="86"/>
      <c r="D13" s="86"/>
      <c r="E13" s="1035" t="s">
        <v>3058</v>
      </c>
      <c r="F13" s="1035"/>
      <c r="G13" s="1035"/>
      <c r="H13" s="1035"/>
      <c r="I13" s="1035"/>
      <c r="J13" s="1035"/>
      <c r="K13" s="1035"/>
      <c r="L13" s="1035"/>
      <c r="M13" s="1035"/>
      <c r="N13" s="1035"/>
      <c r="O13" s="1035"/>
      <c r="P13" s="1035"/>
      <c r="Q13" s="1035"/>
      <c r="R13" s="1035"/>
      <c r="T13" s="821"/>
      <c r="U13" s="821"/>
      <c r="V13" s="821"/>
      <c r="W13" s="821"/>
      <c r="X13" s="821"/>
      <c r="Y13" s="821"/>
      <c r="Z13" s="821"/>
      <c r="AA13" s="821"/>
      <c r="AB13" s="820"/>
      <c r="AC13" s="820"/>
      <c r="AD13" s="820"/>
      <c r="AE13" s="820"/>
      <c r="AM13" s="840" t="str">
        <f>IF(OR(IFERROR(MATCH("75% Total Cost", BM:BM, 0), FALSE), IFERROR(MATCH("100% Incremental Cost", BM:BM, 0), FALSE)), "The incentive for one or more measures is capped due to measure cost.", "")</f>
        <v/>
      </c>
      <c r="AN13" s="840"/>
      <c r="AO13" s="840"/>
      <c r="AP13" s="840"/>
      <c r="AQ13" s="840"/>
      <c r="AR13" s="840"/>
      <c r="AS13" s="840"/>
      <c r="AT13" s="840"/>
      <c r="AU13" s="840"/>
    </row>
    <row r="14" spans="1:68" ht="15.95" customHeight="1">
      <c r="T14" s="758" t="s">
        <v>1717</v>
      </c>
      <c r="U14" s="758"/>
      <c r="V14" s="758"/>
      <c r="W14" s="758"/>
      <c r="X14" s="758" t="s">
        <v>67</v>
      </c>
      <c r="Y14" s="758"/>
      <c r="Z14" s="758"/>
      <c r="AA14" s="758"/>
      <c r="AB14" s="758" t="s">
        <v>1161</v>
      </c>
      <c r="AC14" s="758"/>
      <c r="AD14" s="758"/>
      <c r="AE14" s="758"/>
      <c r="AM14" s="840"/>
      <c r="AN14" s="840"/>
      <c r="AO14" s="840"/>
      <c r="AP14" s="840"/>
      <c r="AQ14" s="840"/>
      <c r="AR14" s="840"/>
      <c r="AS14" s="840"/>
      <c r="AT14" s="840"/>
      <c r="AU14" s="840"/>
    </row>
    <row r="15" spans="1:68" ht="15.95" customHeight="1"/>
    <row r="16" spans="1:68" ht="15.95" customHeight="1">
      <c r="C16" s="723" t="s">
        <v>1308</v>
      </c>
      <c r="D16" s="723"/>
      <c r="E16" s="723"/>
      <c r="F16" s="723"/>
      <c r="G16" s="723"/>
      <c r="H16" s="723" t="s">
        <v>1238</v>
      </c>
      <c r="I16" s="723"/>
      <c r="J16" s="723"/>
      <c r="K16" s="723"/>
      <c r="L16" s="723"/>
      <c r="M16" s="723"/>
      <c r="N16" s="723" t="s">
        <v>1309</v>
      </c>
      <c r="O16" s="723"/>
      <c r="P16" s="723"/>
      <c r="Q16" s="723"/>
      <c r="R16" s="723"/>
      <c r="S16" s="723"/>
      <c r="T16" s="723" t="s">
        <v>2426</v>
      </c>
      <c r="U16" s="723"/>
      <c r="V16" s="723"/>
      <c r="W16" s="723" t="s">
        <v>1310</v>
      </c>
      <c r="X16" s="723"/>
      <c r="Y16" s="723"/>
      <c r="Z16" s="723"/>
      <c r="AA16" s="723"/>
      <c r="AB16" s="723"/>
      <c r="AC16" s="723" t="s">
        <v>2427</v>
      </c>
      <c r="AD16" s="723"/>
      <c r="AE16" s="723"/>
      <c r="AF16" s="723" t="s">
        <v>1311</v>
      </c>
      <c r="AG16" s="723"/>
      <c r="AH16" s="814" t="s">
        <v>1257</v>
      </c>
      <c r="AI16" s="814"/>
      <c r="AJ16" s="814"/>
      <c r="AK16" s="814"/>
      <c r="AL16" s="723" t="s">
        <v>1304</v>
      </c>
      <c r="AM16" s="723"/>
      <c r="AN16" s="723"/>
      <c r="AO16" s="723" t="s">
        <v>1108</v>
      </c>
      <c r="AP16" s="723"/>
      <c r="AQ16" s="723"/>
      <c r="AR16" s="723" t="s">
        <v>83</v>
      </c>
      <c r="AS16" s="723"/>
      <c r="AT16" s="723"/>
      <c r="AU16" s="723"/>
      <c r="AV16" s="66"/>
      <c r="AW16" s="66"/>
      <c r="AX16" s="756" t="s">
        <v>132</v>
      </c>
      <c r="AY16" s="756" t="s">
        <v>325</v>
      </c>
      <c r="AZ16" s="756" t="s">
        <v>1116</v>
      </c>
      <c r="BA16" s="756" t="s">
        <v>2595</v>
      </c>
      <c r="BB16" s="756" t="s">
        <v>1324</v>
      </c>
      <c r="BC16" s="756" t="s">
        <v>635</v>
      </c>
      <c r="BD16" s="756" t="s">
        <v>1256</v>
      </c>
      <c r="BE16" s="756" t="s">
        <v>88</v>
      </c>
      <c r="BF16" s="756" t="s">
        <v>1305</v>
      </c>
      <c r="BG16" s="756" t="s">
        <v>1307</v>
      </c>
      <c r="BH16" s="756" t="s">
        <v>1466</v>
      </c>
      <c r="BI16" s="736" t="s">
        <v>2125</v>
      </c>
      <c r="BJ16" s="736" t="s">
        <v>703</v>
      </c>
      <c r="BK16" s="756" t="s">
        <v>1765</v>
      </c>
      <c r="BL16" s="756" t="s">
        <v>85</v>
      </c>
      <c r="BM16" s="756" t="s">
        <v>1306</v>
      </c>
      <c r="BN16" s="756" t="s">
        <v>309</v>
      </c>
      <c r="BO16" s="736" t="s">
        <v>2130</v>
      </c>
      <c r="BP16" s="736" t="s">
        <v>2401</v>
      </c>
    </row>
    <row r="17" spans="1:68" ht="15.95" customHeight="1" thickBot="1">
      <c r="B17" s="22"/>
      <c r="C17" s="724"/>
      <c r="D17" s="724"/>
      <c r="E17" s="724"/>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t="s">
        <v>1241</v>
      </c>
      <c r="AI17" s="724"/>
      <c r="AJ17" s="724" t="s">
        <v>1242</v>
      </c>
      <c r="AK17" s="724"/>
      <c r="AL17" s="724"/>
      <c r="AM17" s="724"/>
      <c r="AN17" s="724"/>
      <c r="AO17" s="724"/>
      <c r="AP17" s="724"/>
      <c r="AQ17" s="724"/>
      <c r="AR17" s="724"/>
      <c r="AS17" s="724"/>
      <c r="AT17" s="724"/>
      <c r="AU17" s="724"/>
      <c r="AV17" s="44"/>
      <c r="AW17" s="44"/>
      <c r="AX17" s="757"/>
      <c r="AY17" s="757"/>
      <c r="AZ17" s="757"/>
      <c r="BA17" s="757"/>
      <c r="BB17" s="757"/>
      <c r="BC17" s="757"/>
      <c r="BD17" s="757"/>
      <c r="BE17" s="757"/>
      <c r="BF17" s="757"/>
      <c r="BG17" s="757"/>
      <c r="BH17" s="757"/>
      <c r="BI17" s="737"/>
      <c r="BJ17" s="737"/>
      <c r="BK17" s="757"/>
      <c r="BL17" s="757"/>
      <c r="BM17" s="757"/>
      <c r="BN17" s="757"/>
      <c r="BO17" s="737"/>
      <c r="BP17" s="737"/>
    </row>
    <row r="18" spans="1:68" ht="15.95" customHeight="1">
      <c r="B18" s="806">
        <v>1</v>
      </c>
      <c r="C18" s="991"/>
      <c r="D18" s="992"/>
      <c r="E18" s="992"/>
      <c r="F18" s="992"/>
      <c r="G18" s="993"/>
      <c r="H18" s="993"/>
      <c r="I18" s="1013"/>
      <c r="J18" s="1013"/>
      <c r="K18" s="1013"/>
      <c r="L18" s="1013"/>
      <c r="M18" s="991"/>
      <c r="N18" s="1085"/>
      <c r="O18" s="1086"/>
      <c r="P18" s="1086"/>
      <c r="Q18" s="1086"/>
      <c r="R18" s="1086"/>
      <c r="S18" s="1086"/>
      <c r="T18" s="1111"/>
      <c r="U18" s="1111"/>
      <c r="V18" s="1112"/>
      <c r="W18" s="1116"/>
      <c r="X18" s="726"/>
      <c r="Y18" s="726"/>
      <c r="Z18" s="726"/>
      <c r="AA18" s="726"/>
      <c r="AB18" s="995"/>
      <c r="AC18" s="1113"/>
      <c r="AD18" s="1114"/>
      <c r="AE18" s="1115"/>
      <c r="AF18" s="1117" t="str">
        <f>IFERROR(IF($C18="", "", IF(OR($C18 = "Retrofit existing", $C18 = "Replace in-life equip."), "Total", "Incremental")), "")</f>
        <v/>
      </c>
      <c r="AG18" s="1118"/>
      <c r="AH18" s="1019"/>
      <c r="AI18" s="1019"/>
      <c r="AJ18" s="1119" t="str">
        <f>IF(AF18="Incremental",0,"")</f>
        <v/>
      </c>
      <c r="AK18" s="1120"/>
      <c r="AL18" s="1057" t="str">
        <f>IF(OR(C18="",H18="",N18="",T18="",W18="",AC18="",AF18="",AH18="",AJ18=""),"",ROUND(AH18+AJ18,2))</f>
        <v/>
      </c>
      <c r="AM18" s="1058"/>
      <c r="AN18" s="1058"/>
      <c r="AO18" s="1033" t="str">
        <f>IF(OR(C18="",H18="",N18="",T18="",W18="",AC18="",AF18="",AH18="",AJ18=""),"",IF(BC18-BD18&lt;=0,0,ROUND(BC18-BD18,4)))</f>
        <v/>
      </c>
      <c r="AP18" s="1033"/>
      <c r="AQ18" s="1033"/>
      <c r="AR18" s="996" t="str">
        <f>IF(OR(C18="",H18="",N18="",T18="",W18="",AC18="",AF18="",AH18="",AJ18=""),"",
IF(BN18&lt;&gt;"",BN18,IF(BP18&gt;0,BP18,
IF(AF18="Incremental",
IF(ACTIVEBLOCK="Yes",ROUND(MIN(AL18*INCCOSTCAP,AO18*BLOCKBIDRATE),2),
ROUND(MIN(AL18*INCCOSTCAP,BI18),2)),
IF(ACTIVEBLOCK="Yes",ROUND(MIN(AL18*TOTCOSTCAP,AO18*BLOCKBIDRATE),2),
ROUND(MIN(AL18*TOTCOSTCAP,BI18),2))))))</f>
        <v/>
      </c>
      <c r="AS18" s="996"/>
      <c r="AT18" s="996"/>
      <c r="AU18" s="996"/>
      <c r="AV18" s="44"/>
      <c r="AW18" s="44"/>
      <c r="AX18" s="974" t="str">
        <f>IFERROR(IF(OR(C18="",H18="",N18="",T18="",W18="",AC18="",AF18="",AH18="",AJ18=""),"",
ROUND(((1+ELOSS)*((AO18*INDEX(ELECCB[NPV AEC $/kWh],MATCH(BE18,ELECCB[Year Number],1)))+(BG18*INDEX(ELECCB[NPV ACC $/kW],MATCH(BE18,ELECCB[Year Number],1))))/AL18),2)),0)</f>
        <v/>
      </c>
      <c r="AY18" s="974" t="str">
        <f>IFERROR(AL18/M02S04F06/AO18,"")</f>
        <v/>
      </c>
      <c r="AZ18" s="967" t="str">
        <f>IF(OR(C18="",H18=""),"",INDEX(CMEREFRI[Unit of Measure],MATCH(H18,CMEREFRI[Proj Desc 1],0)))</f>
        <v/>
      </c>
      <c r="BA18" s="980" t="str">
        <f>IF(AO18&lt;&gt;"","Missing!","")</f>
        <v/>
      </c>
      <c r="BB18" s="980" t="str">
        <f t="shared" ref="BB18:BB20" si="0">IF(AO18&lt;&gt;"","Missing!","")</f>
        <v/>
      </c>
      <c r="BC18" s="976" t="str">
        <f>IF(OR(C18="",H18="",N18="",T18="",W18="",AC18="",AF18="",AH18="",AJ18=""),"",ROUND(T18,4))</f>
        <v/>
      </c>
      <c r="BD18" s="976" t="str">
        <f>IF(OR(C18="",H18="",N18="",T18="",W18="",AC18="",AF18="",AH18="",AJ18=""),"",ROUND(AC18,4))</f>
        <v/>
      </c>
      <c r="BE18" s="978" t="str">
        <f>IF(OR(C18="",H18=""),"",IF(INDEX(CMEREFRI[EUL],MATCH(H18,CMEREFRI[Proj Desc 1],0))="","",INDEX(CMEREFRI[EUL],MATCH(H18,CMEREFRI[Proj Desc 1],0))))</f>
        <v/>
      </c>
      <c r="BF18" s="980" t="str">
        <f>IF(OR(C18="",H18=""),"",IF(INDEX(CMEREFRI[End Use Category],MATCH(H18,CMEREFRI[Proj Desc 1],0))="","",INDEX(CMEREFRI[End Use Category],MATCH(H18,CMEREFRI[Proj Desc 1],0))))</f>
        <v/>
      </c>
      <c r="BG18" s="972" t="str">
        <f>IFERROR(IF(OR(C18="",H18="",N18="",T18="",W18="",AC18="",AF18="",AH18="",AJ18=""),"",ROUND(AO18*INDEX(ENDUSEALL[Factor],MATCH(BF18,ENDUSEALL[End Use to Coincident Peak Demand Factors],0)),4)),"")</f>
        <v/>
      </c>
      <c r="BH18" s="1076"/>
      <c r="BI18" s="830" t="str">
        <f>IFERROR(ROUND(AO18*BJ18,2),"")</f>
        <v/>
      </c>
      <c r="BJ18" s="830" t="str">
        <f>_xlfn.LET(_xlpm.ROWS,MATCH(BF18,ENDUSEALL[End Use to Coincident Peak Demand Factors],0),IFERROR(INDEX(IF(AND(ACTIVEBONUS = TRUE,INDEX(ENDUSEALL[Bonus Rate ($/kWh)],_xlpm.ROWS)&lt;&gt;""),ENDUSEALL[Bonus Rate ($/kWh)],ENDUSEALL[Rate ($/kWh)]),_xlpm.ROWS),""))</f>
        <v/>
      </c>
      <c r="BK18" s="830"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965" t="str">
        <f>IF(OR(C18="",H18="",N18="",T18="",W18="",AC18="",AF18="",AH18="",AJ18=""),"",IF(BN18&lt;&gt;"",SPILLOVERNUMBER,INDEX(CMEREFRI[Measure Number],MATCH(H18,CMEREFRI[Proj Desc 1],0))))</f>
        <v/>
      </c>
      <c r="BM18" s="967"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967"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830" t="str">
        <f>IFERROR(IF(OR(C18="",H18="",N18="",T18="",W18="",AC18="",AF18="",AH18="",AJ18=""),"",
ROUND(((1+ELOSS)*((AO18*INDEX(ELECCB[NPV AEC $/kWh],MATCH(BE18,ELECCB[Year Number],1)))+(BG18*INDEX(ELECCB[NPV ACC $/kW],MATCH(BE18,ELECCB[Year Number],1))))),2)),0)</f>
        <v/>
      </c>
      <c r="BP18" s="969"/>
    </row>
    <row r="19" spans="1:68" ht="15.95" customHeight="1">
      <c r="B19" s="806"/>
      <c r="C19" s="1020"/>
      <c r="D19" s="1084"/>
      <c r="E19" s="1084"/>
      <c r="F19" s="1084"/>
      <c r="G19" s="1044"/>
      <c r="H19" s="1044"/>
      <c r="I19" s="1015"/>
      <c r="J19" s="1015"/>
      <c r="K19" s="1015"/>
      <c r="L19" s="1015"/>
      <c r="M19" s="1020"/>
      <c r="N19" s="1012"/>
      <c r="O19" s="1013"/>
      <c r="P19" s="1013"/>
      <c r="Q19" s="1013"/>
      <c r="R19" s="1013"/>
      <c r="S19" s="1013"/>
      <c r="T19" s="1109"/>
      <c r="U19" s="1109"/>
      <c r="V19" s="1110"/>
      <c r="W19" s="1026"/>
      <c r="X19" s="992"/>
      <c r="Y19" s="992"/>
      <c r="Z19" s="992"/>
      <c r="AA19" s="992"/>
      <c r="AB19" s="993"/>
      <c r="AC19" s="1096"/>
      <c r="AD19" s="1097"/>
      <c r="AE19" s="1098"/>
      <c r="AF19" s="1105"/>
      <c r="AG19" s="1106"/>
      <c r="AH19" s="999"/>
      <c r="AI19" s="999"/>
      <c r="AJ19" s="1062"/>
      <c r="AK19" s="1063"/>
      <c r="AL19" s="1001"/>
      <c r="AM19" s="1002"/>
      <c r="AN19" s="1002"/>
      <c r="AO19" s="1034"/>
      <c r="AP19" s="1034"/>
      <c r="AQ19" s="1034"/>
      <c r="AR19" s="997"/>
      <c r="AS19" s="997"/>
      <c r="AT19" s="997"/>
      <c r="AU19" s="997"/>
      <c r="AV19" s="44"/>
      <c r="AW19" s="44"/>
      <c r="AX19" s="982"/>
      <c r="AY19" s="982"/>
      <c r="AZ19" s="983"/>
      <c r="BA19" s="986"/>
      <c r="BB19" s="986"/>
      <c r="BC19" s="984"/>
      <c r="BD19" s="984"/>
      <c r="BE19" s="985"/>
      <c r="BF19" s="986"/>
      <c r="BG19" s="970"/>
      <c r="BH19" s="1077"/>
      <c r="BI19" s="831"/>
      <c r="BJ19" s="831"/>
      <c r="BK19" s="831"/>
      <c r="BL19" s="987"/>
      <c r="BM19" s="983"/>
      <c r="BN19" s="983"/>
      <c r="BO19" s="831"/>
      <c r="BP19" s="981"/>
    </row>
    <row r="20" spans="1:68" ht="15.95" customHeight="1">
      <c r="A20" s="85"/>
      <c r="B20" s="806">
        <v>2</v>
      </c>
      <c r="C20" s="1020"/>
      <c r="D20" s="1084"/>
      <c r="E20" s="1084"/>
      <c r="F20" s="1084"/>
      <c r="G20" s="1044"/>
      <c r="H20" s="1044"/>
      <c r="I20" s="1015"/>
      <c r="J20" s="1015"/>
      <c r="K20" s="1015"/>
      <c r="L20" s="1015"/>
      <c r="M20" s="1020"/>
      <c r="N20" s="1087"/>
      <c r="O20" s="1088"/>
      <c r="P20" s="1088"/>
      <c r="Q20" s="1088"/>
      <c r="R20" s="1088"/>
      <c r="S20" s="1088"/>
      <c r="T20" s="1107"/>
      <c r="U20" s="1107"/>
      <c r="V20" s="1108"/>
      <c r="W20" s="1025"/>
      <c r="X20" s="989"/>
      <c r="Y20" s="989"/>
      <c r="Z20" s="989"/>
      <c r="AA20" s="989"/>
      <c r="AB20" s="990"/>
      <c r="AC20" s="1093"/>
      <c r="AD20" s="1094"/>
      <c r="AE20" s="1095"/>
      <c r="AF20" s="1103" t="str">
        <f>IFERROR(IF($C20="", "", IF(OR($C20 = "Retrofit existing", $C20 = "Replace in-life equip."), "Total", "Incremental")), "")</f>
        <v/>
      </c>
      <c r="AG20" s="1104"/>
      <c r="AH20" s="999"/>
      <c r="AI20" s="999"/>
      <c r="AJ20" s="1099" t="str">
        <f t="shared" ref="AJ20" si="1">IF(AF20="Incremental",0,"")</f>
        <v/>
      </c>
      <c r="AK20" s="1100"/>
      <c r="AL20" s="1057" t="str">
        <f>IF(OR(C20="",H20="",N20="",T20="",W20="",AC20="",AF20="",AH20="",AJ20=""),"",ROUND(AH20+AJ20,2))</f>
        <v/>
      </c>
      <c r="AM20" s="1058"/>
      <c r="AN20" s="1058"/>
      <c r="AO20" s="1033" t="str">
        <f>IF(OR(C20="",H20="",N20="",T20="",W20="",AC20="",AF20="",AH20="",AJ20=""),"",IF(BC20-BD20&lt;=0,0,ROUND(BC20-BD20,4)))</f>
        <v/>
      </c>
      <c r="AP20" s="1033"/>
      <c r="AQ20" s="1033"/>
      <c r="AR20" s="1064" t="str">
        <f>IF(OR(C20="",H20="",N20="",T20="",W20="",AC20="",AF20="",AH20="",AJ20=""),"",
IF(BN20&lt;&gt;"",BN20,IF(BP20&gt;0,BP20,
IF(AF20="Incremental",
IF(ACTIVEBLOCK="Yes",ROUND(MIN(AL20*INCCOSTCAP,AO20*BLOCKBIDRATE),2),
ROUND(MIN(AL20*INCCOSTCAP,BI20),2)),
IF(ACTIVEBLOCK="Yes",ROUND(MIN(AL20*TOTCOSTCAP,AO20*BLOCKBIDRATE),2),
ROUND(MIN(AL20*TOTCOSTCAP,BI20),2))))))</f>
        <v/>
      </c>
      <c r="AS20" s="1065"/>
      <c r="AT20" s="1065"/>
      <c r="AU20" s="1066"/>
      <c r="AV20" s="44"/>
      <c r="AW20" s="44"/>
      <c r="AX20" s="974" t="str">
        <f>IFERROR(IF(OR(C20="",H20="",N20="",T20="",W20="",AC20="",AF20="",AH20="",AJ20=""),"",
ROUND(((1+ELOSS)*((AO20*INDEX(ELECCB[NPV AEC $/kWh],MATCH(BE20,ELECCB[Year Number],1)))+(BG20*INDEX(ELECCB[NPV ACC $/kW],MATCH(BE20,ELECCB[Year Number],1))))/AL20),2)),0)</f>
        <v/>
      </c>
      <c r="AY20" s="974" t="str">
        <f>IFERROR(AL20/M02S04F06/AO20,"")</f>
        <v/>
      </c>
      <c r="AZ20" s="967" t="str">
        <f>IF(OR(C20="",H20=""),"",INDEX(CMEREFRI[Unit of Measure],MATCH(H20,CMEREFRI[Proj Desc 1],0)))</f>
        <v/>
      </c>
      <c r="BA20" s="980" t="str">
        <f t="shared" ref="BA20" si="2">IF(AO20&lt;&gt;"","Missing!","")</f>
        <v/>
      </c>
      <c r="BB20" s="980" t="str">
        <f t="shared" si="0"/>
        <v/>
      </c>
      <c r="BC20" s="976" t="str">
        <f>IF(OR(C20="",H20="",N20="",T20="",W20="",AC20="",AF20="",AH20="",AJ20=""),"",ROUND(T20,4))</f>
        <v/>
      </c>
      <c r="BD20" s="976" t="str">
        <f>IF(OR(C20="",H20="",N20="",T20="",W20="",AC20="",AF20="",AH20="",AJ20=""),"",ROUND(AC20,4))</f>
        <v/>
      </c>
      <c r="BE20" s="978" t="str">
        <f>IF(OR(C20="",H20=""),"",IF(INDEX(CMEREFRI[EUL],MATCH(H20,CMEREFRI[Proj Desc 1],0))="","",INDEX(CMEREFRI[EUL],MATCH(H20,CMEREFRI[Proj Desc 1],0))))</f>
        <v/>
      </c>
      <c r="BF20" s="980" t="str">
        <f>IF(OR(C20="",H20=""),"",IF(INDEX(CMEREFRI[End Use Category],MATCH(H20,CMEREFRI[Proj Desc 1],0))="","",INDEX(CMEREFRI[End Use Category],MATCH(H20,CMEREFRI[Proj Desc 1],0))))</f>
        <v/>
      </c>
      <c r="BG20" s="972" t="str">
        <f>IFERROR(IF(OR(C20="",H20="",N20="",T20="",W20="",AC20="",AF20="",AH20="",AJ20=""),"",ROUND(AO20*INDEX(ENDUSEALL[Factor],MATCH(BF20,ENDUSEALL[End Use to Coincident Peak Demand Factors],0)),4)),"")</f>
        <v/>
      </c>
      <c r="BH20" s="1091"/>
      <c r="BI20" s="830" t="str">
        <f>IFERROR(ROUND(AO20*BJ20,2),"")</f>
        <v/>
      </c>
      <c r="BJ20" s="963" t="str">
        <f>_xlfn.LET(_xlpm.ROWS,MATCH(BF20,ENDUSEALL[End Use to Coincident Peak Demand Factors],0),IFERROR(INDEX(IF(AND(ACTIVEBONUS = TRUE,INDEX(ENDUSEALL[Bonus Rate ($/kWh)],_xlpm.ROWS)&lt;&gt;""),ENDUSEALL[Bonus Rate ($/kWh)],ENDUSEALL[Rate ($/kWh)]),_xlpm.ROWS),""))</f>
        <v/>
      </c>
      <c r="BK20" s="963"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965" t="str">
        <f>IF(OR(C20="",H20="",N20="",T20="",W20="",AC20="",AF20="",AH20="",AJ20=""),"",IF(BN20&lt;&gt;"",SPILLOVERNUMBER,INDEX(CMEREFRI[Measure Number],MATCH(H20,CMEREFRI[Proj Desc 1],0))))</f>
        <v/>
      </c>
      <c r="BM20" s="966"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967"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830" t="str">
        <f>IFERROR(IF(OR(C20="",H20="",N20="",T20="",W20="",AC20="",AF20="",AH20="",AJ20=""),"",
ROUND(((1+ELOSS)*((AO20*INDEX(ELECCB[NPV AEC $/kWh],MATCH(BE20,ELECCB[Year Number],1)))+(BG20*INDEX(ELECCB[NPV ACC $/kW],MATCH(BE20,ELECCB[Year Number],1))))),2)),0)</f>
        <v/>
      </c>
      <c r="BP20" s="969"/>
    </row>
    <row r="21" spans="1:68" ht="15.95" customHeight="1">
      <c r="B21" s="806"/>
      <c r="C21" s="1020"/>
      <c r="D21" s="1084"/>
      <c r="E21" s="1084"/>
      <c r="F21" s="1084"/>
      <c r="G21" s="1044"/>
      <c r="H21" s="1044"/>
      <c r="I21" s="1015"/>
      <c r="J21" s="1015"/>
      <c r="K21" s="1015"/>
      <c r="L21" s="1015"/>
      <c r="M21" s="1020"/>
      <c r="N21" s="1012"/>
      <c r="O21" s="1013"/>
      <c r="P21" s="1013"/>
      <c r="Q21" s="1013"/>
      <c r="R21" s="1013"/>
      <c r="S21" s="1013"/>
      <c r="T21" s="1109"/>
      <c r="U21" s="1109"/>
      <c r="V21" s="1110"/>
      <c r="W21" s="1026"/>
      <c r="X21" s="992"/>
      <c r="Y21" s="992"/>
      <c r="Z21" s="992"/>
      <c r="AA21" s="992"/>
      <c r="AB21" s="993"/>
      <c r="AC21" s="1096"/>
      <c r="AD21" s="1097"/>
      <c r="AE21" s="1098"/>
      <c r="AF21" s="1105"/>
      <c r="AG21" s="1106"/>
      <c r="AH21" s="999"/>
      <c r="AI21" s="999"/>
      <c r="AJ21" s="1101"/>
      <c r="AK21" s="1102"/>
      <c r="AL21" s="1001"/>
      <c r="AM21" s="1002"/>
      <c r="AN21" s="1002"/>
      <c r="AO21" s="1034"/>
      <c r="AP21" s="1034"/>
      <c r="AQ21" s="1034"/>
      <c r="AR21" s="1067"/>
      <c r="AS21" s="1068"/>
      <c r="AT21" s="1068"/>
      <c r="AU21" s="1069"/>
      <c r="AV21" s="44"/>
      <c r="AW21" s="44"/>
      <c r="AX21" s="982"/>
      <c r="AY21" s="982"/>
      <c r="AZ21" s="983"/>
      <c r="BA21" s="986"/>
      <c r="BB21" s="986"/>
      <c r="BC21" s="984"/>
      <c r="BD21" s="984"/>
      <c r="BE21" s="985"/>
      <c r="BF21" s="986"/>
      <c r="BG21" s="970"/>
      <c r="BH21" s="1092"/>
      <c r="BI21" s="831"/>
      <c r="BJ21" s="830"/>
      <c r="BK21" s="830"/>
      <c r="BL21" s="987"/>
      <c r="BM21" s="967"/>
      <c r="BN21" s="983"/>
      <c r="BO21" s="831"/>
      <c r="BP21" s="981"/>
    </row>
    <row r="22" spans="1:68" s="22" customFormat="1" ht="15.95" customHeight="1">
      <c r="A22" s="120"/>
      <c r="B22" s="806">
        <v>3</v>
      </c>
      <c r="C22" s="1020"/>
      <c r="D22" s="1084"/>
      <c r="E22" s="1084"/>
      <c r="F22" s="1084"/>
      <c r="G22" s="1044"/>
      <c r="H22" s="1044"/>
      <c r="I22" s="1015"/>
      <c r="J22" s="1015"/>
      <c r="K22" s="1015"/>
      <c r="L22" s="1015"/>
      <c r="M22" s="1020"/>
      <c r="N22" s="1087"/>
      <c r="O22" s="1088"/>
      <c r="P22" s="1088"/>
      <c r="Q22" s="1088"/>
      <c r="R22" s="1088"/>
      <c r="S22" s="1088"/>
      <c r="T22" s="1107"/>
      <c r="U22" s="1107"/>
      <c r="V22" s="1108"/>
      <c r="W22" s="1025"/>
      <c r="X22" s="989"/>
      <c r="Y22" s="989"/>
      <c r="Z22" s="989"/>
      <c r="AA22" s="989"/>
      <c r="AB22" s="990"/>
      <c r="AC22" s="1093"/>
      <c r="AD22" s="1094"/>
      <c r="AE22" s="1095"/>
      <c r="AF22" s="1103" t="str">
        <f>IFERROR(IF($C22="", "", IF(OR($C22 = "Retrofit existing", $C22 = "Replace in-life equip."), "Total", "Incremental")), "")</f>
        <v/>
      </c>
      <c r="AG22" s="1104"/>
      <c r="AH22" s="999"/>
      <c r="AI22" s="999"/>
      <c r="AJ22" s="1099" t="str">
        <f t="shared" ref="AJ22" si="3">IF(AF22="Incremental",0,"")</f>
        <v/>
      </c>
      <c r="AK22" s="1100"/>
      <c r="AL22" s="1057" t="str">
        <f>IF(OR(C22="",H22="",N22="",T22="",W22="",AC22="",AF22="",AH22="",AJ22=""),"",ROUND(AH22+AJ22,2))</f>
        <v/>
      </c>
      <c r="AM22" s="1058"/>
      <c r="AN22" s="1058"/>
      <c r="AO22" s="1033" t="str">
        <f>IF(OR(C22="",H22="",N22="",T22="",W22="",AC22="",AF22="",AH22="",AJ22=""),"",IF(BC22-BD22&lt;=0,0,ROUND(BC22-BD22,4)))</f>
        <v/>
      </c>
      <c r="AP22" s="1033"/>
      <c r="AQ22" s="1033"/>
      <c r="AR22" s="1064" t="str">
        <f>IF(OR(C22="",H22="",N22="",T22="",W22="",AC22="",AF22="",AH22="",AJ22=""),"",
IF(BN22&lt;&gt;"",BN22,IF(BP22&gt;0,BP22,
IF(AF22="Incremental",
IF(ACTIVEBLOCK="Yes",ROUND(MIN(AL22*INCCOSTCAP,AO22*BLOCKBIDRATE),2),
ROUND(MIN(AL22*INCCOSTCAP,BI22),2)),
IF(ACTIVEBLOCK="Yes",ROUND(MIN(AL22*TOTCOSTCAP,AO22*BLOCKBIDRATE),2),
ROUND(MIN(AL22*TOTCOSTCAP,BI22),2))))))</f>
        <v/>
      </c>
      <c r="AS22" s="1065"/>
      <c r="AT22" s="1065"/>
      <c r="AU22" s="1066"/>
      <c r="AV22" s="66"/>
      <c r="AW22" s="66"/>
      <c r="AX22" s="974" t="str">
        <f>IFERROR(IF(OR(C22="",H22="",N22="",T22="",W22="",AC22="",AF22="",AH22="",AJ22=""),"",
ROUND(((1+ELOSS)*((AO22*INDEX(ELECCB[NPV AEC $/kWh],MATCH(BE22,ELECCB[Year Number],1)))+(BG22*INDEX(ELECCB[NPV ACC $/kW],MATCH(BE22,ELECCB[Year Number],1))))/AL22),2)),0)</f>
        <v/>
      </c>
      <c r="AY22" s="974" t="str">
        <f>IFERROR(AL22/M02S04F06/AO22,"")</f>
        <v/>
      </c>
      <c r="AZ22" s="967" t="str">
        <f>IF(OR(C22="",H22=""),"",INDEX(CMEREFRI[Unit of Measure],MATCH(H22,CMEREFRI[Proj Desc 1],0)))</f>
        <v/>
      </c>
      <c r="BA22" s="980" t="str">
        <f t="shared" ref="BA22" si="4">IF(AO22&lt;&gt;"","Missing!","")</f>
        <v/>
      </c>
      <c r="BB22" s="980" t="str">
        <f t="shared" ref="BB22" si="5">IF(AO22&lt;&gt;"","Missing!","")</f>
        <v/>
      </c>
      <c r="BC22" s="976" t="str">
        <f>IF(OR(C22="",H22="",N22="",T22="",W22="",AC22="",AF22="",AH22="",AJ22=""),"",ROUND(T22,4))</f>
        <v/>
      </c>
      <c r="BD22" s="976" t="str">
        <f>IF(OR(C22="",H22="",N22="",T22="",W22="",AC22="",AF22="",AH22="",AJ22=""),"",ROUND(AC22,4))</f>
        <v/>
      </c>
      <c r="BE22" s="978" t="str">
        <f>IF(OR(C22="",H22=""),"",IF(INDEX(CMEREFRI[EUL],MATCH(H22,CMEREFRI[Proj Desc 1],0))="","",INDEX(CMEREFRI[EUL],MATCH(H22,CMEREFRI[Proj Desc 1],0))))</f>
        <v/>
      </c>
      <c r="BF22" s="980" t="str">
        <f>IF(OR(C22="",H22=""),"",IF(INDEX(CMEREFRI[End Use Category],MATCH(H22,CMEREFRI[Proj Desc 1],0))="","",INDEX(CMEREFRI[End Use Category],MATCH(H22,CMEREFRI[Proj Desc 1],0))))</f>
        <v/>
      </c>
      <c r="BG22" s="972" t="str">
        <f>IFERROR(IF(OR(C22="",H22="",N22="",T22="",W22="",AC22="",AF22="",AH22="",AJ22=""),"",ROUND(AO22*INDEX(ENDUSEALL[Factor],MATCH(BF22,ENDUSEALL[End Use to Coincident Peak Demand Factors],0)),4)),"")</f>
        <v/>
      </c>
      <c r="BH22" s="1091"/>
      <c r="BI22" s="830" t="str">
        <f>IFERROR(ROUND(AO22*BJ22,2),"")</f>
        <v/>
      </c>
      <c r="BJ22" s="963" t="str">
        <f>_xlfn.LET(_xlpm.ROWS,MATCH(BF22,ENDUSEALL[End Use to Coincident Peak Demand Factors],0),IFERROR(INDEX(IF(AND(ACTIVEBONUS = TRUE,INDEX(ENDUSEALL[Bonus Rate ($/kWh)],_xlpm.ROWS)&lt;&gt;""),ENDUSEALL[Bonus Rate ($/kWh)],ENDUSEALL[Rate ($/kWh)]),_xlpm.ROWS),""))</f>
        <v/>
      </c>
      <c r="BK22" s="963"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965" t="str">
        <f>IF(OR(C22="",H22="",N22="",T22="",W22="",AC22="",AF22="",AH22="",AJ22=""),"",IF(BN22&lt;&gt;"",SPILLOVERNUMBER,INDEX(CMEREFRI[Measure Number],MATCH(H22,CMEREFRI[Proj Desc 1],0))))</f>
        <v/>
      </c>
      <c r="BM22" s="966"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967"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830" t="str">
        <f>IFERROR(IF(OR(C22="",H22="",N22="",T22="",W22="",AC22="",AF22="",AH22="",AJ22=""),"",
ROUND(((1+ELOSS)*((AO22*INDEX(ELECCB[NPV AEC $/kWh],MATCH(BE22,ELECCB[Year Number],1)))+(BG22*INDEX(ELECCB[NPV ACC $/kW],MATCH(BE22,ELECCB[Year Number],1))))),2)),0)</f>
        <v/>
      </c>
      <c r="BP22" s="969"/>
    </row>
    <row r="23" spans="1:68" s="22" customFormat="1" ht="15.95" customHeight="1">
      <c r="A23" s="120"/>
      <c r="B23" s="806"/>
      <c r="C23" s="1020"/>
      <c r="D23" s="1084"/>
      <c r="E23" s="1084"/>
      <c r="F23" s="1084"/>
      <c r="G23" s="1044"/>
      <c r="H23" s="1044"/>
      <c r="I23" s="1015"/>
      <c r="J23" s="1015"/>
      <c r="K23" s="1015"/>
      <c r="L23" s="1015"/>
      <c r="M23" s="1020"/>
      <c r="N23" s="1012"/>
      <c r="O23" s="1013"/>
      <c r="P23" s="1013"/>
      <c r="Q23" s="1013"/>
      <c r="R23" s="1013"/>
      <c r="S23" s="1013"/>
      <c r="T23" s="1109"/>
      <c r="U23" s="1109"/>
      <c r="V23" s="1110"/>
      <c r="W23" s="1026"/>
      <c r="X23" s="992"/>
      <c r="Y23" s="992"/>
      <c r="Z23" s="992"/>
      <c r="AA23" s="992"/>
      <c r="AB23" s="993"/>
      <c r="AC23" s="1096"/>
      <c r="AD23" s="1097"/>
      <c r="AE23" s="1098"/>
      <c r="AF23" s="1105"/>
      <c r="AG23" s="1106"/>
      <c r="AH23" s="999"/>
      <c r="AI23" s="999"/>
      <c r="AJ23" s="1101"/>
      <c r="AK23" s="1102"/>
      <c r="AL23" s="1001"/>
      <c r="AM23" s="1002"/>
      <c r="AN23" s="1002"/>
      <c r="AO23" s="1034"/>
      <c r="AP23" s="1034"/>
      <c r="AQ23" s="1034"/>
      <c r="AR23" s="1067"/>
      <c r="AS23" s="1068"/>
      <c r="AT23" s="1068"/>
      <c r="AU23" s="1069"/>
      <c r="AV23" s="66"/>
      <c r="AW23" s="66"/>
      <c r="AX23" s="982"/>
      <c r="AY23" s="982"/>
      <c r="AZ23" s="983"/>
      <c r="BA23" s="986"/>
      <c r="BB23" s="986"/>
      <c r="BC23" s="984"/>
      <c r="BD23" s="984"/>
      <c r="BE23" s="985"/>
      <c r="BF23" s="986"/>
      <c r="BG23" s="970"/>
      <c r="BH23" s="1092"/>
      <c r="BI23" s="831"/>
      <c r="BJ23" s="830"/>
      <c r="BK23" s="830"/>
      <c r="BL23" s="987"/>
      <c r="BM23" s="967"/>
      <c r="BN23" s="983"/>
      <c r="BO23" s="831"/>
      <c r="BP23" s="981"/>
    </row>
    <row r="24" spans="1:68" ht="15.95" customHeight="1">
      <c r="B24" s="806">
        <v>4</v>
      </c>
      <c r="C24" s="1020"/>
      <c r="D24" s="1084"/>
      <c r="E24" s="1084"/>
      <c r="F24" s="1084"/>
      <c r="G24" s="1044"/>
      <c r="H24" s="1044"/>
      <c r="I24" s="1015"/>
      <c r="J24" s="1015"/>
      <c r="K24" s="1015"/>
      <c r="L24" s="1015"/>
      <c r="M24" s="1020"/>
      <c r="N24" s="1087"/>
      <c r="O24" s="1088"/>
      <c r="P24" s="1088"/>
      <c r="Q24" s="1088"/>
      <c r="R24" s="1088"/>
      <c r="S24" s="1088"/>
      <c r="T24" s="1107"/>
      <c r="U24" s="1107"/>
      <c r="V24" s="1108"/>
      <c r="W24" s="1025"/>
      <c r="X24" s="989"/>
      <c r="Y24" s="989"/>
      <c r="Z24" s="989"/>
      <c r="AA24" s="989"/>
      <c r="AB24" s="990"/>
      <c r="AC24" s="1093"/>
      <c r="AD24" s="1094"/>
      <c r="AE24" s="1095"/>
      <c r="AF24" s="1103" t="str">
        <f>IFERROR(IF($C24="", "", IF(OR($C24 = "Retrofit existing", $C24 = "Replace in-life equip."), "Total", "Incremental")), "")</f>
        <v/>
      </c>
      <c r="AG24" s="1104"/>
      <c r="AH24" s="999"/>
      <c r="AI24" s="999"/>
      <c r="AJ24" s="1099" t="str">
        <f t="shared" ref="AJ24" si="6">IF(AF24="Incremental",0,"")</f>
        <v/>
      </c>
      <c r="AK24" s="1100"/>
      <c r="AL24" s="1057" t="str">
        <f>IF(OR(C24="",H24="",N24="",T24="",W24="",AC24="",AF24="",AH24="",AJ24=""),"",ROUND(AH24+AJ24,2))</f>
        <v/>
      </c>
      <c r="AM24" s="1058"/>
      <c r="AN24" s="1058"/>
      <c r="AO24" s="1033" t="str">
        <f>IF(OR(C24="",H24="",N24="",T24="",W24="",AC24="",AF24="",AH24="",AJ24=""),"",IF(BC24-BD24&lt;=0,0,ROUND(BC24-BD24,4)))</f>
        <v/>
      </c>
      <c r="AP24" s="1033"/>
      <c r="AQ24" s="1033"/>
      <c r="AR24" s="1064" t="str">
        <f>IF(OR(C24="",H24="",N24="",T24="",W24="",AC24="",AF24="",AH24="",AJ24=""),"",
IF(BN24&lt;&gt;"",BN24,IF(BP24&gt;0,BP24,
IF(AF24="Incremental",
IF(ACTIVEBLOCK="Yes",ROUND(MIN(AL24*INCCOSTCAP,AO24*BLOCKBIDRATE),2),
ROUND(MIN(AL24*INCCOSTCAP,BI24),2)),
IF(ACTIVEBLOCK="Yes",ROUND(MIN(AL24*TOTCOSTCAP,AO24*BLOCKBIDRATE),2),
ROUND(MIN(AL24*TOTCOSTCAP,BI24),2))))))</f>
        <v/>
      </c>
      <c r="AS24" s="1065"/>
      <c r="AT24" s="1065"/>
      <c r="AU24" s="1066"/>
      <c r="AV24" s="44"/>
      <c r="AW24" s="44"/>
      <c r="AX24" s="974" t="str">
        <f>IFERROR(IF(OR(C24="",H24="",N24="",T24="",W24="",AC24="",AF24="",AH24="",AJ24=""),"",
ROUND(((1+ELOSS)*((AO24*INDEX(ELECCB[NPV AEC $/kWh],MATCH(BE24,ELECCB[Year Number],1)))+(BG24*INDEX(ELECCB[NPV ACC $/kW],MATCH(BE24,ELECCB[Year Number],1))))/AL24),2)),0)</f>
        <v/>
      </c>
      <c r="AY24" s="974" t="str">
        <f>IFERROR(AL24/M02S04F06/AO24,"")</f>
        <v/>
      </c>
      <c r="AZ24" s="967" t="str">
        <f>IF(OR(C24="",H24=""),"",INDEX(CMEREFRI[Unit of Measure],MATCH(H24,CMEREFRI[Proj Desc 1],0)))</f>
        <v/>
      </c>
      <c r="BA24" s="980" t="str">
        <f t="shared" ref="BA24" si="7">IF(AO24&lt;&gt;"","Missing!","")</f>
        <v/>
      </c>
      <c r="BB24" s="980" t="str">
        <f t="shared" ref="BB24" si="8">IF(AO24&lt;&gt;"","Missing!","")</f>
        <v/>
      </c>
      <c r="BC24" s="976" t="str">
        <f>IF(OR(C24="",H24="",N24="",T24="",W24="",AC24="",AF24="",AH24="",AJ24=""),"",ROUND(T24,4))</f>
        <v/>
      </c>
      <c r="BD24" s="976" t="str">
        <f>IF(OR(C24="",H24="",N24="",T24="",W24="",AC24="",AF24="",AH24="",AJ24=""),"",ROUND(AC24,4))</f>
        <v/>
      </c>
      <c r="BE24" s="978" t="str">
        <f>IF(OR(C24="",H24=""),"",IF(INDEX(CMEREFRI[EUL],MATCH(H24,CMEREFRI[Proj Desc 1],0))="","",INDEX(CMEREFRI[EUL],MATCH(H24,CMEREFRI[Proj Desc 1],0))))</f>
        <v/>
      </c>
      <c r="BF24" s="980" t="str">
        <f>IF(OR(C24="",H24=""),"",IF(INDEX(CMEREFRI[End Use Category],MATCH(H24,CMEREFRI[Proj Desc 1],0))="","",INDEX(CMEREFRI[End Use Category],MATCH(H24,CMEREFRI[Proj Desc 1],0))))</f>
        <v/>
      </c>
      <c r="BG24" s="972" t="str">
        <f>IFERROR(IF(OR(C24="",H24="",N24="",T24="",W24="",AC24="",AF24="",AH24="",AJ24=""),"",ROUND(AO24*INDEX(ENDUSEALL[Factor],MATCH(BF24,ENDUSEALL[End Use to Coincident Peak Demand Factors],0)),4)),"")</f>
        <v/>
      </c>
      <c r="BH24" s="1091"/>
      <c r="BI24" s="830" t="str">
        <f>IFERROR(ROUND(AO24*BJ24,2),"")</f>
        <v/>
      </c>
      <c r="BJ24" s="963" t="str">
        <f>_xlfn.LET(_xlpm.ROWS,MATCH(BF24,ENDUSEALL[End Use to Coincident Peak Demand Factors],0),IFERROR(INDEX(IF(AND(ACTIVEBONUS = TRUE,INDEX(ENDUSEALL[Bonus Rate ($/kWh)],_xlpm.ROWS)&lt;&gt;""),ENDUSEALL[Bonus Rate ($/kWh)],ENDUSEALL[Rate ($/kWh)]),_xlpm.ROWS),""))</f>
        <v/>
      </c>
      <c r="BK24" s="963"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965" t="str">
        <f>IF(OR(C24="",H24="",N24="",T24="",W24="",AC24="",AF24="",AH24="",AJ24=""),"",IF(BN24&lt;&gt;"",SPILLOVERNUMBER,INDEX(CMEREFRI[Measure Number],MATCH(H24,CMEREFRI[Proj Desc 1],0))))</f>
        <v/>
      </c>
      <c r="BM24" s="966"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967"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830" t="str">
        <f>IFERROR(IF(OR(C24="",H24="",N24="",T24="",W24="",AC24="",AF24="",AH24="",AJ24=""),"",
ROUND(((1+ELOSS)*((AO24*INDEX(ELECCB[NPV AEC $/kWh],MATCH(BE24,ELECCB[Year Number],1)))+(BG24*INDEX(ELECCB[NPV ACC $/kW],MATCH(BE24,ELECCB[Year Number],1))))),2)),0)</f>
        <v/>
      </c>
      <c r="BP24" s="969"/>
    </row>
    <row r="25" spans="1:68" ht="15.95" customHeight="1">
      <c r="A25" s="85"/>
      <c r="B25" s="806"/>
      <c r="C25" s="1020"/>
      <c r="D25" s="1084"/>
      <c r="E25" s="1084"/>
      <c r="F25" s="1084"/>
      <c r="G25" s="1044"/>
      <c r="H25" s="1044"/>
      <c r="I25" s="1015"/>
      <c r="J25" s="1015"/>
      <c r="K25" s="1015"/>
      <c r="L25" s="1015"/>
      <c r="M25" s="1020"/>
      <c r="N25" s="1012"/>
      <c r="O25" s="1013"/>
      <c r="P25" s="1013"/>
      <c r="Q25" s="1013"/>
      <c r="R25" s="1013"/>
      <c r="S25" s="1013"/>
      <c r="T25" s="1109"/>
      <c r="U25" s="1109"/>
      <c r="V25" s="1110"/>
      <c r="W25" s="1026"/>
      <c r="X25" s="992"/>
      <c r="Y25" s="992"/>
      <c r="Z25" s="992"/>
      <c r="AA25" s="992"/>
      <c r="AB25" s="993"/>
      <c r="AC25" s="1096"/>
      <c r="AD25" s="1097"/>
      <c r="AE25" s="1098"/>
      <c r="AF25" s="1105"/>
      <c r="AG25" s="1106"/>
      <c r="AH25" s="999"/>
      <c r="AI25" s="999"/>
      <c r="AJ25" s="1101"/>
      <c r="AK25" s="1102"/>
      <c r="AL25" s="1001"/>
      <c r="AM25" s="1002"/>
      <c r="AN25" s="1002"/>
      <c r="AO25" s="1034"/>
      <c r="AP25" s="1034"/>
      <c r="AQ25" s="1034"/>
      <c r="AR25" s="1067"/>
      <c r="AS25" s="1068"/>
      <c r="AT25" s="1068"/>
      <c r="AU25" s="1069"/>
      <c r="AV25" s="44"/>
      <c r="AW25" s="44"/>
      <c r="AX25" s="982"/>
      <c r="AY25" s="982"/>
      <c r="AZ25" s="983"/>
      <c r="BA25" s="986"/>
      <c r="BB25" s="986"/>
      <c r="BC25" s="984"/>
      <c r="BD25" s="984"/>
      <c r="BE25" s="985"/>
      <c r="BF25" s="986"/>
      <c r="BG25" s="970"/>
      <c r="BH25" s="1092"/>
      <c r="BI25" s="831"/>
      <c r="BJ25" s="830"/>
      <c r="BK25" s="830"/>
      <c r="BL25" s="987"/>
      <c r="BM25" s="967"/>
      <c r="BN25" s="983"/>
      <c r="BO25" s="831"/>
      <c r="BP25" s="981"/>
    </row>
    <row r="26" spans="1:68" ht="15.95" customHeight="1">
      <c r="B26" s="806">
        <v>5</v>
      </c>
      <c r="C26" s="1020"/>
      <c r="D26" s="1084"/>
      <c r="E26" s="1084"/>
      <c r="F26" s="1084"/>
      <c r="G26" s="1044"/>
      <c r="H26" s="1044"/>
      <c r="I26" s="1015"/>
      <c r="J26" s="1015"/>
      <c r="K26" s="1015"/>
      <c r="L26" s="1015"/>
      <c r="M26" s="1020"/>
      <c r="N26" s="1087"/>
      <c r="O26" s="1088"/>
      <c r="P26" s="1088"/>
      <c r="Q26" s="1088"/>
      <c r="R26" s="1088"/>
      <c r="S26" s="1088"/>
      <c r="T26" s="1107"/>
      <c r="U26" s="1107"/>
      <c r="V26" s="1108"/>
      <c r="W26" s="1025"/>
      <c r="X26" s="989"/>
      <c r="Y26" s="989"/>
      <c r="Z26" s="989"/>
      <c r="AA26" s="989"/>
      <c r="AB26" s="990"/>
      <c r="AC26" s="1093"/>
      <c r="AD26" s="1094"/>
      <c r="AE26" s="1095"/>
      <c r="AF26" s="1103" t="str">
        <f>IFERROR(IF($C26="", "", IF(OR($C26 = "Retrofit existing", $C26 = "Replace in-life equip."), "Total", "Incremental")), "")</f>
        <v/>
      </c>
      <c r="AG26" s="1104"/>
      <c r="AH26" s="999"/>
      <c r="AI26" s="999"/>
      <c r="AJ26" s="1099" t="str">
        <f t="shared" ref="AJ26" si="9">IF(AF26="Incremental",0,"")</f>
        <v/>
      </c>
      <c r="AK26" s="1100"/>
      <c r="AL26" s="1057" t="str">
        <f>IF(OR(C26="",H26="",N26="",T26="",W26="",AC26="",AF26="",AH26="",AJ26=""),"",ROUND(AH26+AJ26,2))</f>
        <v/>
      </c>
      <c r="AM26" s="1058"/>
      <c r="AN26" s="1058"/>
      <c r="AO26" s="1033" t="str">
        <f>IF(OR(C26="",H26="",N26="",T26="",W26="",AC26="",AF26="",AH26="",AJ26=""),"",IF(BC26-BD26&lt;=0,0,ROUND(BC26-BD26,4)))</f>
        <v/>
      </c>
      <c r="AP26" s="1033"/>
      <c r="AQ26" s="1033"/>
      <c r="AR26" s="1064" t="str">
        <f>IF(OR(C26="",H26="",N26="",T26="",W26="",AC26="",AF26="",AH26="",AJ26=""),"",
IF(BN26&lt;&gt;"",BN26,IF(BP26&gt;0,BP26,
IF(AF26="Incremental",
IF(ACTIVEBLOCK="Yes",ROUND(MIN(AL26*INCCOSTCAP,AO26*BLOCKBIDRATE),2),
ROUND(MIN(AL26*INCCOSTCAP,BI26),2)),
IF(ACTIVEBLOCK="Yes",ROUND(MIN(AL26*TOTCOSTCAP,AO26*BLOCKBIDRATE),2),
ROUND(MIN(AL26*TOTCOSTCAP,BI26),2))))))</f>
        <v/>
      </c>
      <c r="AS26" s="1065"/>
      <c r="AT26" s="1065"/>
      <c r="AU26" s="1066"/>
      <c r="AV26" s="44"/>
      <c r="AW26" s="44"/>
      <c r="AX26" s="974" t="str">
        <f>IFERROR(IF(OR(C26="",H26="",N26="",T26="",W26="",AC26="",AF26="",AH26="",AJ26=""),"",
ROUND(((1+ELOSS)*((AO26*INDEX(ELECCB[NPV AEC $/kWh],MATCH(BE26,ELECCB[Year Number],1)))+(BG26*INDEX(ELECCB[NPV ACC $/kW],MATCH(BE26,ELECCB[Year Number],1))))/AL26),2)),0)</f>
        <v/>
      </c>
      <c r="AY26" s="974" t="str">
        <f>IFERROR(AL26/M02S04F06/AO26,"")</f>
        <v/>
      </c>
      <c r="AZ26" s="967" t="str">
        <f>IF(OR(C26="",H26=""),"",INDEX(CMEREFRI[Unit of Measure],MATCH(H26,CMEREFRI[Proj Desc 1],0)))</f>
        <v/>
      </c>
      <c r="BA26" s="980" t="str">
        <f t="shared" ref="BA26" si="10">IF(AO26&lt;&gt;"","Missing!","")</f>
        <v/>
      </c>
      <c r="BB26" s="980" t="str">
        <f t="shared" ref="BB26" si="11">IF(AO26&lt;&gt;"","Missing!","")</f>
        <v/>
      </c>
      <c r="BC26" s="976" t="str">
        <f>IF(OR(C26="",H26="",N26="",T26="",W26="",AC26="",AF26="",AH26="",AJ26=""),"",ROUND(T26,4))</f>
        <v/>
      </c>
      <c r="BD26" s="976" t="str">
        <f>IF(OR(C26="",H26="",N26="",T26="",W26="",AC26="",AF26="",AH26="",AJ26=""),"",ROUND(AC26,4))</f>
        <v/>
      </c>
      <c r="BE26" s="978" t="str">
        <f>IF(OR(C26="",H26=""),"",IF(INDEX(CMEREFRI[EUL],MATCH(H26,CMEREFRI[Proj Desc 1],0))="","",INDEX(CMEREFRI[EUL],MATCH(H26,CMEREFRI[Proj Desc 1],0))))</f>
        <v/>
      </c>
      <c r="BF26" s="980" t="str">
        <f>IF(OR(C26="",H26=""),"",IF(INDEX(CMEREFRI[End Use Category],MATCH(H26,CMEREFRI[Proj Desc 1],0))="","",INDEX(CMEREFRI[End Use Category],MATCH(H26,CMEREFRI[Proj Desc 1],0))))</f>
        <v/>
      </c>
      <c r="BG26" s="972" t="str">
        <f>IFERROR(IF(OR(C26="",H26="",N26="",T26="",W26="",AC26="",AF26="",AH26="",AJ26=""),"",ROUND(AO26*INDEX(ENDUSEALL[Factor],MATCH(BF26,ENDUSEALL[End Use to Coincident Peak Demand Factors],0)),4)),"")</f>
        <v/>
      </c>
      <c r="BH26" s="1091"/>
      <c r="BI26" s="830" t="str">
        <f>IFERROR(ROUND(AO26*BJ26,2),"")</f>
        <v/>
      </c>
      <c r="BJ26" s="963" t="str">
        <f>_xlfn.LET(_xlpm.ROWS,MATCH(BF26,ENDUSEALL[End Use to Coincident Peak Demand Factors],0),IFERROR(INDEX(IF(AND(ACTIVEBONUS = TRUE,INDEX(ENDUSEALL[Bonus Rate ($/kWh)],_xlpm.ROWS)&lt;&gt;""),ENDUSEALL[Bonus Rate ($/kWh)],ENDUSEALL[Rate ($/kWh)]),_xlpm.ROWS),""))</f>
        <v/>
      </c>
      <c r="BK26" s="963"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965" t="str">
        <f>IF(OR(C26="",H26="",N26="",T26="",W26="",AC26="",AF26="",AH26="",AJ26=""),"",IF(BN26&lt;&gt;"",SPILLOVERNUMBER,INDEX(CMEREFRI[Measure Number],MATCH(H26,CMEREFRI[Proj Desc 1],0))))</f>
        <v/>
      </c>
      <c r="BM26" s="966"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967" t="str">
        <f ca="1">IFERROR(IF(EXPIRATION&lt;&gt;"",PROJSTATEXP,
IF(BP26&gt;0,"",
IF(BC26-BD26&lt;=0,MEASURESAVE,
IF(OR(M02S04F06="",M02S04F06="Select Rate Code",M02S04F06=0),MEASURERATE,
IF(AND((ISNUMBER(SEARCH("Other",H26))),OR(BE26="",BF26="")),MEASURESUBMIT,
 IF(PAYCUSE&lt;PAYBACKREQ,PROJECTSTATPAYBACK,
IF(CBCUSE&lt;CBREQ,PROJECTSTATCB,""))))))),MEASURESUBMIT)</f>
        <v>Submit for Review</v>
      </c>
      <c r="BO26" s="830" t="str">
        <f>IFERROR(IF(OR(C26="",H26="",N26="",T26="",W26="",AC26="",AF26="",AH26="",AJ26=""),"",
ROUND(((1+ELOSS)*((AO26*INDEX(ELECCB[NPV AEC $/kWh],MATCH(BE26,ELECCB[Year Number],1)))+(BG26*INDEX(ELECCB[NPV ACC $/kW],MATCH(BE26,ELECCB[Year Number],1))))),2)),0)</f>
        <v/>
      </c>
      <c r="BP26" s="969"/>
    </row>
    <row r="27" spans="1:68" ht="15.95" customHeight="1">
      <c r="B27" s="806"/>
      <c r="C27" s="1020"/>
      <c r="D27" s="1084"/>
      <c r="E27" s="1084"/>
      <c r="F27" s="1084"/>
      <c r="G27" s="1044"/>
      <c r="H27" s="1044"/>
      <c r="I27" s="1015"/>
      <c r="J27" s="1015"/>
      <c r="K27" s="1015"/>
      <c r="L27" s="1015"/>
      <c r="M27" s="1020"/>
      <c r="N27" s="1012"/>
      <c r="O27" s="1013"/>
      <c r="P27" s="1013"/>
      <c r="Q27" s="1013"/>
      <c r="R27" s="1013"/>
      <c r="S27" s="1013"/>
      <c r="T27" s="1109"/>
      <c r="U27" s="1109"/>
      <c r="V27" s="1110"/>
      <c r="W27" s="1026"/>
      <c r="X27" s="992"/>
      <c r="Y27" s="992"/>
      <c r="Z27" s="992"/>
      <c r="AA27" s="992"/>
      <c r="AB27" s="993"/>
      <c r="AC27" s="1096"/>
      <c r="AD27" s="1097"/>
      <c r="AE27" s="1098"/>
      <c r="AF27" s="1105"/>
      <c r="AG27" s="1106"/>
      <c r="AH27" s="999"/>
      <c r="AI27" s="999"/>
      <c r="AJ27" s="1101"/>
      <c r="AK27" s="1102"/>
      <c r="AL27" s="1001"/>
      <c r="AM27" s="1002"/>
      <c r="AN27" s="1002"/>
      <c r="AO27" s="1034"/>
      <c r="AP27" s="1034"/>
      <c r="AQ27" s="1034"/>
      <c r="AR27" s="1067"/>
      <c r="AS27" s="1068"/>
      <c r="AT27" s="1068"/>
      <c r="AU27" s="1069"/>
      <c r="AV27" s="44"/>
      <c r="AW27" s="44"/>
      <c r="AX27" s="982"/>
      <c r="AY27" s="982"/>
      <c r="AZ27" s="983"/>
      <c r="BA27" s="986"/>
      <c r="BB27" s="986"/>
      <c r="BC27" s="984"/>
      <c r="BD27" s="984"/>
      <c r="BE27" s="985"/>
      <c r="BF27" s="986"/>
      <c r="BG27" s="970"/>
      <c r="BH27" s="1092"/>
      <c r="BI27" s="831"/>
      <c r="BJ27" s="830"/>
      <c r="BK27" s="830"/>
      <c r="BL27" s="987"/>
      <c r="BM27" s="967"/>
      <c r="BN27" s="983"/>
      <c r="BO27" s="831"/>
      <c r="BP27" s="981"/>
    </row>
    <row r="28" spans="1:68" ht="15.95" customHeight="1">
      <c r="B28" s="806">
        <v>6</v>
      </c>
      <c r="C28" s="1020"/>
      <c r="D28" s="1084"/>
      <c r="E28" s="1084"/>
      <c r="F28" s="1084"/>
      <c r="G28" s="1044"/>
      <c r="H28" s="1044"/>
      <c r="I28" s="1015"/>
      <c r="J28" s="1015"/>
      <c r="K28" s="1015"/>
      <c r="L28" s="1015"/>
      <c r="M28" s="1020"/>
      <c r="N28" s="1087"/>
      <c r="O28" s="1088"/>
      <c r="P28" s="1088"/>
      <c r="Q28" s="1088"/>
      <c r="R28" s="1088"/>
      <c r="S28" s="1088"/>
      <c r="T28" s="1107"/>
      <c r="U28" s="1107"/>
      <c r="V28" s="1108"/>
      <c r="W28" s="1025"/>
      <c r="X28" s="989"/>
      <c r="Y28" s="989"/>
      <c r="Z28" s="989"/>
      <c r="AA28" s="989"/>
      <c r="AB28" s="990"/>
      <c r="AC28" s="1093"/>
      <c r="AD28" s="1094"/>
      <c r="AE28" s="1095"/>
      <c r="AF28" s="1103" t="str">
        <f>IFERROR(IF($C28="", "", IF(OR($C28 = "Retrofit existing", $C28 = "Replace in-life equip."), "Total", "Incremental")), "")</f>
        <v/>
      </c>
      <c r="AG28" s="1104"/>
      <c r="AH28" s="999"/>
      <c r="AI28" s="999"/>
      <c r="AJ28" s="1099" t="str">
        <f t="shared" ref="AJ28" si="12">IF(AF28="Incremental",0,"")</f>
        <v/>
      </c>
      <c r="AK28" s="1100"/>
      <c r="AL28" s="1057" t="str">
        <f>IF(OR(C28="",H28="",N28="",T28="",W28="",AC28="",AF28="",AH28="",AJ28=""),"",ROUND(AH28+AJ28,2))</f>
        <v/>
      </c>
      <c r="AM28" s="1058"/>
      <c r="AN28" s="1058"/>
      <c r="AO28" s="1033" t="str">
        <f>IF(OR(C28="",H28="",N28="",T28="",W28="",AC28="",AF28="",AH28="",AJ28=""),"",IF(BC28-BD28&lt;=0,0,ROUND(BC28-BD28,4)))</f>
        <v/>
      </c>
      <c r="AP28" s="1033"/>
      <c r="AQ28" s="1033"/>
      <c r="AR28" s="1064" t="str">
        <f>IF(OR(C28="",H28="",N28="",T28="",W28="",AC28="",AF28="",AH28="",AJ28=""),"",
IF(BN28&lt;&gt;"",BN28,IF(BP28&gt;0,BP28,
IF(AF28="Incremental",
IF(ACTIVEBLOCK="Yes",ROUND(MIN(AL28*INCCOSTCAP,AO28*BLOCKBIDRATE),2),
ROUND(MIN(AL28*INCCOSTCAP,BI28),2)),
IF(ACTIVEBLOCK="Yes",ROUND(MIN(AL28*TOTCOSTCAP,AO28*BLOCKBIDRATE),2),
ROUND(MIN(AL28*TOTCOSTCAP,BI28),2))))))</f>
        <v/>
      </c>
      <c r="AS28" s="1065"/>
      <c r="AT28" s="1065"/>
      <c r="AU28" s="1066"/>
      <c r="AV28" s="44"/>
      <c r="AW28" s="44"/>
      <c r="AX28" s="974" t="str">
        <f>IFERROR(IF(OR(C28="",H28="",N28="",T28="",W28="",AC28="",AF28="",AH28="",AJ28=""),"",
ROUND(((1+ELOSS)*((AO28*INDEX(ELECCB[NPV AEC $/kWh],MATCH(BE28,ELECCB[Year Number],1)))+(BG28*INDEX(ELECCB[NPV ACC $/kW],MATCH(BE28,ELECCB[Year Number],1))))/AL28),2)),0)</f>
        <v/>
      </c>
      <c r="AY28" s="974" t="str">
        <f>IFERROR(AL28/M02S04F06/AO28,"")</f>
        <v/>
      </c>
      <c r="AZ28" s="967" t="str">
        <f>IF(OR(C28="",H28=""),"",INDEX(CMEREFRI[Unit of Measure],MATCH(H28,CMEREFRI[Proj Desc 1],0)))</f>
        <v/>
      </c>
      <c r="BA28" s="980" t="str">
        <f t="shared" ref="BA28" si="13">IF(AO28&lt;&gt;"","Missing!","")</f>
        <v/>
      </c>
      <c r="BB28" s="980" t="str">
        <f t="shared" ref="BB28" si="14">IF(AO28&lt;&gt;"","Missing!","")</f>
        <v/>
      </c>
      <c r="BC28" s="976" t="str">
        <f>IF(OR(C28="",H28="",N28="",T28="",W28="",AC28="",AF28="",AH28="",AJ28=""),"",ROUND(T28,4))</f>
        <v/>
      </c>
      <c r="BD28" s="976" t="str">
        <f>IF(OR(C28="",H28="",N28="",T28="",W28="",AC28="",AF28="",AH28="",AJ28=""),"",ROUND(AC28,4))</f>
        <v/>
      </c>
      <c r="BE28" s="978" t="str">
        <f>IF(OR(C28="",H28=""),"",IF(INDEX(CMEREFRI[EUL],MATCH(H28,CMEREFRI[Proj Desc 1],0))="","",INDEX(CMEREFRI[EUL],MATCH(H28,CMEREFRI[Proj Desc 1],0))))</f>
        <v/>
      </c>
      <c r="BF28" s="980" t="str">
        <f>IF(OR(C28="",H28=""),"",IF(INDEX(CMEREFRI[End Use Category],MATCH(H28,CMEREFRI[Proj Desc 1],0))="","",INDEX(CMEREFRI[End Use Category],MATCH(H28,CMEREFRI[Proj Desc 1],0))))</f>
        <v/>
      </c>
      <c r="BG28" s="972" t="str">
        <f>IFERROR(IF(OR(C28="",H28="",N28="",T28="",W28="",AC28="",AF28="",AH28="",AJ28=""),"",ROUND(AO28*INDEX(ENDUSEALL[Factor],MATCH(BF28,ENDUSEALL[End Use to Coincident Peak Demand Factors],0)),4)),"")</f>
        <v/>
      </c>
      <c r="BH28" s="1091"/>
      <c r="BI28" s="830" t="str">
        <f>IFERROR(ROUND(AO28*BJ28,2),"")</f>
        <v/>
      </c>
      <c r="BJ28" s="963" t="str">
        <f>_xlfn.LET(_xlpm.ROWS,MATCH(BF28,ENDUSEALL[End Use to Coincident Peak Demand Factors],0),IFERROR(INDEX(IF(AND(ACTIVEBONUS = TRUE,INDEX(ENDUSEALL[Bonus Rate ($/kWh)],_xlpm.ROWS)&lt;&gt;""),ENDUSEALL[Bonus Rate ($/kWh)],ENDUSEALL[Rate ($/kWh)]),_xlpm.ROWS),""))</f>
        <v/>
      </c>
      <c r="BK28" s="963"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965" t="str">
        <f>IF(OR(C28="",H28="",N28="",T28="",W28="",AC28="",AF28="",AH28="",AJ28=""),"",IF(BN28&lt;&gt;"",SPILLOVERNUMBER,INDEX(CMEREFRI[Measure Number],MATCH(H28,CMEREFRI[Proj Desc 1],0))))</f>
        <v/>
      </c>
      <c r="BM28" s="966"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967" t="str">
        <f ca="1">IFERROR(IF(EXPIRATION&lt;&gt;"",PROJSTATEXP,
IF(BP28&gt;0,"",
IF(BC28-BD28&lt;=0,MEASURESAVE,
IF(OR(M02S04F06="",M02S04F06="Select Rate Code",M02S04F06=0),MEASURERATE,
IF(AND((ISNUMBER(SEARCH("Other",H28))),OR(BE28="",BF28="")),MEASURESUBMIT,
 IF(PAYCUSE&lt;PAYBACKREQ,PROJECTSTATPAYBACK,
IF(CBCUSE&lt;CBREQ,PROJECTSTATCB,""))))))),MEASURESUBMIT)</f>
        <v>Submit for Review</v>
      </c>
      <c r="BO28" s="830" t="str">
        <f>IFERROR(IF(OR(C28="",H28="",N28="",T28="",W28="",AC28="",AF28="",AH28="",AJ28=""),"",
ROUND(((1+ELOSS)*((AO28*INDEX(ELECCB[NPV AEC $/kWh],MATCH(BE28,ELECCB[Year Number],1)))+(BG28*INDEX(ELECCB[NPV ACC $/kW],MATCH(BE28,ELECCB[Year Number],1))))),2)),0)</f>
        <v/>
      </c>
      <c r="BP28" s="969"/>
    </row>
    <row r="29" spans="1:68" ht="15.95" customHeight="1">
      <c r="B29" s="806"/>
      <c r="C29" s="1020"/>
      <c r="D29" s="1084"/>
      <c r="E29" s="1084"/>
      <c r="F29" s="1084"/>
      <c r="G29" s="1044"/>
      <c r="H29" s="1044"/>
      <c r="I29" s="1015"/>
      <c r="J29" s="1015"/>
      <c r="K29" s="1015"/>
      <c r="L29" s="1015"/>
      <c r="M29" s="1020"/>
      <c r="N29" s="1012"/>
      <c r="O29" s="1013"/>
      <c r="P29" s="1013"/>
      <c r="Q29" s="1013"/>
      <c r="R29" s="1013"/>
      <c r="S29" s="1013"/>
      <c r="T29" s="1109"/>
      <c r="U29" s="1109"/>
      <c r="V29" s="1110"/>
      <c r="W29" s="1026"/>
      <c r="X29" s="992"/>
      <c r="Y29" s="992"/>
      <c r="Z29" s="992"/>
      <c r="AA29" s="992"/>
      <c r="AB29" s="993"/>
      <c r="AC29" s="1096"/>
      <c r="AD29" s="1097"/>
      <c r="AE29" s="1098"/>
      <c r="AF29" s="1105"/>
      <c r="AG29" s="1106"/>
      <c r="AH29" s="999"/>
      <c r="AI29" s="999"/>
      <c r="AJ29" s="1101"/>
      <c r="AK29" s="1102"/>
      <c r="AL29" s="1001"/>
      <c r="AM29" s="1002"/>
      <c r="AN29" s="1002"/>
      <c r="AO29" s="1034"/>
      <c r="AP29" s="1034"/>
      <c r="AQ29" s="1034"/>
      <c r="AR29" s="1067"/>
      <c r="AS29" s="1068"/>
      <c r="AT29" s="1068"/>
      <c r="AU29" s="1069"/>
      <c r="AV29" s="44"/>
      <c r="AW29" s="44"/>
      <c r="AX29" s="982"/>
      <c r="AY29" s="982"/>
      <c r="AZ29" s="983"/>
      <c r="BA29" s="986"/>
      <c r="BB29" s="986"/>
      <c r="BC29" s="984"/>
      <c r="BD29" s="984"/>
      <c r="BE29" s="985"/>
      <c r="BF29" s="986"/>
      <c r="BG29" s="970"/>
      <c r="BH29" s="1092"/>
      <c r="BI29" s="831"/>
      <c r="BJ29" s="830"/>
      <c r="BK29" s="830"/>
      <c r="BL29" s="987"/>
      <c r="BM29" s="967"/>
      <c r="BN29" s="983"/>
      <c r="BO29" s="831"/>
      <c r="BP29" s="981"/>
    </row>
    <row r="30" spans="1:68" ht="15.95" customHeight="1">
      <c r="B30" s="806">
        <v>7</v>
      </c>
      <c r="C30" s="1020"/>
      <c r="D30" s="1084"/>
      <c r="E30" s="1084"/>
      <c r="F30" s="1084"/>
      <c r="G30" s="1044"/>
      <c r="H30" s="1044"/>
      <c r="I30" s="1015"/>
      <c r="J30" s="1015"/>
      <c r="K30" s="1015"/>
      <c r="L30" s="1015"/>
      <c r="M30" s="1020"/>
      <c r="N30" s="1087"/>
      <c r="O30" s="1088"/>
      <c r="P30" s="1088"/>
      <c r="Q30" s="1088"/>
      <c r="R30" s="1088"/>
      <c r="S30" s="1088"/>
      <c r="T30" s="1107"/>
      <c r="U30" s="1107"/>
      <c r="V30" s="1108"/>
      <c r="W30" s="1025"/>
      <c r="X30" s="989"/>
      <c r="Y30" s="989"/>
      <c r="Z30" s="989"/>
      <c r="AA30" s="989"/>
      <c r="AB30" s="990"/>
      <c r="AC30" s="1093"/>
      <c r="AD30" s="1094"/>
      <c r="AE30" s="1095"/>
      <c r="AF30" s="1103" t="str">
        <f>IFERROR(IF($C30="", "", IF(OR($C30 = "Retrofit existing", $C30 = "Replace in-life equip."), "Total", "Incremental")), "")</f>
        <v/>
      </c>
      <c r="AG30" s="1104"/>
      <c r="AH30" s="999"/>
      <c r="AI30" s="999"/>
      <c r="AJ30" s="1099" t="str">
        <f t="shared" ref="AJ30" si="15">IF(AF30="Incremental",0,"")</f>
        <v/>
      </c>
      <c r="AK30" s="1100"/>
      <c r="AL30" s="1057" t="str">
        <f>IF(OR(C30="",H30="",N30="",T30="",W30="",AC30="",AF30="",AH30="",AJ30=""),"",ROUND(AH30+AJ30,2))</f>
        <v/>
      </c>
      <c r="AM30" s="1058"/>
      <c r="AN30" s="1058"/>
      <c r="AO30" s="1033" t="str">
        <f>IF(OR(C30="",H30="",N30="",T30="",W30="",AC30="",AF30="",AH30="",AJ30=""),"",IF(BC30-BD30&lt;=0,0,ROUND(BC30-BD30,4)))</f>
        <v/>
      </c>
      <c r="AP30" s="1033"/>
      <c r="AQ30" s="1033"/>
      <c r="AR30" s="1064" t="str">
        <f>IF(OR(C30="",H30="",N30="",T30="",W30="",AC30="",AF30="",AH30="",AJ30=""),"",
IF(BN30&lt;&gt;"",BN30,IF(BP30&gt;0,BP30,
IF(AF30="Incremental",
IF(ACTIVEBLOCK="Yes",ROUND(MIN(AL30*INCCOSTCAP,AO30*BLOCKBIDRATE),2),
ROUND(MIN(AL30*INCCOSTCAP,BI30),2)),
IF(ACTIVEBLOCK="Yes",ROUND(MIN(AL30*TOTCOSTCAP,AO30*BLOCKBIDRATE),2),
ROUND(MIN(AL30*TOTCOSTCAP,BI30),2))))))</f>
        <v/>
      </c>
      <c r="AS30" s="1065"/>
      <c r="AT30" s="1065"/>
      <c r="AU30" s="1066"/>
      <c r="AV30" s="44"/>
      <c r="AW30" s="44"/>
      <c r="AX30" s="974" t="str">
        <f>IFERROR(IF(OR(C30="",H30="",N30="",T30="",W30="",AC30="",AF30="",AH30="",AJ30=""),"",
ROUND(((1+ELOSS)*((AO30*INDEX(ELECCB[NPV AEC $/kWh],MATCH(BE30,ELECCB[Year Number],1)))+(BG30*INDEX(ELECCB[NPV ACC $/kW],MATCH(BE30,ELECCB[Year Number],1))))/AL30),2)),0)</f>
        <v/>
      </c>
      <c r="AY30" s="974" t="str">
        <f>IFERROR(AL30/M02S04F06/AO30,"")</f>
        <v/>
      </c>
      <c r="AZ30" s="967" t="str">
        <f>IF(OR(C30="",H30=""),"",INDEX(CMEREFRI[Unit of Measure],MATCH(H30,CMEREFRI[Proj Desc 1],0)))</f>
        <v/>
      </c>
      <c r="BA30" s="980" t="str">
        <f t="shared" ref="BA30" si="16">IF(AO30&lt;&gt;"","Missing!","")</f>
        <v/>
      </c>
      <c r="BB30" s="980" t="str">
        <f t="shared" ref="BB30" si="17">IF(AO30&lt;&gt;"","Missing!","")</f>
        <v/>
      </c>
      <c r="BC30" s="976" t="str">
        <f>IF(OR(C30="",H30="",N30="",T30="",W30="",AC30="",AF30="",AH30="",AJ30=""),"",ROUND(T30,4))</f>
        <v/>
      </c>
      <c r="BD30" s="976" t="str">
        <f>IF(OR(C30="",H30="",N30="",T30="",W30="",AC30="",AF30="",AH30="",AJ30=""),"",ROUND(AC30,4))</f>
        <v/>
      </c>
      <c r="BE30" s="978" t="str">
        <f>IF(OR(C30="",H30=""),"",IF(INDEX(CMEREFRI[EUL],MATCH(H30,CMEREFRI[Proj Desc 1],0))="","",INDEX(CMEREFRI[EUL],MATCH(H30,CMEREFRI[Proj Desc 1],0))))</f>
        <v/>
      </c>
      <c r="BF30" s="980" t="str">
        <f>IF(OR(C30="",H30=""),"",IF(INDEX(CMEREFRI[End Use Category],MATCH(H30,CMEREFRI[Proj Desc 1],0))="","",INDEX(CMEREFRI[End Use Category],MATCH(H30,CMEREFRI[Proj Desc 1],0))))</f>
        <v/>
      </c>
      <c r="BG30" s="972" t="str">
        <f>IFERROR(IF(OR(C30="",H30="",N30="",T30="",W30="",AC30="",AF30="",AH30="",AJ30=""),"",ROUND(AO30*INDEX(ENDUSEALL[Factor],MATCH(BF30,ENDUSEALL[End Use to Coincident Peak Demand Factors],0)),4)),"")</f>
        <v/>
      </c>
      <c r="BH30" s="1091"/>
      <c r="BI30" s="830" t="str">
        <f>IFERROR(ROUND(AO30*BJ30,2),"")</f>
        <v/>
      </c>
      <c r="BJ30" s="963" t="str">
        <f>_xlfn.LET(_xlpm.ROWS,MATCH(BF30,ENDUSEALL[End Use to Coincident Peak Demand Factors],0),IFERROR(INDEX(IF(AND(ACTIVEBONUS = TRUE,INDEX(ENDUSEALL[Bonus Rate ($/kWh)],_xlpm.ROWS)&lt;&gt;""),ENDUSEALL[Bonus Rate ($/kWh)],ENDUSEALL[Rate ($/kWh)]),_xlpm.ROWS),""))</f>
        <v/>
      </c>
      <c r="BK30" s="963"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965" t="str">
        <f>IF(OR(C30="",H30="",N30="",T30="",W30="",AC30="",AF30="",AH30="",AJ30=""),"",IF(BN30&lt;&gt;"",SPILLOVERNUMBER,INDEX(CMEREFRI[Measure Number],MATCH(H30,CMEREFRI[Proj Desc 1],0))))</f>
        <v/>
      </c>
      <c r="BM30" s="966"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967" t="str">
        <f ca="1">IFERROR(IF(EXPIRATION&lt;&gt;"",PROJSTATEXP,
IF(BP30&gt;0,"",
IF(BC30-BD30&lt;=0,MEASURESAVE,
IF(OR(M02S04F06="",M02S04F06="Select Rate Code",M02S04F06=0),MEASURERATE,
IF(AND((ISNUMBER(SEARCH("Other",H30))),OR(BE30="",BF30="")),MEASURESUBMIT,
 IF(PAYCUSE&lt;PAYBACKREQ,PROJECTSTATPAYBACK,
IF(CBCUSE&lt;CBREQ,PROJECTSTATCB,""))))))),MEASURESUBMIT)</f>
        <v>Submit for Review</v>
      </c>
      <c r="BO30" s="830" t="str">
        <f>IFERROR(IF(OR(C30="",H30="",N30="",T30="",W30="",AC30="",AF30="",AH30="",AJ30=""),"",
ROUND(((1+ELOSS)*((AO30*INDEX(ELECCB[NPV AEC $/kWh],MATCH(BE30,ELECCB[Year Number],1)))+(BG30*INDEX(ELECCB[NPV ACC $/kW],MATCH(BE30,ELECCB[Year Number],1))))),2)),0)</f>
        <v/>
      </c>
      <c r="BP30" s="969"/>
    </row>
    <row r="31" spans="1:68" ht="15.95" customHeight="1">
      <c r="B31" s="806"/>
      <c r="C31" s="1020"/>
      <c r="D31" s="1084"/>
      <c r="E31" s="1084"/>
      <c r="F31" s="1084"/>
      <c r="G31" s="1044"/>
      <c r="H31" s="1044"/>
      <c r="I31" s="1015"/>
      <c r="J31" s="1015"/>
      <c r="K31" s="1015"/>
      <c r="L31" s="1015"/>
      <c r="M31" s="1020"/>
      <c r="N31" s="1012"/>
      <c r="O31" s="1013"/>
      <c r="P31" s="1013"/>
      <c r="Q31" s="1013"/>
      <c r="R31" s="1013"/>
      <c r="S31" s="1013"/>
      <c r="T31" s="1109"/>
      <c r="U31" s="1109"/>
      <c r="V31" s="1110"/>
      <c r="W31" s="1026"/>
      <c r="X31" s="992"/>
      <c r="Y31" s="992"/>
      <c r="Z31" s="992"/>
      <c r="AA31" s="992"/>
      <c r="AB31" s="993"/>
      <c r="AC31" s="1096"/>
      <c r="AD31" s="1097"/>
      <c r="AE31" s="1098"/>
      <c r="AF31" s="1105"/>
      <c r="AG31" s="1106"/>
      <c r="AH31" s="999"/>
      <c r="AI31" s="999"/>
      <c r="AJ31" s="1101"/>
      <c r="AK31" s="1102"/>
      <c r="AL31" s="1001"/>
      <c r="AM31" s="1002"/>
      <c r="AN31" s="1002"/>
      <c r="AO31" s="1034"/>
      <c r="AP31" s="1034"/>
      <c r="AQ31" s="1034"/>
      <c r="AR31" s="1067"/>
      <c r="AS31" s="1068"/>
      <c r="AT31" s="1068"/>
      <c r="AU31" s="1069"/>
      <c r="AV31" s="44"/>
      <c r="AW31" s="44"/>
      <c r="AX31" s="982"/>
      <c r="AY31" s="982"/>
      <c r="AZ31" s="983"/>
      <c r="BA31" s="986"/>
      <c r="BB31" s="986"/>
      <c r="BC31" s="984"/>
      <c r="BD31" s="984"/>
      <c r="BE31" s="985"/>
      <c r="BF31" s="986"/>
      <c r="BG31" s="970"/>
      <c r="BH31" s="1092"/>
      <c r="BI31" s="831"/>
      <c r="BJ31" s="830"/>
      <c r="BK31" s="830"/>
      <c r="BL31" s="987"/>
      <c r="BM31" s="967"/>
      <c r="BN31" s="983"/>
      <c r="BO31" s="831"/>
      <c r="BP31" s="981"/>
    </row>
    <row r="32" spans="1:68" ht="15.95" customHeight="1">
      <c r="B32" s="806">
        <v>8</v>
      </c>
      <c r="C32" s="1020"/>
      <c r="D32" s="1084"/>
      <c r="E32" s="1084"/>
      <c r="F32" s="1084"/>
      <c r="G32" s="1044"/>
      <c r="H32" s="1044"/>
      <c r="I32" s="1015"/>
      <c r="J32" s="1015"/>
      <c r="K32" s="1015"/>
      <c r="L32" s="1015"/>
      <c r="M32" s="1020"/>
      <c r="N32" s="1087"/>
      <c r="O32" s="1088"/>
      <c r="P32" s="1088"/>
      <c r="Q32" s="1088"/>
      <c r="R32" s="1088"/>
      <c r="S32" s="1088"/>
      <c r="T32" s="1107"/>
      <c r="U32" s="1107"/>
      <c r="V32" s="1108"/>
      <c r="W32" s="1025"/>
      <c r="X32" s="989"/>
      <c r="Y32" s="989"/>
      <c r="Z32" s="989"/>
      <c r="AA32" s="989"/>
      <c r="AB32" s="990"/>
      <c r="AC32" s="1093"/>
      <c r="AD32" s="1094"/>
      <c r="AE32" s="1095"/>
      <c r="AF32" s="1103" t="str">
        <f>IFERROR(IF($C32="", "", IF(OR($C32 = "Retrofit existing", $C32 = "Replace in-life equip."), "Total", "Incremental")), "")</f>
        <v/>
      </c>
      <c r="AG32" s="1104"/>
      <c r="AH32" s="999"/>
      <c r="AI32" s="999"/>
      <c r="AJ32" s="1099" t="str">
        <f t="shared" ref="AJ32" si="18">IF(AF32="Incremental",0,"")</f>
        <v/>
      </c>
      <c r="AK32" s="1100"/>
      <c r="AL32" s="1057" t="str">
        <f>IF(OR(C32="",H32="",N32="",T32="",W32="",AC32="",AF32="",AH32="",AJ32=""),"",ROUND(AH32+AJ32,2))</f>
        <v/>
      </c>
      <c r="AM32" s="1058"/>
      <c r="AN32" s="1058"/>
      <c r="AO32" s="1033" t="str">
        <f>IF(OR(C32="",H32="",N32="",T32="",W32="",AC32="",AF32="",AH32="",AJ32=""),"",IF(BC32-BD32&lt;=0,0,ROUND(BC32-BD32,4)))</f>
        <v/>
      </c>
      <c r="AP32" s="1033"/>
      <c r="AQ32" s="1033"/>
      <c r="AR32" s="1064" t="str">
        <f>IF(OR(C32="",H32="",N32="",T32="",W32="",AC32="",AF32="",AH32="",AJ32=""),"",
IF(BN32&lt;&gt;"",BN32,IF(BP32&gt;0,BP32,
IF(AF32="Incremental",
IF(ACTIVEBLOCK="Yes",ROUND(MIN(AL32*INCCOSTCAP,AO32*BLOCKBIDRATE),2),
ROUND(MIN(AL32*INCCOSTCAP,BI32),2)),
IF(ACTIVEBLOCK="Yes",ROUND(MIN(AL32*TOTCOSTCAP,AO32*BLOCKBIDRATE),2),
ROUND(MIN(AL32*TOTCOSTCAP,BI32),2))))))</f>
        <v/>
      </c>
      <c r="AS32" s="1065"/>
      <c r="AT32" s="1065"/>
      <c r="AU32" s="1066"/>
      <c r="AV32" s="44"/>
      <c r="AW32" s="44"/>
      <c r="AX32" s="974" t="str">
        <f>IFERROR(IF(OR(C32="",H32="",N32="",T32="",W32="",AC32="",AF32="",AH32="",AJ32=""),"",
ROUND(((1+ELOSS)*((AO32*INDEX(ELECCB[NPV AEC $/kWh],MATCH(BE32,ELECCB[Year Number],1)))+(BG32*INDEX(ELECCB[NPV ACC $/kW],MATCH(BE32,ELECCB[Year Number],1))))/AL32),2)),0)</f>
        <v/>
      </c>
      <c r="AY32" s="974" t="str">
        <f>IFERROR(AL32/M02S04F06/AO32,"")</f>
        <v/>
      </c>
      <c r="AZ32" s="967" t="str">
        <f>IF(OR(C32="",H32=""),"",INDEX(CMEREFRI[Unit of Measure],MATCH(H32,CMEREFRI[Proj Desc 1],0)))</f>
        <v/>
      </c>
      <c r="BA32" s="980" t="str">
        <f t="shared" ref="BA32" si="19">IF(AO32&lt;&gt;"","Missing!","")</f>
        <v/>
      </c>
      <c r="BB32" s="980" t="str">
        <f t="shared" ref="BB32" si="20">IF(AO32&lt;&gt;"","Missing!","")</f>
        <v/>
      </c>
      <c r="BC32" s="976" t="str">
        <f>IF(OR(C32="",H32="",N32="",T32="",W32="",AC32="",AF32="",AH32="",AJ32=""),"",ROUND(T32,4))</f>
        <v/>
      </c>
      <c r="BD32" s="976" t="str">
        <f>IF(OR(C32="",H32="",N32="",T32="",W32="",AC32="",AF32="",AH32="",AJ32=""),"",ROUND(AC32,4))</f>
        <v/>
      </c>
      <c r="BE32" s="978" t="str">
        <f>IF(OR(C32="",H32=""),"",IF(INDEX(CMEREFRI[EUL],MATCH(H32,CMEREFRI[Proj Desc 1],0))="","",INDEX(CMEREFRI[EUL],MATCH(H32,CMEREFRI[Proj Desc 1],0))))</f>
        <v/>
      </c>
      <c r="BF32" s="980" t="str">
        <f>IF(OR(C32="",H32=""),"",IF(INDEX(CMEREFRI[End Use Category],MATCH(H32,CMEREFRI[Proj Desc 1],0))="","",INDEX(CMEREFRI[End Use Category],MATCH(H32,CMEREFRI[Proj Desc 1],0))))</f>
        <v/>
      </c>
      <c r="BG32" s="972" t="str">
        <f>IFERROR(IF(OR(C32="",H32="",N32="",T32="",W32="",AC32="",AF32="",AH32="",AJ32=""),"",ROUND(AO32*INDEX(ENDUSEALL[Factor],MATCH(BF32,ENDUSEALL[End Use to Coincident Peak Demand Factors],0)),4)),"")</f>
        <v/>
      </c>
      <c r="BH32" s="1091"/>
      <c r="BI32" s="830" t="str">
        <f>IFERROR(ROUND(AO32*BJ32,2),"")</f>
        <v/>
      </c>
      <c r="BJ32" s="963" t="str">
        <f>_xlfn.LET(_xlpm.ROWS,MATCH(BF32,ENDUSEALL[End Use to Coincident Peak Demand Factors],0),IFERROR(INDEX(IF(AND(ACTIVEBONUS = TRUE,INDEX(ENDUSEALL[Bonus Rate ($/kWh)],_xlpm.ROWS)&lt;&gt;""),ENDUSEALL[Bonus Rate ($/kWh)],ENDUSEALL[Rate ($/kWh)]),_xlpm.ROWS),""))</f>
        <v/>
      </c>
      <c r="BK32" s="963"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965" t="str">
        <f>IF(OR(C32="",H32="",N32="",T32="",W32="",AC32="",AF32="",AH32="",AJ32=""),"",IF(BN32&lt;&gt;"",SPILLOVERNUMBER,INDEX(CMEREFRI[Measure Number],MATCH(H32,CMEREFRI[Proj Desc 1],0))))</f>
        <v/>
      </c>
      <c r="BM32" s="966"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967" t="str">
        <f ca="1">IFERROR(IF(EXPIRATION&lt;&gt;"",PROJSTATEXP,
IF(BP32&gt;0,"",
IF(BC32-BD32&lt;=0,MEASURESAVE,
IF(OR(M02S04F06="",M02S04F06="Select Rate Code",M02S04F06=0),MEASURERATE,
IF(AND((ISNUMBER(SEARCH("Other",H32))),OR(BE32="",BF32="")),MEASURESUBMIT,
 IF(PAYCUSE&lt;PAYBACKREQ,PROJECTSTATPAYBACK,
IF(CBCUSE&lt;CBREQ,PROJECTSTATCB,""))))))),MEASURESUBMIT)</f>
        <v>Submit for Review</v>
      </c>
      <c r="BO32" s="830" t="str">
        <f>IFERROR(IF(OR(C32="",H32="",N32="",T32="",W32="",AC32="",AF32="",AH32="",AJ32=""),"",
ROUND(((1+ELOSS)*((AO32*INDEX(ELECCB[NPV AEC $/kWh],MATCH(BE32,ELECCB[Year Number],1)))+(BG32*INDEX(ELECCB[NPV ACC $/kW],MATCH(BE32,ELECCB[Year Number],1))))),2)),0)</f>
        <v/>
      </c>
      <c r="BP32" s="969"/>
    </row>
    <row r="33" spans="2:68" ht="15.95" customHeight="1">
      <c r="B33" s="806"/>
      <c r="C33" s="1020"/>
      <c r="D33" s="1084"/>
      <c r="E33" s="1084"/>
      <c r="F33" s="1084"/>
      <c r="G33" s="1044"/>
      <c r="H33" s="1044"/>
      <c r="I33" s="1015"/>
      <c r="J33" s="1015"/>
      <c r="K33" s="1015"/>
      <c r="L33" s="1015"/>
      <c r="M33" s="1020"/>
      <c r="N33" s="1012"/>
      <c r="O33" s="1013"/>
      <c r="P33" s="1013"/>
      <c r="Q33" s="1013"/>
      <c r="R33" s="1013"/>
      <c r="S33" s="1013"/>
      <c r="T33" s="1109"/>
      <c r="U33" s="1109"/>
      <c r="V33" s="1110"/>
      <c r="W33" s="1026"/>
      <c r="X33" s="992"/>
      <c r="Y33" s="992"/>
      <c r="Z33" s="992"/>
      <c r="AA33" s="992"/>
      <c r="AB33" s="993"/>
      <c r="AC33" s="1096"/>
      <c r="AD33" s="1097"/>
      <c r="AE33" s="1098"/>
      <c r="AF33" s="1105"/>
      <c r="AG33" s="1106"/>
      <c r="AH33" s="999"/>
      <c r="AI33" s="999"/>
      <c r="AJ33" s="1101"/>
      <c r="AK33" s="1102"/>
      <c r="AL33" s="1001"/>
      <c r="AM33" s="1002"/>
      <c r="AN33" s="1002"/>
      <c r="AO33" s="1034"/>
      <c r="AP33" s="1034"/>
      <c r="AQ33" s="1034"/>
      <c r="AR33" s="1067"/>
      <c r="AS33" s="1068"/>
      <c r="AT33" s="1068"/>
      <c r="AU33" s="1069"/>
      <c r="AV33" s="44"/>
      <c r="AW33" s="44"/>
      <c r="AX33" s="982"/>
      <c r="AY33" s="982"/>
      <c r="AZ33" s="983"/>
      <c r="BA33" s="986"/>
      <c r="BB33" s="986"/>
      <c r="BC33" s="984"/>
      <c r="BD33" s="984"/>
      <c r="BE33" s="985"/>
      <c r="BF33" s="986"/>
      <c r="BG33" s="970"/>
      <c r="BH33" s="1092"/>
      <c r="BI33" s="831"/>
      <c r="BJ33" s="830"/>
      <c r="BK33" s="830"/>
      <c r="BL33" s="987"/>
      <c r="BM33" s="967"/>
      <c r="BN33" s="983"/>
      <c r="BO33" s="831"/>
      <c r="BP33" s="981"/>
    </row>
    <row r="34" spans="2:68" ht="15.95" customHeight="1">
      <c r="B34" s="806">
        <v>9</v>
      </c>
      <c r="C34" s="1020"/>
      <c r="D34" s="1084"/>
      <c r="E34" s="1084"/>
      <c r="F34" s="1084"/>
      <c r="G34" s="1044"/>
      <c r="H34" s="1044"/>
      <c r="I34" s="1015"/>
      <c r="J34" s="1015"/>
      <c r="K34" s="1015"/>
      <c r="L34" s="1015"/>
      <c r="M34" s="1020"/>
      <c r="N34" s="1087"/>
      <c r="O34" s="1088"/>
      <c r="P34" s="1088"/>
      <c r="Q34" s="1088"/>
      <c r="R34" s="1088"/>
      <c r="S34" s="1088"/>
      <c r="T34" s="1107"/>
      <c r="U34" s="1107"/>
      <c r="V34" s="1108"/>
      <c r="W34" s="1025"/>
      <c r="X34" s="989"/>
      <c r="Y34" s="989"/>
      <c r="Z34" s="989"/>
      <c r="AA34" s="989"/>
      <c r="AB34" s="990"/>
      <c r="AC34" s="1093"/>
      <c r="AD34" s="1094"/>
      <c r="AE34" s="1095"/>
      <c r="AF34" s="1103" t="str">
        <f>IFERROR(IF($C34="", "", IF(OR($C34 = "Retrofit existing", $C34 = "Replace in-life equip."), "Total", "Incremental")), "")</f>
        <v/>
      </c>
      <c r="AG34" s="1104"/>
      <c r="AH34" s="999"/>
      <c r="AI34" s="999"/>
      <c r="AJ34" s="1099" t="str">
        <f t="shared" ref="AJ34" si="21">IF(AF34="Incremental",0,"")</f>
        <v/>
      </c>
      <c r="AK34" s="1100"/>
      <c r="AL34" s="1057" t="str">
        <f>IF(OR(C34="",H34="",N34="",T34="",W34="",AC34="",AF34="",AH34="",AJ34=""),"",ROUND(AH34+AJ34,2))</f>
        <v/>
      </c>
      <c r="AM34" s="1058"/>
      <c r="AN34" s="1058"/>
      <c r="AO34" s="1033" t="str">
        <f>IF(OR(C34="",H34="",N34="",T34="",W34="",AC34="",AF34="",AH34="",AJ34=""),"",IF(BC34-BD34&lt;=0,0,ROUND(BC34-BD34,4)))</f>
        <v/>
      </c>
      <c r="AP34" s="1033"/>
      <c r="AQ34" s="1033"/>
      <c r="AR34" s="1064" t="str">
        <f>IF(OR(C34="",H34="",N34="",T34="",W34="",AC34="",AF34="",AH34="",AJ34=""),"",
IF(BN34&lt;&gt;"",BN34,IF(BP34&gt;0,BP34,
IF(AF34="Incremental",
IF(ACTIVEBLOCK="Yes",ROUND(MIN(AL34*INCCOSTCAP,AO34*BLOCKBIDRATE),2),
ROUND(MIN(AL34*INCCOSTCAP,BI34),2)),
IF(ACTIVEBLOCK="Yes",ROUND(MIN(AL34*TOTCOSTCAP,AO34*BLOCKBIDRATE),2),
ROUND(MIN(AL34*TOTCOSTCAP,BI34),2))))))</f>
        <v/>
      </c>
      <c r="AS34" s="1065"/>
      <c r="AT34" s="1065"/>
      <c r="AU34" s="1066"/>
      <c r="AV34" s="44"/>
      <c r="AW34" s="44"/>
      <c r="AX34" s="974" t="str">
        <f>IFERROR(IF(OR(C34="",H34="",N34="",T34="",W34="",AC34="",AF34="",AH34="",AJ34=""),"",
ROUND(((1+ELOSS)*((AO34*INDEX(ELECCB[NPV AEC $/kWh],MATCH(BE34,ELECCB[Year Number],1)))+(BG34*INDEX(ELECCB[NPV ACC $/kW],MATCH(BE34,ELECCB[Year Number],1))))/AL34),2)),0)</f>
        <v/>
      </c>
      <c r="AY34" s="974" t="str">
        <f>IFERROR(AL34/M02S04F06/AO34,"")</f>
        <v/>
      </c>
      <c r="AZ34" s="967" t="str">
        <f>IF(OR(C34="",H34=""),"",INDEX(CMEREFRI[Unit of Measure],MATCH(H34,CMEREFRI[Proj Desc 1],0)))</f>
        <v/>
      </c>
      <c r="BA34" s="980" t="str">
        <f t="shared" ref="BA34" si="22">IF(AO34&lt;&gt;"","Missing!","")</f>
        <v/>
      </c>
      <c r="BB34" s="980" t="str">
        <f t="shared" ref="BB34" si="23">IF(AO34&lt;&gt;"","Missing!","")</f>
        <v/>
      </c>
      <c r="BC34" s="976" t="str">
        <f>IF(OR(C34="",H34="",N34="",T34="",W34="",AC34="",AF34="",AH34="",AJ34=""),"",ROUND(T34,4))</f>
        <v/>
      </c>
      <c r="BD34" s="976" t="str">
        <f>IF(OR(C34="",H34="",N34="",T34="",W34="",AC34="",AF34="",AH34="",AJ34=""),"",ROUND(AC34,4))</f>
        <v/>
      </c>
      <c r="BE34" s="978" t="str">
        <f>IF(OR(C34="",H34=""),"",IF(INDEX(CMEREFRI[EUL],MATCH(H34,CMEREFRI[Proj Desc 1],0))="","",INDEX(CMEREFRI[EUL],MATCH(H34,CMEREFRI[Proj Desc 1],0))))</f>
        <v/>
      </c>
      <c r="BF34" s="980" t="str">
        <f>IF(OR(C34="",H34=""),"",IF(INDEX(CMEREFRI[End Use Category],MATCH(H34,CMEREFRI[Proj Desc 1],0))="","",INDEX(CMEREFRI[End Use Category],MATCH(H34,CMEREFRI[Proj Desc 1],0))))</f>
        <v/>
      </c>
      <c r="BG34" s="972" t="str">
        <f>IFERROR(IF(OR(C34="",H34="",N34="",T34="",W34="",AC34="",AF34="",AH34="",AJ34=""),"",ROUND(AO34*INDEX(ENDUSEALL[Factor],MATCH(BF34,ENDUSEALL[End Use to Coincident Peak Demand Factors],0)),4)),"")</f>
        <v/>
      </c>
      <c r="BH34" s="1091"/>
      <c r="BI34" s="830" t="str">
        <f>IFERROR(ROUND(AO34*BJ34,2),"")</f>
        <v/>
      </c>
      <c r="BJ34" s="963" t="str">
        <f>_xlfn.LET(_xlpm.ROWS,MATCH(BF34,ENDUSEALL[End Use to Coincident Peak Demand Factors],0),IFERROR(INDEX(IF(AND(ACTIVEBONUS = TRUE,INDEX(ENDUSEALL[Bonus Rate ($/kWh)],_xlpm.ROWS)&lt;&gt;""),ENDUSEALL[Bonus Rate ($/kWh)],ENDUSEALL[Rate ($/kWh)]),_xlpm.ROWS),""))</f>
        <v/>
      </c>
      <c r="BK34" s="963"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965" t="str">
        <f>IF(OR(C34="",H34="",N34="",T34="",W34="",AC34="",AF34="",AH34="",AJ34=""),"",IF(BN34&lt;&gt;"",SPILLOVERNUMBER,INDEX(CMEREFRI[Measure Number],MATCH(H34,CMEREFRI[Proj Desc 1],0))))</f>
        <v/>
      </c>
      <c r="BM34" s="966"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967" t="str">
        <f ca="1">IFERROR(IF(EXPIRATION&lt;&gt;"",PROJSTATEXP,
IF(BP34&gt;0,"",
IF(BC34-BD34&lt;=0,MEASURESAVE,
IF(OR(M02S04F06="",M02S04F06="Select Rate Code",M02S04F06=0),MEASURERATE,
IF(AND((ISNUMBER(SEARCH("Other",H34))),OR(BE34="",BF34="")),MEASURESUBMIT,
 IF(PAYCUSE&lt;PAYBACKREQ,PROJECTSTATPAYBACK,
IF(CBCUSE&lt;CBREQ,PROJECTSTATCB,""))))))),MEASURESUBMIT)</f>
        <v>Submit for Review</v>
      </c>
      <c r="BO34" s="830" t="str">
        <f>IFERROR(IF(OR(C34="",H34="",N34="",T34="",W34="",AC34="",AF34="",AH34="",AJ34=""),"",
ROUND(((1+ELOSS)*((AO34*INDEX(ELECCB[NPV AEC $/kWh],MATCH(BE34,ELECCB[Year Number],1)))+(BG34*INDEX(ELECCB[NPV ACC $/kW],MATCH(BE34,ELECCB[Year Number],1))))),2)),0)</f>
        <v/>
      </c>
      <c r="BP34" s="969"/>
    </row>
    <row r="35" spans="2:68" ht="15.95" customHeight="1">
      <c r="B35" s="806"/>
      <c r="C35" s="1020"/>
      <c r="D35" s="1084"/>
      <c r="E35" s="1084"/>
      <c r="F35" s="1084"/>
      <c r="G35" s="1044"/>
      <c r="H35" s="1044"/>
      <c r="I35" s="1015"/>
      <c r="J35" s="1015"/>
      <c r="K35" s="1015"/>
      <c r="L35" s="1015"/>
      <c r="M35" s="1020"/>
      <c r="N35" s="1012"/>
      <c r="O35" s="1013"/>
      <c r="P35" s="1013"/>
      <c r="Q35" s="1013"/>
      <c r="R35" s="1013"/>
      <c r="S35" s="1013"/>
      <c r="T35" s="1109"/>
      <c r="U35" s="1109"/>
      <c r="V35" s="1110"/>
      <c r="W35" s="1026"/>
      <c r="X35" s="992"/>
      <c r="Y35" s="992"/>
      <c r="Z35" s="992"/>
      <c r="AA35" s="992"/>
      <c r="AB35" s="993"/>
      <c r="AC35" s="1096"/>
      <c r="AD35" s="1097"/>
      <c r="AE35" s="1098"/>
      <c r="AF35" s="1105"/>
      <c r="AG35" s="1106"/>
      <c r="AH35" s="999"/>
      <c r="AI35" s="999"/>
      <c r="AJ35" s="1101"/>
      <c r="AK35" s="1102"/>
      <c r="AL35" s="1001"/>
      <c r="AM35" s="1002"/>
      <c r="AN35" s="1002"/>
      <c r="AO35" s="1034"/>
      <c r="AP35" s="1034"/>
      <c r="AQ35" s="1034"/>
      <c r="AR35" s="1067"/>
      <c r="AS35" s="1068"/>
      <c r="AT35" s="1068"/>
      <c r="AU35" s="1069"/>
      <c r="AV35" s="44"/>
      <c r="AW35" s="44"/>
      <c r="AX35" s="982"/>
      <c r="AY35" s="982"/>
      <c r="AZ35" s="983"/>
      <c r="BA35" s="986"/>
      <c r="BB35" s="986"/>
      <c r="BC35" s="984"/>
      <c r="BD35" s="984"/>
      <c r="BE35" s="985"/>
      <c r="BF35" s="986"/>
      <c r="BG35" s="970"/>
      <c r="BH35" s="1092"/>
      <c r="BI35" s="831"/>
      <c r="BJ35" s="830"/>
      <c r="BK35" s="830"/>
      <c r="BL35" s="987"/>
      <c r="BM35" s="967"/>
      <c r="BN35" s="983"/>
      <c r="BO35" s="831"/>
      <c r="BP35" s="981"/>
    </row>
    <row r="36" spans="2:68" ht="15.95" customHeight="1">
      <c r="B36" s="806">
        <v>10</v>
      </c>
      <c r="C36" s="1020"/>
      <c r="D36" s="1084"/>
      <c r="E36" s="1084"/>
      <c r="F36" s="1084"/>
      <c r="G36" s="1044"/>
      <c r="H36" s="1044"/>
      <c r="I36" s="1015"/>
      <c r="J36" s="1015"/>
      <c r="K36" s="1015"/>
      <c r="L36" s="1015"/>
      <c r="M36" s="1020"/>
      <c r="N36" s="1087"/>
      <c r="O36" s="1088"/>
      <c r="P36" s="1088"/>
      <c r="Q36" s="1088"/>
      <c r="R36" s="1088"/>
      <c r="S36" s="1088"/>
      <c r="T36" s="1107"/>
      <c r="U36" s="1107"/>
      <c r="V36" s="1108"/>
      <c r="W36" s="1025"/>
      <c r="X36" s="989"/>
      <c r="Y36" s="989"/>
      <c r="Z36" s="989"/>
      <c r="AA36" s="989"/>
      <c r="AB36" s="990"/>
      <c r="AC36" s="1093"/>
      <c r="AD36" s="1094"/>
      <c r="AE36" s="1095"/>
      <c r="AF36" s="1103" t="str">
        <f>IFERROR(IF($C36="", "", IF(OR($C36 = "Retrofit existing", $C36 = "Replace in-life equip."), "Total", "Incremental")), "")</f>
        <v/>
      </c>
      <c r="AG36" s="1104"/>
      <c r="AH36" s="999"/>
      <c r="AI36" s="999"/>
      <c r="AJ36" s="1099" t="str">
        <f t="shared" ref="AJ36" si="24">IF(AF36="Incremental",0,"")</f>
        <v/>
      </c>
      <c r="AK36" s="1100"/>
      <c r="AL36" s="1057" t="str">
        <f>IF(OR(C36="",H36="",N36="",T36="",W36="",AC36="",AF36="",AH36="",AJ36=""),"",ROUND(AH36+AJ36,2))</f>
        <v/>
      </c>
      <c r="AM36" s="1058"/>
      <c r="AN36" s="1058"/>
      <c r="AO36" s="1033" t="str">
        <f>IF(OR(C36="",H36="",N36="",T36="",W36="",AC36="",AF36="",AH36="",AJ36=""),"",IF(BC36-BD36&lt;=0,0,ROUND(BC36-BD36,4)))</f>
        <v/>
      </c>
      <c r="AP36" s="1033"/>
      <c r="AQ36" s="1033"/>
      <c r="AR36" s="1064" t="str">
        <f>IF(OR(C36="",H36="",N36="",T36="",W36="",AC36="",AF36="",AH36="",AJ36=""),"",
IF(BN36&lt;&gt;"",BN36,IF(BP36&gt;0,BP36,
IF(AF36="Incremental",
IF(ACTIVEBLOCK="Yes",ROUND(MIN(AL36*INCCOSTCAP,AO36*BLOCKBIDRATE),2),
ROUND(MIN(AL36*INCCOSTCAP,BI36),2)),
IF(ACTIVEBLOCK="Yes",ROUND(MIN(AL36*TOTCOSTCAP,AO36*BLOCKBIDRATE),2),
ROUND(MIN(AL36*TOTCOSTCAP,BI36),2))))))</f>
        <v/>
      </c>
      <c r="AS36" s="1065"/>
      <c r="AT36" s="1065"/>
      <c r="AU36" s="1066"/>
      <c r="AV36" s="44"/>
      <c r="AW36" s="44"/>
      <c r="AX36" s="974" t="str">
        <f>IFERROR(IF(OR(C36="",H36="",N36="",T36="",W36="",AC36="",AF36="",AH36="",AJ36=""),"",
ROUND(((1+ELOSS)*((AO36*INDEX(ELECCB[NPV AEC $/kWh],MATCH(BE36,ELECCB[Year Number],1)))+(BG36*INDEX(ELECCB[NPV ACC $/kW],MATCH(BE36,ELECCB[Year Number],1))))/AL36),2)),0)</f>
        <v/>
      </c>
      <c r="AY36" s="974" t="str">
        <f>IFERROR(AL36/M02S04F06/AO36,"")</f>
        <v/>
      </c>
      <c r="AZ36" s="967" t="str">
        <f>IF(OR(C36="",H36=""),"",INDEX(CMEREFRI[Unit of Measure],MATCH(H36,CMEREFRI[Proj Desc 1],0)))</f>
        <v/>
      </c>
      <c r="BA36" s="980" t="str">
        <f t="shared" ref="BA36" si="25">IF(AO36&lt;&gt;"","Missing!","")</f>
        <v/>
      </c>
      <c r="BB36" s="980" t="str">
        <f t="shared" ref="BB36" si="26">IF(AO36&lt;&gt;"","Missing!","")</f>
        <v/>
      </c>
      <c r="BC36" s="976" t="str">
        <f>IF(OR(C36="",H36="",N36="",T36="",W36="",AC36="",AF36="",AH36="",AJ36=""),"",ROUND(T36,4))</f>
        <v/>
      </c>
      <c r="BD36" s="976" t="str">
        <f>IF(OR(C36="",H36="",N36="",T36="",W36="",AC36="",AF36="",AH36="",AJ36=""),"",ROUND(AC36,4))</f>
        <v/>
      </c>
      <c r="BE36" s="978" t="str">
        <f>IF(OR(C36="",H36=""),"",IF(INDEX(CMEREFRI[EUL],MATCH(H36,CMEREFRI[Proj Desc 1],0))="","",INDEX(CMEREFRI[EUL],MATCH(H36,CMEREFRI[Proj Desc 1],0))))</f>
        <v/>
      </c>
      <c r="BF36" s="980" t="str">
        <f>IF(OR(C36="",H36=""),"",IF(INDEX(CMEREFRI[End Use Category],MATCH(H36,CMEREFRI[Proj Desc 1],0))="","",INDEX(CMEREFRI[End Use Category],MATCH(H36,CMEREFRI[Proj Desc 1],0))))</f>
        <v/>
      </c>
      <c r="BG36" s="972" t="str">
        <f>IFERROR(IF(OR(C36="",H36="",N36="",T36="",W36="",AC36="",AF36="",AH36="",AJ36=""),"",ROUND(AO36*INDEX(ENDUSEALL[Factor],MATCH(BF36,ENDUSEALL[End Use to Coincident Peak Demand Factors],0)),4)),"")</f>
        <v/>
      </c>
      <c r="BH36" s="1091"/>
      <c r="BI36" s="830" t="str">
        <f>IFERROR(ROUND(AO36*BJ36,2),"")</f>
        <v/>
      </c>
      <c r="BJ36" s="963" t="str">
        <f>_xlfn.LET(_xlpm.ROWS,MATCH(BF36,ENDUSEALL[End Use to Coincident Peak Demand Factors],0),IFERROR(INDEX(IF(AND(ACTIVEBONUS = TRUE,INDEX(ENDUSEALL[Bonus Rate ($/kWh)],_xlpm.ROWS)&lt;&gt;""),ENDUSEALL[Bonus Rate ($/kWh)],ENDUSEALL[Rate ($/kWh)]),_xlpm.ROWS),""))</f>
        <v/>
      </c>
      <c r="BK36" s="963"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965" t="str">
        <f>IF(OR(C36="",H36="",N36="",T36="",W36="",AC36="",AF36="",AH36="",AJ36=""),"",IF(BN36&lt;&gt;"",SPILLOVERNUMBER,INDEX(CMEREFRI[Measure Number],MATCH(H36,CMEREFRI[Proj Desc 1],0))))</f>
        <v/>
      </c>
      <c r="BM36" s="966"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967" t="str">
        <f ca="1">IFERROR(IF(EXPIRATION&lt;&gt;"",PROJSTATEXP,
IF(BP36&gt;0,"",
IF(BC36-BD36&lt;=0,MEASURESAVE,
IF(OR(M02S04F06="",M02S04F06="Select Rate Code",M02S04F06=0),MEASURERATE,
IF(AND((ISNUMBER(SEARCH("Other",H36))),OR(BE36="",BF36="")),MEASURESUBMIT,
 IF(PAYCUSE&lt;PAYBACKREQ,PROJECTSTATPAYBACK,
IF(CBCUSE&lt;CBREQ,PROJECTSTATCB,""))))))),MEASURESUBMIT)</f>
        <v>Submit for Review</v>
      </c>
      <c r="BO36" s="830" t="str">
        <f>IFERROR(IF(OR(C36="",H36="",N36="",T36="",W36="",AC36="",AF36="",AH36="",AJ36=""),"",
ROUND(((1+ELOSS)*((AO36*INDEX(ELECCB[NPV AEC $/kWh],MATCH(BE36,ELECCB[Year Number],1)))+(BG36*INDEX(ELECCB[NPV ACC $/kW],MATCH(BE36,ELECCB[Year Number],1))))),2)),0)</f>
        <v/>
      </c>
      <c r="BP36" s="969"/>
    </row>
    <row r="37" spans="2:68" ht="15.95" customHeight="1">
      <c r="B37" s="806"/>
      <c r="C37" s="1020"/>
      <c r="D37" s="1084"/>
      <c r="E37" s="1084"/>
      <c r="F37" s="1084"/>
      <c r="G37" s="1044"/>
      <c r="H37" s="1044"/>
      <c r="I37" s="1015"/>
      <c r="J37" s="1015"/>
      <c r="K37" s="1015"/>
      <c r="L37" s="1015"/>
      <c r="M37" s="1020"/>
      <c r="N37" s="1012"/>
      <c r="O37" s="1013"/>
      <c r="P37" s="1013"/>
      <c r="Q37" s="1013"/>
      <c r="R37" s="1013"/>
      <c r="S37" s="1013"/>
      <c r="T37" s="1109"/>
      <c r="U37" s="1109"/>
      <c r="V37" s="1110"/>
      <c r="W37" s="1026"/>
      <c r="X37" s="992"/>
      <c r="Y37" s="992"/>
      <c r="Z37" s="992"/>
      <c r="AA37" s="992"/>
      <c r="AB37" s="993"/>
      <c r="AC37" s="1096"/>
      <c r="AD37" s="1097"/>
      <c r="AE37" s="1098"/>
      <c r="AF37" s="1105"/>
      <c r="AG37" s="1106"/>
      <c r="AH37" s="999"/>
      <c r="AI37" s="999"/>
      <c r="AJ37" s="1101"/>
      <c r="AK37" s="1102"/>
      <c r="AL37" s="1001"/>
      <c r="AM37" s="1002"/>
      <c r="AN37" s="1002"/>
      <c r="AO37" s="1034"/>
      <c r="AP37" s="1034"/>
      <c r="AQ37" s="1034"/>
      <c r="AR37" s="1067"/>
      <c r="AS37" s="1068"/>
      <c r="AT37" s="1068"/>
      <c r="AU37" s="1069"/>
      <c r="AV37" s="44"/>
      <c r="AW37" s="44"/>
      <c r="AX37" s="982"/>
      <c r="AY37" s="982"/>
      <c r="AZ37" s="983"/>
      <c r="BA37" s="986"/>
      <c r="BB37" s="986"/>
      <c r="BC37" s="984"/>
      <c r="BD37" s="984"/>
      <c r="BE37" s="985"/>
      <c r="BF37" s="986"/>
      <c r="BG37" s="970"/>
      <c r="BH37" s="1092"/>
      <c r="BI37" s="831"/>
      <c r="BJ37" s="830"/>
      <c r="BK37" s="830"/>
      <c r="BL37" s="987"/>
      <c r="BM37" s="967"/>
      <c r="BN37" s="983"/>
      <c r="BO37" s="831"/>
      <c r="BP37" s="981"/>
    </row>
    <row r="38" spans="2:68" ht="15.95" customHeight="1">
      <c r="B38" s="806"/>
      <c r="C38" s="322"/>
      <c r="D38" s="322"/>
      <c r="E38" s="322"/>
      <c r="F38" s="322"/>
    </row>
    <row r="39" spans="2:68" ht="15.95" hidden="1" customHeight="1">
      <c r="B39" s="806"/>
      <c r="C39" s="322"/>
      <c r="D39" s="322"/>
      <c r="E39" s="322"/>
      <c r="F39" s="322"/>
    </row>
    <row r="40" spans="2:68" ht="15.95" hidden="1" customHeight="1">
      <c r="B40" s="806"/>
      <c r="C40" s="322"/>
      <c r="D40" s="322"/>
      <c r="E40" s="322"/>
      <c r="F40" s="322"/>
    </row>
    <row r="41" spans="2:68" ht="15.95" hidden="1" customHeight="1">
      <c r="B41" s="806"/>
      <c r="C41" s="322"/>
      <c r="D41" s="322"/>
      <c r="E41" s="322"/>
      <c r="F41" s="322"/>
    </row>
    <row r="42" spans="2:68" ht="15.95" hidden="1" customHeight="1">
      <c r="B42" s="806"/>
      <c r="C42" s="322"/>
      <c r="D42" s="322"/>
      <c r="E42" s="322"/>
      <c r="F42" s="322"/>
    </row>
    <row r="43" spans="2:68" ht="15.95" hidden="1" customHeight="1">
      <c r="B43" s="806"/>
      <c r="C43" s="322"/>
      <c r="D43" s="322"/>
      <c r="E43" s="322"/>
      <c r="F43" s="322"/>
    </row>
    <row r="44" spans="2:68" ht="15.95" hidden="1" customHeight="1">
      <c r="B44" s="806"/>
      <c r="C44" s="322"/>
      <c r="D44" s="322"/>
      <c r="E44" s="322"/>
      <c r="F44" s="322"/>
    </row>
    <row r="45" spans="2:68" ht="15.95" hidden="1" customHeight="1">
      <c r="B45" s="806"/>
      <c r="C45" s="322"/>
      <c r="D45" s="322"/>
      <c r="E45" s="322"/>
      <c r="F45" s="322"/>
    </row>
    <row r="46" spans="2:68" ht="15.95" hidden="1" customHeight="1">
      <c r="B46" s="806"/>
      <c r="C46" s="322"/>
      <c r="D46" s="322"/>
      <c r="E46" s="322"/>
      <c r="F46" s="322"/>
    </row>
    <row r="47" spans="2:68" ht="15.95" hidden="1" customHeight="1">
      <c r="B47" s="806"/>
      <c r="C47" s="322"/>
      <c r="D47" s="322"/>
      <c r="E47" s="322"/>
      <c r="F47" s="322"/>
    </row>
    <row r="48" spans="2:68" ht="15.95" hidden="1" customHeight="1">
      <c r="AY48" s="31"/>
      <c r="AZ48" s="37"/>
      <c r="BC48" s="37"/>
      <c r="BD48" s="37"/>
    </row>
    <row r="49" spans="51:56" ht="15.95" hidden="1" customHeight="1">
      <c r="AY49" s="31"/>
      <c r="AZ49" s="37"/>
      <c r="BC49" s="37"/>
      <c r="BD49" s="37"/>
    </row>
    <row r="50" spans="51:56" ht="15.95" hidden="1" customHeight="1">
      <c r="AY50" s="31"/>
      <c r="AZ50" s="37"/>
      <c r="BC50" s="37"/>
      <c r="BD50" s="37"/>
    </row>
    <row r="51" spans="51:56" ht="15.95" hidden="1" customHeight="1">
      <c r="AY51" s="31"/>
      <c r="AZ51" s="37"/>
      <c r="BC51" s="37"/>
      <c r="BD51" s="37"/>
    </row>
    <row r="52" spans="51:56" ht="15.95" hidden="1" customHeight="1">
      <c r="AY52" s="31"/>
      <c r="AZ52" s="37"/>
      <c r="BC52" s="37"/>
      <c r="BD52" s="37"/>
    </row>
    <row r="53" spans="51:56" ht="15.95" hidden="1" customHeight="1">
      <c r="AY53" s="31"/>
      <c r="AZ53" s="37"/>
      <c r="BC53" s="37"/>
      <c r="BD53" s="37"/>
    </row>
    <row r="54" spans="51:56" ht="15.95" hidden="1" customHeight="1">
      <c r="AY54" s="31"/>
      <c r="AZ54" s="37"/>
      <c r="BC54" s="37"/>
      <c r="BD54" s="37"/>
    </row>
    <row r="55" spans="51:56" ht="15.95" hidden="1" customHeight="1">
      <c r="AY55" s="31"/>
      <c r="AZ55" s="37"/>
      <c r="BC55" s="37"/>
      <c r="BD55" s="37"/>
    </row>
    <row r="56" spans="51:56" ht="15.95" hidden="1" customHeight="1">
      <c r="AY56" s="31"/>
      <c r="AZ56" s="37"/>
      <c r="BC56" s="37"/>
      <c r="BD56" s="37"/>
    </row>
    <row r="57" spans="51:56" ht="15.95" hidden="1" customHeight="1">
      <c r="AY57" s="31"/>
      <c r="AZ57" s="37"/>
      <c r="BC57" s="37"/>
      <c r="BD57" s="37"/>
    </row>
    <row r="58" spans="51:56" ht="15.95" hidden="1" customHeight="1">
      <c r="AY58" s="31"/>
      <c r="AZ58" s="37"/>
      <c r="BC58" s="37"/>
      <c r="BD58" s="37"/>
    </row>
    <row r="59" spans="51:56" ht="15.95" hidden="1" customHeight="1">
      <c r="AY59" s="31"/>
      <c r="AZ59" s="37"/>
      <c r="BC59" s="37"/>
      <c r="BD59" s="37"/>
    </row>
    <row r="60" spans="51:56" ht="15.95" hidden="1" customHeight="1">
      <c r="AY60" s="31"/>
      <c r="AZ60" s="37"/>
      <c r="BC60" s="37"/>
      <c r="BD60" s="37"/>
    </row>
    <row r="61" spans="51:56" ht="15.95" hidden="1" customHeight="1">
      <c r="AY61" s="31"/>
      <c r="AZ61" s="37"/>
      <c r="BC61" s="37"/>
      <c r="BD61" s="37"/>
    </row>
    <row r="62" spans="51:56" ht="15.95" hidden="1" customHeight="1">
      <c r="AY62" s="31"/>
      <c r="AZ62" s="37"/>
      <c r="BC62" s="37"/>
      <c r="BD62" s="37"/>
    </row>
    <row r="63" spans="51:56" ht="15.95" hidden="1" customHeight="1">
      <c r="AY63" s="31"/>
      <c r="AZ63" s="37"/>
      <c r="BC63" s="37"/>
      <c r="BD63" s="37"/>
    </row>
    <row r="64" spans="51:56" ht="15.95" hidden="1" customHeight="1">
      <c r="AY64" s="31"/>
      <c r="AZ64" s="37"/>
      <c r="BC64" s="37"/>
      <c r="BD64" s="37"/>
    </row>
    <row r="65" spans="51:56" ht="15.95" hidden="1" customHeight="1">
      <c r="AY65" s="31"/>
      <c r="AZ65" s="37"/>
      <c r="BC65" s="37"/>
      <c r="BD65" s="37"/>
    </row>
    <row r="66" spans="51:56" ht="15.95" hidden="1" customHeight="1">
      <c r="AY66" s="31"/>
      <c r="AZ66" s="37"/>
      <c r="BC66" s="37"/>
      <c r="BD66" s="37"/>
    </row>
    <row r="67" spans="51:56" ht="15.95" hidden="1" customHeight="1">
      <c r="AY67" s="31"/>
      <c r="AZ67" s="37"/>
      <c r="BC67" s="37"/>
      <c r="BD67" s="37"/>
    </row>
    <row r="68" spans="51:56" ht="15.95" hidden="1" customHeight="1">
      <c r="AY68" s="31"/>
      <c r="AZ68" s="37"/>
      <c r="BC68" s="37"/>
      <c r="BD68" s="37"/>
    </row>
    <row r="69" spans="51:56" ht="15.95" hidden="1" customHeight="1">
      <c r="AY69" s="31"/>
      <c r="AZ69" s="37"/>
      <c r="BC69" s="37"/>
      <c r="BD69" s="37"/>
    </row>
    <row r="70" spans="51:56" ht="15.95" hidden="1" customHeight="1">
      <c r="AY70" s="31"/>
      <c r="AZ70" s="37"/>
      <c r="BC70" s="37"/>
      <c r="BD70" s="37"/>
    </row>
    <row r="71" spans="51:56" ht="15.95" hidden="1" customHeight="1">
      <c r="AY71" s="31"/>
      <c r="AZ71" s="37"/>
      <c r="BC71" s="37"/>
      <c r="BD71" s="37"/>
    </row>
    <row r="72" spans="51:56" ht="15.95" hidden="1" customHeight="1">
      <c r="AY72" s="31"/>
      <c r="AZ72" s="37"/>
      <c r="BC72" s="37"/>
      <c r="BD72" s="37"/>
    </row>
    <row r="73" spans="51:56" ht="15.95" hidden="1" customHeight="1">
      <c r="AY73" s="31"/>
      <c r="AZ73" s="37"/>
      <c r="BC73" s="37"/>
      <c r="BD73" s="37"/>
    </row>
    <row r="74" spans="51:56" ht="15.95" hidden="1" customHeight="1">
      <c r="AY74" s="31"/>
      <c r="AZ74" s="37"/>
      <c r="BC74" s="37"/>
      <c r="BD74" s="37"/>
    </row>
    <row r="75" spans="51:56" ht="15.95" hidden="1" customHeight="1">
      <c r="AY75" s="31"/>
      <c r="AZ75" s="37"/>
      <c r="BC75" s="37"/>
      <c r="BD75" s="37"/>
    </row>
    <row r="76" spans="51:56" ht="15.95" hidden="1" customHeight="1">
      <c r="AY76" s="31"/>
      <c r="AZ76" s="37"/>
      <c r="BC76" s="37"/>
      <c r="BD76" s="37"/>
    </row>
    <row r="77" spans="51:56" ht="15.95" hidden="1" customHeight="1">
      <c r="AY77" s="31"/>
      <c r="AZ77" s="37"/>
      <c r="BC77" s="37"/>
      <c r="BD77" s="37"/>
    </row>
    <row r="78" spans="51:56" ht="15.95" hidden="1" customHeight="1">
      <c r="AY78" s="31"/>
      <c r="AZ78" s="37"/>
      <c r="BC78" s="37"/>
      <c r="BD78" s="37"/>
    </row>
    <row r="79" spans="51:56" ht="15.95" hidden="1" customHeight="1">
      <c r="AY79" s="31"/>
      <c r="AZ79" s="37"/>
      <c r="BC79" s="37"/>
      <c r="BD79" s="37"/>
    </row>
    <row r="80" spans="51:56" ht="15.95" hidden="1" customHeight="1">
      <c r="AY80" s="31"/>
      <c r="AZ80" s="37"/>
      <c r="BC80" s="37"/>
      <c r="BD80" s="37"/>
    </row>
    <row r="81" spans="51:56" ht="15.95" hidden="1" customHeight="1">
      <c r="AY81" s="31"/>
      <c r="AZ81" s="37"/>
      <c r="BC81" s="37"/>
      <c r="BD81" s="37"/>
    </row>
    <row r="82" spans="51:56" ht="15.95" hidden="1" customHeight="1">
      <c r="AY82" s="31"/>
      <c r="AZ82" s="37"/>
      <c r="BC82" s="37"/>
      <c r="BD82" s="37"/>
    </row>
    <row r="83" spans="51:56" ht="15.95" hidden="1" customHeight="1">
      <c r="AY83" s="31"/>
      <c r="AZ83" s="37"/>
      <c r="BC83" s="37"/>
      <c r="BD83" s="37"/>
    </row>
    <row r="84" spans="51:56" ht="15.95" hidden="1" customHeight="1">
      <c r="AY84" s="31"/>
      <c r="AZ84" s="37"/>
      <c r="BC84" s="37"/>
      <c r="BD84" s="37"/>
    </row>
    <row r="85" spans="51:56" ht="15.95" hidden="1" customHeight="1">
      <c r="AY85" s="31"/>
      <c r="AZ85" s="37"/>
      <c r="BC85" s="37"/>
      <c r="BD85" s="37"/>
    </row>
    <row r="86" spans="51:56" ht="15.95" hidden="1" customHeight="1">
      <c r="AY86" s="31"/>
      <c r="AZ86" s="37"/>
      <c r="BC86" s="37"/>
      <c r="BD86" s="37"/>
    </row>
    <row r="87" spans="51:56" ht="15.95" hidden="1" customHeight="1">
      <c r="AY87" s="31"/>
      <c r="AZ87" s="37"/>
      <c r="BC87" s="37"/>
      <c r="BD87" s="37"/>
    </row>
    <row r="88" spans="51:56" ht="15.95" hidden="1" customHeight="1">
      <c r="AY88" s="31"/>
      <c r="AZ88" s="37"/>
      <c r="BC88" s="37"/>
      <c r="BD88" s="37"/>
    </row>
    <row r="89" spans="51:56" ht="15.95" hidden="1" customHeight="1">
      <c r="AY89" s="31"/>
      <c r="AZ89" s="37"/>
      <c r="BC89" s="37"/>
      <c r="BD89" s="37"/>
    </row>
    <row r="90" spans="51:56" ht="15.95" hidden="1" customHeight="1">
      <c r="AY90" s="31"/>
      <c r="AZ90" s="37"/>
      <c r="BC90" s="37"/>
      <c r="BD90" s="37"/>
    </row>
    <row r="91" spans="51:56" ht="15.95" hidden="1" customHeight="1">
      <c r="AY91" s="31"/>
      <c r="AZ91" s="37"/>
      <c r="BC91" s="37"/>
      <c r="BD91" s="37"/>
    </row>
    <row r="92" spans="51:56" ht="15.95" hidden="1" customHeight="1">
      <c r="AY92" s="31"/>
      <c r="AZ92" s="37"/>
      <c r="BC92" s="37"/>
      <c r="BD92" s="37"/>
    </row>
    <row r="93" spans="51:56" ht="15.95" hidden="1" customHeight="1">
      <c r="AY93" s="31"/>
      <c r="AZ93" s="37"/>
      <c r="BC93" s="37"/>
      <c r="BD93" s="37"/>
    </row>
    <row r="94" spans="51:56" ht="15.95" hidden="1" customHeight="1">
      <c r="AY94" s="31"/>
      <c r="AZ94" s="37"/>
      <c r="BC94" s="37"/>
      <c r="BD94" s="37"/>
    </row>
    <row r="95" spans="51:56" ht="15.95" hidden="1" customHeight="1">
      <c r="AY95" s="31"/>
      <c r="AZ95" s="37"/>
      <c r="BC95" s="37"/>
      <c r="BD95" s="37"/>
    </row>
    <row r="96" spans="51:56" ht="15.95" hidden="1" customHeight="1">
      <c r="AY96" s="31"/>
      <c r="AZ96" s="37"/>
      <c r="BC96" s="37"/>
      <c r="BD96" s="37"/>
    </row>
    <row r="97" spans="51:56" ht="15.95" hidden="1" customHeight="1">
      <c r="AY97" s="31"/>
      <c r="AZ97" s="37"/>
      <c r="BC97" s="37"/>
      <c r="BD97" s="37"/>
    </row>
    <row r="98" spans="51:56" ht="15.95" hidden="1" customHeight="1">
      <c r="AY98" s="31"/>
      <c r="AZ98" s="37"/>
      <c r="BC98" s="37"/>
      <c r="BD98" s="37"/>
    </row>
    <row r="99" spans="51:56" ht="15.95" hidden="1" customHeight="1">
      <c r="AY99" s="31"/>
      <c r="AZ99" s="37"/>
      <c r="BC99" s="37"/>
      <c r="BD99" s="37"/>
    </row>
    <row r="100" spans="51:56" ht="15.95" hidden="1" customHeight="1">
      <c r="AY100" s="31"/>
      <c r="AZ100" s="37"/>
      <c r="BC100" s="37"/>
      <c r="BD100" s="37"/>
    </row>
    <row r="101" spans="51:56" ht="15.95" hidden="1" customHeight="1">
      <c r="AY101" s="31"/>
      <c r="AZ101" s="37"/>
      <c r="BC101" s="37"/>
      <c r="BD101" s="37"/>
    </row>
    <row r="102" spans="51:56" ht="15.95" hidden="1" customHeight="1">
      <c r="AY102" s="31"/>
      <c r="AZ102" s="37"/>
      <c r="BC102" s="37"/>
      <c r="BD102" s="37"/>
    </row>
    <row r="103" spans="51:56" ht="15.95" hidden="1" customHeight="1">
      <c r="AY103" s="31"/>
      <c r="AZ103" s="37"/>
      <c r="BC103" s="37"/>
      <c r="BD103" s="37"/>
    </row>
    <row r="104" spans="51:56" ht="15.95" hidden="1" customHeight="1">
      <c r="AY104" s="31"/>
      <c r="AZ104" s="37"/>
      <c r="BC104" s="37"/>
      <c r="BD104" s="37"/>
    </row>
    <row r="105" spans="51:56" ht="15.95" hidden="1" customHeight="1">
      <c r="AY105" s="31"/>
      <c r="AZ105" s="37"/>
      <c r="BC105" s="37"/>
      <c r="BD105" s="37"/>
    </row>
    <row r="106" spans="51:56" ht="15.95" hidden="1" customHeight="1">
      <c r="AY106" s="31"/>
      <c r="AZ106" s="37"/>
      <c r="BC106" s="37"/>
      <c r="BD106" s="37"/>
    </row>
    <row r="107" spans="51:56" ht="15.95" hidden="1" customHeight="1">
      <c r="AY107" s="31"/>
      <c r="AZ107" s="37"/>
      <c r="BC107" s="37"/>
      <c r="BD107" s="37"/>
    </row>
    <row r="108" spans="51:56" ht="15.95" hidden="1" customHeight="1">
      <c r="AY108" s="31"/>
      <c r="AZ108" s="37"/>
      <c r="BC108" s="37"/>
      <c r="BD108" s="37"/>
    </row>
    <row r="109" spans="51:56" ht="15.95" hidden="1" customHeight="1">
      <c r="AY109" s="31"/>
      <c r="AZ109" s="37"/>
      <c r="BC109" s="37"/>
      <c r="BD109" s="37"/>
    </row>
    <row r="110" spans="51:56" ht="15.95" hidden="1" customHeight="1">
      <c r="AY110" s="31"/>
      <c r="AZ110" s="37"/>
      <c r="BC110" s="37"/>
      <c r="BD110" s="37"/>
    </row>
    <row r="111" spans="51:56" ht="15.95" hidden="1" customHeight="1">
      <c r="AY111" s="31"/>
      <c r="AZ111" s="37"/>
      <c r="BC111" s="37"/>
      <c r="BD111" s="37"/>
    </row>
    <row r="112" spans="51:56" ht="15.95" hidden="1" customHeight="1">
      <c r="AY112" s="31"/>
      <c r="AZ112" s="37"/>
      <c r="BC112" s="37"/>
      <c r="BD112" s="37"/>
    </row>
    <row r="113" spans="51:56" ht="15.95" hidden="1" customHeight="1">
      <c r="AY113" s="31"/>
      <c r="AZ113" s="37"/>
      <c r="BC113" s="37"/>
      <c r="BD113" s="37"/>
    </row>
    <row r="114" spans="51:56" ht="15.95" hidden="1" customHeight="1">
      <c r="AY114" s="31"/>
      <c r="AZ114" s="37"/>
      <c r="BC114" s="37"/>
      <c r="BD114" s="37"/>
    </row>
    <row r="115" spans="51:56" ht="15.95" hidden="1" customHeight="1">
      <c r="AY115" s="31"/>
      <c r="AZ115" s="37"/>
      <c r="BC115" s="37"/>
      <c r="BD115" s="37"/>
    </row>
    <row r="116" spans="51:56" ht="15.95" hidden="1" customHeight="1">
      <c r="AY116" s="31"/>
      <c r="AZ116" s="37"/>
      <c r="BC116" s="37"/>
      <c r="BD116" s="37"/>
    </row>
    <row r="117" spans="51:56" ht="15.95" hidden="1" customHeight="1">
      <c r="AY117" s="31"/>
      <c r="AZ117" s="37"/>
      <c r="BC117" s="37"/>
      <c r="BD117" s="37"/>
    </row>
    <row r="118" spans="51:56" ht="15.95" hidden="1" customHeight="1">
      <c r="AY118" s="31"/>
      <c r="AZ118" s="37"/>
      <c r="BC118" s="37"/>
      <c r="BD118" s="37"/>
    </row>
    <row r="119" spans="51:56" ht="15.95" hidden="1" customHeight="1">
      <c r="AY119" s="31"/>
      <c r="AZ119" s="37"/>
      <c r="BC119" s="37"/>
      <c r="BD119" s="37"/>
    </row>
    <row r="120" spans="51:56" ht="15.95" hidden="1" customHeight="1">
      <c r="AY120" s="31"/>
      <c r="AZ120" s="37"/>
      <c r="BC120" s="37"/>
      <c r="BD120" s="37"/>
    </row>
    <row r="121" spans="51:56" ht="15.95" hidden="1" customHeight="1">
      <c r="AY121" s="31"/>
      <c r="AZ121" s="37"/>
      <c r="BC121" s="37"/>
      <c r="BD121" s="37"/>
    </row>
    <row r="122" spans="51:56" ht="15.95" hidden="1" customHeight="1">
      <c r="AY122" s="31"/>
      <c r="AZ122" s="37"/>
      <c r="BC122" s="37"/>
      <c r="BD122" s="37"/>
    </row>
    <row r="123" spans="51:56" ht="15.95" hidden="1" customHeight="1">
      <c r="AY123" s="31"/>
      <c r="AZ123" s="37"/>
      <c r="BC123" s="37"/>
      <c r="BD123" s="37"/>
    </row>
    <row r="124" spans="51:56" ht="15.95" hidden="1" customHeight="1">
      <c r="AY124" s="31"/>
      <c r="AZ124" s="37"/>
      <c r="BC124" s="37"/>
      <c r="BD124" s="37"/>
    </row>
    <row r="125" spans="51:56" ht="15.95" hidden="1" customHeight="1">
      <c r="AY125" s="31"/>
      <c r="AZ125" s="37"/>
      <c r="BC125" s="37"/>
      <c r="BD125" s="37"/>
    </row>
    <row r="126" spans="51:56" ht="15.95" hidden="1" customHeight="1">
      <c r="AY126" s="31"/>
      <c r="AZ126" s="37"/>
      <c r="BC126" s="37"/>
      <c r="BD126" s="37"/>
    </row>
    <row r="127" spans="51:56" ht="15.95" hidden="1" customHeight="1">
      <c r="AY127" s="31"/>
      <c r="AZ127" s="37"/>
      <c r="BC127" s="37"/>
      <c r="BD127" s="37"/>
    </row>
    <row r="128" spans="51:56" ht="15.95" hidden="1" customHeight="1">
      <c r="AY128" s="31"/>
      <c r="AZ128" s="37"/>
      <c r="BC128" s="37"/>
      <c r="BD128" s="37"/>
    </row>
    <row r="129" spans="51:56" ht="15.95" hidden="1" customHeight="1">
      <c r="AY129" s="31"/>
      <c r="AZ129" s="37"/>
      <c r="BC129" s="37"/>
      <c r="BD129" s="37"/>
    </row>
    <row r="130" spans="51:56" ht="15.95" hidden="1" customHeight="1">
      <c r="AY130" s="31"/>
      <c r="AZ130" s="37"/>
      <c r="BC130" s="37"/>
      <c r="BD130" s="37"/>
    </row>
    <row r="131" spans="51:56" ht="15.95" hidden="1" customHeight="1">
      <c r="AY131" s="31"/>
      <c r="AZ131" s="37"/>
      <c r="BC131" s="37"/>
      <c r="BD131" s="37"/>
    </row>
    <row r="132" spans="51:56" ht="15.95" hidden="1" customHeight="1">
      <c r="AY132" s="31"/>
      <c r="AZ132" s="37"/>
      <c r="BC132" s="37"/>
      <c r="BD132" s="37"/>
    </row>
    <row r="133" spans="51:56" ht="15.95" hidden="1" customHeight="1">
      <c r="AY133" s="31"/>
      <c r="AZ133" s="37"/>
      <c r="BC133" s="37"/>
      <c r="BD133" s="37"/>
    </row>
    <row r="134" spans="51:56" ht="15.95" hidden="1" customHeight="1">
      <c r="AY134" s="31"/>
      <c r="AZ134" s="37"/>
      <c r="BC134" s="37"/>
      <c r="BD134" s="37"/>
    </row>
    <row r="135" spans="51:56" ht="15.95" hidden="1" customHeight="1">
      <c r="AY135" s="31"/>
      <c r="AZ135" s="37"/>
      <c r="BC135" s="37"/>
      <c r="BD135" s="37"/>
    </row>
    <row r="136" spans="51:56" ht="15.95" hidden="1" customHeight="1">
      <c r="AY136" s="31"/>
      <c r="AZ136" s="37"/>
      <c r="BC136" s="37"/>
      <c r="BD136" s="37"/>
    </row>
    <row r="137" spans="51:56" ht="15.95" hidden="1" customHeight="1">
      <c r="AY137" s="31"/>
      <c r="AZ137" s="37"/>
      <c r="BC137" s="37"/>
      <c r="BD137" s="37"/>
    </row>
    <row r="138" spans="51:56" ht="15.95" hidden="1" customHeight="1">
      <c r="AY138" s="31"/>
      <c r="AZ138" s="37"/>
      <c r="BC138" s="37"/>
      <c r="BD138" s="37"/>
    </row>
    <row r="139" spans="51:56" ht="15.95" hidden="1" customHeight="1">
      <c r="AY139" s="31"/>
      <c r="AZ139" s="37"/>
      <c r="BC139" s="37"/>
      <c r="BD139" s="37"/>
    </row>
    <row r="140" spans="51:56" ht="15.95" hidden="1" customHeight="1">
      <c r="AY140" s="31"/>
      <c r="AZ140" s="37"/>
      <c r="BC140" s="37"/>
      <c r="BD140" s="37"/>
    </row>
    <row r="141" spans="51:56" ht="15.95" hidden="1" customHeight="1">
      <c r="AY141" s="31"/>
      <c r="AZ141" s="37"/>
      <c r="BC141" s="37"/>
      <c r="BD141" s="37"/>
    </row>
    <row r="142" spans="51:56" ht="15.95" hidden="1" customHeight="1">
      <c r="AY142" s="31"/>
      <c r="AZ142" s="37"/>
      <c r="BC142" s="37"/>
      <c r="BD142" s="37"/>
    </row>
    <row r="143" spans="51:56" ht="15.95" hidden="1" customHeight="1">
      <c r="AY143" s="31"/>
      <c r="AZ143" s="37"/>
      <c r="BC143" s="37"/>
      <c r="BD143" s="37"/>
    </row>
    <row r="144" spans="51:56" ht="15.95" hidden="1" customHeight="1">
      <c r="AY144" s="31"/>
      <c r="AZ144" s="37"/>
      <c r="BC144" s="37"/>
      <c r="BD144" s="37"/>
    </row>
    <row r="145" spans="51:56" ht="15.95" hidden="1" customHeight="1">
      <c r="AY145" s="31"/>
      <c r="AZ145" s="37"/>
      <c r="BC145" s="37"/>
      <c r="BD145" s="37"/>
    </row>
    <row r="146" spans="51:56" ht="15.95" hidden="1" customHeight="1">
      <c r="AY146" s="31"/>
      <c r="AZ146" s="37"/>
      <c r="BC146" s="37"/>
      <c r="BD146" s="37"/>
    </row>
    <row r="147" spans="51:56" ht="15.95" hidden="1" customHeight="1">
      <c r="AY147" s="31"/>
      <c r="AZ147" s="37"/>
      <c r="BC147" s="37"/>
      <c r="BD147" s="37"/>
    </row>
    <row r="148" spans="51:56" ht="15.95" hidden="1" customHeight="1">
      <c r="AY148" s="31"/>
      <c r="AZ148" s="37"/>
      <c r="BC148" s="37"/>
      <c r="BD148" s="37"/>
    </row>
    <row r="149" spans="51:56" ht="15.95" hidden="1" customHeight="1">
      <c r="AY149" s="31"/>
      <c r="AZ149" s="37"/>
      <c r="BC149" s="37"/>
      <c r="BD149" s="37"/>
    </row>
    <row r="150" spans="51:56" ht="15.95" hidden="1" customHeight="1">
      <c r="AY150" s="31"/>
      <c r="AZ150" s="37"/>
      <c r="BC150" s="37"/>
      <c r="BD150" s="37"/>
    </row>
    <row r="151" spans="51:56" ht="15.95" hidden="1" customHeight="1">
      <c r="AY151" s="31"/>
      <c r="AZ151" s="37"/>
      <c r="BC151" s="37"/>
      <c r="BD151" s="37"/>
    </row>
    <row r="152" spans="51:56" ht="15.95" hidden="1" customHeight="1">
      <c r="AY152" s="31"/>
      <c r="AZ152" s="37"/>
      <c r="BC152" s="37"/>
      <c r="BD152" s="37"/>
    </row>
    <row r="153" spans="51:56" ht="15.95" hidden="1" customHeight="1">
      <c r="AY153" s="31"/>
      <c r="AZ153" s="37"/>
      <c r="BC153" s="37"/>
      <c r="BD153" s="37"/>
    </row>
    <row r="154" spans="51:56" ht="15.95" hidden="1" customHeight="1">
      <c r="AY154" s="31"/>
      <c r="AZ154" s="37"/>
      <c r="BC154" s="37"/>
      <c r="BD154" s="37"/>
    </row>
    <row r="155" spans="51:56" ht="15.95" hidden="1" customHeight="1">
      <c r="AY155" s="31"/>
      <c r="AZ155" s="37"/>
      <c r="BC155" s="37"/>
      <c r="BD155" s="37"/>
    </row>
    <row r="156" spans="51:56" ht="15.95" hidden="1" customHeight="1">
      <c r="AY156" s="31"/>
      <c r="AZ156" s="37"/>
      <c r="BC156" s="37"/>
      <c r="BD156" s="37"/>
    </row>
    <row r="157" spans="51:56" ht="15.95" hidden="1" customHeight="1">
      <c r="AY157" s="31"/>
      <c r="AZ157" s="37"/>
      <c r="BC157" s="37"/>
      <c r="BD157" s="37"/>
    </row>
    <row r="158" spans="51:56" ht="15.95" hidden="1" customHeight="1">
      <c r="AY158" s="31"/>
      <c r="AZ158" s="37"/>
      <c r="BC158" s="37"/>
      <c r="BD158" s="37"/>
    </row>
    <row r="159" spans="51:56" ht="15.95" hidden="1" customHeight="1">
      <c r="AY159" s="31"/>
      <c r="AZ159" s="37"/>
      <c r="BC159" s="37"/>
      <c r="BD159" s="37"/>
    </row>
    <row r="160" spans="51:56" ht="15.95" hidden="1" customHeight="1">
      <c r="AY160" s="31"/>
      <c r="AZ160" s="37"/>
      <c r="BC160" s="37"/>
      <c r="BD160" s="37"/>
    </row>
    <row r="161" spans="51:56" ht="15.95" hidden="1" customHeight="1">
      <c r="AY161" s="31"/>
      <c r="AZ161" s="37"/>
      <c r="BC161" s="37"/>
      <c r="BD161" s="37"/>
    </row>
    <row r="162" spans="51:56" ht="15.95" hidden="1" customHeight="1">
      <c r="AY162" s="31"/>
      <c r="AZ162" s="37"/>
      <c r="BC162" s="37"/>
      <c r="BD162" s="37"/>
    </row>
    <row r="163" spans="51:56" ht="15.95" hidden="1" customHeight="1">
      <c r="AY163" s="31"/>
      <c r="AZ163" s="37"/>
      <c r="BC163" s="37"/>
      <c r="BD163" s="37"/>
    </row>
    <row r="164" spans="51:56" ht="15.95" hidden="1" customHeight="1">
      <c r="AY164" s="31"/>
      <c r="AZ164" s="37"/>
      <c r="BC164" s="37"/>
      <c r="BD164" s="37"/>
    </row>
    <row r="165" spans="51:56" ht="15.95" hidden="1" customHeight="1">
      <c r="AY165" s="31"/>
      <c r="AZ165" s="37"/>
      <c r="BC165" s="37"/>
      <c r="BD165" s="37"/>
    </row>
    <row r="166" spans="51:56" ht="15.95" hidden="1" customHeight="1">
      <c r="AY166" s="31"/>
      <c r="AZ166" s="37"/>
      <c r="BC166" s="37"/>
      <c r="BD166" s="37"/>
    </row>
    <row r="167" spans="51:56" ht="15.95" hidden="1" customHeight="1">
      <c r="AY167" s="31"/>
      <c r="AZ167" s="37"/>
      <c r="BC167" s="37"/>
      <c r="BD167" s="37"/>
    </row>
    <row r="168" spans="51:56" ht="15.95" hidden="1" customHeight="1">
      <c r="AY168" s="31"/>
      <c r="AZ168" s="37"/>
      <c r="BC168" s="37"/>
      <c r="BD168" s="37"/>
    </row>
    <row r="169" spans="51:56" ht="15.95" hidden="1" customHeight="1">
      <c r="AY169" s="31"/>
      <c r="AZ169" s="37"/>
      <c r="BC169" s="37"/>
      <c r="BD169" s="37"/>
    </row>
    <row r="170" spans="51:56" ht="15.95" hidden="1" customHeight="1">
      <c r="AY170" s="31"/>
      <c r="AZ170" s="37"/>
      <c r="BC170" s="37"/>
      <c r="BD170" s="37"/>
    </row>
    <row r="171" spans="51:56" ht="15.95" hidden="1" customHeight="1">
      <c r="AY171" s="31"/>
      <c r="AZ171" s="37"/>
      <c r="BC171" s="37"/>
      <c r="BD171" s="37"/>
    </row>
    <row r="172" spans="51:56" ht="15.95" hidden="1" customHeight="1">
      <c r="AY172" s="31"/>
      <c r="AZ172" s="37"/>
      <c r="BC172" s="37"/>
      <c r="BD172" s="37"/>
    </row>
    <row r="173" spans="51:56" ht="15.95" hidden="1" customHeight="1">
      <c r="AY173" s="31"/>
      <c r="AZ173" s="37"/>
      <c r="BC173" s="37"/>
      <c r="BD173" s="37"/>
    </row>
    <row r="174" spans="51:56" ht="15.95" hidden="1" customHeight="1">
      <c r="AY174" s="31"/>
      <c r="AZ174" s="37"/>
      <c r="BC174" s="37"/>
      <c r="BD174" s="37"/>
    </row>
    <row r="175" spans="51:56" ht="15.95" hidden="1" customHeight="1">
      <c r="AY175" s="31"/>
      <c r="AZ175" s="37"/>
      <c r="BC175" s="37"/>
      <c r="BD175" s="37"/>
    </row>
    <row r="176" spans="51:56" ht="15.95" hidden="1" customHeight="1">
      <c r="AY176" s="31"/>
      <c r="AZ176" s="37"/>
      <c r="BC176" s="37"/>
      <c r="BD176" s="37"/>
    </row>
    <row r="177" spans="51:56" ht="15.95" hidden="1" customHeight="1">
      <c r="AY177" s="31"/>
      <c r="AZ177" s="37"/>
      <c r="BC177" s="37"/>
      <c r="BD177" s="37"/>
    </row>
    <row r="178" spans="51:56" ht="15.95" hidden="1" customHeight="1">
      <c r="AY178" s="31"/>
      <c r="AZ178" s="37"/>
      <c r="BC178" s="37"/>
      <c r="BD178" s="37"/>
    </row>
    <row r="179" spans="51:56" ht="15.95" hidden="1" customHeight="1">
      <c r="AY179" s="31"/>
      <c r="AZ179" s="37"/>
      <c r="BC179" s="37"/>
      <c r="BD179" s="37"/>
    </row>
    <row r="180" spans="51:56" ht="15.95" hidden="1" customHeight="1">
      <c r="AY180" s="31"/>
      <c r="AZ180" s="37"/>
      <c r="BC180" s="37"/>
      <c r="BD180" s="37"/>
    </row>
    <row r="181" spans="51:56" ht="15.95" hidden="1" customHeight="1">
      <c r="AY181" s="31"/>
      <c r="AZ181" s="37"/>
      <c r="BC181" s="37"/>
      <c r="BD181" s="37"/>
    </row>
    <row r="182" spans="51:56" ht="15.95" hidden="1" customHeight="1">
      <c r="AY182" s="31"/>
      <c r="AZ182" s="37"/>
      <c r="BC182" s="37"/>
      <c r="BD182" s="37"/>
    </row>
    <row r="183" spans="51:56" ht="15.95" hidden="1" customHeight="1">
      <c r="AY183" s="31"/>
      <c r="AZ183" s="37"/>
      <c r="BC183" s="37"/>
      <c r="BD183" s="37"/>
    </row>
    <row r="184" spans="51:56" ht="15.95" hidden="1" customHeight="1">
      <c r="AY184" s="31"/>
      <c r="AZ184" s="37"/>
      <c r="BC184" s="37"/>
      <c r="BD184" s="37"/>
    </row>
    <row r="185" spans="51:56" ht="15.95" hidden="1" customHeight="1">
      <c r="AY185" s="31"/>
      <c r="AZ185" s="37"/>
      <c r="BC185" s="37"/>
      <c r="BD185" s="37"/>
    </row>
    <row r="186" spans="51:56" ht="15.95" hidden="1" customHeight="1">
      <c r="AY186" s="31"/>
      <c r="AZ186" s="37"/>
      <c r="BC186" s="37"/>
      <c r="BD186" s="37"/>
    </row>
    <row r="187" spans="51:56" ht="15.95" hidden="1" customHeight="1">
      <c r="AY187" s="31"/>
      <c r="AZ187" s="37"/>
      <c r="BC187" s="37"/>
      <c r="BD187" s="37"/>
    </row>
    <row r="188" spans="51:56" ht="15.95" hidden="1" customHeight="1">
      <c r="AY188" s="31"/>
      <c r="AZ188" s="37"/>
      <c r="BC188" s="37"/>
      <c r="BD188" s="37"/>
    </row>
    <row r="189" spans="51:56" ht="15.95" hidden="1" customHeight="1">
      <c r="AY189" s="31"/>
      <c r="AZ189" s="37"/>
      <c r="BC189" s="37"/>
      <c r="BD189" s="37"/>
    </row>
    <row r="190" spans="51:56" ht="15.95" hidden="1" customHeight="1">
      <c r="AY190" s="31"/>
      <c r="AZ190" s="37"/>
      <c r="BC190" s="37"/>
      <c r="BD190" s="37"/>
    </row>
    <row r="191" spans="51:56" ht="15.95" hidden="1" customHeight="1">
      <c r="AY191" s="31"/>
      <c r="AZ191" s="37"/>
      <c r="BC191" s="37"/>
      <c r="BD191" s="37"/>
    </row>
    <row r="192" spans="51:56" ht="15.95" hidden="1" customHeight="1">
      <c r="AY192" s="31"/>
      <c r="AZ192" s="37"/>
      <c r="BC192" s="37"/>
      <c r="BD192" s="37"/>
    </row>
    <row r="193" spans="1:60" ht="15.95" hidden="1" customHeight="1">
      <c r="AY193" s="31"/>
      <c r="AZ193" s="37"/>
      <c r="BC193" s="37"/>
      <c r="BD193" s="37"/>
    </row>
    <row r="194" spans="1:60" ht="15.95" hidden="1" customHeight="1">
      <c r="AY194" s="31"/>
      <c r="AZ194" s="37"/>
      <c r="BC194" s="37"/>
      <c r="BD194" s="37"/>
    </row>
    <row r="195" spans="1:60" ht="15.95" hidden="1" customHeight="1">
      <c r="AY195" s="31"/>
      <c r="AZ195" s="37"/>
      <c r="BC195" s="37"/>
      <c r="BD195" s="37"/>
    </row>
    <row r="196" spans="1:60" ht="15.95" hidden="1" customHeight="1">
      <c r="AY196" s="31"/>
      <c r="AZ196" s="37"/>
      <c r="BC196" s="37"/>
      <c r="BD196" s="37"/>
    </row>
    <row r="197" spans="1:60" ht="15.95" hidden="1" customHeight="1">
      <c r="AY197" s="31"/>
      <c r="AZ197" s="37"/>
      <c r="BC197" s="37"/>
      <c r="BD197" s="37"/>
    </row>
    <row r="198" spans="1:60" ht="15.95" hidden="1" customHeight="1">
      <c r="AY198" s="31"/>
      <c r="AZ198" s="37"/>
      <c r="BC198" s="37"/>
      <c r="BD198" s="37"/>
    </row>
    <row r="199" spans="1:60" ht="15.95" hidden="1" customHeight="1">
      <c r="AY199" s="31"/>
      <c r="AZ199" s="37"/>
      <c r="BC199" s="37"/>
      <c r="BD199" s="37"/>
    </row>
    <row r="200" spans="1:60"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c r="BA200" s="1089">
        <f>IF(OR(COUNTIF(BA18:BB37,"Missing!")&gt;0,COUNTIF(BA18:BB37,0)&gt;0,COUNTIFS(BA18:BA37,"",BB18:BB37,"",AO18:AO37,"&gt;0")&gt;0),"Missing Units on Custom Refrigeration. ",SUM(BA18:BB37))</f>
        <v>0</v>
      </c>
      <c r="BC200" s="970">
        <f>SUM(BC18:BC37)</f>
        <v>0</v>
      </c>
      <c r="BD200" s="970">
        <f>SUM(BD18:BD37)</f>
        <v>0</v>
      </c>
      <c r="BG200" s="971">
        <f>SUM(BG18:BG37)</f>
        <v>0</v>
      </c>
      <c r="BH200" s="971">
        <f>SUM(BH18:BH37)</f>
        <v>0</v>
      </c>
    </row>
    <row r="201" spans="1:60"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c r="BA201" s="1090"/>
      <c r="BC201" s="970"/>
      <c r="BD201" s="970"/>
      <c r="BG201" s="972"/>
      <c r="BH201" s="972"/>
    </row>
    <row r="202" spans="1:60"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5.95" hidden="1" customHeight="1"/>
    <row r="204" spans="1:60" ht="15.95" hidden="1" customHeight="1"/>
  </sheetData>
  <sheetProtection algorithmName="SHA-512" hashValue="1mshCIxj6befX1vBwZb6uF/popaBKHVgCC3QXCww/4yqY6qebRb2DBdhJ1lAOjqRajAkvPmIai9FE67p0vh3/w==" saltValue="cGeuxKEgdmj47fC4uKCSUw==" spinCount="100000" sheet="1" objects="1" scenarios="1" selectLockedCells="1"/>
  <mergeCells count="390">
    <mergeCell ref="BP34:BP35"/>
    <mergeCell ref="BP36:BP37"/>
    <mergeCell ref="BP16:BP17"/>
    <mergeCell ref="BP18:BP19"/>
    <mergeCell ref="BP20:BP21"/>
    <mergeCell ref="BP22:BP23"/>
    <mergeCell ref="BP24:BP25"/>
    <mergeCell ref="BP26:BP27"/>
    <mergeCell ref="BP28:BP29"/>
    <mergeCell ref="BP30:BP31"/>
    <mergeCell ref="BP32:BP33"/>
    <mergeCell ref="BB30:BB31"/>
    <mergeCell ref="BO36:BO37"/>
    <mergeCell ref="BO16:BO17"/>
    <mergeCell ref="BO18:BO19"/>
    <mergeCell ref="BO20:BO21"/>
    <mergeCell ref="BO22:BO23"/>
    <mergeCell ref="BO24:BO25"/>
    <mergeCell ref="BO26:BO27"/>
    <mergeCell ref="BO28:BO29"/>
    <mergeCell ref="BO30:BO31"/>
    <mergeCell ref="BO32:BO33"/>
    <mergeCell ref="BL22:BL23"/>
    <mergeCell ref="BM22:BM23"/>
    <mergeCell ref="BN22:BN23"/>
    <mergeCell ref="BL30:BL31"/>
    <mergeCell ref="BE26:BE27"/>
    <mergeCell ref="BF30:BF31"/>
    <mergeCell ref="BE30:BE31"/>
    <mergeCell ref="BG24:BG25"/>
    <mergeCell ref="BK24:BK25"/>
    <mergeCell ref="BM26:BM27"/>
    <mergeCell ref="BL26:BL27"/>
    <mergeCell ref="BI24:BI25"/>
    <mergeCell ref="BO34:BO35"/>
    <mergeCell ref="BN34:BN35"/>
    <mergeCell ref="BN32:BN33"/>
    <mergeCell ref="BM32:BM33"/>
    <mergeCell ref="BL32:BL33"/>
    <mergeCell ref="BN24:BN25"/>
    <mergeCell ref="BG34:BG35"/>
    <mergeCell ref="BH34:BH35"/>
    <mergeCell ref="BL28:BL29"/>
    <mergeCell ref="BG36:BG37"/>
    <mergeCell ref="BL34:BL35"/>
    <mergeCell ref="BK34:BK35"/>
    <mergeCell ref="BN28:BN29"/>
    <mergeCell ref="BN30:BN31"/>
    <mergeCell ref="BN36:BN37"/>
    <mergeCell ref="BH36:BH37"/>
    <mergeCell ref="BI36:BI37"/>
    <mergeCell ref="BJ36:BJ37"/>
    <mergeCell ref="BL36:BL37"/>
    <mergeCell ref="BK36:BK37"/>
    <mergeCell ref="BM34:BM35"/>
    <mergeCell ref="BM36:BM37"/>
    <mergeCell ref="BJ34:BJ35"/>
    <mergeCell ref="BI34:BI35"/>
    <mergeCell ref="BL24:BL25"/>
    <mergeCell ref="BD30:BD31"/>
    <mergeCell ref="BC30:BC31"/>
    <mergeCell ref="BJ26:BJ27"/>
    <mergeCell ref="BI28:BI29"/>
    <mergeCell ref="BN26:BN27"/>
    <mergeCell ref="BG26:BG27"/>
    <mergeCell ref="BH26:BH27"/>
    <mergeCell ref="BI26:BI27"/>
    <mergeCell ref="BK32:BK33"/>
    <mergeCell ref="BI30:BI31"/>
    <mergeCell ref="BJ32:BJ33"/>
    <mergeCell ref="BM28:BM29"/>
    <mergeCell ref="BM30:BM31"/>
    <mergeCell ref="BK26:BK27"/>
    <mergeCell ref="BJ30:BJ31"/>
    <mergeCell ref="BG30:BG31"/>
    <mergeCell ref="BK28:BK29"/>
    <mergeCell ref="BK30:BK31"/>
    <mergeCell ref="BJ28:BJ29"/>
    <mergeCell ref="BH32:BH33"/>
    <mergeCell ref="BH30:BH31"/>
    <mergeCell ref="BG32:BG33"/>
    <mergeCell ref="BI32:BI33"/>
    <mergeCell ref="BD26:BD27"/>
    <mergeCell ref="BE36:BE37"/>
    <mergeCell ref="BF36:BF37"/>
    <mergeCell ref="BC34:BC35"/>
    <mergeCell ref="BD34:BD35"/>
    <mergeCell ref="BB34:BB35"/>
    <mergeCell ref="BF32:BF33"/>
    <mergeCell ref="AR32:AU33"/>
    <mergeCell ref="AX32:AX33"/>
    <mergeCell ref="AY32:AY33"/>
    <mergeCell ref="BC32:BC33"/>
    <mergeCell ref="BD32:BD33"/>
    <mergeCell ref="AY36:AY37"/>
    <mergeCell ref="AZ36:AZ37"/>
    <mergeCell ref="BA36:BA37"/>
    <mergeCell ref="BB32:BB33"/>
    <mergeCell ref="BD36:BD37"/>
    <mergeCell ref="BA32:BA33"/>
    <mergeCell ref="BA34:BA35"/>
    <mergeCell ref="BC36:BC37"/>
    <mergeCell ref="AJ36:AK37"/>
    <mergeCell ref="AL36:AN37"/>
    <mergeCell ref="AO36:AQ37"/>
    <mergeCell ref="AR36:AU37"/>
    <mergeCell ref="AX36:AX37"/>
    <mergeCell ref="AF36:AG37"/>
    <mergeCell ref="AH36:AI37"/>
    <mergeCell ref="T36:V37"/>
    <mergeCell ref="AR34:AU35"/>
    <mergeCell ref="AX34:AX35"/>
    <mergeCell ref="W36:AB37"/>
    <mergeCell ref="AO34:AQ35"/>
    <mergeCell ref="AJ32:AK33"/>
    <mergeCell ref="AL32:AN33"/>
    <mergeCell ref="AO32:AQ33"/>
    <mergeCell ref="AH32:AI33"/>
    <mergeCell ref="AR30:AU31"/>
    <mergeCell ref="AX30:AX31"/>
    <mergeCell ref="AY30:AY31"/>
    <mergeCell ref="AF32:AG33"/>
    <mergeCell ref="AF34:AG35"/>
    <mergeCell ref="AH34:AI35"/>
    <mergeCell ref="T32:V33"/>
    <mergeCell ref="T34:V35"/>
    <mergeCell ref="AC32:AE33"/>
    <mergeCell ref="AC34:AE35"/>
    <mergeCell ref="AY34:AY35"/>
    <mergeCell ref="AZ34:AZ35"/>
    <mergeCell ref="AF28:AG29"/>
    <mergeCell ref="AH28:AI29"/>
    <mergeCell ref="BC26:BC27"/>
    <mergeCell ref="T26:V27"/>
    <mergeCell ref="AC26:AE27"/>
    <mergeCell ref="W26:AB27"/>
    <mergeCell ref="W28:AB29"/>
    <mergeCell ref="W30:AB31"/>
    <mergeCell ref="W32:AB33"/>
    <mergeCell ref="W34:AB35"/>
    <mergeCell ref="AF30:AG31"/>
    <mergeCell ref="AZ30:AZ31"/>
    <mergeCell ref="AH30:AI31"/>
    <mergeCell ref="AJ30:AK31"/>
    <mergeCell ref="AL30:AN31"/>
    <mergeCell ref="AO30:AQ31"/>
    <mergeCell ref="AJ34:AK35"/>
    <mergeCell ref="AL34:AN35"/>
    <mergeCell ref="AJ28:AK29"/>
    <mergeCell ref="AL28:AN29"/>
    <mergeCell ref="AO28:AQ29"/>
    <mergeCell ref="AR28:AU29"/>
    <mergeCell ref="AX28:AX29"/>
    <mergeCell ref="AY28:AY29"/>
    <mergeCell ref="AR26:AU27"/>
    <mergeCell ref="AF26:AG27"/>
    <mergeCell ref="AH26:AI27"/>
    <mergeCell ref="AJ26:AK27"/>
    <mergeCell ref="BB26:BB27"/>
    <mergeCell ref="BB28:BB29"/>
    <mergeCell ref="AL26:AN27"/>
    <mergeCell ref="AX26:AX27"/>
    <mergeCell ref="AY26:AY27"/>
    <mergeCell ref="AZ26:AZ27"/>
    <mergeCell ref="BM20:BM21"/>
    <mergeCell ref="BF20:BF21"/>
    <mergeCell ref="BG20:BG21"/>
    <mergeCell ref="AR22:AU23"/>
    <mergeCell ref="AX22:AX23"/>
    <mergeCell ref="BM24:BM25"/>
    <mergeCell ref="BK22:BK23"/>
    <mergeCell ref="BB22:BB23"/>
    <mergeCell ref="AY22:AY23"/>
    <mergeCell ref="BF22:BF23"/>
    <mergeCell ref="BG22:BG23"/>
    <mergeCell ref="BH22:BH23"/>
    <mergeCell ref="BI22:BI23"/>
    <mergeCell ref="BJ22:BJ23"/>
    <mergeCell ref="BD20:BD21"/>
    <mergeCell ref="BC22:BC23"/>
    <mergeCell ref="BD22:BD23"/>
    <mergeCell ref="BA20:BA21"/>
    <mergeCell ref="AY24:AY25"/>
    <mergeCell ref="AZ24:AZ25"/>
    <mergeCell ref="BE24:BE25"/>
    <mergeCell ref="BJ24:BJ25"/>
    <mergeCell ref="BD24:BD25"/>
    <mergeCell ref="BC24:BC25"/>
    <mergeCell ref="BB24:BB25"/>
    <mergeCell ref="BF24:BF25"/>
    <mergeCell ref="BE22:BE23"/>
    <mergeCell ref="BE20:BE21"/>
    <mergeCell ref="BC20:BC21"/>
    <mergeCell ref="BB20:BB21"/>
    <mergeCell ref="BN16:BN17"/>
    <mergeCell ref="BN18:BN19"/>
    <mergeCell ref="BM18:BM19"/>
    <mergeCell ref="BK20:BK21"/>
    <mergeCell ref="BL16:BL17"/>
    <mergeCell ref="BJ16:BJ17"/>
    <mergeCell ref="BC16:BC17"/>
    <mergeCell ref="BD16:BD17"/>
    <mergeCell ref="BL20:BL21"/>
    <mergeCell ref="BL18:BL19"/>
    <mergeCell ref="BD18:BD19"/>
    <mergeCell ref="BA18:BA19"/>
    <mergeCell ref="BB18:BB19"/>
    <mergeCell ref="BB16:BB17"/>
    <mergeCell ref="BA16:BA17"/>
    <mergeCell ref="AJ17:AK17"/>
    <mergeCell ref="H18:M19"/>
    <mergeCell ref="AF18:AG19"/>
    <mergeCell ref="AH18:AI19"/>
    <mergeCell ref="AJ18:AK19"/>
    <mergeCell ref="AL18:AN19"/>
    <mergeCell ref="X12:AA13"/>
    <mergeCell ref="E13:R13"/>
    <mergeCell ref="AB12:AE13"/>
    <mergeCell ref="AM13:AU14"/>
    <mergeCell ref="J9:M11"/>
    <mergeCell ref="BN20:BN21"/>
    <mergeCell ref="BC18:BC19"/>
    <mergeCell ref="BK16:BK17"/>
    <mergeCell ref="BK18:BK19"/>
    <mergeCell ref="BH20:BH21"/>
    <mergeCell ref="BI20:BI21"/>
    <mergeCell ref="BJ20:BJ21"/>
    <mergeCell ref="BE18:BE19"/>
    <mergeCell ref="BF18:BF19"/>
    <mergeCell ref="BG18:BG19"/>
    <mergeCell ref="BH18:BH19"/>
    <mergeCell ref="BI18:BI19"/>
    <mergeCell ref="BI16:BI17"/>
    <mergeCell ref="BE16:BE17"/>
    <mergeCell ref="BF16:BF17"/>
    <mergeCell ref="BG16:BG17"/>
    <mergeCell ref="BH16:BH17"/>
    <mergeCell ref="BJ18:BJ19"/>
    <mergeCell ref="BM16:BM17"/>
    <mergeCell ref="AY20:AY21"/>
    <mergeCell ref="AZ20:AZ21"/>
    <mergeCell ref="B18:B19"/>
    <mergeCell ref="T18:V19"/>
    <mergeCell ref="AC16:AE17"/>
    <mergeCell ref="AC18:AE19"/>
    <mergeCell ref="AH17:AI17"/>
    <mergeCell ref="C18:G19"/>
    <mergeCell ref="W18:AB19"/>
    <mergeCell ref="H16:M17"/>
    <mergeCell ref="AF16:AG17"/>
    <mergeCell ref="AH16:AK16"/>
    <mergeCell ref="AF24:AG25"/>
    <mergeCell ref="AR20:AU21"/>
    <mergeCell ref="AX20:AX21"/>
    <mergeCell ref="T20:V21"/>
    <mergeCell ref="T22:V23"/>
    <mergeCell ref="AL22:AN23"/>
    <mergeCell ref="AO22:AQ23"/>
    <mergeCell ref="AC20:AE21"/>
    <mergeCell ref="AC22:AE23"/>
    <mergeCell ref="W20:AB21"/>
    <mergeCell ref="W22:AB23"/>
    <mergeCell ref="AH24:AI25"/>
    <mergeCell ref="AF22:AG23"/>
    <mergeCell ref="AH22:AI23"/>
    <mergeCell ref="T24:V25"/>
    <mergeCell ref="AC24:AE25"/>
    <mergeCell ref="W24:AB25"/>
    <mergeCell ref="AJ24:AK25"/>
    <mergeCell ref="AL24:AN25"/>
    <mergeCell ref="AO24:AQ25"/>
    <mergeCell ref="AR24:AU25"/>
    <mergeCell ref="AX24:AX25"/>
    <mergeCell ref="B46:B47"/>
    <mergeCell ref="B44:B45"/>
    <mergeCell ref="B42:B43"/>
    <mergeCell ref="B40:B41"/>
    <mergeCell ref="B38:B39"/>
    <mergeCell ref="B36:B37"/>
    <mergeCell ref="B34:B35"/>
    <mergeCell ref="B32:B33"/>
    <mergeCell ref="B30:B31"/>
    <mergeCell ref="B28:B29"/>
    <mergeCell ref="B26:B27"/>
    <mergeCell ref="B24:B25"/>
    <mergeCell ref="B22:B23"/>
    <mergeCell ref="B20:B21"/>
    <mergeCell ref="T28:V29"/>
    <mergeCell ref="H30:M31"/>
    <mergeCell ref="T30:V31"/>
    <mergeCell ref="H20:M21"/>
    <mergeCell ref="C20:G21"/>
    <mergeCell ref="C22:G23"/>
    <mergeCell ref="C24:G25"/>
    <mergeCell ref="C26:G27"/>
    <mergeCell ref="C28:G29"/>
    <mergeCell ref="C30:G31"/>
    <mergeCell ref="H28:M29"/>
    <mergeCell ref="H26:M27"/>
    <mergeCell ref="H24:M25"/>
    <mergeCell ref="H22:M23"/>
    <mergeCell ref="O200:AI201"/>
    <mergeCell ref="AY16:AY17"/>
    <mergeCell ref="AZ16:AZ17"/>
    <mergeCell ref="AO16:AQ17"/>
    <mergeCell ref="AR16:AU17"/>
    <mergeCell ref="AX16:AX17"/>
    <mergeCell ref="AO18:AQ19"/>
    <mergeCell ref="AR18:AU19"/>
    <mergeCell ref="AX18:AX19"/>
    <mergeCell ref="AY18:AY19"/>
    <mergeCell ref="AZ18:AZ19"/>
    <mergeCell ref="AO26:AQ27"/>
    <mergeCell ref="AZ28:AZ29"/>
    <mergeCell ref="AL16:AN17"/>
    <mergeCell ref="T16:V17"/>
    <mergeCell ref="AC36:AE37"/>
    <mergeCell ref="AC28:AE29"/>
    <mergeCell ref="AC30:AE31"/>
    <mergeCell ref="AJ22:AK23"/>
    <mergeCell ref="AF20:AG21"/>
    <mergeCell ref="AH20:AI21"/>
    <mergeCell ref="AJ20:AK21"/>
    <mergeCell ref="AL20:AN21"/>
    <mergeCell ref="AO20:AQ21"/>
    <mergeCell ref="BH200:BH201"/>
    <mergeCell ref="BA200:BA201"/>
    <mergeCell ref="BA22:BA23"/>
    <mergeCell ref="BA24:BA25"/>
    <mergeCell ref="BA26:BA27"/>
    <mergeCell ref="BA28:BA29"/>
    <mergeCell ref="BA30:BA31"/>
    <mergeCell ref="AZ22:AZ23"/>
    <mergeCell ref="BH24:BH25"/>
    <mergeCell ref="BG28:BG29"/>
    <mergeCell ref="BE34:BE35"/>
    <mergeCell ref="BC200:BC201"/>
    <mergeCell ref="BD200:BD201"/>
    <mergeCell ref="BG200:BG201"/>
    <mergeCell ref="BE28:BE29"/>
    <mergeCell ref="BC28:BC29"/>
    <mergeCell ref="BD28:BD29"/>
    <mergeCell ref="BF28:BF29"/>
    <mergeCell ref="BH28:BH29"/>
    <mergeCell ref="BF26:BF27"/>
    <mergeCell ref="BF34:BF35"/>
    <mergeCell ref="BE32:BE33"/>
    <mergeCell ref="AZ32:AZ33"/>
    <mergeCell ref="BB36:BB37"/>
    <mergeCell ref="A4:E6"/>
    <mergeCell ref="A7:E8"/>
    <mergeCell ref="F1:I3"/>
    <mergeCell ref="J1:M3"/>
    <mergeCell ref="Q1:AG3"/>
    <mergeCell ref="AL1:AO3"/>
    <mergeCell ref="AP1:AS3"/>
    <mergeCell ref="AT1:AW3"/>
    <mergeCell ref="C16:G17"/>
    <mergeCell ref="W16:AB17"/>
    <mergeCell ref="N9:Q11"/>
    <mergeCell ref="R9:U11"/>
    <mergeCell ref="V9:Y11"/>
    <mergeCell ref="Z9:AC11"/>
    <mergeCell ref="AD9:AG11"/>
    <mergeCell ref="AS5:AW6"/>
    <mergeCell ref="AS7:AW7"/>
    <mergeCell ref="AS8:AW8"/>
    <mergeCell ref="T14:W14"/>
    <mergeCell ref="X14:AA14"/>
    <mergeCell ref="AB14:AE14"/>
    <mergeCell ref="AH9:AK11"/>
    <mergeCell ref="AL9:AO11"/>
    <mergeCell ref="T12:W13"/>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32:M33"/>
    <mergeCell ref="H36:M37"/>
    <mergeCell ref="H34:M35"/>
  </mergeCells>
  <conditionalFormatting sqref="H18:N18 W18 T18:V37 AC18:AK37 H19:M19 H20:N20 W20 H21:M37 N22 W22 N24 W24 N26 W26 N28 W28 N30 W30 N32 W32 N34 W34 N36 W36">
    <cfRule type="expression" dxfId="94" priority="1394">
      <formula>AND(ISBLANK($C18)=FALSE,OR(ISBLANK(H18)=TRUE,H18=""))</formula>
    </cfRule>
  </conditionalFormatting>
  <conditionalFormatting sqref="AR18:AU37">
    <cfRule type="expression" dxfId="93" priority="1" stopIfTrue="1">
      <formula>ISNUMBER($AR18)=FALSE</formula>
    </cfRule>
    <cfRule type="expression" dxfId="92" priority="9">
      <formula>$AR18 &lt;&gt; $BI18</formula>
    </cfRule>
  </conditionalFormatting>
  <conditionalFormatting sqref="AS8:AW8">
    <cfRule type="expression" dxfId="91" priority="10">
      <formula>IF($AS$8=PROJSTATMEASURE,FALSE,TRUE)</formula>
    </cfRule>
  </conditionalFormatting>
  <conditionalFormatting sqref="BA18:BB37 BH18:BH37">
    <cfRule type="expression" dxfId="90" priority="2">
      <formula>IF(AND(ISNUMBER($AO18),OR(BA18="",BA18="Missing!")),TRUE,FALSE)</formula>
    </cfRule>
  </conditionalFormatting>
  <conditionalFormatting sqref="BE18:BE37">
    <cfRule type="expression" dxfId="89" priority="1404">
      <formula>AND($BE18="",$H18&lt;&gt;"")</formula>
    </cfRule>
  </conditionalFormatting>
  <conditionalFormatting sqref="BF18:BF37">
    <cfRule type="expression" dxfId="88" priority="1405">
      <formula>AND($BF18="",$H18&lt;&gt;"")</formula>
    </cfRule>
  </conditionalFormatting>
  <dataValidations xWindow="806" yWindow="625" count="7">
    <dataValidation type="list" allowBlank="1" showInputMessage="1" showErrorMessage="1" sqref="BF18:BF37" xr:uid="{93961EB2-F72C-48F2-B25A-8978593151CA}">
      <formula1>ENDUSECAT</formula1>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C5F343EC-69C9-4726-9718-B6CEC55B9278}">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80D69C95-3BFE-4217-99DE-EA69E33B05DA}">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3B5B8294-39CA-4422-A36C-6FA703997D68}">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68BAB468-F31B-41FD-B4BE-54715E27A02E}">
      <formula1>IF($H18="",CUSTOMPROJECTTYPE,"")</formula1>
    </dataValidation>
    <dataValidation type="list" allowBlank="1" showInputMessage="1" showErrorMessage="1" sqref="H18:M37" xr:uid="{F2DD47F0-C23D-4703-A46D-7FE99AE8510A}">
      <formula1>CMEREFRIDESC</formula1>
    </dataValidation>
    <dataValidation type="whole" operator="greaterThanOrEqual" allowBlank="1" showInputMessage="1" showErrorMessage="1" errorTitle="Invalid Entry" error="Value must be a whole number." sqref="T18:V37 AC18:AE37" xr:uid="{BEF75939-DA4B-4265-9A86-C6B805F58A81}">
      <formula1>0</formula1>
    </dataValidation>
  </dataValidations>
  <hyperlinks>
    <hyperlink ref="N9:Q11" location="'M03-S03'!C18" tooltip="Lighting Controls" display="'M03-S03'!C18" xr:uid="{81E40026-AB92-474F-843B-D6E1726185D9}"/>
    <hyperlink ref="R9:U11" location="'M03-S04'!C18" tooltip="Refrigeration" display="'M03-S04'!C18" xr:uid="{3150CF49-8558-420B-A333-812575CD4CFB}"/>
    <hyperlink ref="V9:Y11" location="'M03-S05'!C18" tooltip="HVAC" display="'M03-S05'!C18" xr:uid="{EF97426B-53F3-4546-B2D8-5208F97B61AF}"/>
    <hyperlink ref="AD9:AG11" location="'M03-S06'!C18" tooltip="Compressed Air / Process" display="'M03-S06'!C18" xr:uid="{73095263-F31B-4F9B-A83E-17E3F375D70A}"/>
    <hyperlink ref="AH9:AK11" location="'M03-S07'!C18" tooltip="Water Heating / Cooking" display="'M03-S07'!C18" xr:uid="{305F1A20-AA4D-4803-823A-95823DCF6B01}"/>
    <hyperlink ref="Z9:AC11" location="'M03-S08'!C18" tooltip="Motors and Drives" display="'M03-S08'!C18" xr:uid="{2DB2336B-1483-465B-BD65-835E71D5A4D9}"/>
    <hyperlink ref="AL9:AO11" location="'M04-S09'!C18" tooltip="Miscellaneous" display="'M04-S09'!C18" xr:uid="{1D9C1DE3-C37E-4EFB-88DC-2ACB1B3A7D53}"/>
    <hyperlink ref="B202" r:id="rId1" xr:uid="{1FD07E7E-C3AF-44EB-90FB-87C7B1EDF63D}"/>
    <hyperlink ref="J1:M3" location="'M01-S02'!J1" tooltip="Instructions" display="'M01-S02'!J1" xr:uid="{04F7AA7C-56B7-4B48-A44E-DBDBCED53FC2}"/>
    <hyperlink ref="AP1:AS3" location="'M05-S05'!AL1" tooltip=" " display="'M05-S05'!AL1" xr:uid="{E68A069F-97A1-4DFE-91FC-AAF154B9A041}"/>
    <hyperlink ref="AL1:AO3" location="'M05-S04'!AH1" tooltip=" " display="'M05-S04'!AH1" xr:uid="{16962961-1974-4242-9954-250385B53BF8}"/>
    <hyperlink ref="AT1:AW3" location="'M01-S03'!AP1" tooltip="Contact" display="'M01-S03'!AP1" xr:uid="{816566DA-728C-41BE-98C6-1A0FB207EC30}"/>
  </hyperlinks>
  <printOptions horizontalCentered="1"/>
  <pageMargins left="0" right="0" top="0" bottom="0" header="0" footer="0"/>
  <pageSetup scale="4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C543-588B-4CE8-8797-6679879C4458}">
  <sheetPr codeName="Sheet29">
    <tabColor theme="8" tint="0.59999389629810485"/>
    <pageSetUpPr fitToPage="1"/>
  </sheetPr>
  <dimension ref="A1:BR204"/>
  <sheetViews>
    <sheetView showGridLines="0" showRowColHeaders="0" zoomScale="85" zoomScaleNormal="85" workbookViewId="0">
      <selection activeCell="C18" sqref="C18:G19"/>
    </sheetView>
  </sheetViews>
  <sheetFormatPr defaultColWidth="0" defaultRowHeight="15" customHeight="1" zeroHeight="1"/>
  <cols>
    <col min="1" max="49" width="4.7109375" customWidth="1"/>
    <col min="50" max="51" width="9.42578125" hidden="1"/>
    <col min="52" max="52" width="15.7109375" hidden="1"/>
    <col min="53" max="59" width="9.42578125" hidden="1"/>
    <col min="60" max="60" width="14.7109375" hidden="1"/>
    <col min="61" max="61" width="9.42578125" hidden="1"/>
    <col min="62" max="62" width="11.5703125" hidden="1"/>
    <col min="63" max="63" width="18.85546875" hidden="1"/>
    <col min="64" max="67" width="9.42578125" hidden="1"/>
    <col min="68" max="69" width="10.42578125" hidden="1"/>
    <col min="70" max="70" width="13.42578125" hidden="1"/>
    <col min="71" max="16384" width="4.7109375" hidden="1"/>
  </cols>
  <sheetData>
    <row r="1" spans="1:68"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8"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8"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68" ht="15.95" customHeight="1">
      <c r="A4" s="666">
        <f>INCENTOTAL</f>
        <v>0</v>
      </c>
      <c r="B4" s="666"/>
      <c r="C4" s="666"/>
      <c r="D4" s="666"/>
      <c r="E4" s="666"/>
      <c r="F4" s="203"/>
      <c r="G4" s="203"/>
      <c r="H4" s="203"/>
      <c r="I4" s="203"/>
    </row>
    <row r="5" spans="1:68" ht="15.95" customHeight="1">
      <c r="A5" s="667"/>
      <c r="B5" s="667"/>
      <c r="C5" s="667"/>
      <c r="D5" s="667"/>
      <c r="E5" s="667"/>
      <c r="F5" s="432"/>
      <c r="G5" s="432"/>
      <c r="H5" s="432"/>
      <c r="I5" s="432"/>
      <c r="AS5" s="1059">
        <f ca="1">PROGRESSSTATUS</f>
        <v>0</v>
      </c>
      <c r="AT5" s="1059"/>
      <c r="AU5" s="1059"/>
      <c r="AV5" s="1059"/>
      <c r="AW5" s="1059"/>
      <c r="AX5" s="22"/>
      <c r="AY5" s="119" t="s">
        <v>1315</v>
      </c>
      <c r="AZ5" s="119" t="s">
        <v>325</v>
      </c>
      <c r="BA5" s="52"/>
      <c r="BB5" s="52"/>
    </row>
    <row r="6" spans="1:68" ht="15.95" customHeight="1">
      <c r="A6" s="667"/>
      <c r="B6" s="667"/>
      <c r="C6" s="667"/>
      <c r="D6" s="667"/>
      <c r="E6" s="667"/>
      <c r="F6" s="432"/>
      <c r="G6" s="432"/>
      <c r="H6" s="432"/>
      <c r="I6" s="432"/>
      <c r="AS6" s="1059"/>
      <c r="AT6" s="1059"/>
      <c r="AU6" s="1059"/>
      <c r="AV6" s="1059"/>
      <c r="AW6" s="1059"/>
      <c r="AX6" s="118" t="s">
        <v>1320</v>
      </c>
      <c r="AY6" s="117" t="str">
        <f>CBPRESE</f>
        <v>NA</v>
      </c>
      <c r="AZ6" s="181" t="str">
        <f>PAYPRESE</f>
        <v>NA</v>
      </c>
      <c r="BA6" s="52"/>
      <c r="BB6" s="52"/>
    </row>
    <row r="7" spans="1:68" ht="15.95" customHeight="1">
      <c r="A7" s="629" t="s">
        <v>83</v>
      </c>
      <c r="B7" s="629"/>
      <c r="C7" s="629"/>
      <c r="D7" s="629"/>
      <c r="E7" s="629"/>
      <c r="F7" s="85"/>
      <c r="G7" s="85"/>
      <c r="H7" s="85"/>
      <c r="I7" s="85"/>
      <c r="AS7" s="629" t="s">
        <v>299</v>
      </c>
      <c r="AT7" s="629"/>
      <c r="AU7" s="629"/>
      <c r="AV7" s="629"/>
      <c r="AW7" s="629"/>
      <c r="AX7" s="118" t="s">
        <v>135</v>
      </c>
      <c r="AY7" s="117" t="str">
        <f>CBCUSE</f>
        <v>NA</v>
      </c>
      <c r="AZ7" s="181" t="str">
        <f>PAYCUSE</f>
        <v>NA</v>
      </c>
      <c r="BA7" s="52"/>
      <c r="BB7" s="52"/>
    </row>
    <row r="8" spans="1:68" ht="15.95" customHeight="1" thickBot="1">
      <c r="A8" s="632"/>
      <c r="B8" s="632"/>
      <c r="C8" s="632"/>
      <c r="D8" s="632"/>
      <c r="E8" s="632"/>
      <c r="F8" s="429"/>
      <c r="G8" s="429"/>
      <c r="H8" s="429"/>
      <c r="I8" s="85"/>
      <c r="AS8" s="628" t="str">
        <f ca="1">PROJSTATUS</f>
        <v>Enter Measures</v>
      </c>
      <c r="AT8" s="628"/>
      <c r="AU8" s="628"/>
      <c r="AV8" s="628"/>
      <c r="AW8" s="628"/>
      <c r="AX8" s="118" t="s">
        <v>596</v>
      </c>
      <c r="AY8" s="117" t="str">
        <f>CBALL</f>
        <v>NA</v>
      </c>
      <c r="AZ8" s="181" t="str">
        <f>PAYALL</f>
        <v>NA</v>
      </c>
      <c r="BA8" s="52"/>
      <c r="BB8" s="52"/>
    </row>
    <row r="9" spans="1:68" s="88" customFormat="1" ht="15.95" customHeight="1">
      <c r="B9" s="110"/>
      <c r="C9" s="110"/>
      <c r="D9" s="110"/>
      <c r="E9" s="110"/>
      <c r="F9" s="110"/>
      <c r="G9" s="112"/>
      <c r="H9" s="111"/>
      <c r="I9" s="111"/>
      <c r="J9" s="927"/>
      <c r="K9" s="928"/>
      <c r="L9" s="928"/>
      <c r="M9" s="928"/>
      <c r="N9" s="815" t="str">
        <f>M3S3</f>
        <v>Lighting Controls</v>
      </c>
      <c r="O9" s="816"/>
      <c r="P9" s="816"/>
      <c r="Q9" s="816"/>
      <c r="R9" s="815" t="str">
        <f>M3S4</f>
        <v>Refrigeration</v>
      </c>
      <c r="S9" s="816"/>
      <c r="T9" s="816"/>
      <c r="U9" s="816"/>
      <c r="V9" s="818" t="str">
        <f>M3S5</f>
        <v>HVAC</v>
      </c>
      <c r="W9" s="818"/>
      <c r="X9" s="818"/>
      <c r="Y9" s="818"/>
      <c r="Z9" s="815" t="str">
        <f>M4S8</f>
        <v>Motors and Drives</v>
      </c>
      <c r="AA9" s="816"/>
      <c r="AB9" s="816"/>
      <c r="AC9" s="816"/>
      <c r="AD9" s="815" t="str">
        <f>M3S6</f>
        <v>Compressed Air / Process</v>
      </c>
      <c r="AE9" s="816"/>
      <c r="AF9" s="816"/>
      <c r="AG9" s="816"/>
      <c r="AH9" s="815" t="str">
        <f>M3S7</f>
        <v>Water Heating / Food Services</v>
      </c>
      <c r="AI9" s="816"/>
      <c r="AJ9" s="816"/>
      <c r="AK9" s="816"/>
      <c r="AL9" s="815" t="str">
        <f>M4S9</f>
        <v>Miscellaneous</v>
      </c>
      <c r="AM9" s="816"/>
      <c r="AN9" s="816"/>
      <c r="AO9" s="816"/>
      <c r="AP9" s="110"/>
      <c r="AQ9" s="110"/>
      <c r="AR9" s="110"/>
      <c r="AS9" s="112"/>
      <c r="AU9" s="110"/>
      <c r="AV9" s="110"/>
    </row>
    <row r="10" spans="1:68" s="88" customFormat="1" ht="15.95" customHeight="1">
      <c r="B10" s="89"/>
      <c r="C10" s="89"/>
      <c r="D10" s="89"/>
      <c r="E10" s="89"/>
      <c r="F10" s="89"/>
      <c r="G10"/>
      <c r="J10" s="878"/>
      <c r="K10" s="878"/>
      <c r="L10" s="878"/>
      <c r="M10" s="878"/>
      <c r="N10" s="817"/>
      <c r="O10" s="817"/>
      <c r="P10" s="817"/>
      <c r="Q10" s="817"/>
      <c r="R10" s="817"/>
      <c r="S10" s="817"/>
      <c r="T10" s="817"/>
      <c r="U10" s="817"/>
      <c r="V10" s="819"/>
      <c r="W10" s="819"/>
      <c r="X10" s="819"/>
      <c r="Y10" s="819"/>
      <c r="Z10" s="817"/>
      <c r="AA10" s="817"/>
      <c r="AB10" s="817"/>
      <c r="AC10" s="817"/>
      <c r="AD10" s="817"/>
      <c r="AE10" s="817"/>
      <c r="AF10" s="817"/>
      <c r="AG10" s="817"/>
      <c r="AH10" s="817"/>
      <c r="AI10" s="817"/>
      <c r="AJ10" s="817"/>
      <c r="AK10" s="817"/>
      <c r="AL10" s="817"/>
      <c r="AM10" s="817"/>
      <c r="AN10" s="817"/>
      <c r="AO10" s="817"/>
      <c r="AP10" s="89"/>
      <c r="AQ10" s="89"/>
      <c r="AR10" s="89"/>
      <c r="AS10"/>
      <c r="AU10" s="89"/>
      <c r="AV10" s="89"/>
    </row>
    <row r="11" spans="1:68" ht="15.95" customHeight="1">
      <c r="B11" s="106"/>
      <c r="C11" s="106"/>
      <c r="D11" s="106"/>
      <c r="E11" s="106"/>
      <c r="F11" s="106"/>
      <c r="J11" s="878"/>
      <c r="K11" s="878"/>
      <c r="L11" s="878"/>
      <c r="M11" s="878"/>
      <c r="N11" s="817"/>
      <c r="O11" s="817"/>
      <c r="P11" s="817"/>
      <c r="Q11" s="817"/>
      <c r="R11" s="817"/>
      <c r="S11" s="817"/>
      <c r="T11" s="817"/>
      <c r="U11" s="817"/>
      <c r="V11" s="819"/>
      <c r="W11" s="819"/>
      <c r="X11" s="819"/>
      <c r="Y11" s="819"/>
      <c r="Z11" s="817"/>
      <c r="AA11" s="817"/>
      <c r="AB11" s="817"/>
      <c r="AC11" s="817"/>
      <c r="AD11" s="817"/>
      <c r="AE11" s="817"/>
      <c r="AF11" s="817"/>
      <c r="AG11" s="817"/>
      <c r="AH11" s="817"/>
      <c r="AI11" s="817"/>
      <c r="AJ11" s="817"/>
      <c r="AK11" s="817"/>
      <c r="AL11" s="817"/>
      <c r="AM11" s="817"/>
      <c r="AN11" s="817"/>
      <c r="AO11" s="817"/>
      <c r="AP11" s="106"/>
      <c r="AQ11" s="106"/>
      <c r="AR11" s="106"/>
      <c r="AU11" s="106"/>
      <c r="AV11" s="106"/>
    </row>
    <row r="12" spans="1:68" ht="15.95" customHeight="1">
      <c r="A12" s="86"/>
      <c r="B12" s="86"/>
      <c r="C12" s="86"/>
      <c r="D12" s="86"/>
      <c r="E12" s="86"/>
      <c r="F12" s="86"/>
      <c r="G12" s="86"/>
      <c r="T12" s="821">
        <f>SUM(AR18:AU184)</f>
        <v>0</v>
      </c>
      <c r="U12" s="821"/>
      <c r="V12" s="821"/>
      <c r="W12" s="821"/>
      <c r="X12" s="821">
        <f ca="1">SUMIF(AR18:AU184,"&gt;0",AL18:AN184)</f>
        <v>0</v>
      </c>
      <c r="Y12" s="821"/>
      <c r="Z12" s="821"/>
      <c r="AA12" s="821"/>
      <c r="AB12" s="820">
        <f ca="1">SUMIF(AR18:AU184,"&gt;0",AO18:AQ184)</f>
        <v>0</v>
      </c>
      <c r="AC12" s="820"/>
      <c r="AD12" s="820"/>
      <c r="AE12" s="820"/>
      <c r="AT12" s="377"/>
    </row>
    <row r="13" spans="1:68" ht="15.95" customHeight="1">
      <c r="A13" s="86"/>
      <c r="B13" s="86"/>
      <c r="C13" s="86"/>
      <c r="D13" s="86"/>
      <c r="E13" s="1035" t="s">
        <v>3058</v>
      </c>
      <c r="F13" s="1035"/>
      <c r="G13" s="1035"/>
      <c r="H13" s="1035"/>
      <c r="I13" s="1035"/>
      <c r="J13" s="1035"/>
      <c r="K13" s="1035"/>
      <c r="L13" s="1035"/>
      <c r="M13" s="1035"/>
      <c r="N13" s="1035"/>
      <c r="O13" s="1035"/>
      <c r="P13" s="1035"/>
      <c r="Q13" s="1035"/>
      <c r="R13" s="1035"/>
      <c r="T13" s="821"/>
      <c r="U13" s="821"/>
      <c r="V13" s="821"/>
      <c r="W13" s="821"/>
      <c r="X13" s="821"/>
      <c r="Y13" s="821"/>
      <c r="Z13" s="821"/>
      <c r="AA13" s="821"/>
      <c r="AB13" s="820"/>
      <c r="AC13" s="820"/>
      <c r="AD13" s="820"/>
      <c r="AE13" s="820"/>
      <c r="AM13" s="840" t="str">
        <f>IF(OR(IFERROR(MATCH("75% Total Cost", BM:BM, 0), FALSE), IFERROR(MATCH("100% Incremental Cost", BM:BM, 0), FALSE)), "The incentive for one or more measures is capped due to measure cost.", "")</f>
        <v/>
      </c>
      <c r="AN13" s="840"/>
      <c r="AO13" s="840"/>
      <c r="AP13" s="840"/>
      <c r="AQ13" s="840"/>
      <c r="AR13" s="840"/>
      <c r="AS13" s="840"/>
      <c r="AT13" s="840"/>
      <c r="AU13" s="840"/>
    </row>
    <row r="14" spans="1:68" ht="15.95" customHeight="1">
      <c r="T14" s="758" t="s">
        <v>1717</v>
      </c>
      <c r="U14" s="758"/>
      <c r="V14" s="758"/>
      <c r="W14" s="758"/>
      <c r="X14" s="758" t="s">
        <v>67</v>
      </c>
      <c r="Y14" s="758"/>
      <c r="Z14" s="758"/>
      <c r="AA14" s="758"/>
      <c r="AB14" s="758" t="s">
        <v>1161</v>
      </c>
      <c r="AC14" s="758"/>
      <c r="AD14" s="758"/>
      <c r="AE14" s="758"/>
      <c r="AM14" s="840"/>
      <c r="AN14" s="840"/>
      <c r="AO14" s="840"/>
      <c r="AP14" s="840"/>
      <c r="AQ14" s="840"/>
      <c r="AR14" s="840"/>
      <c r="AS14" s="840"/>
      <c r="AT14" s="840"/>
      <c r="AU14" s="840"/>
    </row>
    <row r="15" spans="1:68" ht="15.95" customHeight="1"/>
    <row r="16" spans="1:68" ht="15.95" customHeight="1">
      <c r="C16" s="723" t="s">
        <v>1308</v>
      </c>
      <c r="D16" s="723"/>
      <c r="E16" s="723"/>
      <c r="F16" s="723"/>
      <c r="G16" s="723"/>
      <c r="H16" s="723" t="s">
        <v>1238</v>
      </c>
      <c r="I16" s="723"/>
      <c r="J16" s="723"/>
      <c r="K16" s="723"/>
      <c r="L16" s="723"/>
      <c r="M16" s="723"/>
      <c r="N16" s="723" t="s">
        <v>1309</v>
      </c>
      <c r="O16" s="723"/>
      <c r="P16" s="723"/>
      <c r="Q16" s="723"/>
      <c r="R16" s="723"/>
      <c r="S16" s="723"/>
      <c r="T16" s="723" t="s">
        <v>2426</v>
      </c>
      <c r="U16" s="723"/>
      <c r="V16" s="723"/>
      <c r="W16" s="723" t="s">
        <v>1310</v>
      </c>
      <c r="X16" s="723"/>
      <c r="Y16" s="723"/>
      <c r="Z16" s="723"/>
      <c r="AA16" s="723"/>
      <c r="AB16" s="723"/>
      <c r="AC16" s="723" t="s">
        <v>2427</v>
      </c>
      <c r="AD16" s="723"/>
      <c r="AE16" s="723"/>
      <c r="AF16" s="723" t="s">
        <v>1311</v>
      </c>
      <c r="AG16" s="723"/>
      <c r="AH16" s="814" t="s">
        <v>1257</v>
      </c>
      <c r="AI16" s="814"/>
      <c r="AJ16" s="814"/>
      <c r="AK16" s="814"/>
      <c r="AL16" s="723" t="s">
        <v>1304</v>
      </c>
      <c r="AM16" s="723"/>
      <c r="AN16" s="723"/>
      <c r="AO16" s="723" t="s">
        <v>1108</v>
      </c>
      <c r="AP16" s="723"/>
      <c r="AQ16" s="723"/>
      <c r="AR16" s="723" t="s">
        <v>83</v>
      </c>
      <c r="AS16" s="723"/>
      <c r="AT16" s="723"/>
      <c r="AU16" s="723"/>
      <c r="AV16" s="66"/>
      <c r="AW16" s="66"/>
      <c r="AX16" s="756" t="s">
        <v>132</v>
      </c>
      <c r="AY16" s="756" t="s">
        <v>325</v>
      </c>
      <c r="AZ16" s="756" t="s">
        <v>1116</v>
      </c>
      <c r="BA16" s="756" t="s">
        <v>2595</v>
      </c>
      <c r="BB16" s="756" t="s">
        <v>1324</v>
      </c>
      <c r="BC16" s="756" t="s">
        <v>635</v>
      </c>
      <c r="BD16" s="756" t="s">
        <v>1256</v>
      </c>
      <c r="BE16" s="756" t="s">
        <v>88</v>
      </c>
      <c r="BF16" s="756" t="s">
        <v>1305</v>
      </c>
      <c r="BG16" s="756" t="s">
        <v>1307</v>
      </c>
      <c r="BH16" s="756" t="s">
        <v>1466</v>
      </c>
      <c r="BI16" s="736" t="s">
        <v>2125</v>
      </c>
      <c r="BJ16" s="736" t="s">
        <v>703</v>
      </c>
      <c r="BK16" s="756" t="s">
        <v>1765</v>
      </c>
      <c r="BL16" s="756" t="s">
        <v>85</v>
      </c>
      <c r="BM16" s="756" t="s">
        <v>1306</v>
      </c>
      <c r="BN16" s="756" t="s">
        <v>309</v>
      </c>
      <c r="BO16" s="736" t="s">
        <v>2130</v>
      </c>
      <c r="BP16" s="736" t="s">
        <v>2401</v>
      </c>
    </row>
    <row r="17" spans="1:68" ht="15.95" customHeight="1" thickBot="1">
      <c r="B17" s="22"/>
      <c r="C17" s="724"/>
      <c r="D17" s="724"/>
      <c r="E17" s="724"/>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t="s">
        <v>1241</v>
      </c>
      <c r="AI17" s="724"/>
      <c r="AJ17" s="724" t="s">
        <v>1242</v>
      </c>
      <c r="AK17" s="724"/>
      <c r="AL17" s="724"/>
      <c r="AM17" s="724"/>
      <c r="AN17" s="724"/>
      <c r="AO17" s="724"/>
      <c r="AP17" s="724"/>
      <c r="AQ17" s="724"/>
      <c r="AR17" s="724"/>
      <c r="AS17" s="724"/>
      <c r="AT17" s="724"/>
      <c r="AU17" s="724"/>
      <c r="AV17" s="44"/>
      <c r="AW17" s="44"/>
      <c r="AX17" s="757"/>
      <c r="AY17" s="757"/>
      <c r="AZ17" s="757"/>
      <c r="BA17" s="757"/>
      <c r="BB17" s="757"/>
      <c r="BC17" s="757"/>
      <c r="BD17" s="757"/>
      <c r="BE17" s="757"/>
      <c r="BF17" s="757"/>
      <c r="BG17" s="757"/>
      <c r="BH17" s="757"/>
      <c r="BI17" s="737"/>
      <c r="BJ17" s="737"/>
      <c r="BK17" s="757"/>
      <c r="BL17" s="757"/>
      <c r="BM17" s="757"/>
      <c r="BN17" s="757"/>
      <c r="BO17" s="737"/>
      <c r="BP17" s="737"/>
    </row>
    <row r="18" spans="1:68" ht="15.95" customHeight="1">
      <c r="B18" s="806">
        <v>1</v>
      </c>
      <c r="C18" s="994"/>
      <c r="D18" s="726"/>
      <c r="E18" s="726"/>
      <c r="F18" s="726"/>
      <c r="G18" s="995"/>
      <c r="H18" s="1013"/>
      <c r="I18" s="1013"/>
      <c r="J18" s="1013"/>
      <c r="K18" s="1013"/>
      <c r="L18" s="1013"/>
      <c r="M18" s="991"/>
      <c r="N18" s="1116"/>
      <c r="O18" s="726"/>
      <c r="P18" s="726"/>
      <c r="Q18" s="726"/>
      <c r="R18" s="726"/>
      <c r="S18" s="995"/>
      <c r="T18" s="1129"/>
      <c r="U18" s="1130"/>
      <c r="V18" s="1131"/>
      <c r="W18" s="1116"/>
      <c r="X18" s="726"/>
      <c r="Y18" s="726"/>
      <c r="Z18" s="726"/>
      <c r="AA18" s="726"/>
      <c r="AB18" s="995"/>
      <c r="AC18" s="1129"/>
      <c r="AD18" s="1130"/>
      <c r="AE18" s="1131"/>
      <c r="AF18" s="1121" t="str">
        <f>IFERROR(IF($C18="", "", IF(OR($C18 = "Retrofit existing", $C18 = "Replace in-life equip."), "Total", "Incremental")), "")</f>
        <v/>
      </c>
      <c r="AG18" s="1122"/>
      <c r="AH18" s="999"/>
      <c r="AI18" s="999"/>
      <c r="AJ18" s="1099" t="str">
        <f t="shared" ref="AJ18" si="0">IF(AF18="Incremental",0,"")</f>
        <v/>
      </c>
      <c r="AK18" s="1100"/>
      <c r="AL18" s="1057" t="str">
        <f>IF(OR(C18="",H18="",N18="",T18="",W18="",AC18="",AF18="",AH18="",AJ18=""),"",ROUND(AH18+AJ18,2))</f>
        <v/>
      </c>
      <c r="AM18" s="1058"/>
      <c r="AN18" s="1058"/>
      <c r="AO18" s="1033" t="str">
        <f>IF(OR(C18="",H18="",N18="",T18="",W18="",AC18="",AF18="",AH18="",AJ18=""),"",IF(BC18-BD18&lt;=0,0,ROUND(BC18-BD18,4)))</f>
        <v/>
      </c>
      <c r="AP18" s="1033"/>
      <c r="AQ18" s="1033"/>
      <c r="AR18" s="996" t="str">
        <f>IF(OR(C18="",H18="",N18="",T18="",W18="",AC18="",AF18="",AH18="",AJ18=""),"",
IF(BN18&lt;&gt;"",BN18,IF(BP18&gt;0,BP18,
IF(AF18="Incremental",
IF(ACTIVEBLOCK="Yes",ROUND(MIN(AL18*INCCOSTCAP,AO18*BLOCKBIDRATE),2),
ROUND(MIN(AL18*INCCOSTCAP,BI18),2)),
IF(ACTIVEBLOCK="Yes",ROUND(MIN(AL18*TOTCOSTCAP,AO18*BLOCKBIDRATE),2),
ROUND(MIN(AL18*TOTCOSTCAP,BI18),2))))))</f>
        <v/>
      </c>
      <c r="AS18" s="996"/>
      <c r="AT18" s="996"/>
      <c r="AU18" s="996"/>
      <c r="AV18" s="44"/>
      <c r="AW18" s="44"/>
      <c r="AX18" s="974" t="str">
        <f>IFERROR(IF(OR(C18="",H18="",N18="",T18="",W18="",AC18="",AF18="",AH18="",AJ18=""),"",
ROUND(((1+ELOSS)*((AO18*INDEX(ELECCB[NPV AEC $/kWh],MATCH(BE18,ELECCB[Year Number],1)))+(BG18*INDEX(ELECCB[NPV ACC $/kW],MATCH(BE18,ELECCB[Year Number],1))))/AL18),2)),0)</f>
        <v/>
      </c>
      <c r="AY18" s="974" t="str">
        <f>IFERROR(AL18/M02S04F06/AO18,"")</f>
        <v/>
      </c>
      <c r="AZ18" s="967" t="str">
        <f>IF(OR(C18="",H18=""),"",INDEX(CMEHVAC[Unit of Measure],MATCH(H18,CMEHVAC[Proj Desc 1],0)))</f>
        <v/>
      </c>
      <c r="BA18" s="980" t="str">
        <f>IF(AO18&lt;&gt;"","Missing!","")</f>
        <v/>
      </c>
      <c r="BB18" s="980" t="str">
        <f>IF(AO18&lt;&gt;"","Missing!","")</f>
        <v/>
      </c>
      <c r="BC18" s="976" t="str">
        <f>IF(OR(C18="",H18="",N18="",T18="",W18="",AC18="",AF18="",AH18="",AJ18=""),"",ROUND(T18,4))</f>
        <v/>
      </c>
      <c r="BD18" s="976" t="str">
        <f>IF(OR(C18="",H18="",N18="",T18="",W18="",AC18="",AF18="",AH18="",AJ18=""),"",ROUND(AC18,4))</f>
        <v/>
      </c>
      <c r="BE18" s="978" t="str">
        <f>IF(OR(C18="",H18=""),"",IF(INDEX(CMEHVAC[EUL],MATCH(H18,CMEHVAC[Proj Desc 1],0))="","",INDEX(CMEHVAC[EUL],MATCH(H18,CMEHVAC[Proj Desc 1],0))))</f>
        <v/>
      </c>
      <c r="BF18" s="980" t="str">
        <f>IF(OR(C18="",H18=""),"",IF(INDEX(CMEHVAC[End Use Category],MATCH(H18,CMEHVAC[Proj Desc 1],0))="","",INDEX(CMEHVAC[End Use Category],MATCH(H18,CMEHVAC[Proj Desc 1],0))))</f>
        <v/>
      </c>
      <c r="BG18" s="972" t="str">
        <f>IFERROR(IF(OR(C18="",H18="",N18="",T18="",W18="",AC18="",AF18="",AH18="",AJ18=""),"",ROUND(AO18*INDEX(ENDUSEALL[Factor],MATCH(BF18,ENDUSEALL[End Use to Coincident Peak Demand Factors],0)),4)),"")</f>
        <v/>
      </c>
      <c r="BH18" s="1076"/>
      <c r="BI18" s="830" t="str">
        <f>IFERROR(ROUND(AO18*BJ18,2),"")</f>
        <v/>
      </c>
      <c r="BJ18" s="830" t="str">
        <f>_xlfn.LET(_xlpm.ROWS,MATCH(BF18,ENDUSEALL[End Use to Coincident Peak Demand Factors],0),IFERROR(INDEX(IF(AND(ACTIVEBONUS = TRUE,INDEX(ENDUSEALL[Bonus Rate ($/kWh)],_xlpm.ROWS)&lt;&gt;""),ENDUSEALL[Bonus Rate ($/kWh)],ENDUSEALL[Rate ($/kWh)]),_xlpm.ROWS),""))</f>
        <v/>
      </c>
      <c r="BK18" s="830"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965" t="str">
        <f>IF(OR(C18="",H18="",N18="",T18="",W18="",AC18="",AF18="",AH18="",AJ18=""),"",IF(BN18&lt;&gt;"",SPILLOVERNUMBER,INDEX(CMEHVAC[Measure Number],MATCH(H18,CMEHVAC[Proj Desc 1],0))))</f>
        <v/>
      </c>
      <c r="BM18" s="967"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967" t="str">
        <f ca="1">IFERROR(IF(EXPIRATION&lt;&gt;"",PROJSTATEXP,
IF(BP18&gt;0,"",
IF(BC18-BD18&lt;=0,MEASURESAVE,
IF(OR(M02S04F06="",M02S04F06="Select Rate Code",M02S04F06=0),MEASURERATE,
IF(AND((OR(ISNUMBER(SEARCH("Cloud",H18)),ISNUMBER(SEARCH("Other",H18)))),OR(BE18="",BF18="")),MEASURESUBMIT,
 IF(PAYCUSE&lt;PAYBACKREQ,PROJECTSTATPAYBACK,
IF(CBCUSE&lt;CBREQ,PROJECTSTATCB,""))))))),MEASURESUBMIT)</f>
        <v>Submit for Review</v>
      </c>
      <c r="BO18" s="830" t="str">
        <f>IFERROR(IF(OR(C18="",H18="",N18="",T18="",W18="",AC18="",AF18="",AH18="",AJ18=""),"",
ROUND(((1+ELOSS)*((AO18*INDEX(ELECCB[NPV AEC $/kWh],MATCH(BE18,ELECCB[Year Number],1)))+(BG18*INDEX(ELECCB[NPV ACC $/kW],MATCH(BE18,ELECCB[Year Number],1))))),2)),0)</f>
        <v/>
      </c>
      <c r="BP18" s="969"/>
    </row>
    <row r="19" spans="1:68" ht="15.95" customHeight="1">
      <c r="B19" s="806"/>
      <c r="C19" s="991"/>
      <c r="D19" s="992"/>
      <c r="E19" s="992"/>
      <c r="F19" s="992"/>
      <c r="G19" s="993"/>
      <c r="H19" s="1015"/>
      <c r="I19" s="1015"/>
      <c r="J19" s="1015"/>
      <c r="K19" s="1015"/>
      <c r="L19" s="1015"/>
      <c r="M19" s="1020"/>
      <c r="N19" s="1026"/>
      <c r="O19" s="992"/>
      <c r="P19" s="992"/>
      <c r="Q19" s="992"/>
      <c r="R19" s="992"/>
      <c r="S19" s="993"/>
      <c r="T19" s="1031"/>
      <c r="U19" s="1125"/>
      <c r="V19" s="1126"/>
      <c r="W19" s="1026"/>
      <c r="X19" s="992"/>
      <c r="Y19" s="992"/>
      <c r="Z19" s="992"/>
      <c r="AA19" s="992"/>
      <c r="AB19" s="993"/>
      <c r="AC19" s="1031"/>
      <c r="AD19" s="1125"/>
      <c r="AE19" s="1126"/>
      <c r="AF19" s="1121"/>
      <c r="AG19" s="1122"/>
      <c r="AH19" s="999"/>
      <c r="AI19" s="999"/>
      <c r="AJ19" s="1101"/>
      <c r="AK19" s="1102"/>
      <c r="AL19" s="1001"/>
      <c r="AM19" s="1002"/>
      <c r="AN19" s="1002"/>
      <c r="AO19" s="1034"/>
      <c r="AP19" s="1034"/>
      <c r="AQ19" s="1034"/>
      <c r="AR19" s="997"/>
      <c r="AS19" s="997"/>
      <c r="AT19" s="997"/>
      <c r="AU19" s="997"/>
      <c r="AV19" s="44"/>
      <c r="AW19" s="44"/>
      <c r="AX19" s="982"/>
      <c r="AY19" s="982"/>
      <c r="AZ19" s="983"/>
      <c r="BA19" s="986"/>
      <c r="BB19" s="986"/>
      <c r="BC19" s="984"/>
      <c r="BD19" s="984"/>
      <c r="BE19" s="985"/>
      <c r="BF19" s="986"/>
      <c r="BG19" s="970"/>
      <c r="BH19" s="1077"/>
      <c r="BI19" s="831"/>
      <c r="BJ19" s="831"/>
      <c r="BK19" s="831"/>
      <c r="BL19" s="987"/>
      <c r="BM19" s="983"/>
      <c r="BN19" s="983"/>
      <c r="BO19" s="831"/>
      <c r="BP19" s="981"/>
    </row>
    <row r="20" spans="1:68" ht="15.95" customHeight="1">
      <c r="A20" s="85"/>
      <c r="B20" s="806">
        <v>2</v>
      </c>
      <c r="C20" s="988"/>
      <c r="D20" s="989"/>
      <c r="E20" s="989"/>
      <c r="F20" s="989"/>
      <c r="G20" s="990"/>
      <c r="H20" s="1013"/>
      <c r="I20" s="1013"/>
      <c r="J20" s="1013"/>
      <c r="K20" s="1013"/>
      <c r="L20" s="1013"/>
      <c r="M20" s="991"/>
      <c r="N20" s="1025"/>
      <c r="O20" s="989"/>
      <c r="P20" s="989"/>
      <c r="Q20" s="989"/>
      <c r="R20" s="989"/>
      <c r="S20" s="990"/>
      <c r="T20" s="1029"/>
      <c r="U20" s="1123"/>
      <c r="V20" s="1124"/>
      <c r="W20" s="1025"/>
      <c r="X20" s="989"/>
      <c r="Y20" s="989"/>
      <c r="Z20" s="989"/>
      <c r="AA20" s="989"/>
      <c r="AB20" s="990"/>
      <c r="AC20" s="1029"/>
      <c r="AD20" s="1123"/>
      <c r="AE20" s="1124"/>
      <c r="AF20" s="1121" t="str">
        <f>IFERROR(IF($C20="", "", IF(OR($C20 = "Retrofit existing", $C20 = "Replace in-life equip."), "Total", "Incremental")), "")</f>
        <v/>
      </c>
      <c r="AG20" s="1122"/>
      <c r="AH20" s="999"/>
      <c r="AI20" s="999"/>
      <c r="AJ20" s="1099" t="str">
        <f t="shared" ref="AJ20" si="1">IF(AF20="Incremental",0,"")</f>
        <v/>
      </c>
      <c r="AK20" s="1100"/>
      <c r="AL20" s="1057" t="str">
        <f>IF(OR(C20="",H20="",N20="",T20="",W20="",AC20="",AF20="",AH20="",AJ20=""),"",ROUND(AH20+AJ20,2))</f>
        <v/>
      </c>
      <c r="AM20" s="1058"/>
      <c r="AN20" s="1058"/>
      <c r="AO20" s="1033" t="str">
        <f>IF(OR(C20="",H20="",N20="",T20="",W20="",AC20="",AF20="",AH20="",AJ20=""),"",IF(BC20-BD20&lt;=0,0,ROUND(BC20-BD20,4)))</f>
        <v/>
      </c>
      <c r="AP20" s="1033"/>
      <c r="AQ20" s="1033"/>
      <c r="AR20" s="1064" t="str">
        <f>IF(OR(C20="",H20="",N20="",T20="",W20="",AC20="",AF20="",AH20="",AJ20=""),"",
IF(BN20&lt;&gt;"",BN20,IF(BP20&gt;0,BP20,
IF(AF20="Incremental",
IF(ACTIVEBLOCK="Yes",ROUND(MIN(AL20*INCCOSTCAP,AO20*BLOCKBIDRATE),2),
ROUND(MIN(AL20*INCCOSTCAP,BI20),2)),
IF(ACTIVEBLOCK="Yes",ROUND(MIN(AL20*TOTCOSTCAP,AO20*BLOCKBIDRATE),2),
ROUND(MIN(AL20*TOTCOSTCAP,BI20),2))))))</f>
        <v/>
      </c>
      <c r="AS20" s="1065"/>
      <c r="AT20" s="1065"/>
      <c r="AU20" s="1066"/>
      <c r="AV20" s="44"/>
      <c r="AW20" s="44"/>
      <c r="AX20" s="974" t="str">
        <f>IFERROR(IF(OR(C20="",H20="",N20="",T20="",W20="",AC20="",AF20="",AH20="",AJ20=""),"",
ROUND(((1+ELOSS)*((AO20*INDEX(ELECCB[NPV AEC $/kWh],MATCH(BE20,ELECCB[Year Number],1)))+(BG20*INDEX(ELECCB[NPV ACC $/kW],MATCH(BE20,ELECCB[Year Number],1))))/AL20),2)),0)</f>
        <v/>
      </c>
      <c r="AY20" s="974" t="str">
        <f>IFERROR(AL20/M02S04F06/AO20,"")</f>
        <v/>
      </c>
      <c r="AZ20" s="967" t="str">
        <f>IF(OR(C20="",H20=""),"",INDEX(CMEHVAC[Unit of Measure],MATCH(H20,CMEHVAC[Proj Desc 1],0)))</f>
        <v/>
      </c>
      <c r="BA20" s="980" t="str">
        <f t="shared" ref="BA20" si="2">IF(AO20&lt;&gt;"","Missing!","")</f>
        <v/>
      </c>
      <c r="BB20" s="980" t="str">
        <f t="shared" ref="BB20" si="3">IF(AO20&lt;&gt;"","Missing!","")</f>
        <v/>
      </c>
      <c r="BC20" s="976" t="str">
        <f>IF(OR(C20="",H20="",N20="",T20="",W20="",AC20="",AF20="",AH20="",AJ20=""),"",ROUND(T20,4))</f>
        <v/>
      </c>
      <c r="BD20" s="976" t="str">
        <f>IF(OR(C20="",H20="",N20="",T20="",W20="",AC20="",AF20="",AH20="",AJ20=""),"",ROUND(AC20,4))</f>
        <v/>
      </c>
      <c r="BE20" s="978" t="str">
        <f>IF(OR(C20="",H20=""),"",IF(INDEX(CMEHVAC[EUL],MATCH(H20,CMEHVAC[Proj Desc 1],0))="","",INDEX(CMEHVAC[EUL],MATCH(H20,CMEHVAC[Proj Desc 1],0))))</f>
        <v/>
      </c>
      <c r="BF20" s="980" t="str">
        <f>IF(OR(C20="",H20=""),"",IF(INDEX(CMEHVAC[End Use Category],MATCH(H20,CMEHVAC[Proj Desc 1],0))="","",INDEX(CMEHVAC[End Use Category],MATCH(H20,CMEHVAC[Proj Desc 1],0))))</f>
        <v/>
      </c>
      <c r="BG20" s="972" t="str">
        <f>IFERROR(IF(OR(C20="",H20="",N20="",T20="",W20="",AC20="",AF20="",AH20="",AJ20=""),"",ROUND(AO20*INDEX(ENDUSEALL[Factor],MATCH(BF20,ENDUSEALL[End Use to Coincident Peak Demand Factors],0)),4)),"")</f>
        <v/>
      </c>
      <c r="BH20" s="1076"/>
      <c r="BI20" s="830" t="str">
        <f t="shared" ref="BI20" si="4">IFERROR(ROUND(AO20*BJ20,2),"")</f>
        <v/>
      </c>
      <c r="BJ20" s="963" t="str">
        <f>_xlfn.LET(_xlpm.ROWS,MATCH(BF20,ENDUSEALL[End Use to Coincident Peak Demand Factors],0),IFERROR(INDEX(IF(AND(ACTIVEBONUS = TRUE,INDEX(ENDUSEALL[Bonus Rate ($/kWh)],_xlpm.ROWS)&lt;&gt;""),ENDUSEALL[Bonus Rate ($/kWh)],ENDUSEALL[Rate ($/kWh)]),_xlpm.ROWS),""))</f>
        <v/>
      </c>
      <c r="BK20" s="963"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965" t="str">
        <f>IF(OR(C20="",H20="",N20="",T20="",W20="",AC20="",AF20="",AH20="",AJ20=""),"",IF(BN20&lt;&gt;"",SPILLOVERNUMBER,INDEX(CMEHVAC[Measure Number],MATCH(H20,CMEHVAC[Proj Desc 1],0))))</f>
        <v/>
      </c>
      <c r="BM20" s="966"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967" t="str">
        <f ca="1">IFERROR(IF(EXPIRATION&lt;&gt;"",PROJSTATEXP,
IF(BP20&gt;0,"",
IF(BC20-BD20&lt;=0,MEASURESAVE,
IF(OR(M02S04F06="",M02S04F06="Select Rate Code",M02S04F06=0),MEASURERATE,
IF(AND((OR(ISNUMBER(SEARCH("Cloud",H20)),ISNUMBER(SEARCH("Other",H20)))),OR(BE20="",BF20="")),MEASURESUBMIT,
 IF(PAYCUSE&lt;PAYBACKREQ,PROJECTSTATPAYBACK,
IF(CBCUSE&lt;CBREQ,PROJECTSTATCB,""))))))),MEASURESUBMIT)</f>
        <v>Submit for Review</v>
      </c>
      <c r="BO20" s="830" t="str">
        <f>IFERROR(IF(OR(C20="",H20="",N20="",T20="",W20="",AC20="",AF20="",AH20="",AJ20=""),"",
ROUND(((1+ELOSS)*((AO20*INDEX(ELECCB[NPV AEC $/kWh],MATCH(BE20,ELECCB[Year Number],1)))+(BG20*INDEX(ELECCB[NPV ACC $/kW],MATCH(BE20,ELECCB[Year Number],1))))),2)),0)</f>
        <v/>
      </c>
      <c r="BP20" s="969"/>
    </row>
    <row r="21" spans="1:68" ht="15.95" customHeight="1">
      <c r="B21" s="806"/>
      <c r="C21" s="991"/>
      <c r="D21" s="992"/>
      <c r="E21" s="992"/>
      <c r="F21" s="992"/>
      <c r="G21" s="993"/>
      <c r="H21" s="1015"/>
      <c r="I21" s="1015"/>
      <c r="J21" s="1015"/>
      <c r="K21" s="1015"/>
      <c r="L21" s="1015"/>
      <c r="M21" s="1020"/>
      <c r="N21" s="1026"/>
      <c r="O21" s="992"/>
      <c r="P21" s="992"/>
      <c r="Q21" s="992"/>
      <c r="R21" s="992"/>
      <c r="S21" s="993"/>
      <c r="T21" s="1132"/>
      <c r="U21" s="1133"/>
      <c r="V21" s="1134"/>
      <c r="W21" s="1135"/>
      <c r="X21" s="720"/>
      <c r="Y21" s="720"/>
      <c r="Z21" s="720"/>
      <c r="AA21" s="720"/>
      <c r="AB21" s="1136"/>
      <c r="AC21" s="1132"/>
      <c r="AD21" s="1133"/>
      <c r="AE21" s="1134"/>
      <c r="AF21" s="1121"/>
      <c r="AG21" s="1122"/>
      <c r="AH21" s="999"/>
      <c r="AI21" s="999"/>
      <c r="AJ21" s="1101"/>
      <c r="AK21" s="1102"/>
      <c r="AL21" s="1001"/>
      <c r="AM21" s="1002"/>
      <c r="AN21" s="1002"/>
      <c r="AO21" s="1034"/>
      <c r="AP21" s="1034"/>
      <c r="AQ21" s="1034"/>
      <c r="AR21" s="1067"/>
      <c r="AS21" s="1068"/>
      <c r="AT21" s="1068"/>
      <c r="AU21" s="1069"/>
      <c r="AV21" s="44"/>
      <c r="AW21" s="44"/>
      <c r="AX21" s="982"/>
      <c r="AY21" s="982"/>
      <c r="AZ21" s="983"/>
      <c r="BA21" s="986"/>
      <c r="BB21" s="986"/>
      <c r="BC21" s="984"/>
      <c r="BD21" s="984"/>
      <c r="BE21" s="985"/>
      <c r="BF21" s="986"/>
      <c r="BG21" s="970"/>
      <c r="BH21" s="1077"/>
      <c r="BI21" s="831"/>
      <c r="BJ21" s="830"/>
      <c r="BK21" s="830"/>
      <c r="BL21" s="987"/>
      <c r="BM21" s="967"/>
      <c r="BN21" s="983"/>
      <c r="BO21" s="831"/>
      <c r="BP21" s="981"/>
    </row>
    <row r="22" spans="1:68" s="22" customFormat="1" ht="15.95" customHeight="1">
      <c r="A22" s="120"/>
      <c r="B22" s="806">
        <v>3</v>
      </c>
      <c r="C22" s="988"/>
      <c r="D22" s="989"/>
      <c r="E22" s="989"/>
      <c r="F22" s="989"/>
      <c r="G22" s="990"/>
      <c r="H22" s="988"/>
      <c r="I22" s="989"/>
      <c r="J22" s="989"/>
      <c r="K22" s="989"/>
      <c r="L22" s="989"/>
      <c r="M22" s="1023"/>
      <c r="N22" s="1025"/>
      <c r="O22" s="989"/>
      <c r="P22" s="989"/>
      <c r="Q22" s="989"/>
      <c r="R22" s="989"/>
      <c r="S22" s="990"/>
      <c r="T22" s="1029"/>
      <c r="U22" s="1123"/>
      <c r="V22" s="1124"/>
      <c r="W22" s="1025"/>
      <c r="X22" s="989"/>
      <c r="Y22" s="989"/>
      <c r="Z22" s="989"/>
      <c r="AA22" s="989"/>
      <c r="AB22" s="990"/>
      <c r="AC22" s="1029"/>
      <c r="AD22" s="1123"/>
      <c r="AE22" s="1124"/>
      <c r="AF22" s="1121" t="str">
        <f>IFERROR(IF($C22="", "", IF(OR($C22 = "Retrofit existing", $C22 = "Replace in-life equip."), "Total", "Incremental")), "")</f>
        <v/>
      </c>
      <c r="AG22" s="1122"/>
      <c r="AH22" s="999"/>
      <c r="AI22" s="999"/>
      <c r="AJ22" s="1099" t="str">
        <f t="shared" ref="AJ22" si="5">IF(AF22="Incremental",0,"")</f>
        <v/>
      </c>
      <c r="AK22" s="1100"/>
      <c r="AL22" s="1057" t="str">
        <f>IF(OR(C22="",H22="",N22="",T22="",W22="",AC22="",AF22="",AH22="",AJ22=""),"",ROUND(AH22+AJ22,2))</f>
        <v/>
      </c>
      <c r="AM22" s="1058"/>
      <c r="AN22" s="1058"/>
      <c r="AO22" s="1033" t="str">
        <f>IF(OR(C22="",H22="",N22="",T22="",W22="",AC22="",AF22="",AH22="",AJ22=""),"",IF(BC22-BD22&lt;=0,0,ROUND(BC22-BD22,4)))</f>
        <v/>
      </c>
      <c r="AP22" s="1033"/>
      <c r="AQ22" s="1033"/>
      <c r="AR22" s="1064" t="str">
        <f>IF(OR(C22="",H22="",N22="",T22="",W22="",AC22="",AF22="",AH22="",AJ22=""),"",
IF(BN22&lt;&gt;"",BN22,IF(BP22&gt;0,BP22,
IF(AF22="Incremental",
IF(ACTIVEBLOCK="Yes",ROUND(MIN(AL22*INCCOSTCAP,AO22*BLOCKBIDRATE),2),
ROUND(MIN(AL22*INCCOSTCAP,BI22),2)),
IF(ACTIVEBLOCK="Yes",ROUND(MIN(AL22*TOTCOSTCAP,AO22*BLOCKBIDRATE),2),
ROUND(MIN(AL22*TOTCOSTCAP,BI22),2))))))</f>
        <v/>
      </c>
      <c r="AS22" s="1065"/>
      <c r="AT22" s="1065"/>
      <c r="AU22" s="1066"/>
      <c r="AV22" s="66"/>
      <c r="AW22" s="66"/>
      <c r="AX22" s="974" t="str">
        <f>IFERROR(IF(OR(C22="",H22="",N22="",T22="",W22="",AC22="",AF22="",AH22="",AJ22=""),"",
ROUND(((1+ELOSS)*((AO22*INDEX(ELECCB[NPV AEC $/kWh],MATCH(BE22,ELECCB[Year Number],1)))+(BG22*INDEX(ELECCB[NPV ACC $/kW],MATCH(BE22,ELECCB[Year Number],1))))/AL22),2)),0)</f>
        <v/>
      </c>
      <c r="AY22" s="974" t="str">
        <f>IFERROR(AL22/M02S04F06/AO22,"")</f>
        <v/>
      </c>
      <c r="AZ22" s="967" t="str">
        <f>IF(OR(C22="",H22=""),"",INDEX(CMEHVAC[Unit of Measure],MATCH(H22,CMEHVAC[Proj Desc 1],0)))</f>
        <v/>
      </c>
      <c r="BA22" s="980" t="str">
        <f t="shared" ref="BA22" si="6">IF(AO22&lt;&gt;"","Missing!","")</f>
        <v/>
      </c>
      <c r="BB22" s="980" t="str">
        <f t="shared" ref="BB22" si="7">IF(AO22&lt;&gt;"","Missing!","")</f>
        <v/>
      </c>
      <c r="BC22" s="976" t="str">
        <f>IF(OR(C22="",H22="",N22="",T22="",W22="",AC22="",AF22="",AH22="",AJ22=""),"",ROUND(T22,4))</f>
        <v/>
      </c>
      <c r="BD22" s="976" t="str">
        <f>IF(OR(C22="",H22="",N22="",T22="",W22="",AC22="",AF22="",AH22="",AJ22=""),"",ROUND(AC22,4))</f>
        <v/>
      </c>
      <c r="BE22" s="978" t="str">
        <f>IF(OR(C22="",H22=""),"",IF(INDEX(CMEHVAC[EUL],MATCH(H22,CMEHVAC[Proj Desc 1],0))="","",INDEX(CMEHVAC[EUL],MATCH(H22,CMEHVAC[Proj Desc 1],0))))</f>
        <v/>
      </c>
      <c r="BF22" s="980" t="str">
        <f>IF(OR(C22="",H22=""),"",IF(INDEX(CMEHVAC[End Use Category],MATCH(H22,CMEHVAC[Proj Desc 1],0))="","",INDEX(CMEHVAC[End Use Category],MATCH(H22,CMEHVAC[Proj Desc 1],0))))</f>
        <v/>
      </c>
      <c r="BG22" s="972" t="str">
        <f>IFERROR(IF(OR(C22="",H22="",N22="",T22="",W22="",AC22="",AF22="",AH22="",AJ22=""),"",ROUND(AO22*INDEX(ENDUSEALL[Factor],MATCH(BF22,ENDUSEALL[End Use to Coincident Peak Demand Factors],0)),4)),"")</f>
        <v/>
      </c>
      <c r="BH22" s="1076"/>
      <c r="BI22" s="830" t="str">
        <f t="shared" ref="BI22" si="8">IFERROR(ROUND(AO22*BJ22,2),"")</f>
        <v/>
      </c>
      <c r="BJ22" s="963" t="str">
        <f>_xlfn.LET(_xlpm.ROWS,MATCH(BF22,ENDUSEALL[End Use to Coincident Peak Demand Factors],0),IFERROR(INDEX(IF(AND(ACTIVEBONUS = TRUE,INDEX(ENDUSEALL[Bonus Rate ($/kWh)],_xlpm.ROWS)&lt;&gt;""),ENDUSEALL[Bonus Rate ($/kWh)],ENDUSEALL[Rate ($/kWh)]),_xlpm.ROWS),""))</f>
        <v/>
      </c>
      <c r="BK22" s="963"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965" t="str">
        <f>IF(OR(C22="",H22="",N22="",T22="",W22="",AC22="",AF22="",AH22="",AJ22=""),"",IF(BN22&lt;&gt;"",SPILLOVERNUMBER,INDEX(CMEHVAC[Measure Number],MATCH(H22,CMEHVAC[Proj Desc 1],0))))</f>
        <v/>
      </c>
      <c r="BM22" s="966"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967" t="str">
        <f ca="1">IFERROR(IF(EXPIRATION&lt;&gt;"",PROJSTATEXP,
IF(BP22&gt;0,"",
IF(BC22-BD22&lt;=0,MEASURESAVE,
IF(OR(M02S04F06="",M02S04F06="Select Rate Code",M02S04F06=0),MEASURERATE,
IF(AND((OR(ISNUMBER(SEARCH("Cloud",H22)),ISNUMBER(SEARCH("Other",H22)))),OR(BE22="",BF22="")),MEASURESUBMIT,
 IF(PAYCUSE&lt;PAYBACKREQ,PROJECTSTATPAYBACK,
IF(CBCUSE&lt;CBREQ,PROJECTSTATCB,""))))))),MEASURESUBMIT)</f>
        <v>Submit for Review</v>
      </c>
      <c r="BO22" s="830" t="str">
        <f>IFERROR(IF(OR(C22="",H22="",N22="",T22="",W22="",AC22="",AF22="",AH22="",AJ22=""),"",
ROUND(((1+ELOSS)*((AO22*INDEX(ELECCB[NPV AEC $/kWh],MATCH(BE22,ELECCB[Year Number],1)))+(BG22*INDEX(ELECCB[NPV ACC $/kW],MATCH(BE22,ELECCB[Year Number],1))))),2)),0)</f>
        <v/>
      </c>
      <c r="BP22" s="969"/>
    </row>
    <row r="23" spans="1:68" s="22" customFormat="1" ht="15.95" customHeight="1">
      <c r="A23" s="120"/>
      <c r="B23" s="806"/>
      <c r="C23" s="991"/>
      <c r="D23" s="992"/>
      <c r="E23" s="992"/>
      <c r="F23" s="992"/>
      <c r="G23" s="993"/>
      <c r="H23" s="991"/>
      <c r="I23" s="992"/>
      <c r="J23" s="992"/>
      <c r="K23" s="992"/>
      <c r="L23" s="992"/>
      <c r="M23" s="1024"/>
      <c r="N23" s="1026"/>
      <c r="O23" s="992"/>
      <c r="P23" s="992"/>
      <c r="Q23" s="992"/>
      <c r="R23" s="992"/>
      <c r="S23" s="993"/>
      <c r="T23" s="1031"/>
      <c r="U23" s="1125"/>
      <c r="V23" s="1126"/>
      <c r="W23" s="1026"/>
      <c r="X23" s="992"/>
      <c r="Y23" s="992"/>
      <c r="Z23" s="992"/>
      <c r="AA23" s="992"/>
      <c r="AB23" s="993"/>
      <c r="AC23" s="1031"/>
      <c r="AD23" s="1125"/>
      <c r="AE23" s="1126"/>
      <c r="AF23" s="1121"/>
      <c r="AG23" s="1122"/>
      <c r="AH23" s="999"/>
      <c r="AI23" s="999"/>
      <c r="AJ23" s="1101"/>
      <c r="AK23" s="1102"/>
      <c r="AL23" s="1001"/>
      <c r="AM23" s="1002"/>
      <c r="AN23" s="1002"/>
      <c r="AO23" s="1034"/>
      <c r="AP23" s="1034"/>
      <c r="AQ23" s="1034"/>
      <c r="AR23" s="1067"/>
      <c r="AS23" s="1068"/>
      <c r="AT23" s="1068"/>
      <c r="AU23" s="1069"/>
      <c r="AV23" s="66"/>
      <c r="AW23" s="66"/>
      <c r="AX23" s="982"/>
      <c r="AY23" s="982"/>
      <c r="AZ23" s="983"/>
      <c r="BA23" s="986"/>
      <c r="BB23" s="986"/>
      <c r="BC23" s="984"/>
      <c r="BD23" s="984"/>
      <c r="BE23" s="985"/>
      <c r="BF23" s="986"/>
      <c r="BG23" s="970"/>
      <c r="BH23" s="1077"/>
      <c r="BI23" s="831"/>
      <c r="BJ23" s="830"/>
      <c r="BK23" s="830"/>
      <c r="BL23" s="987"/>
      <c r="BM23" s="967"/>
      <c r="BN23" s="983"/>
      <c r="BO23" s="831"/>
      <c r="BP23" s="981"/>
    </row>
    <row r="24" spans="1:68" ht="15.95" customHeight="1">
      <c r="B24" s="806">
        <v>4</v>
      </c>
      <c r="C24" s="988"/>
      <c r="D24" s="989"/>
      <c r="E24" s="989"/>
      <c r="F24" s="989"/>
      <c r="G24" s="990"/>
      <c r="H24" s="1015"/>
      <c r="I24" s="1015"/>
      <c r="J24" s="1015"/>
      <c r="K24" s="1015"/>
      <c r="L24" s="1015"/>
      <c r="M24" s="1020"/>
      <c r="N24" s="1025"/>
      <c r="O24" s="989"/>
      <c r="P24" s="989"/>
      <c r="Q24" s="989"/>
      <c r="R24" s="989"/>
      <c r="S24" s="990"/>
      <c r="T24" s="1029"/>
      <c r="U24" s="1123"/>
      <c r="V24" s="1124"/>
      <c r="W24" s="1025"/>
      <c r="X24" s="989"/>
      <c r="Y24" s="989"/>
      <c r="Z24" s="989"/>
      <c r="AA24" s="989"/>
      <c r="AB24" s="990"/>
      <c r="AC24" s="1029"/>
      <c r="AD24" s="1123"/>
      <c r="AE24" s="1124"/>
      <c r="AF24" s="1121" t="str">
        <f>IFERROR(IF($C24="", "", IF(OR($C24 = "Retrofit existing", $C24 = "Replace in-life equip."), "Total", "Incremental")), "")</f>
        <v/>
      </c>
      <c r="AG24" s="1122"/>
      <c r="AH24" s="999"/>
      <c r="AI24" s="999"/>
      <c r="AJ24" s="1099" t="str">
        <f t="shared" ref="AJ24" si="9">IF(AF24="Incremental",0,"")</f>
        <v/>
      </c>
      <c r="AK24" s="1100"/>
      <c r="AL24" s="1057" t="str">
        <f>IF(OR(C24="",H24="",N24="",T24="",W24="",AC24="",AF24="",AH24="",AJ24=""),"",ROUND(AH24+AJ24,2))</f>
        <v/>
      </c>
      <c r="AM24" s="1058"/>
      <c r="AN24" s="1058"/>
      <c r="AO24" s="1033" t="str">
        <f>IF(OR(C24="",H24="",N24="",T24="",W24="",AC24="",AF24="",AH24="",AJ24=""),"",IF(BC24-BD24&lt;=0,0,ROUND(BC24-BD24,4)))</f>
        <v/>
      </c>
      <c r="AP24" s="1033"/>
      <c r="AQ24" s="1033"/>
      <c r="AR24" s="1064" t="str">
        <f>IF(OR(C24="",H24="",N24="",T24="",W24="",AC24="",AF24="",AH24="",AJ24=""),"",
IF(BN24&lt;&gt;"",BN24,IF(BP24&gt;0,BP24,
IF(AF24="Incremental",
IF(ACTIVEBLOCK="Yes",ROUND(MIN(AL24*INCCOSTCAP,AO24*BLOCKBIDRATE),2),
ROUND(MIN(AL24*INCCOSTCAP,BI24),2)),
IF(ACTIVEBLOCK="Yes",ROUND(MIN(AL24*TOTCOSTCAP,AO24*BLOCKBIDRATE),2),
ROUND(MIN(AL24*TOTCOSTCAP,BI24),2))))))</f>
        <v/>
      </c>
      <c r="AS24" s="1065"/>
      <c r="AT24" s="1065"/>
      <c r="AU24" s="1066"/>
      <c r="AV24" s="44"/>
      <c r="AW24" s="44"/>
      <c r="AX24" s="974" t="str">
        <f>IFERROR(IF(OR(C24="",H24="",N24="",T24="",W24="",AC24="",AF24="",AH24="",AJ24=""),"",
ROUND(((1+ELOSS)*((AO24*INDEX(ELECCB[NPV AEC $/kWh],MATCH(BE24,ELECCB[Year Number],1)))+(BG24*INDEX(ELECCB[NPV ACC $/kW],MATCH(BE24,ELECCB[Year Number],1))))/AL24),2)),0)</f>
        <v/>
      </c>
      <c r="AY24" s="974" t="str">
        <f>IFERROR(AL24/M02S04F06/AO24,"")</f>
        <v/>
      </c>
      <c r="AZ24" s="967" t="str">
        <f>IF(OR(C24="",H24=""),"",INDEX(CMEHVAC[Unit of Measure],MATCH(H24,CMEHVAC[Proj Desc 1],0)))</f>
        <v/>
      </c>
      <c r="BA24" s="980" t="str">
        <f t="shared" ref="BA24" si="10">IF(AO24&lt;&gt;"","Missing!","")</f>
        <v/>
      </c>
      <c r="BB24" s="980" t="str">
        <f t="shared" ref="BB24" si="11">IF(AO24&lt;&gt;"","Missing!","")</f>
        <v/>
      </c>
      <c r="BC24" s="976" t="str">
        <f>IF(OR(C24="",H24="",N24="",T24="",W24="",AC24="",AF24="",AH24="",AJ24=""),"",ROUND(T24,4))</f>
        <v/>
      </c>
      <c r="BD24" s="976" t="str">
        <f>IF(OR(C24="",H24="",N24="",T24="",W24="",AC24="",AF24="",AH24="",AJ24=""),"",ROUND(AC24,4))</f>
        <v/>
      </c>
      <c r="BE24" s="978" t="str">
        <f>IF(OR(C24="",H24=""),"",IF(INDEX(CMEHVAC[EUL],MATCH(H24,CMEHVAC[Proj Desc 1],0))="","",INDEX(CMEHVAC[EUL],MATCH(H24,CMEHVAC[Proj Desc 1],0))))</f>
        <v/>
      </c>
      <c r="BF24" s="980" t="str">
        <f>IF(OR(C24="",H24=""),"",IF(INDEX(CMEHVAC[End Use Category],MATCH(H24,CMEHVAC[Proj Desc 1],0))="","",INDEX(CMEHVAC[End Use Category],MATCH(H24,CMEHVAC[Proj Desc 1],0))))</f>
        <v/>
      </c>
      <c r="BG24" s="972" t="str">
        <f>IFERROR(IF(OR(C24="",H24="",N24="",T24="",W24="",AC24="",AF24="",AH24="",AJ24=""),"",ROUND(AO24*INDEX(ENDUSEALL[Factor],MATCH(BF24,ENDUSEALL[End Use to Coincident Peak Demand Factors],0)),4)),"")</f>
        <v/>
      </c>
      <c r="BH24" s="1076"/>
      <c r="BI24" s="830" t="str">
        <f t="shared" ref="BI24" si="12">IFERROR(ROUND(AO24*BJ24,2),"")</f>
        <v/>
      </c>
      <c r="BJ24" s="963" t="str">
        <f>_xlfn.LET(_xlpm.ROWS,MATCH(BF24,ENDUSEALL[End Use to Coincident Peak Demand Factors],0),IFERROR(INDEX(IF(AND(ACTIVEBONUS = TRUE,INDEX(ENDUSEALL[Bonus Rate ($/kWh)],_xlpm.ROWS)&lt;&gt;""),ENDUSEALL[Bonus Rate ($/kWh)],ENDUSEALL[Rate ($/kWh)]),_xlpm.ROWS),""))</f>
        <v/>
      </c>
      <c r="BK24" s="963"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965" t="str">
        <f>IF(OR(C24="",H24="",N24="",T24="",W24="",AC24="",AF24="",AH24="",AJ24=""),"",IF(BN24&lt;&gt;"",SPILLOVERNUMBER,INDEX(CMEHVAC[Measure Number],MATCH(H24,CMEHVAC[Proj Desc 1],0))))</f>
        <v/>
      </c>
      <c r="BM24" s="966"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967" t="str">
        <f ca="1">IFERROR(IF(EXPIRATION&lt;&gt;"",PROJSTATEXP,
IF(BP24&gt;0,"",
IF(BC24-BD24&lt;=0,MEASURESAVE,
IF(OR(M02S04F06="",M02S04F06="Select Rate Code",M02S04F06=0),MEASURERATE,
IF(AND((OR(ISNUMBER(SEARCH("Cloud",H24)),ISNUMBER(SEARCH("Other",H24)))),OR(BE24="",BF24="")),MEASURESUBMIT,
 IF(PAYCUSE&lt;PAYBACKREQ,PROJECTSTATPAYBACK,
IF(CBCUSE&lt;CBREQ,PROJECTSTATCB,""))))))),MEASURESUBMIT)</f>
        <v>Submit for Review</v>
      </c>
      <c r="BO24" s="830" t="str">
        <f>IFERROR(IF(OR(C24="",H24="",N24="",T24="",W24="",AC24="",AF24="",AH24="",AJ24=""),"",
ROUND(((1+ELOSS)*((AO24*INDEX(ELECCB[NPV AEC $/kWh],MATCH(BE24,ELECCB[Year Number],1)))+(BG24*INDEX(ELECCB[NPV ACC $/kW],MATCH(BE24,ELECCB[Year Number],1))))),2)),0)</f>
        <v/>
      </c>
      <c r="BP24" s="969"/>
    </row>
    <row r="25" spans="1:68" ht="15.95" customHeight="1">
      <c r="A25" s="85"/>
      <c r="B25" s="806"/>
      <c r="C25" s="991"/>
      <c r="D25" s="992"/>
      <c r="E25" s="992"/>
      <c r="F25" s="992"/>
      <c r="G25" s="993"/>
      <c r="H25" s="1015"/>
      <c r="I25" s="1015"/>
      <c r="J25" s="1015"/>
      <c r="K25" s="1015"/>
      <c r="L25" s="1015"/>
      <c r="M25" s="1020"/>
      <c r="N25" s="1026"/>
      <c r="O25" s="992"/>
      <c r="P25" s="992"/>
      <c r="Q25" s="992"/>
      <c r="R25" s="992"/>
      <c r="S25" s="993"/>
      <c r="T25" s="1031"/>
      <c r="U25" s="1125"/>
      <c r="V25" s="1126"/>
      <c r="W25" s="1026"/>
      <c r="X25" s="992"/>
      <c r="Y25" s="992"/>
      <c r="Z25" s="992"/>
      <c r="AA25" s="992"/>
      <c r="AB25" s="993"/>
      <c r="AC25" s="1031"/>
      <c r="AD25" s="1125"/>
      <c r="AE25" s="1126"/>
      <c r="AF25" s="1121"/>
      <c r="AG25" s="1122"/>
      <c r="AH25" s="999"/>
      <c r="AI25" s="999"/>
      <c r="AJ25" s="1101"/>
      <c r="AK25" s="1102"/>
      <c r="AL25" s="1001"/>
      <c r="AM25" s="1002"/>
      <c r="AN25" s="1002"/>
      <c r="AO25" s="1034"/>
      <c r="AP25" s="1034"/>
      <c r="AQ25" s="1034"/>
      <c r="AR25" s="1067"/>
      <c r="AS25" s="1068"/>
      <c r="AT25" s="1068"/>
      <c r="AU25" s="1069"/>
      <c r="AV25" s="44"/>
      <c r="AW25" s="44"/>
      <c r="AX25" s="982"/>
      <c r="AY25" s="982"/>
      <c r="AZ25" s="983"/>
      <c r="BA25" s="986"/>
      <c r="BB25" s="986"/>
      <c r="BC25" s="984"/>
      <c r="BD25" s="984"/>
      <c r="BE25" s="985"/>
      <c r="BF25" s="986"/>
      <c r="BG25" s="970"/>
      <c r="BH25" s="1077"/>
      <c r="BI25" s="831"/>
      <c r="BJ25" s="830"/>
      <c r="BK25" s="830"/>
      <c r="BL25" s="987"/>
      <c r="BM25" s="967"/>
      <c r="BN25" s="983"/>
      <c r="BO25" s="831"/>
      <c r="BP25" s="981"/>
    </row>
    <row r="26" spans="1:68" ht="15.95" customHeight="1">
      <c r="B26" s="806">
        <v>5</v>
      </c>
      <c r="C26" s="988"/>
      <c r="D26" s="989"/>
      <c r="E26" s="989"/>
      <c r="F26" s="989"/>
      <c r="G26" s="990"/>
      <c r="H26" s="1015"/>
      <c r="I26" s="1015"/>
      <c r="J26" s="1015"/>
      <c r="K26" s="1015"/>
      <c r="L26" s="1015"/>
      <c r="M26" s="1020"/>
      <c r="N26" s="1025"/>
      <c r="O26" s="989"/>
      <c r="P26" s="989"/>
      <c r="Q26" s="989"/>
      <c r="R26" s="989"/>
      <c r="S26" s="990"/>
      <c r="T26" s="1029"/>
      <c r="U26" s="1123"/>
      <c r="V26" s="1124"/>
      <c r="W26" s="1025"/>
      <c r="X26" s="989"/>
      <c r="Y26" s="989"/>
      <c r="Z26" s="989"/>
      <c r="AA26" s="989"/>
      <c r="AB26" s="990"/>
      <c r="AC26" s="1029"/>
      <c r="AD26" s="1123"/>
      <c r="AE26" s="1124"/>
      <c r="AF26" s="1121" t="str">
        <f>IFERROR(IF($C26="", "", IF(OR($C26 = "Retrofit existing", $C26 = "Replace in-life equip."), "Total", "Incremental")), "")</f>
        <v/>
      </c>
      <c r="AG26" s="1122"/>
      <c r="AH26" s="999"/>
      <c r="AI26" s="999"/>
      <c r="AJ26" s="1099" t="str">
        <f t="shared" ref="AJ26" si="13">IF(AF26="Incremental",0,"")</f>
        <v/>
      </c>
      <c r="AK26" s="1100"/>
      <c r="AL26" s="1057" t="str">
        <f>IF(OR(C26="",H26="",N26="",T26="",W26="",AC26="",AF26="",AH26="",AJ26=""),"",ROUND(AH26+AJ26,2))</f>
        <v/>
      </c>
      <c r="AM26" s="1058"/>
      <c r="AN26" s="1058"/>
      <c r="AO26" s="1033" t="str">
        <f>IF(OR(C26="",H26="",N26="",T26="",W26="",AC26="",AF26="",AH26="",AJ26=""),"",IF(BC26-BD26&lt;=0,0,ROUND(BC26-BD26,4)))</f>
        <v/>
      </c>
      <c r="AP26" s="1033"/>
      <c r="AQ26" s="1033"/>
      <c r="AR26" s="1064" t="str">
        <f>IF(OR(C26="",H26="",N26="",T26="",W26="",AC26="",AF26="",AH26="",AJ26=""),"",
IF(BN26&lt;&gt;"",BN26,IF(BP26&gt;0,BP26,
IF(AF26="Incremental",
IF(ACTIVEBLOCK="Yes",ROUND(MIN(AL26*INCCOSTCAP,AO26*BLOCKBIDRATE),2),
ROUND(MIN(AL26*INCCOSTCAP,BI26),2)),
IF(ACTIVEBLOCK="Yes",ROUND(MIN(AL26*TOTCOSTCAP,AO26*BLOCKBIDRATE),2),
ROUND(MIN(AL26*TOTCOSTCAP,BI26),2))))))</f>
        <v/>
      </c>
      <c r="AS26" s="1065"/>
      <c r="AT26" s="1065"/>
      <c r="AU26" s="1066"/>
      <c r="AV26" s="44"/>
      <c r="AW26" s="44"/>
      <c r="AX26" s="974" t="str">
        <f>IFERROR(IF(OR(C26="",H26="",N26="",T26="",W26="",AC26="",AF26="",AH26="",AJ26=""),"",
ROUND(((1+ELOSS)*((AO26*INDEX(ELECCB[NPV AEC $/kWh],MATCH(BE26,ELECCB[Year Number],1)))+(BG26*INDEX(ELECCB[NPV ACC $/kW],MATCH(BE26,ELECCB[Year Number],1))))/AL26),2)),0)</f>
        <v/>
      </c>
      <c r="AY26" s="974" t="str">
        <f>IFERROR(AL26/M02S04F06/AO26,"")</f>
        <v/>
      </c>
      <c r="AZ26" s="967" t="str">
        <f>IF(OR(C26="",H26=""),"",INDEX(CMEHVAC[Unit of Measure],MATCH(H26,CMEHVAC[Proj Desc 1],0)))</f>
        <v/>
      </c>
      <c r="BA26" s="980" t="str">
        <f t="shared" ref="BA26" si="14">IF(AO26&lt;&gt;"","Missing!","")</f>
        <v/>
      </c>
      <c r="BB26" s="980" t="str">
        <f t="shared" ref="BB26" si="15">IF(AO26&lt;&gt;"","Missing!","")</f>
        <v/>
      </c>
      <c r="BC26" s="976" t="str">
        <f>IF(OR(C26="",H26="",N26="",T26="",W26="",AC26="",AF26="",AH26="",AJ26=""),"",ROUND(T26,4))</f>
        <v/>
      </c>
      <c r="BD26" s="976" t="str">
        <f>IF(OR(C26="",H26="",N26="",T26="",W26="",AC26="",AF26="",AH26="",AJ26=""),"",ROUND(AC26,4))</f>
        <v/>
      </c>
      <c r="BE26" s="978" t="str">
        <f>IF(OR(C26="",H26=""),"",IF(INDEX(CMEHVAC[EUL],MATCH(H26,CMEHVAC[Proj Desc 1],0))="","",INDEX(CMEHVAC[EUL],MATCH(H26,CMEHVAC[Proj Desc 1],0))))</f>
        <v/>
      </c>
      <c r="BF26" s="980" t="str">
        <f>IF(OR(C26="",H26=""),"",IF(INDEX(CMEHVAC[End Use Category],MATCH(H26,CMEHVAC[Proj Desc 1],0))="","",INDEX(CMEHVAC[End Use Category],MATCH(H26,CMEHVAC[Proj Desc 1],0))))</f>
        <v/>
      </c>
      <c r="BG26" s="972" t="str">
        <f>IFERROR(IF(OR(C26="",H26="",N26="",T26="",W26="",AC26="",AF26="",AH26="",AJ26=""),"",ROUND(AO26*INDEX(ENDUSEALL[Factor],MATCH(BF26,ENDUSEALL[End Use to Coincident Peak Demand Factors],0)),4)),"")</f>
        <v/>
      </c>
      <c r="BH26" s="1076"/>
      <c r="BI26" s="830" t="str">
        <f t="shared" ref="BI26" si="16">IFERROR(ROUND(AO26*BJ26,2),"")</f>
        <v/>
      </c>
      <c r="BJ26" s="963" t="str">
        <f>_xlfn.LET(_xlpm.ROWS,MATCH(BF26,ENDUSEALL[End Use to Coincident Peak Demand Factors],0),IFERROR(INDEX(IF(AND(ACTIVEBONUS = TRUE,INDEX(ENDUSEALL[Bonus Rate ($/kWh)],_xlpm.ROWS)&lt;&gt;""),ENDUSEALL[Bonus Rate ($/kWh)],ENDUSEALL[Rate ($/kWh)]),_xlpm.ROWS),""))</f>
        <v/>
      </c>
      <c r="BK26" s="963"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965" t="str">
        <f>IF(OR(C26="",H26="",N26="",T26="",W26="",AC26="",AF26="",AH26="",AJ26=""),"",IF(BN26&lt;&gt;"",SPILLOVERNUMBER,INDEX(CMEHVAC[Measure Number],MATCH(H26,CMEHVAC[Proj Desc 1],0))))</f>
        <v/>
      </c>
      <c r="BM26" s="966"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967" t="str">
        <f ca="1">IFERROR(IF(EXPIRATION&lt;&gt;"",PROJSTATEXP,
IF(BP26&gt;0,"",
IF(BC26-BD26&lt;=0,MEASURESAVE,
IF(OR(M02S04F06="",M02S04F06="Select Rate Code",M02S04F06=0),MEASURERATE,
IF(AND((OR(ISNUMBER(SEARCH("Cloud",H26)),ISNUMBER(SEARCH("Other",H26)))),OR(BE26="",BF26="")),MEASURESUBMIT,
 IF(PAYCUSE&lt;PAYBACKREQ,PROJECTSTATPAYBACK,
IF(CBCUSE&lt;CBREQ,PROJECTSTATCB,""))))))),MEASURESUBMIT)</f>
        <v>Submit for Review</v>
      </c>
      <c r="BO26" s="830" t="str">
        <f>IFERROR(IF(OR(C26="",H26="",N26="",T26="",W26="",AC26="",AF26="",AH26="",AJ26=""),"",
ROUND(((1+ELOSS)*((AO26*INDEX(ELECCB[NPV AEC $/kWh],MATCH(BE26,ELECCB[Year Number],1)))+(BG26*INDEX(ELECCB[NPV ACC $/kW],MATCH(BE26,ELECCB[Year Number],1))))),2)),0)</f>
        <v/>
      </c>
      <c r="BP26" s="969"/>
    </row>
    <row r="27" spans="1:68" ht="15.95" customHeight="1">
      <c r="B27" s="806"/>
      <c r="C27" s="991"/>
      <c r="D27" s="992"/>
      <c r="E27" s="992"/>
      <c r="F27" s="992"/>
      <c r="G27" s="993"/>
      <c r="H27" s="1015"/>
      <c r="I27" s="1015"/>
      <c r="J27" s="1015"/>
      <c r="K27" s="1015"/>
      <c r="L27" s="1015"/>
      <c r="M27" s="1020"/>
      <c r="N27" s="1026"/>
      <c r="O27" s="992"/>
      <c r="P27" s="992"/>
      <c r="Q27" s="992"/>
      <c r="R27" s="992"/>
      <c r="S27" s="993"/>
      <c r="T27" s="1031"/>
      <c r="U27" s="1125"/>
      <c r="V27" s="1126"/>
      <c r="W27" s="1026"/>
      <c r="X27" s="992"/>
      <c r="Y27" s="992"/>
      <c r="Z27" s="992"/>
      <c r="AA27" s="992"/>
      <c r="AB27" s="993"/>
      <c r="AC27" s="1031"/>
      <c r="AD27" s="1125"/>
      <c r="AE27" s="1126"/>
      <c r="AF27" s="1121"/>
      <c r="AG27" s="1122"/>
      <c r="AH27" s="999"/>
      <c r="AI27" s="999"/>
      <c r="AJ27" s="1101"/>
      <c r="AK27" s="1102"/>
      <c r="AL27" s="1001"/>
      <c r="AM27" s="1002"/>
      <c r="AN27" s="1002"/>
      <c r="AO27" s="1034"/>
      <c r="AP27" s="1034"/>
      <c r="AQ27" s="1034"/>
      <c r="AR27" s="1067"/>
      <c r="AS27" s="1068"/>
      <c r="AT27" s="1068"/>
      <c r="AU27" s="1069"/>
      <c r="AV27" s="44"/>
      <c r="AW27" s="44"/>
      <c r="AX27" s="982"/>
      <c r="AY27" s="982"/>
      <c r="AZ27" s="983"/>
      <c r="BA27" s="986"/>
      <c r="BB27" s="986"/>
      <c r="BC27" s="984"/>
      <c r="BD27" s="984"/>
      <c r="BE27" s="985"/>
      <c r="BF27" s="986"/>
      <c r="BG27" s="970"/>
      <c r="BH27" s="1077"/>
      <c r="BI27" s="831"/>
      <c r="BJ27" s="830"/>
      <c r="BK27" s="830"/>
      <c r="BL27" s="987"/>
      <c r="BM27" s="967"/>
      <c r="BN27" s="983"/>
      <c r="BO27" s="831"/>
      <c r="BP27" s="981"/>
    </row>
    <row r="28" spans="1:68" ht="15.95" customHeight="1">
      <c r="B28" s="806">
        <v>6</v>
      </c>
      <c r="C28" s="988"/>
      <c r="D28" s="989"/>
      <c r="E28" s="989"/>
      <c r="F28" s="989"/>
      <c r="G28" s="990"/>
      <c r="H28" s="1015"/>
      <c r="I28" s="1015"/>
      <c r="J28" s="1015"/>
      <c r="K28" s="1015"/>
      <c r="L28" s="1015"/>
      <c r="M28" s="1020"/>
      <c r="N28" s="1025"/>
      <c r="O28" s="989"/>
      <c r="P28" s="989"/>
      <c r="Q28" s="989"/>
      <c r="R28" s="989"/>
      <c r="S28" s="990"/>
      <c r="T28" s="1029"/>
      <c r="U28" s="1123"/>
      <c r="V28" s="1124"/>
      <c r="W28" s="1025"/>
      <c r="X28" s="989"/>
      <c r="Y28" s="989"/>
      <c r="Z28" s="989"/>
      <c r="AA28" s="989"/>
      <c r="AB28" s="990"/>
      <c r="AC28" s="1029"/>
      <c r="AD28" s="1123"/>
      <c r="AE28" s="1124"/>
      <c r="AF28" s="1121" t="str">
        <f>IFERROR(IF($C28="", "", IF(OR($C28 = "Retrofit existing", $C28 = "Replace in-life equip."), "Total", "Incremental")), "")</f>
        <v/>
      </c>
      <c r="AG28" s="1122"/>
      <c r="AH28" s="999"/>
      <c r="AI28" s="999"/>
      <c r="AJ28" s="1099" t="str">
        <f t="shared" ref="AJ28" si="17">IF(AF28="Incremental",0,"")</f>
        <v/>
      </c>
      <c r="AK28" s="1100"/>
      <c r="AL28" s="1057" t="str">
        <f>IF(OR(C28="",H28="",N28="",T28="",W28="",AC28="",AF28="",AH28="",AJ28=""),"",ROUND(AH28+AJ28,2))</f>
        <v/>
      </c>
      <c r="AM28" s="1058"/>
      <c r="AN28" s="1058"/>
      <c r="AO28" s="1033" t="str">
        <f>IF(OR(C28="",H28="",N28="",T28="",W28="",AC28="",AF28="",AH28="",AJ28=""),"",IF(BC28-BD28&lt;=0,0,ROUND(BC28-BD28,4)))</f>
        <v/>
      </c>
      <c r="AP28" s="1033"/>
      <c r="AQ28" s="1033"/>
      <c r="AR28" s="1064" t="str">
        <f>IF(OR(C28="",H28="",N28="",T28="",W28="",AC28="",AF28="",AH28="",AJ28=""),"",
IF(BN28&lt;&gt;"",BN28,IF(BP28&gt;0,BP28,
IF(AF28="Incremental",
IF(ACTIVEBLOCK="Yes",ROUND(MIN(AL28*INCCOSTCAP,AO28*BLOCKBIDRATE),2),
ROUND(MIN(AL28*INCCOSTCAP,BI28),2)),
IF(ACTIVEBLOCK="Yes",ROUND(MIN(AL28*TOTCOSTCAP,AO28*BLOCKBIDRATE),2),
ROUND(MIN(AL28*TOTCOSTCAP,BI28),2))))))</f>
        <v/>
      </c>
      <c r="AS28" s="1065"/>
      <c r="AT28" s="1065"/>
      <c r="AU28" s="1066"/>
      <c r="AV28" s="44"/>
      <c r="AW28" s="44"/>
      <c r="AX28" s="974" t="str">
        <f>IFERROR(IF(OR(C28="",H28="",N28="",T28="",W28="",AC28="",AF28="",AH28="",AJ28=""),"",
ROUND(((1+ELOSS)*((AO28*INDEX(ELECCB[NPV AEC $/kWh],MATCH(BE28,ELECCB[Year Number],1)))+(BG28*INDEX(ELECCB[NPV ACC $/kW],MATCH(BE28,ELECCB[Year Number],1))))/AL28),2)),0)</f>
        <v/>
      </c>
      <c r="AY28" s="974" t="str">
        <f>IFERROR(AL28/M02S04F06/AO28,"")</f>
        <v/>
      </c>
      <c r="AZ28" s="967" t="str">
        <f>IF(OR(C28="",H28=""),"",INDEX(CMEHVAC[Unit of Measure],MATCH(H28,CMEHVAC[Proj Desc 1],0)))</f>
        <v/>
      </c>
      <c r="BA28" s="980" t="str">
        <f t="shared" ref="BA28" si="18">IF(AO28&lt;&gt;"","Missing!","")</f>
        <v/>
      </c>
      <c r="BB28" s="980" t="str">
        <f t="shared" ref="BB28" si="19">IF(AO28&lt;&gt;"","Missing!","")</f>
        <v/>
      </c>
      <c r="BC28" s="976" t="str">
        <f>IF(OR(C28="",H28="",N28="",T28="",W28="",AC28="",AF28="",AH28="",AJ28=""),"",ROUND(T28,4))</f>
        <v/>
      </c>
      <c r="BD28" s="976" t="str">
        <f>IF(OR(C28="",H28="",N28="",T28="",W28="",AC28="",AF28="",AH28="",AJ28=""),"",ROUND(AC28,4))</f>
        <v/>
      </c>
      <c r="BE28" s="978" t="str">
        <f>IF(OR(C28="",H28=""),"",IF(INDEX(CMEHVAC[EUL],MATCH(H28,CMEHVAC[Proj Desc 1],0))="","",INDEX(CMEHVAC[EUL],MATCH(H28,CMEHVAC[Proj Desc 1],0))))</f>
        <v/>
      </c>
      <c r="BF28" s="980" t="str">
        <f>IF(OR(C28="",H28=""),"",IF(INDEX(CMEHVAC[End Use Category],MATCH(H28,CMEHVAC[Proj Desc 1],0))="","",INDEX(CMEHVAC[End Use Category],MATCH(H28,CMEHVAC[Proj Desc 1],0))))</f>
        <v/>
      </c>
      <c r="BG28" s="972" t="str">
        <f>IFERROR(IF(OR(C28="",H28="",N28="",T28="",W28="",AC28="",AF28="",AH28="",AJ28=""),"",ROUND(AO28*INDEX(ENDUSEALL[Factor],MATCH(BF28,ENDUSEALL[End Use to Coincident Peak Demand Factors],0)),4)),"")</f>
        <v/>
      </c>
      <c r="BH28" s="1076"/>
      <c r="BI28" s="830" t="str">
        <f t="shared" ref="BI28" si="20">IFERROR(ROUND(AO28*BJ28,2),"")</f>
        <v/>
      </c>
      <c r="BJ28" s="963" t="str">
        <f>_xlfn.LET(_xlpm.ROWS,MATCH(BF28,ENDUSEALL[End Use to Coincident Peak Demand Factors],0),IFERROR(INDEX(IF(AND(ACTIVEBONUS = TRUE,INDEX(ENDUSEALL[Bonus Rate ($/kWh)],_xlpm.ROWS)&lt;&gt;""),ENDUSEALL[Bonus Rate ($/kWh)],ENDUSEALL[Rate ($/kWh)]),_xlpm.ROWS),""))</f>
        <v/>
      </c>
      <c r="BK28" s="963"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965" t="str">
        <f>IF(OR(C28="",H28="",N28="",T28="",W28="",AC28="",AF28="",AH28="",AJ28=""),"",IF(BN28&lt;&gt;"",SPILLOVERNUMBER,INDEX(CMEHVAC[Measure Number],MATCH(H28,CMEHVAC[Proj Desc 1],0))))</f>
        <v/>
      </c>
      <c r="BM28" s="966"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967" t="str">
        <f ca="1">IFERROR(IF(EXPIRATION&lt;&gt;"",PROJSTATEXP,
IF(BP28&gt;0,"",
IF(BC28-BD28&lt;=0,MEASURESAVE,
IF(OR(M02S04F06="",M02S04F06="Select Rate Code",M02S04F06=0),MEASURERATE,
IF(AND((OR(ISNUMBER(SEARCH("Cloud",H28)),ISNUMBER(SEARCH("Other",H28)))),OR(BE28="",BF28="")),MEASURESUBMIT,
 IF(PAYCUSE&lt;PAYBACKREQ,PROJECTSTATPAYBACK,
IF(CBCUSE&lt;CBREQ,PROJECTSTATCB,""))))))),MEASURESUBMIT)</f>
        <v>Submit for Review</v>
      </c>
      <c r="BO28" s="830" t="str">
        <f>IFERROR(IF(OR(C28="",H28="",N28="",T28="",W28="",AC28="",AF28="",AH28="",AJ28=""),"",
ROUND(((1+ELOSS)*((AO28*INDEX(ELECCB[NPV AEC $/kWh],MATCH(BE28,ELECCB[Year Number],1)))+(BG28*INDEX(ELECCB[NPV ACC $/kW],MATCH(BE28,ELECCB[Year Number],1))))),2)),0)</f>
        <v/>
      </c>
      <c r="BP28" s="969"/>
    </row>
    <row r="29" spans="1:68" ht="15.95" customHeight="1">
      <c r="B29" s="806"/>
      <c r="C29" s="991"/>
      <c r="D29" s="992"/>
      <c r="E29" s="992"/>
      <c r="F29" s="992"/>
      <c r="G29" s="993"/>
      <c r="H29" s="1015"/>
      <c r="I29" s="1015"/>
      <c r="J29" s="1015"/>
      <c r="K29" s="1015"/>
      <c r="L29" s="1015"/>
      <c r="M29" s="1020"/>
      <c r="N29" s="1026"/>
      <c r="O29" s="992"/>
      <c r="P29" s="992"/>
      <c r="Q29" s="992"/>
      <c r="R29" s="992"/>
      <c r="S29" s="993"/>
      <c r="T29" s="1031"/>
      <c r="U29" s="1125"/>
      <c r="V29" s="1126"/>
      <c r="W29" s="1026"/>
      <c r="X29" s="992"/>
      <c r="Y29" s="992"/>
      <c r="Z29" s="992"/>
      <c r="AA29" s="992"/>
      <c r="AB29" s="993"/>
      <c r="AC29" s="1031"/>
      <c r="AD29" s="1125"/>
      <c r="AE29" s="1126"/>
      <c r="AF29" s="1121"/>
      <c r="AG29" s="1122"/>
      <c r="AH29" s="999"/>
      <c r="AI29" s="999"/>
      <c r="AJ29" s="1101"/>
      <c r="AK29" s="1102"/>
      <c r="AL29" s="1001"/>
      <c r="AM29" s="1002"/>
      <c r="AN29" s="1002"/>
      <c r="AO29" s="1034"/>
      <c r="AP29" s="1034"/>
      <c r="AQ29" s="1034"/>
      <c r="AR29" s="1067"/>
      <c r="AS29" s="1068"/>
      <c r="AT29" s="1068"/>
      <c r="AU29" s="1069"/>
      <c r="AV29" s="44"/>
      <c r="AW29" s="44"/>
      <c r="AX29" s="982"/>
      <c r="AY29" s="982"/>
      <c r="AZ29" s="983"/>
      <c r="BA29" s="986"/>
      <c r="BB29" s="986"/>
      <c r="BC29" s="984"/>
      <c r="BD29" s="984"/>
      <c r="BE29" s="985"/>
      <c r="BF29" s="986"/>
      <c r="BG29" s="970"/>
      <c r="BH29" s="1077"/>
      <c r="BI29" s="831"/>
      <c r="BJ29" s="830"/>
      <c r="BK29" s="830"/>
      <c r="BL29" s="987"/>
      <c r="BM29" s="967"/>
      <c r="BN29" s="983"/>
      <c r="BO29" s="831"/>
      <c r="BP29" s="981"/>
    </row>
    <row r="30" spans="1:68" ht="15.95" customHeight="1">
      <c r="B30" s="806">
        <v>7</v>
      </c>
      <c r="C30" s="988"/>
      <c r="D30" s="989"/>
      <c r="E30" s="989"/>
      <c r="F30" s="989"/>
      <c r="G30" s="990"/>
      <c r="H30" s="1015"/>
      <c r="I30" s="1015"/>
      <c r="J30" s="1015"/>
      <c r="K30" s="1015"/>
      <c r="L30" s="1015"/>
      <c r="M30" s="1020"/>
      <c r="N30" s="1025"/>
      <c r="O30" s="989"/>
      <c r="P30" s="989"/>
      <c r="Q30" s="989"/>
      <c r="R30" s="989"/>
      <c r="S30" s="990"/>
      <c r="T30" s="1029"/>
      <c r="U30" s="1123"/>
      <c r="V30" s="1124"/>
      <c r="W30" s="1025"/>
      <c r="X30" s="989"/>
      <c r="Y30" s="989"/>
      <c r="Z30" s="989"/>
      <c r="AA30" s="989"/>
      <c r="AB30" s="990"/>
      <c r="AC30" s="1029"/>
      <c r="AD30" s="1123"/>
      <c r="AE30" s="1124"/>
      <c r="AF30" s="1121" t="str">
        <f>IFERROR(IF($C30="", "", IF(OR($C30 = "Retrofit existing", $C30 = "Replace in-life equip."), "Total", "Incremental")), "")</f>
        <v/>
      </c>
      <c r="AG30" s="1122"/>
      <c r="AH30" s="999"/>
      <c r="AI30" s="999"/>
      <c r="AJ30" s="1099" t="str">
        <f t="shared" ref="AJ30" si="21">IF(AF30="Incremental",0,"")</f>
        <v/>
      </c>
      <c r="AK30" s="1100"/>
      <c r="AL30" s="1057" t="str">
        <f>IF(OR(C30="",H30="",N30="",T30="",W30="",AC30="",AF30="",AH30="",AJ30=""),"",ROUND(AH30+AJ30,2))</f>
        <v/>
      </c>
      <c r="AM30" s="1058"/>
      <c r="AN30" s="1058"/>
      <c r="AO30" s="1033" t="str">
        <f>IF(OR(C30="",H30="",N30="",T30="",W30="",AC30="",AF30="",AH30="",AJ30=""),"",IF(BC30-BD30&lt;=0,0,ROUND(BC30-BD30,4)))</f>
        <v/>
      </c>
      <c r="AP30" s="1033"/>
      <c r="AQ30" s="1033"/>
      <c r="AR30" s="1064" t="str">
        <f>IF(OR(C30="",H30="",N30="",T30="",W30="",AC30="",AF30="",AH30="",AJ30=""),"",
IF(BN30&lt;&gt;"",BN30,IF(BP30&gt;0,BP30,
IF(AF30="Incremental",
IF(ACTIVEBLOCK="Yes",ROUND(MIN(AL30*INCCOSTCAP,AO30*BLOCKBIDRATE),2),
ROUND(MIN(AL30*INCCOSTCAP,BI30),2)),
IF(ACTIVEBLOCK="Yes",ROUND(MIN(AL30*TOTCOSTCAP,AO30*BLOCKBIDRATE),2),
ROUND(MIN(AL30*TOTCOSTCAP,BI30),2))))))</f>
        <v/>
      </c>
      <c r="AS30" s="1065"/>
      <c r="AT30" s="1065"/>
      <c r="AU30" s="1066"/>
      <c r="AV30" s="44"/>
      <c r="AW30" s="44"/>
      <c r="AX30" s="974" t="str">
        <f>IFERROR(IF(OR(C30="",H30="",N30="",T30="",W30="",AC30="",AF30="",AH30="",AJ30=""),"",
ROUND(((1+ELOSS)*((AO30*INDEX(ELECCB[NPV AEC $/kWh],MATCH(BE30,ELECCB[Year Number],1)))+(BG30*INDEX(ELECCB[NPV ACC $/kW],MATCH(BE30,ELECCB[Year Number],1))))/AL30),2)),0)</f>
        <v/>
      </c>
      <c r="AY30" s="974" t="str">
        <f>IFERROR(AL30/M02S04F06/AO30,"")</f>
        <v/>
      </c>
      <c r="AZ30" s="967" t="str">
        <f>IF(OR(C30="",H30=""),"",INDEX(CMEHVAC[Unit of Measure],MATCH(H30,CMEHVAC[Proj Desc 1],0)))</f>
        <v/>
      </c>
      <c r="BA30" s="980" t="str">
        <f t="shared" ref="BA30" si="22">IF(AO30&lt;&gt;"","Missing!","")</f>
        <v/>
      </c>
      <c r="BB30" s="980" t="str">
        <f t="shared" ref="BB30" si="23">IF(AO30&lt;&gt;"","Missing!","")</f>
        <v/>
      </c>
      <c r="BC30" s="976" t="str">
        <f>IF(OR(C30="",H30="",N30="",T30="",W30="",AC30="",AF30="",AH30="",AJ30=""),"",ROUND(T30,4))</f>
        <v/>
      </c>
      <c r="BD30" s="976" t="str">
        <f>IF(OR(C30="",H30="",N30="",T30="",W30="",AC30="",AF30="",AH30="",AJ30=""),"",ROUND(AC30,4))</f>
        <v/>
      </c>
      <c r="BE30" s="978" t="str">
        <f>IF(OR(C30="",H30=""),"",IF(INDEX(CMEHVAC[EUL],MATCH(H30,CMEHVAC[Proj Desc 1],0))="","",INDEX(CMEHVAC[EUL],MATCH(H30,CMEHVAC[Proj Desc 1],0))))</f>
        <v/>
      </c>
      <c r="BF30" s="980" t="str">
        <f>IF(OR(C30="",H30=""),"",IF(INDEX(CMEHVAC[End Use Category],MATCH(H30,CMEHVAC[Proj Desc 1],0))="","",INDEX(CMEHVAC[End Use Category],MATCH(H30,CMEHVAC[Proj Desc 1],0))))</f>
        <v/>
      </c>
      <c r="BG30" s="972" t="str">
        <f>IFERROR(IF(OR(C30="",H30="",N30="",T30="",W30="",AC30="",AF30="",AH30="",AJ30=""),"",ROUND(AO30*INDEX(ENDUSEALL[Factor],MATCH(BF30,ENDUSEALL[End Use to Coincident Peak Demand Factors],0)),4)),"")</f>
        <v/>
      </c>
      <c r="BH30" s="1076"/>
      <c r="BI30" s="830" t="str">
        <f t="shared" ref="BI30" si="24">IFERROR(ROUND(AO30*BJ30,2),"")</f>
        <v/>
      </c>
      <c r="BJ30" s="963" t="str">
        <f>_xlfn.LET(_xlpm.ROWS,MATCH(BF30,ENDUSEALL[End Use to Coincident Peak Demand Factors],0),IFERROR(INDEX(IF(AND(ACTIVEBONUS = TRUE,INDEX(ENDUSEALL[Bonus Rate ($/kWh)],_xlpm.ROWS)&lt;&gt;""),ENDUSEALL[Bonus Rate ($/kWh)],ENDUSEALL[Rate ($/kWh)]),_xlpm.ROWS),""))</f>
        <v/>
      </c>
      <c r="BK30" s="963"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965" t="str">
        <f>IF(OR(C30="",H30="",N30="",T30="",W30="",AC30="",AF30="",AH30="",AJ30=""),"",IF(BN30&lt;&gt;"",SPILLOVERNUMBER,INDEX(CMEHVAC[Measure Number],MATCH(H30,CMEHVAC[Proj Desc 1],0))))</f>
        <v/>
      </c>
      <c r="BM30" s="966"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967" t="str">
        <f ca="1">IFERROR(IF(EXPIRATION&lt;&gt;"",PROJSTATEXP,
IF(BP30&gt;0,"",
IF(BC30-BD30&lt;=0,MEASURESAVE,
IF(OR(M02S04F06="",M02S04F06="Select Rate Code",M02S04F06=0),MEASURERATE,
IF(AND((OR(ISNUMBER(SEARCH("Cloud",H30)),ISNUMBER(SEARCH("Other",H30)))),OR(BE30="",BF30="")),MEASURESUBMIT,
 IF(PAYCUSE&lt;PAYBACKREQ,PROJECTSTATPAYBACK,
IF(CBCUSE&lt;CBREQ,PROJECTSTATCB,""))))))),MEASURESUBMIT)</f>
        <v>Submit for Review</v>
      </c>
      <c r="BO30" s="830" t="str">
        <f>IFERROR(IF(OR(C30="",H30="",N30="",T30="",W30="",AC30="",AF30="",AH30="",AJ30=""),"",
ROUND(((1+ELOSS)*((AO30*INDEX(ELECCB[NPV AEC $/kWh],MATCH(BE30,ELECCB[Year Number],1)))+(BG30*INDEX(ELECCB[NPV ACC $/kW],MATCH(BE30,ELECCB[Year Number],1))))),2)),0)</f>
        <v/>
      </c>
      <c r="BP30" s="969"/>
    </row>
    <row r="31" spans="1:68" ht="15.95" customHeight="1">
      <c r="B31" s="806"/>
      <c r="C31" s="991"/>
      <c r="D31" s="992"/>
      <c r="E31" s="992"/>
      <c r="F31" s="992"/>
      <c r="G31" s="993"/>
      <c r="H31" s="1015"/>
      <c r="I31" s="1015"/>
      <c r="J31" s="1015"/>
      <c r="K31" s="1015"/>
      <c r="L31" s="1015"/>
      <c r="M31" s="1020"/>
      <c r="N31" s="1026"/>
      <c r="O31" s="992"/>
      <c r="P31" s="992"/>
      <c r="Q31" s="992"/>
      <c r="R31" s="992"/>
      <c r="S31" s="993"/>
      <c r="T31" s="1031"/>
      <c r="U31" s="1125"/>
      <c r="V31" s="1126"/>
      <c r="W31" s="1026"/>
      <c r="X31" s="992"/>
      <c r="Y31" s="992"/>
      <c r="Z31" s="992"/>
      <c r="AA31" s="992"/>
      <c r="AB31" s="993"/>
      <c r="AC31" s="1031"/>
      <c r="AD31" s="1125"/>
      <c r="AE31" s="1126"/>
      <c r="AF31" s="1121"/>
      <c r="AG31" s="1122"/>
      <c r="AH31" s="999"/>
      <c r="AI31" s="999"/>
      <c r="AJ31" s="1101"/>
      <c r="AK31" s="1102"/>
      <c r="AL31" s="1001"/>
      <c r="AM31" s="1002"/>
      <c r="AN31" s="1002"/>
      <c r="AO31" s="1034"/>
      <c r="AP31" s="1034"/>
      <c r="AQ31" s="1034"/>
      <c r="AR31" s="1067"/>
      <c r="AS31" s="1068"/>
      <c r="AT31" s="1068"/>
      <c r="AU31" s="1069"/>
      <c r="AV31" s="44"/>
      <c r="AW31" s="44"/>
      <c r="AX31" s="982"/>
      <c r="AY31" s="982"/>
      <c r="AZ31" s="983"/>
      <c r="BA31" s="986"/>
      <c r="BB31" s="986"/>
      <c r="BC31" s="984"/>
      <c r="BD31" s="984"/>
      <c r="BE31" s="985"/>
      <c r="BF31" s="986"/>
      <c r="BG31" s="970"/>
      <c r="BH31" s="1077"/>
      <c r="BI31" s="831"/>
      <c r="BJ31" s="830"/>
      <c r="BK31" s="830"/>
      <c r="BL31" s="987"/>
      <c r="BM31" s="967"/>
      <c r="BN31" s="983"/>
      <c r="BO31" s="831"/>
      <c r="BP31" s="981"/>
    </row>
    <row r="32" spans="1:68" ht="15.95" customHeight="1">
      <c r="B32" s="806">
        <v>8</v>
      </c>
      <c r="C32" s="988"/>
      <c r="D32" s="989"/>
      <c r="E32" s="989"/>
      <c r="F32" s="989"/>
      <c r="G32" s="990"/>
      <c r="H32" s="1015"/>
      <c r="I32" s="1015"/>
      <c r="J32" s="1015"/>
      <c r="K32" s="1015"/>
      <c r="L32" s="1015"/>
      <c r="M32" s="1020"/>
      <c r="N32" s="1025"/>
      <c r="O32" s="989"/>
      <c r="P32" s="989"/>
      <c r="Q32" s="989"/>
      <c r="R32" s="989"/>
      <c r="S32" s="990"/>
      <c r="T32" s="1029"/>
      <c r="U32" s="1123"/>
      <c r="V32" s="1124"/>
      <c r="W32" s="1025"/>
      <c r="X32" s="989"/>
      <c r="Y32" s="989"/>
      <c r="Z32" s="989"/>
      <c r="AA32" s="989"/>
      <c r="AB32" s="990"/>
      <c r="AC32" s="1029"/>
      <c r="AD32" s="1123"/>
      <c r="AE32" s="1124"/>
      <c r="AF32" s="1121" t="str">
        <f>IFERROR(IF($C32="", "", IF(OR($C32 = "Retrofit existing", $C32 = "Replace in-life equip."), "Total", "Incremental")), "")</f>
        <v/>
      </c>
      <c r="AG32" s="1122"/>
      <c r="AH32" s="999"/>
      <c r="AI32" s="999"/>
      <c r="AJ32" s="1099" t="str">
        <f t="shared" ref="AJ32" si="25">IF(AF32="Incremental",0,"")</f>
        <v/>
      </c>
      <c r="AK32" s="1100"/>
      <c r="AL32" s="1057" t="str">
        <f>IF(OR(C32="",H32="",N32="",T32="",W32="",AC32="",AF32="",AH32="",AJ32=""),"",ROUND(AH32+AJ32,2))</f>
        <v/>
      </c>
      <c r="AM32" s="1058"/>
      <c r="AN32" s="1058"/>
      <c r="AO32" s="1033" t="str">
        <f>IF(OR(C32="",H32="",N32="",T32="",W32="",AC32="",AF32="",AH32="",AJ32=""),"",IF(BC32-BD32&lt;=0,0,ROUND(BC32-BD32,4)))</f>
        <v/>
      </c>
      <c r="AP32" s="1033"/>
      <c r="AQ32" s="1033"/>
      <c r="AR32" s="1064" t="str">
        <f>IF(OR(C32="",H32="",N32="",T32="",W32="",AC32="",AF32="",AH32="",AJ32=""),"",
IF(BN32&lt;&gt;"",BN32,IF(BP32&gt;0,BP32,
IF(AF32="Incremental",
IF(ACTIVEBLOCK="Yes",ROUND(MIN(AL32*INCCOSTCAP,AO32*BLOCKBIDRATE),2),
ROUND(MIN(AL32*INCCOSTCAP,BI32),2)),
IF(ACTIVEBLOCK="Yes",ROUND(MIN(AL32*TOTCOSTCAP,AO32*BLOCKBIDRATE),2),
ROUND(MIN(AL32*TOTCOSTCAP,BI32),2))))))</f>
        <v/>
      </c>
      <c r="AS32" s="1065"/>
      <c r="AT32" s="1065"/>
      <c r="AU32" s="1066"/>
      <c r="AV32" s="44"/>
      <c r="AW32" s="44"/>
      <c r="AX32" s="974" t="str">
        <f>IFERROR(IF(OR(C32="",H32="",N32="",T32="",W32="",AC32="",AF32="",AH32="",AJ32=""),"",
ROUND(((1+ELOSS)*((AO32*INDEX(ELECCB[NPV AEC $/kWh],MATCH(BE32,ELECCB[Year Number],1)))+(BG32*INDEX(ELECCB[NPV ACC $/kW],MATCH(BE32,ELECCB[Year Number],1))))/AL32),2)),0)</f>
        <v/>
      </c>
      <c r="AY32" s="974" t="str">
        <f>IFERROR(AL32/M02S04F06/AO32,"")</f>
        <v/>
      </c>
      <c r="AZ32" s="967" t="str">
        <f>IF(OR(C32="",H32=""),"",INDEX(CMEHVAC[Unit of Measure],MATCH(H32,CMEHVAC[Proj Desc 1],0)))</f>
        <v/>
      </c>
      <c r="BA32" s="980" t="str">
        <f t="shared" ref="BA32" si="26">IF(AO32&lt;&gt;"","Missing!","")</f>
        <v/>
      </c>
      <c r="BB32" s="980" t="str">
        <f t="shared" ref="BB32" si="27">IF(AO32&lt;&gt;"","Missing!","")</f>
        <v/>
      </c>
      <c r="BC32" s="976" t="str">
        <f>IF(OR(C32="",H32="",N32="",T32="",W32="",AC32="",AF32="",AH32="",AJ32=""),"",ROUND(T32,4))</f>
        <v/>
      </c>
      <c r="BD32" s="976" t="str">
        <f>IF(OR(C32="",H32="",N32="",T32="",W32="",AC32="",AF32="",AH32="",AJ32=""),"",ROUND(AC32,4))</f>
        <v/>
      </c>
      <c r="BE32" s="978" t="str">
        <f>IF(OR(C32="",H32=""),"",IF(INDEX(CMEHVAC[EUL],MATCH(H32,CMEHVAC[Proj Desc 1],0))="","",INDEX(CMEHVAC[EUL],MATCH(H32,CMEHVAC[Proj Desc 1],0))))</f>
        <v/>
      </c>
      <c r="BF32" s="980" t="str">
        <f>IF(OR(C32="",H32=""),"",IF(INDEX(CMEHVAC[End Use Category],MATCH(H32,CMEHVAC[Proj Desc 1],0))="","",INDEX(CMEHVAC[End Use Category],MATCH(H32,CMEHVAC[Proj Desc 1],0))))</f>
        <v/>
      </c>
      <c r="BG32" s="972" t="str">
        <f>IFERROR(IF(OR(C32="",H32="",N32="",T32="",W32="",AC32="",AF32="",AH32="",AJ32=""),"",ROUND(AO32*INDEX(ENDUSEALL[Factor],MATCH(BF32,ENDUSEALL[End Use to Coincident Peak Demand Factors],0)),4)),"")</f>
        <v/>
      </c>
      <c r="BH32" s="1076"/>
      <c r="BI32" s="830" t="str">
        <f t="shared" ref="BI32" si="28">IFERROR(ROUND(AO32*BJ32,2),"")</f>
        <v/>
      </c>
      <c r="BJ32" s="963" t="str">
        <f>_xlfn.LET(_xlpm.ROWS,MATCH(BF32,ENDUSEALL[End Use to Coincident Peak Demand Factors],0),IFERROR(INDEX(IF(AND(ACTIVEBONUS = TRUE,INDEX(ENDUSEALL[Bonus Rate ($/kWh)],_xlpm.ROWS)&lt;&gt;""),ENDUSEALL[Bonus Rate ($/kWh)],ENDUSEALL[Rate ($/kWh)]),_xlpm.ROWS),""))</f>
        <v/>
      </c>
      <c r="BK32" s="963"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965" t="str">
        <f>IF(OR(C32="",H32="",N32="",T32="",W32="",AC32="",AF32="",AH32="",AJ32=""),"",IF(BN32&lt;&gt;"",SPILLOVERNUMBER,INDEX(CMEHVAC[Measure Number],MATCH(H32,CMEHVAC[Proj Desc 1],0))))</f>
        <v/>
      </c>
      <c r="BM32" s="966"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967" t="str">
        <f ca="1">IFERROR(IF(EXPIRATION&lt;&gt;"",PROJSTATEXP,
IF(BP32&gt;0,"",
IF(BC32-BD32&lt;=0,MEASURESAVE,
IF(OR(M02S04F06="",M02S04F06="Select Rate Code",M02S04F06=0),MEASURERATE,
IF(AND((OR(ISNUMBER(SEARCH("Cloud",H32)),ISNUMBER(SEARCH("Other",H32)))),OR(BE32="",BF32="")),MEASURESUBMIT,
 IF(PAYCUSE&lt;PAYBACKREQ,PROJECTSTATPAYBACK,
IF(CBCUSE&lt;CBREQ,PROJECTSTATCB,""))))))),MEASURESUBMIT)</f>
        <v>Submit for Review</v>
      </c>
      <c r="BO32" s="830" t="str">
        <f>IFERROR(IF(OR(C32="",H32="",N32="",T32="",W32="",AC32="",AF32="",AH32="",AJ32=""),"",
ROUND(((1+ELOSS)*((AO32*INDEX(ELECCB[NPV AEC $/kWh],MATCH(BE32,ELECCB[Year Number],1)))+(BG32*INDEX(ELECCB[NPV ACC $/kW],MATCH(BE32,ELECCB[Year Number],1))))),2)),0)</f>
        <v/>
      </c>
      <c r="BP32" s="969"/>
    </row>
    <row r="33" spans="2:68" ht="15.95" customHeight="1">
      <c r="B33" s="806"/>
      <c r="C33" s="991"/>
      <c r="D33" s="992"/>
      <c r="E33" s="992"/>
      <c r="F33" s="992"/>
      <c r="G33" s="993"/>
      <c r="H33" s="1015"/>
      <c r="I33" s="1015"/>
      <c r="J33" s="1015"/>
      <c r="K33" s="1015"/>
      <c r="L33" s="1015"/>
      <c r="M33" s="1020"/>
      <c r="N33" s="1026"/>
      <c r="O33" s="992"/>
      <c r="P33" s="992"/>
      <c r="Q33" s="992"/>
      <c r="R33" s="992"/>
      <c r="S33" s="993"/>
      <c r="T33" s="1031"/>
      <c r="U33" s="1125"/>
      <c r="V33" s="1126"/>
      <c r="W33" s="1026"/>
      <c r="X33" s="992"/>
      <c r="Y33" s="992"/>
      <c r="Z33" s="992"/>
      <c r="AA33" s="992"/>
      <c r="AB33" s="993"/>
      <c r="AC33" s="1031"/>
      <c r="AD33" s="1125"/>
      <c r="AE33" s="1126"/>
      <c r="AF33" s="1121"/>
      <c r="AG33" s="1122"/>
      <c r="AH33" s="999"/>
      <c r="AI33" s="999"/>
      <c r="AJ33" s="1101"/>
      <c r="AK33" s="1102"/>
      <c r="AL33" s="1001"/>
      <c r="AM33" s="1002"/>
      <c r="AN33" s="1002"/>
      <c r="AO33" s="1034"/>
      <c r="AP33" s="1034"/>
      <c r="AQ33" s="1034"/>
      <c r="AR33" s="1067"/>
      <c r="AS33" s="1068"/>
      <c r="AT33" s="1068"/>
      <c r="AU33" s="1069"/>
      <c r="AV33" s="44"/>
      <c r="AW33" s="44"/>
      <c r="AX33" s="982"/>
      <c r="AY33" s="982"/>
      <c r="AZ33" s="983"/>
      <c r="BA33" s="986"/>
      <c r="BB33" s="986"/>
      <c r="BC33" s="984"/>
      <c r="BD33" s="984"/>
      <c r="BE33" s="985"/>
      <c r="BF33" s="986"/>
      <c r="BG33" s="970"/>
      <c r="BH33" s="1077"/>
      <c r="BI33" s="831"/>
      <c r="BJ33" s="830"/>
      <c r="BK33" s="830"/>
      <c r="BL33" s="987"/>
      <c r="BM33" s="967"/>
      <c r="BN33" s="983"/>
      <c r="BO33" s="831"/>
      <c r="BP33" s="981"/>
    </row>
    <row r="34" spans="2:68" ht="15.95" customHeight="1">
      <c r="B34" s="806">
        <v>9</v>
      </c>
      <c r="C34" s="988"/>
      <c r="D34" s="989"/>
      <c r="E34" s="989"/>
      <c r="F34" s="989"/>
      <c r="G34" s="990"/>
      <c r="H34" s="1015"/>
      <c r="I34" s="1015"/>
      <c r="J34" s="1015"/>
      <c r="K34" s="1015"/>
      <c r="L34" s="1015"/>
      <c r="M34" s="1020"/>
      <c r="N34" s="1025"/>
      <c r="O34" s="989"/>
      <c r="P34" s="989"/>
      <c r="Q34" s="989"/>
      <c r="R34" s="989"/>
      <c r="S34" s="990"/>
      <c r="T34" s="1029"/>
      <c r="U34" s="1123"/>
      <c r="V34" s="1124"/>
      <c r="W34" s="1025"/>
      <c r="X34" s="989"/>
      <c r="Y34" s="989"/>
      <c r="Z34" s="989"/>
      <c r="AA34" s="989"/>
      <c r="AB34" s="990"/>
      <c r="AC34" s="1029"/>
      <c r="AD34" s="1123"/>
      <c r="AE34" s="1124"/>
      <c r="AF34" s="1121" t="str">
        <f>IFERROR(IF($C34="", "", IF(OR($C34 = "Retrofit existing", $C34 = "Replace in-life equip."), "Total", "Incremental")), "")</f>
        <v/>
      </c>
      <c r="AG34" s="1122"/>
      <c r="AH34" s="999"/>
      <c r="AI34" s="999"/>
      <c r="AJ34" s="1099" t="str">
        <f t="shared" ref="AJ34" si="29">IF(AF34="Incremental",0,"")</f>
        <v/>
      </c>
      <c r="AK34" s="1100"/>
      <c r="AL34" s="1057" t="str">
        <f>IF(OR(C34="",H34="",N34="",T34="",W34="",AC34="",AF34="",AH34="",AJ34=""),"",ROUND(AH34+AJ34,2))</f>
        <v/>
      </c>
      <c r="AM34" s="1058"/>
      <c r="AN34" s="1058"/>
      <c r="AO34" s="1033" t="str">
        <f>IF(OR(C34="",H34="",N34="",T34="",W34="",AC34="",AF34="",AH34="",AJ34=""),"",IF(BC34-BD34&lt;=0,0,ROUND(BC34-BD34,4)))</f>
        <v/>
      </c>
      <c r="AP34" s="1033"/>
      <c r="AQ34" s="1033"/>
      <c r="AR34" s="1064" t="str">
        <f>IF(OR(C34="",H34="",N34="",T34="",W34="",AC34="",AF34="",AH34="",AJ34=""),"",
IF(BN34&lt;&gt;"",BN34,IF(BP34&gt;0,BP34,
IF(AF34="Incremental",
IF(ACTIVEBLOCK="Yes",ROUND(MIN(AL34*INCCOSTCAP,AO34*BLOCKBIDRATE),2),
ROUND(MIN(AL34*INCCOSTCAP,BI34),2)),
IF(ACTIVEBLOCK="Yes",ROUND(MIN(AL34*TOTCOSTCAP,AO34*BLOCKBIDRATE),2),
ROUND(MIN(AL34*TOTCOSTCAP,BI34),2))))))</f>
        <v/>
      </c>
      <c r="AS34" s="1065"/>
      <c r="AT34" s="1065"/>
      <c r="AU34" s="1066"/>
      <c r="AV34" s="44"/>
      <c r="AW34" s="44"/>
      <c r="AX34" s="974" t="str">
        <f>IFERROR(IF(OR(C34="",H34="",N34="",T34="",W34="",AC34="",AF34="",AH34="",AJ34=""),"",
ROUND(((1+ELOSS)*((AO34*INDEX(ELECCB[NPV AEC $/kWh],MATCH(BE34,ELECCB[Year Number],1)))+(BG34*INDEX(ELECCB[NPV ACC $/kW],MATCH(BE34,ELECCB[Year Number],1))))/AL34),2)),0)</f>
        <v/>
      </c>
      <c r="AY34" s="974" t="str">
        <f>IFERROR(AL34/M02S04F06/AO34,"")</f>
        <v/>
      </c>
      <c r="AZ34" s="967" t="str">
        <f>IF(OR(C34="",H34=""),"",INDEX(CMEHVAC[Unit of Measure],MATCH(H34,CMEHVAC[Proj Desc 1],0)))</f>
        <v/>
      </c>
      <c r="BA34" s="980" t="str">
        <f t="shared" ref="BA34" si="30">IF(AO34&lt;&gt;"","Missing!","")</f>
        <v/>
      </c>
      <c r="BB34" s="980" t="str">
        <f t="shared" ref="BB34" si="31">IF(AO34&lt;&gt;"","Missing!","")</f>
        <v/>
      </c>
      <c r="BC34" s="976" t="str">
        <f>IF(OR(C34="",H34="",N34="",T34="",W34="",AC34="",AF34="",AH34="",AJ34=""),"",ROUND(T34,4))</f>
        <v/>
      </c>
      <c r="BD34" s="976" t="str">
        <f>IF(OR(C34="",H34="",N34="",T34="",W34="",AC34="",AF34="",AH34="",AJ34=""),"",ROUND(AC34,4))</f>
        <v/>
      </c>
      <c r="BE34" s="978" t="str">
        <f>IF(OR(C34="",H34=""),"",IF(INDEX(CMEHVAC[EUL],MATCH(H34,CMEHVAC[Proj Desc 1],0))="","",INDEX(CMEHVAC[EUL],MATCH(H34,CMEHVAC[Proj Desc 1],0))))</f>
        <v/>
      </c>
      <c r="BF34" s="980" t="str">
        <f>IF(OR(C34="",H34=""),"",IF(INDEX(CMEHVAC[End Use Category],MATCH(H34,CMEHVAC[Proj Desc 1],0))="","",INDEX(CMEHVAC[End Use Category],MATCH(H34,CMEHVAC[Proj Desc 1],0))))</f>
        <v/>
      </c>
      <c r="BG34" s="972" t="str">
        <f>IFERROR(IF(OR(C34="",H34="",N34="",T34="",W34="",AC34="",AF34="",AH34="",AJ34=""),"",ROUND(AO34*INDEX(ENDUSEALL[Factor],MATCH(BF34,ENDUSEALL[End Use to Coincident Peak Demand Factors],0)),4)),"")</f>
        <v/>
      </c>
      <c r="BH34" s="1076"/>
      <c r="BI34" s="830" t="str">
        <f t="shared" ref="BI34" si="32">IFERROR(ROUND(AO34*BJ34,2),"")</f>
        <v/>
      </c>
      <c r="BJ34" s="963" t="str">
        <f>_xlfn.LET(_xlpm.ROWS,MATCH(BF34,ENDUSEALL[End Use to Coincident Peak Demand Factors],0),IFERROR(INDEX(IF(AND(ACTIVEBONUS = TRUE,INDEX(ENDUSEALL[Bonus Rate ($/kWh)],_xlpm.ROWS)&lt;&gt;""),ENDUSEALL[Bonus Rate ($/kWh)],ENDUSEALL[Rate ($/kWh)]),_xlpm.ROWS),""))</f>
        <v/>
      </c>
      <c r="BK34" s="963"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965" t="str">
        <f>IF(OR(C34="",H34="",N34="",T34="",W34="",AC34="",AF34="",AH34="",AJ34=""),"",IF(BN34&lt;&gt;"",SPILLOVERNUMBER,INDEX(CMEHVAC[Measure Number],MATCH(H34,CMEHVAC[Proj Desc 1],0))))</f>
        <v/>
      </c>
      <c r="BM34" s="966"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967" t="str">
        <f ca="1">IFERROR(IF(EXPIRATION&lt;&gt;"",PROJSTATEXP,
IF(BP34&gt;0,"",
IF(BC34-BD34&lt;=0,MEASURESAVE,
IF(OR(M02S04F06="",M02S04F06="Select Rate Code",M02S04F06=0),MEASURERATE,
IF(AND((OR(ISNUMBER(SEARCH("Cloud",H34)),ISNUMBER(SEARCH("Other",H34)))),OR(BE34="",BF34="")),MEASURESUBMIT,
 IF(PAYCUSE&lt;PAYBACKREQ,PROJECTSTATPAYBACK,
IF(CBCUSE&lt;CBREQ,PROJECTSTATCB,""))))))),MEASURESUBMIT)</f>
        <v>Submit for Review</v>
      </c>
      <c r="BO34" s="830" t="str">
        <f>IFERROR(IF(OR(C34="",H34="",N34="",T34="",W34="",AC34="",AF34="",AH34="",AJ34=""),"",
ROUND(((1+ELOSS)*((AO34*INDEX(ELECCB[NPV AEC $/kWh],MATCH(BE34,ELECCB[Year Number],1)))+(BG34*INDEX(ELECCB[NPV ACC $/kW],MATCH(BE34,ELECCB[Year Number],1))))),2)),0)</f>
        <v/>
      </c>
      <c r="BP34" s="969"/>
    </row>
    <row r="35" spans="2:68" ht="15.95" customHeight="1">
      <c r="B35" s="806"/>
      <c r="C35" s="991"/>
      <c r="D35" s="992"/>
      <c r="E35" s="992"/>
      <c r="F35" s="992"/>
      <c r="G35" s="993"/>
      <c r="H35" s="1015"/>
      <c r="I35" s="1015"/>
      <c r="J35" s="1015"/>
      <c r="K35" s="1015"/>
      <c r="L35" s="1015"/>
      <c r="M35" s="1020"/>
      <c r="N35" s="1026"/>
      <c r="O35" s="992"/>
      <c r="P35" s="992"/>
      <c r="Q35" s="992"/>
      <c r="R35" s="992"/>
      <c r="S35" s="993"/>
      <c r="T35" s="1031"/>
      <c r="U35" s="1125"/>
      <c r="V35" s="1126"/>
      <c r="W35" s="1026"/>
      <c r="X35" s="992"/>
      <c r="Y35" s="992"/>
      <c r="Z35" s="992"/>
      <c r="AA35" s="992"/>
      <c r="AB35" s="993"/>
      <c r="AC35" s="1031"/>
      <c r="AD35" s="1125"/>
      <c r="AE35" s="1126"/>
      <c r="AF35" s="1121"/>
      <c r="AG35" s="1122"/>
      <c r="AH35" s="999"/>
      <c r="AI35" s="999"/>
      <c r="AJ35" s="1101"/>
      <c r="AK35" s="1102"/>
      <c r="AL35" s="1001"/>
      <c r="AM35" s="1002"/>
      <c r="AN35" s="1002"/>
      <c r="AO35" s="1034"/>
      <c r="AP35" s="1034"/>
      <c r="AQ35" s="1034"/>
      <c r="AR35" s="1067"/>
      <c r="AS35" s="1068"/>
      <c r="AT35" s="1068"/>
      <c r="AU35" s="1069"/>
      <c r="AV35" s="44"/>
      <c r="AW35" s="44"/>
      <c r="AX35" s="982"/>
      <c r="AY35" s="982"/>
      <c r="AZ35" s="983"/>
      <c r="BA35" s="986"/>
      <c r="BB35" s="986"/>
      <c r="BC35" s="984"/>
      <c r="BD35" s="984"/>
      <c r="BE35" s="985"/>
      <c r="BF35" s="986"/>
      <c r="BG35" s="970"/>
      <c r="BH35" s="1077"/>
      <c r="BI35" s="831"/>
      <c r="BJ35" s="830"/>
      <c r="BK35" s="830"/>
      <c r="BL35" s="987"/>
      <c r="BM35" s="967"/>
      <c r="BN35" s="983"/>
      <c r="BO35" s="831"/>
      <c r="BP35" s="981"/>
    </row>
    <row r="36" spans="2:68" ht="15.95" customHeight="1">
      <c r="B36" s="806">
        <v>10</v>
      </c>
      <c r="C36" s="988"/>
      <c r="D36" s="989"/>
      <c r="E36" s="989"/>
      <c r="F36" s="989"/>
      <c r="G36" s="990"/>
      <c r="H36" s="1015"/>
      <c r="I36" s="1015"/>
      <c r="J36" s="1015"/>
      <c r="K36" s="1015"/>
      <c r="L36" s="1015"/>
      <c r="M36" s="1020"/>
      <c r="N36" s="1025"/>
      <c r="O36" s="989"/>
      <c r="P36" s="989"/>
      <c r="Q36" s="989"/>
      <c r="R36" s="989"/>
      <c r="S36" s="990"/>
      <c r="T36" s="1029"/>
      <c r="U36" s="1123"/>
      <c r="V36" s="1124"/>
      <c r="W36" s="1025"/>
      <c r="X36" s="989"/>
      <c r="Y36" s="989"/>
      <c r="Z36" s="989"/>
      <c r="AA36" s="989"/>
      <c r="AB36" s="990"/>
      <c r="AC36" s="1029"/>
      <c r="AD36" s="1123"/>
      <c r="AE36" s="1124"/>
      <c r="AF36" s="1121" t="str">
        <f>IFERROR(IF($C36="", "", IF(OR($C36 = "Retrofit existing", $C36 = "Replace in-life equip."), "Total", "Incremental")), "")</f>
        <v/>
      </c>
      <c r="AG36" s="1122"/>
      <c r="AH36" s="999"/>
      <c r="AI36" s="999"/>
      <c r="AJ36" s="1099" t="str">
        <f t="shared" ref="AJ36" si="33">IF(AF36="Incremental",0,"")</f>
        <v/>
      </c>
      <c r="AK36" s="1100"/>
      <c r="AL36" s="1057" t="str">
        <f>IF(OR(C36="",H36="",N36="",T36="",W36="",AC36="",AF36="",AH36="",AJ36=""),"",ROUND(AH36+AJ36,2))</f>
        <v/>
      </c>
      <c r="AM36" s="1058"/>
      <c r="AN36" s="1058"/>
      <c r="AO36" s="1033" t="str">
        <f>IF(OR(C36="",H36="",N36="",T36="",W36="",AC36="",AF36="",AH36="",AJ36=""),"",IF(BC36-BD36&lt;=0,0,ROUND(BC36-BD36,4)))</f>
        <v/>
      </c>
      <c r="AP36" s="1033"/>
      <c r="AQ36" s="1033"/>
      <c r="AR36" s="1064" t="str">
        <f>IF(OR(C36="",H36="",N36="",T36="",W36="",AC36="",AF36="",AH36="",AJ36=""),"",
IF(BN36&lt;&gt;"",BN36,IF(BP36&gt;0,BP36,
IF(AF36="Incremental",
IF(ACTIVEBLOCK="Yes",ROUND(MIN(AL36*INCCOSTCAP,AO36*BLOCKBIDRATE),2),
ROUND(MIN(AL36*INCCOSTCAP,BI36),2)),
IF(ACTIVEBLOCK="Yes",ROUND(MIN(AL36*TOTCOSTCAP,AO36*BLOCKBIDRATE),2),
ROUND(MIN(AL36*TOTCOSTCAP,BI36),2))))))</f>
        <v/>
      </c>
      <c r="AS36" s="1065"/>
      <c r="AT36" s="1065"/>
      <c r="AU36" s="1066"/>
      <c r="AV36" s="44"/>
      <c r="AW36" s="44"/>
      <c r="AX36" s="974" t="str">
        <f>IFERROR(IF(OR(C36="",H36="",N36="",T36="",W36="",AC36="",AF36="",AH36="",AJ36=""),"",
ROUND(((1+ELOSS)*((AO36*INDEX(ELECCB[NPV AEC $/kWh],MATCH(BE36,ELECCB[Year Number],1)))+(BG36*INDEX(ELECCB[NPV ACC $/kW],MATCH(BE36,ELECCB[Year Number],1))))/AL36),2)),0)</f>
        <v/>
      </c>
      <c r="AY36" s="974" t="str">
        <f>IFERROR(AL36/M02S04F06/AO36,"")</f>
        <v/>
      </c>
      <c r="AZ36" s="967" t="str">
        <f>IF(OR(C36="",H36=""),"",INDEX(CMEHVAC[Unit of Measure],MATCH(H36,CMEHVAC[Proj Desc 1],0)))</f>
        <v/>
      </c>
      <c r="BA36" s="980" t="str">
        <f t="shared" ref="BA36" si="34">IF(AO36&lt;&gt;"","Missing!","")</f>
        <v/>
      </c>
      <c r="BB36" s="980" t="str">
        <f t="shared" ref="BB36" si="35">IF(AO36&lt;&gt;"","Missing!","")</f>
        <v/>
      </c>
      <c r="BC36" s="976" t="str">
        <f>IF(OR(C36="",H36="",N36="",T36="",W36="",AC36="",AF36="",AH36="",AJ36=""),"",ROUND(T36,4))</f>
        <v/>
      </c>
      <c r="BD36" s="976" t="str">
        <f>IF(OR(C36="",H36="",N36="",T36="",W36="",AC36="",AF36="",AH36="",AJ36=""),"",ROUND(AC36,4))</f>
        <v/>
      </c>
      <c r="BE36" s="978" t="str">
        <f>IF(OR(C36="",H36=""),"",IF(INDEX(CMEHVAC[EUL],MATCH(H36,CMEHVAC[Proj Desc 1],0))="","",INDEX(CMEHVAC[EUL],MATCH(H36,CMEHVAC[Proj Desc 1],0))))</f>
        <v/>
      </c>
      <c r="BF36" s="980" t="str">
        <f>IF(OR(C36="",H36=""),"",IF(INDEX(CMEHVAC[End Use Category],MATCH(H36,CMEHVAC[Proj Desc 1],0))="","",INDEX(CMEHVAC[End Use Category],MATCH(H36,CMEHVAC[Proj Desc 1],0))))</f>
        <v/>
      </c>
      <c r="BG36" s="972" t="str">
        <f>IFERROR(IF(OR(C36="",H36="",N36="",T36="",W36="",AC36="",AF36="",AH36="",AJ36=""),"",ROUND(AO36*INDEX(ENDUSEALL[Factor],MATCH(BF36,ENDUSEALL[End Use to Coincident Peak Demand Factors],0)),4)),"")</f>
        <v/>
      </c>
      <c r="BH36" s="1076"/>
      <c r="BI36" s="830" t="str">
        <f t="shared" ref="BI36" si="36">IFERROR(ROUND(AO36*BJ36,2),"")</f>
        <v/>
      </c>
      <c r="BJ36" s="963" t="str">
        <f>_xlfn.LET(_xlpm.ROWS,MATCH(BF36,ENDUSEALL[End Use to Coincident Peak Demand Factors],0),IFERROR(INDEX(IF(AND(ACTIVEBONUS = TRUE,INDEX(ENDUSEALL[Bonus Rate ($/kWh)],_xlpm.ROWS)&lt;&gt;""),ENDUSEALL[Bonus Rate ($/kWh)],ENDUSEALL[Rate ($/kWh)]),_xlpm.ROWS),""))</f>
        <v/>
      </c>
      <c r="BK36" s="963"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965" t="str">
        <f>IF(OR(C36="",H36="",N36="",T36="",W36="",AC36="",AF36="",AH36="",AJ36=""),"",IF(BN36&lt;&gt;"",SPILLOVERNUMBER,INDEX(CMEHVAC[Measure Number],MATCH(H36,CMEHVAC[Proj Desc 1],0))))</f>
        <v/>
      </c>
      <c r="BM36" s="966"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967" t="str">
        <f ca="1">IFERROR(IF(EXPIRATION&lt;&gt;"",PROJSTATEXP,
IF(BP36&gt;0,"",
IF(BC36-BD36&lt;=0,MEASURESAVE,
IF(OR(M02S04F06="",M02S04F06="Select Rate Code",M02S04F06=0),MEASURERATE,
IF(AND((OR(ISNUMBER(SEARCH("Cloud",H36)),ISNUMBER(SEARCH("Other",H36)))),OR(BE36="",BF36="")),MEASURESUBMIT,
 IF(PAYCUSE&lt;PAYBACKREQ,PROJECTSTATPAYBACK,
IF(CBCUSE&lt;CBREQ,PROJECTSTATCB,""))))))),MEASURESUBMIT)</f>
        <v>Submit for Review</v>
      </c>
      <c r="BO36" s="830" t="str">
        <f>IFERROR(IF(OR(C36="",H36="",N36="",T36="",W36="",AC36="",AF36="",AH36="",AJ36=""),"",
ROUND(((1+ELOSS)*((AO36*INDEX(ELECCB[NPV AEC $/kWh],MATCH(BE36,ELECCB[Year Number],1)))+(BG36*INDEX(ELECCB[NPV ACC $/kW],MATCH(BE36,ELECCB[Year Number],1))))),2)),0)</f>
        <v/>
      </c>
      <c r="BP36" s="969"/>
    </row>
    <row r="37" spans="2:68" ht="15.95" customHeight="1">
      <c r="B37" s="806"/>
      <c r="C37" s="991"/>
      <c r="D37" s="992"/>
      <c r="E37" s="992"/>
      <c r="F37" s="992"/>
      <c r="G37" s="993"/>
      <c r="H37" s="1015"/>
      <c r="I37" s="1015"/>
      <c r="J37" s="1015"/>
      <c r="K37" s="1015"/>
      <c r="L37" s="1015"/>
      <c r="M37" s="1020"/>
      <c r="N37" s="1026"/>
      <c r="O37" s="992"/>
      <c r="P37" s="992"/>
      <c r="Q37" s="992"/>
      <c r="R37" s="992"/>
      <c r="S37" s="993"/>
      <c r="T37" s="1031"/>
      <c r="U37" s="1125"/>
      <c r="V37" s="1126"/>
      <c r="W37" s="1026"/>
      <c r="X37" s="992"/>
      <c r="Y37" s="992"/>
      <c r="Z37" s="992"/>
      <c r="AA37" s="992"/>
      <c r="AB37" s="993"/>
      <c r="AC37" s="1031"/>
      <c r="AD37" s="1125"/>
      <c r="AE37" s="1126"/>
      <c r="AF37" s="1121"/>
      <c r="AG37" s="1122"/>
      <c r="AH37" s="999"/>
      <c r="AI37" s="999"/>
      <c r="AJ37" s="1101"/>
      <c r="AK37" s="1102"/>
      <c r="AL37" s="1001"/>
      <c r="AM37" s="1002"/>
      <c r="AN37" s="1002"/>
      <c r="AO37" s="1034"/>
      <c r="AP37" s="1034"/>
      <c r="AQ37" s="1034"/>
      <c r="AR37" s="1067"/>
      <c r="AS37" s="1068"/>
      <c r="AT37" s="1068"/>
      <c r="AU37" s="1069"/>
      <c r="AV37" s="44"/>
      <c r="AW37" s="44"/>
      <c r="AX37" s="982"/>
      <c r="AY37" s="982"/>
      <c r="AZ37" s="983"/>
      <c r="BA37" s="986"/>
      <c r="BB37" s="986"/>
      <c r="BC37" s="984"/>
      <c r="BD37" s="984"/>
      <c r="BE37" s="985"/>
      <c r="BF37" s="986"/>
      <c r="BG37" s="970"/>
      <c r="BH37" s="1077"/>
      <c r="BI37" s="831"/>
      <c r="BJ37" s="830"/>
      <c r="BK37" s="830"/>
      <c r="BL37" s="987"/>
      <c r="BM37" s="967"/>
      <c r="BN37" s="983"/>
      <c r="BO37" s="831"/>
      <c r="BP37" s="981"/>
    </row>
    <row r="38" spans="2:68" ht="15.95" customHeight="1">
      <c r="B38" s="806"/>
      <c r="C38" s="322"/>
      <c r="D38" s="322"/>
      <c r="E38" s="322"/>
      <c r="F38" s="322"/>
    </row>
    <row r="39" spans="2:68" ht="15.95" hidden="1" customHeight="1">
      <c r="B39" s="806"/>
      <c r="C39" s="322"/>
      <c r="D39" s="322"/>
      <c r="E39" s="322"/>
      <c r="F39" s="322"/>
    </row>
    <row r="40" spans="2:68" ht="15.95" hidden="1" customHeight="1">
      <c r="B40" s="806"/>
      <c r="C40" s="322"/>
      <c r="D40" s="322"/>
      <c r="E40" s="322"/>
      <c r="F40" s="322"/>
    </row>
    <row r="41" spans="2:68" ht="15.95" hidden="1" customHeight="1">
      <c r="B41" s="806"/>
      <c r="C41" s="322"/>
      <c r="D41" s="322"/>
      <c r="E41" s="322"/>
      <c r="F41" s="322"/>
    </row>
    <row r="42" spans="2:68" ht="15.95" hidden="1" customHeight="1">
      <c r="B42" s="806"/>
      <c r="C42" s="322"/>
      <c r="D42" s="322"/>
      <c r="E42" s="322"/>
      <c r="F42" s="322"/>
    </row>
    <row r="43" spans="2:68" ht="15.95" hidden="1" customHeight="1">
      <c r="B43" s="806"/>
      <c r="C43" s="322"/>
      <c r="D43" s="322"/>
      <c r="E43" s="322"/>
      <c r="F43" s="322"/>
    </row>
    <row r="44" spans="2:68" ht="15.95" hidden="1" customHeight="1">
      <c r="B44" s="806"/>
      <c r="C44" s="322"/>
      <c r="D44" s="322"/>
      <c r="E44" s="322"/>
      <c r="F44" s="322"/>
    </row>
    <row r="45" spans="2:68" ht="15.95" hidden="1" customHeight="1">
      <c r="B45" s="806"/>
      <c r="C45" s="322"/>
      <c r="D45" s="322"/>
      <c r="E45" s="322"/>
      <c r="F45" s="322"/>
    </row>
    <row r="46" spans="2:68" ht="15.95" hidden="1" customHeight="1">
      <c r="B46" s="806"/>
      <c r="C46" s="322"/>
      <c r="D46" s="322"/>
      <c r="E46" s="322"/>
      <c r="F46" s="322"/>
    </row>
    <row r="47" spans="2:68" ht="15.95" hidden="1" customHeight="1">
      <c r="B47" s="806"/>
      <c r="C47" s="322"/>
      <c r="D47" s="322"/>
      <c r="E47" s="322"/>
      <c r="F47" s="322"/>
    </row>
    <row r="48" spans="2:68" ht="15.95" hidden="1" customHeight="1">
      <c r="AY48" s="31"/>
      <c r="AZ48" s="37"/>
      <c r="BC48" s="37"/>
      <c r="BD48" s="37"/>
    </row>
    <row r="49" spans="51:56" ht="15.95" hidden="1" customHeight="1">
      <c r="AY49" s="31"/>
      <c r="AZ49" s="37"/>
      <c r="BC49" s="37"/>
      <c r="BD49" s="37"/>
    </row>
    <row r="50" spans="51:56" ht="15.95" hidden="1" customHeight="1">
      <c r="AY50" s="31"/>
      <c r="AZ50" s="37"/>
      <c r="BC50" s="37"/>
      <c r="BD50" s="37"/>
    </row>
    <row r="51" spans="51:56" ht="15.95" hidden="1" customHeight="1">
      <c r="AY51" s="31"/>
      <c r="AZ51" s="37"/>
      <c r="BC51" s="37"/>
      <c r="BD51" s="37"/>
    </row>
    <row r="52" spans="51:56" ht="15.95" hidden="1" customHeight="1">
      <c r="AY52" s="31"/>
      <c r="AZ52" s="37"/>
      <c r="BC52" s="37"/>
      <c r="BD52" s="37"/>
    </row>
    <row r="53" spans="51:56" ht="15.95" hidden="1" customHeight="1">
      <c r="AY53" s="31"/>
      <c r="AZ53" s="37"/>
      <c r="BC53" s="37"/>
      <c r="BD53" s="37"/>
    </row>
    <row r="54" spans="51:56" ht="15.95" hidden="1" customHeight="1">
      <c r="AY54" s="31"/>
      <c r="AZ54" s="37"/>
      <c r="BC54" s="37"/>
      <c r="BD54" s="37"/>
    </row>
    <row r="55" spans="51:56" ht="15.95" hidden="1" customHeight="1">
      <c r="AY55" s="31"/>
      <c r="AZ55" s="37"/>
      <c r="BC55" s="37"/>
      <c r="BD55" s="37"/>
    </row>
    <row r="56" spans="51:56" ht="15.95" hidden="1" customHeight="1">
      <c r="AY56" s="31"/>
      <c r="AZ56" s="37"/>
      <c r="BC56" s="37"/>
      <c r="BD56" s="37"/>
    </row>
    <row r="57" spans="51:56" ht="15.95" hidden="1" customHeight="1">
      <c r="AY57" s="31"/>
      <c r="AZ57" s="37"/>
      <c r="BC57" s="37"/>
      <c r="BD57" s="37"/>
    </row>
    <row r="58" spans="51:56" ht="15.95" hidden="1" customHeight="1">
      <c r="AY58" s="31"/>
      <c r="AZ58" s="37"/>
      <c r="BC58" s="37"/>
      <c r="BD58" s="37"/>
    </row>
    <row r="59" spans="51:56" ht="15.95" hidden="1" customHeight="1">
      <c r="AY59" s="31"/>
      <c r="AZ59" s="37"/>
      <c r="BC59" s="37"/>
      <c r="BD59" s="37"/>
    </row>
    <row r="60" spans="51:56" ht="15.95" hidden="1" customHeight="1">
      <c r="AY60" s="31"/>
      <c r="AZ60" s="37"/>
      <c r="BC60" s="37"/>
      <c r="BD60" s="37"/>
    </row>
    <row r="61" spans="51:56" ht="15.95" hidden="1" customHeight="1">
      <c r="AY61" s="31"/>
      <c r="AZ61" s="37"/>
      <c r="BC61" s="37"/>
      <c r="BD61" s="37"/>
    </row>
    <row r="62" spans="51:56" ht="15.95" hidden="1" customHeight="1">
      <c r="AY62" s="31"/>
      <c r="AZ62" s="37"/>
      <c r="BC62" s="37"/>
      <c r="BD62" s="37"/>
    </row>
    <row r="63" spans="51:56" ht="15.95" hidden="1" customHeight="1">
      <c r="AY63" s="31"/>
      <c r="AZ63" s="37"/>
      <c r="BC63" s="37"/>
      <c r="BD63" s="37"/>
    </row>
    <row r="64" spans="51:56" ht="15.95" hidden="1" customHeight="1">
      <c r="AY64" s="31"/>
      <c r="AZ64" s="37"/>
      <c r="BC64" s="37"/>
      <c r="BD64" s="37"/>
    </row>
    <row r="65" spans="51:56" ht="15.95" hidden="1" customHeight="1">
      <c r="AY65" s="31"/>
      <c r="AZ65" s="37"/>
      <c r="BC65" s="37"/>
      <c r="BD65" s="37"/>
    </row>
    <row r="66" spans="51:56" ht="15.95" hidden="1" customHeight="1">
      <c r="AY66" s="31"/>
      <c r="AZ66" s="37"/>
      <c r="BC66" s="37"/>
      <c r="BD66" s="37"/>
    </row>
    <row r="67" spans="51:56" ht="15.95" hidden="1" customHeight="1">
      <c r="AY67" s="31"/>
      <c r="AZ67" s="37"/>
      <c r="BC67" s="37"/>
      <c r="BD67" s="37"/>
    </row>
    <row r="68" spans="51:56" ht="15.95" hidden="1" customHeight="1">
      <c r="AY68" s="31"/>
      <c r="AZ68" s="37"/>
      <c r="BC68" s="37"/>
      <c r="BD68" s="37"/>
    </row>
    <row r="69" spans="51:56" ht="15.95" hidden="1" customHeight="1">
      <c r="AY69" s="31"/>
      <c r="AZ69" s="37"/>
      <c r="BC69" s="37"/>
      <c r="BD69" s="37"/>
    </row>
    <row r="70" spans="51:56" ht="15.95" hidden="1" customHeight="1">
      <c r="AY70" s="31"/>
      <c r="AZ70" s="37"/>
      <c r="BC70" s="37"/>
      <c r="BD70" s="37"/>
    </row>
    <row r="71" spans="51:56" ht="15.95" hidden="1" customHeight="1">
      <c r="AY71" s="31"/>
      <c r="AZ71" s="37"/>
      <c r="BC71" s="37"/>
      <c r="BD71" s="37"/>
    </row>
    <row r="72" spans="51:56" ht="15.95" hidden="1" customHeight="1">
      <c r="AY72" s="31"/>
      <c r="AZ72" s="37"/>
      <c r="BC72" s="37"/>
      <c r="BD72" s="37"/>
    </row>
    <row r="73" spans="51:56" ht="15.95" hidden="1" customHeight="1">
      <c r="AY73" s="31"/>
      <c r="AZ73" s="37"/>
      <c r="BC73" s="37"/>
      <c r="BD73" s="37"/>
    </row>
    <row r="74" spans="51:56" ht="15.95" hidden="1" customHeight="1">
      <c r="AY74" s="31"/>
      <c r="AZ74" s="37"/>
      <c r="BC74" s="37"/>
      <c r="BD74" s="37"/>
    </row>
    <row r="75" spans="51:56" ht="15.95" hidden="1" customHeight="1">
      <c r="AY75" s="31"/>
      <c r="AZ75" s="37"/>
      <c r="BC75" s="37"/>
      <c r="BD75" s="37"/>
    </row>
    <row r="76" spans="51:56" ht="15.95" hidden="1" customHeight="1">
      <c r="AY76" s="31"/>
      <c r="AZ76" s="37"/>
      <c r="BC76" s="37"/>
      <c r="BD76" s="37"/>
    </row>
    <row r="77" spans="51:56" ht="15.95" hidden="1" customHeight="1">
      <c r="AY77" s="31"/>
      <c r="AZ77" s="37"/>
      <c r="BC77" s="37"/>
      <c r="BD77" s="37"/>
    </row>
    <row r="78" spans="51:56" ht="15.95" hidden="1" customHeight="1">
      <c r="AY78" s="31"/>
      <c r="AZ78" s="37"/>
      <c r="BC78" s="37"/>
      <c r="BD78" s="37"/>
    </row>
    <row r="79" spans="51:56" ht="15.95" hidden="1" customHeight="1">
      <c r="AY79" s="31"/>
      <c r="AZ79" s="37"/>
      <c r="BC79" s="37"/>
      <c r="BD79" s="37"/>
    </row>
    <row r="80" spans="51:56" ht="15.95" hidden="1" customHeight="1">
      <c r="AY80" s="31"/>
      <c r="AZ80" s="37"/>
      <c r="BC80" s="37"/>
      <c r="BD80" s="37"/>
    </row>
    <row r="81" spans="51:56" ht="15.95" hidden="1" customHeight="1">
      <c r="AY81" s="31"/>
      <c r="AZ81" s="37"/>
      <c r="BC81" s="37"/>
      <c r="BD81" s="37"/>
    </row>
    <row r="82" spans="51:56" ht="15.95" hidden="1" customHeight="1">
      <c r="AY82" s="31"/>
      <c r="AZ82" s="37"/>
      <c r="BC82" s="37"/>
      <c r="BD82" s="37"/>
    </row>
    <row r="83" spans="51:56" ht="15.95" hidden="1" customHeight="1">
      <c r="AY83" s="31"/>
      <c r="AZ83" s="37"/>
      <c r="BC83" s="37"/>
      <c r="BD83" s="37"/>
    </row>
    <row r="84" spans="51:56" ht="15.95" hidden="1" customHeight="1">
      <c r="AY84" s="31"/>
      <c r="AZ84" s="37"/>
      <c r="BC84" s="37"/>
      <c r="BD84" s="37"/>
    </row>
    <row r="85" spans="51:56" ht="15.95" hidden="1" customHeight="1">
      <c r="AY85" s="31"/>
      <c r="AZ85" s="37"/>
      <c r="BC85" s="37"/>
      <c r="BD85" s="37"/>
    </row>
    <row r="86" spans="51:56" ht="15.95" hidden="1" customHeight="1">
      <c r="AY86" s="31"/>
      <c r="AZ86" s="37"/>
      <c r="BC86" s="37"/>
      <c r="BD86" s="37"/>
    </row>
    <row r="87" spans="51:56" ht="15.95" hidden="1" customHeight="1">
      <c r="AY87" s="31"/>
      <c r="AZ87" s="37"/>
      <c r="BC87" s="37"/>
      <c r="BD87" s="37"/>
    </row>
    <row r="88" spans="51:56" ht="15.95" hidden="1" customHeight="1">
      <c r="AY88" s="31"/>
      <c r="AZ88" s="37"/>
      <c r="BC88" s="37"/>
      <c r="BD88" s="37"/>
    </row>
    <row r="89" spans="51:56" ht="15.95" hidden="1" customHeight="1">
      <c r="AY89" s="31"/>
      <c r="AZ89" s="37"/>
      <c r="BC89" s="37"/>
      <c r="BD89" s="37"/>
    </row>
    <row r="90" spans="51:56" ht="15.95" hidden="1" customHeight="1">
      <c r="AY90" s="31"/>
      <c r="AZ90" s="37"/>
      <c r="BC90" s="37"/>
      <c r="BD90" s="37"/>
    </row>
    <row r="91" spans="51:56" ht="15.95" hidden="1" customHeight="1">
      <c r="AY91" s="31"/>
      <c r="AZ91" s="37"/>
      <c r="BC91" s="37"/>
      <c r="BD91" s="37"/>
    </row>
    <row r="92" spans="51:56" ht="15.95" hidden="1" customHeight="1">
      <c r="AY92" s="31"/>
      <c r="AZ92" s="37"/>
      <c r="BC92" s="37"/>
      <c r="BD92" s="37"/>
    </row>
    <row r="93" spans="51:56" ht="15.95" hidden="1" customHeight="1">
      <c r="AY93" s="31"/>
      <c r="AZ93" s="37"/>
      <c r="BC93" s="37"/>
      <c r="BD93" s="37"/>
    </row>
    <row r="94" spans="51:56" ht="15.95" hidden="1" customHeight="1">
      <c r="AY94" s="31"/>
      <c r="AZ94" s="37"/>
      <c r="BC94" s="37"/>
      <c r="BD94" s="37"/>
    </row>
    <row r="95" spans="51:56" ht="15.95" hidden="1" customHeight="1">
      <c r="AY95" s="31"/>
      <c r="AZ95" s="37"/>
      <c r="BC95" s="37"/>
      <c r="BD95" s="37"/>
    </row>
    <row r="96" spans="51:56" ht="15.95" hidden="1" customHeight="1">
      <c r="AY96" s="31"/>
      <c r="AZ96" s="37"/>
      <c r="BC96" s="37"/>
      <c r="BD96" s="37"/>
    </row>
    <row r="97" spans="51:56" ht="15.95" hidden="1" customHeight="1">
      <c r="AY97" s="31"/>
      <c r="AZ97" s="37"/>
      <c r="BC97" s="37"/>
      <c r="BD97" s="37"/>
    </row>
    <row r="98" spans="51:56" ht="15.95" hidden="1" customHeight="1">
      <c r="AY98" s="31"/>
      <c r="AZ98" s="37"/>
      <c r="BC98" s="37"/>
      <c r="BD98" s="37"/>
    </row>
    <row r="99" spans="51:56" ht="15.95" hidden="1" customHeight="1">
      <c r="AY99" s="31"/>
      <c r="AZ99" s="37"/>
      <c r="BC99" s="37"/>
      <c r="BD99" s="37"/>
    </row>
    <row r="100" spans="51:56" ht="15.95" hidden="1" customHeight="1">
      <c r="AY100" s="31"/>
      <c r="AZ100" s="37"/>
      <c r="BC100" s="37"/>
      <c r="BD100" s="37"/>
    </row>
    <row r="101" spans="51:56" ht="15.95" hidden="1" customHeight="1">
      <c r="AY101" s="31"/>
      <c r="AZ101" s="37"/>
      <c r="BC101" s="37"/>
      <c r="BD101" s="37"/>
    </row>
    <row r="102" spans="51:56" ht="15.95" hidden="1" customHeight="1">
      <c r="AY102" s="31"/>
      <c r="AZ102" s="37"/>
      <c r="BC102" s="37"/>
      <c r="BD102" s="37"/>
    </row>
    <row r="103" spans="51:56" ht="15.95" hidden="1" customHeight="1">
      <c r="AY103" s="31"/>
      <c r="AZ103" s="37"/>
      <c r="BC103" s="37"/>
      <c r="BD103" s="37"/>
    </row>
    <row r="104" spans="51:56" ht="15.95" hidden="1" customHeight="1">
      <c r="AY104" s="31"/>
      <c r="AZ104" s="37"/>
      <c r="BC104" s="37"/>
      <c r="BD104" s="37"/>
    </row>
    <row r="105" spans="51:56" ht="15.95" hidden="1" customHeight="1">
      <c r="AY105" s="31"/>
      <c r="AZ105" s="37"/>
      <c r="BC105" s="37"/>
      <c r="BD105" s="37"/>
    </row>
    <row r="106" spans="51:56" ht="15.95" hidden="1" customHeight="1">
      <c r="AY106" s="31"/>
      <c r="AZ106" s="37"/>
      <c r="BC106" s="37"/>
      <c r="BD106" s="37"/>
    </row>
    <row r="107" spans="51:56" ht="15.95" hidden="1" customHeight="1">
      <c r="AY107" s="31"/>
      <c r="AZ107" s="37"/>
      <c r="BC107" s="37"/>
      <c r="BD107" s="37"/>
    </row>
    <row r="108" spans="51:56" ht="15.95" hidden="1" customHeight="1">
      <c r="AY108" s="31"/>
      <c r="AZ108" s="37"/>
      <c r="BC108" s="37"/>
      <c r="BD108" s="37"/>
    </row>
    <row r="109" spans="51:56" ht="15.95" hidden="1" customHeight="1">
      <c r="AY109" s="31"/>
      <c r="AZ109" s="37"/>
      <c r="BC109" s="37"/>
      <c r="BD109" s="37"/>
    </row>
    <row r="110" spans="51:56" ht="15.95" hidden="1" customHeight="1">
      <c r="AY110" s="31"/>
      <c r="AZ110" s="37"/>
      <c r="BC110" s="37"/>
      <c r="BD110" s="37"/>
    </row>
    <row r="111" spans="51:56" ht="15.95" hidden="1" customHeight="1">
      <c r="AY111" s="31"/>
      <c r="AZ111" s="37"/>
      <c r="BC111" s="37"/>
      <c r="BD111" s="37"/>
    </row>
    <row r="112" spans="51:56" ht="15.95" hidden="1" customHeight="1">
      <c r="AY112" s="31"/>
      <c r="AZ112" s="37"/>
      <c r="BC112" s="37"/>
      <c r="BD112" s="37"/>
    </row>
    <row r="113" spans="51:56" ht="15.95" hidden="1" customHeight="1">
      <c r="AY113" s="31"/>
      <c r="AZ113" s="37"/>
      <c r="BC113" s="37"/>
      <c r="BD113" s="37"/>
    </row>
    <row r="114" spans="51:56" ht="15.95" hidden="1" customHeight="1">
      <c r="AY114" s="31"/>
      <c r="AZ114" s="37"/>
      <c r="BC114" s="37"/>
      <c r="BD114" s="37"/>
    </row>
    <row r="115" spans="51:56" ht="15.95" hidden="1" customHeight="1">
      <c r="AY115" s="31"/>
      <c r="AZ115" s="37"/>
      <c r="BC115" s="37"/>
      <c r="BD115" s="37"/>
    </row>
    <row r="116" spans="51:56" ht="15.95" hidden="1" customHeight="1">
      <c r="AY116" s="31"/>
      <c r="AZ116" s="37"/>
      <c r="BC116" s="37"/>
      <c r="BD116" s="37"/>
    </row>
    <row r="117" spans="51:56" ht="15.95" hidden="1" customHeight="1">
      <c r="AY117" s="31"/>
      <c r="AZ117" s="37"/>
      <c r="BC117" s="37"/>
      <c r="BD117" s="37"/>
    </row>
    <row r="118" spans="51:56" ht="15.95" hidden="1" customHeight="1">
      <c r="AY118" s="31"/>
      <c r="AZ118" s="37"/>
      <c r="BC118" s="37"/>
      <c r="BD118" s="37"/>
    </row>
    <row r="119" spans="51:56" ht="15.95" hidden="1" customHeight="1">
      <c r="AY119" s="31"/>
      <c r="AZ119" s="37"/>
      <c r="BC119" s="37"/>
      <c r="BD119" s="37"/>
    </row>
    <row r="120" spans="51:56" ht="15.95" hidden="1" customHeight="1">
      <c r="AY120" s="31"/>
      <c r="AZ120" s="37"/>
      <c r="BC120" s="37"/>
      <c r="BD120" s="37"/>
    </row>
    <row r="121" spans="51:56" ht="15.95" hidden="1" customHeight="1">
      <c r="AY121" s="31"/>
      <c r="AZ121" s="37"/>
      <c r="BC121" s="37"/>
      <c r="BD121" s="37"/>
    </row>
    <row r="122" spans="51:56" ht="15.95" hidden="1" customHeight="1">
      <c r="AY122" s="31"/>
      <c r="AZ122" s="37"/>
      <c r="BC122" s="37"/>
      <c r="BD122" s="37"/>
    </row>
    <row r="123" spans="51:56" ht="15.95" hidden="1" customHeight="1">
      <c r="AY123" s="31"/>
      <c r="AZ123" s="37"/>
      <c r="BC123" s="37"/>
      <c r="BD123" s="37"/>
    </row>
    <row r="124" spans="51:56" ht="15.95" hidden="1" customHeight="1">
      <c r="AY124" s="31"/>
      <c r="AZ124" s="37"/>
      <c r="BC124" s="37"/>
      <c r="BD124" s="37"/>
    </row>
    <row r="125" spans="51:56" ht="15.95" hidden="1" customHeight="1">
      <c r="AY125" s="31"/>
      <c r="AZ125" s="37"/>
      <c r="BC125" s="37"/>
      <c r="BD125" s="37"/>
    </row>
    <row r="126" spans="51:56" ht="15.95" hidden="1" customHeight="1">
      <c r="AY126" s="31"/>
      <c r="AZ126" s="37"/>
      <c r="BC126" s="37"/>
      <c r="BD126" s="37"/>
    </row>
    <row r="127" spans="51:56" ht="15.95" hidden="1" customHeight="1">
      <c r="AY127" s="31"/>
      <c r="AZ127" s="37"/>
      <c r="BC127" s="37"/>
      <c r="BD127" s="37"/>
    </row>
    <row r="128" spans="51:56" ht="15.95" hidden="1" customHeight="1">
      <c r="AY128" s="31"/>
      <c r="AZ128" s="37"/>
      <c r="BC128" s="37"/>
      <c r="BD128" s="37"/>
    </row>
    <row r="129" spans="51:56" ht="15.95" hidden="1" customHeight="1">
      <c r="AY129" s="31"/>
      <c r="AZ129" s="37"/>
      <c r="BC129" s="37"/>
      <c r="BD129" s="37"/>
    </row>
    <row r="130" spans="51:56" ht="15.95" hidden="1" customHeight="1">
      <c r="AY130" s="31"/>
      <c r="AZ130" s="37"/>
      <c r="BC130" s="37"/>
      <c r="BD130" s="37"/>
    </row>
    <row r="131" spans="51:56" ht="15.95" hidden="1" customHeight="1">
      <c r="AY131" s="31"/>
      <c r="AZ131" s="37"/>
      <c r="BC131" s="37"/>
      <c r="BD131" s="37"/>
    </row>
    <row r="132" spans="51:56" ht="15.95" hidden="1" customHeight="1">
      <c r="AY132" s="31"/>
      <c r="AZ132" s="37"/>
      <c r="BC132" s="37"/>
      <c r="BD132" s="37"/>
    </row>
    <row r="133" spans="51:56" ht="15.95" hidden="1" customHeight="1">
      <c r="AY133" s="31"/>
      <c r="AZ133" s="37"/>
      <c r="BC133" s="37"/>
      <c r="BD133" s="37"/>
    </row>
    <row r="134" spans="51:56" ht="15.95" hidden="1" customHeight="1">
      <c r="AY134" s="31"/>
      <c r="AZ134" s="37"/>
      <c r="BC134" s="37"/>
      <c r="BD134" s="37"/>
    </row>
    <row r="135" spans="51:56" ht="15.95" hidden="1" customHeight="1">
      <c r="AY135" s="31"/>
      <c r="AZ135" s="37"/>
      <c r="BC135" s="37"/>
      <c r="BD135" s="37"/>
    </row>
    <row r="136" spans="51:56" ht="15.95" hidden="1" customHeight="1">
      <c r="AY136" s="31"/>
      <c r="AZ136" s="37"/>
      <c r="BC136" s="37"/>
      <c r="BD136" s="37"/>
    </row>
    <row r="137" spans="51:56" ht="15.95" hidden="1" customHeight="1">
      <c r="AY137" s="31"/>
      <c r="AZ137" s="37"/>
      <c r="BC137" s="37"/>
      <c r="BD137" s="37"/>
    </row>
    <row r="138" spans="51:56" ht="15.95" hidden="1" customHeight="1">
      <c r="AY138" s="31"/>
      <c r="AZ138" s="37"/>
      <c r="BC138" s="37"/>
      <c r="BD138" s="37"/>
    </row>
    <row r="139" spans="51:56" ht="15.95" hidden="1" customHeight="1">
      <c r="AY139" s="31"/>
      <c r="AZ139" s="37"/>
      <c r="BC139" s="37"/>
      <c r="BD139" s="37"/>
    </row>
    <row r="140" spans="51:56" ht="15.95" hidden="1" customHeight="1">
      <c r="AY140" s="31"/>
      <c r="AZ140" s="37"/>
      <c r="BC140" s="37"/>
      <c r="BD140" s="37"/>
    </row>
    <row r="141" spans="51:56" ht="15.95" hidden="1" customHeight="1">
      <c r="AY141" s="31"/>
      <c r="AZ141" s="37"/>
      <c r="BC141" s="37"/>
      <c r="BD141" s="37"/>
    </row>
    <row r="142" spans="51:56" ht="15.95" hidden="1" customHeight="1">
      <c r="AY142" s="31"/>
      <c r="AZ142" s="37"/>
      <c r="BC142" s="37"/>
      <c r="BD142" s="37"/>
    </row>
    <row r="143" spans="51:56" ht="15.95" hidden="1" customHeight="1">
      <c r="AY143" s="31"/>
      <c r="AZ143" s="37"/>
      <c r="BC143" s="37"/>
      <c r="BD143" s="37"/>
    </row>
    <row r="144" spans="51:56" ht="15.95" hidden="1" customHeight="1">
      <c r="AY144" s="31"/>
      <c r="AZ144" s="37"/>
      <c r="BC144" s="37"/>
      <c r="BD144" s="37"/>
    </row>
    <row r="145" spans="51:56" ht="15.95" hidden="1" customHeight="1">
      <c r="AY145" s="31"/>
      <c r="AZ145" s="37"/>
      <c r="BC145" s="37"/>
      <c r="BD145" s="37"/>
    </row>
    <row r="146" spans="51:56" ht="15.95" hidden="1" customHeight="1">
      <c r="AY146" s="31"/>
      <c r="AZ146" s="37"/>
      <c r="BC146" s="37"/>
      <c r="BD146" s="37"/>
    </row>
    <row r="147" spans="51:56" ht="15.95" hidden="1" customHeight="1">
      <c r="AY147" s="31"/>
      <c r="AZ147" s="37"/>
      <c r="BC147" s="37"/>
      <c r="BD147" s="37"/>
    </row>
    <row r="148" spans="51:56" ht="15.95" hidden="1" customHeight="1">
      <c r="AY148" s="31"/>
      <c r="AZ148" s="37"/>
      <c r="BC148" s="37"/>
      <c r="BD148" s="37"/>
    </row>
    <row r="149" spans="51:56" ht="15.95" hidden="1" customHeight="1">
      <c r="AY149" s="31"/>
      <c r="AZ149" s="37"/>
      <c r="BC149" s="37"/>
      <c r="BD149" s="37"/>
    </row>
    <row r="150" spans="51:56" ht="15.95" hidden="1" customHeight="1">
      <c r="AY150" s="31"/>
      <c r="AZ150" s="37"/>
      <c r="BC150" s="37"/>
      <c r="BD150" s="37"/>
    </row>
    <row r="151" spans="51:56" ht="15.95" hidden="1" customHeight="1">
      <c r="AY151" s="31"/>
      <c r="AZ151" s="37"/>
      <c r="BC151" s="37"/>
      <c r="BD151" s="37"/>
    </row>
    <row r="152" spans="51:56" ht="15.95" hidden="1" customHeight="1">
      <c r="AY152" s="31"/>
      <c r="AZ152" s="37"/>
      <c r="BC152" s="37"/>
      <c r="BD152" s="37"/>
    </row>
    <row r="153" spans="51:56" ht="15.95" hidden="1" customHeight="1">
      <c r="AY153" s="31"/>
      <c r="AZ153" s="37"/>
      <c r="BC153" s="37"/>
      <c r="BD153" s="37"/>
    </row>
    <row r="154" spans="51:56" ht="15.95" hidden="1" customHeight="1">
      <c r="AY154" s="31"/>
      <c r="AZ154" s="37"/>
      <c r="BC154" s="37"/>
      <c r="BD154" s="37"/>
    </row>
    <row r="155" spans="51:56" ht="15.95" hidden="1" customHeight="1">
      <c r="AY155" s="31"/>
      <c r="AZ155" s="37"/>
      <c r="BC155" s="37"/>
      <c r="BD155" s="37"/>
    </row>
    <row r="156" spans="51:56" ht="15.95" hidden="1" customHeight="1">
      <c r="AY156" s="31"/>
      <c r="AZ156" s="37"/>
      <c r="BC156" s="37"/>
      <c r="BD156" s="37"/>
    </row>
    <row r="157" spans="51:56" ht="15.95" hidden="1" customHeight="1">
      <c r="AY157" s="31"/>
      <c r="AZ157" s="37"/>
      <c r="BC157" s="37"/>
      <c r="BD157" s="37"/>
    </row>
    <row r="158" spans="51:56" ht="15.95" hidden="1" customHeight="1">
      <c r="AY158" s="31"/>
      <c r="AZ158" s="37"/>
      <c r="BC158" s="37"/>
      <c r="BD158" s="37"/>
    </row>
    <row r="159" spans="51:56" ht="15.95" hidden="1" customHeight="1">
      <c r="AY159" s="31"/>
      <c r="AZ159" s="37"/>
      <c r="BC159" s="37"/>
      <c r="BD159" s="37"/>
    </row>
    <row r="160" spans="51:56" ht="15.95" hidden="1" customHeight="1">
      <c r="AY160" s="31"/>
      <c r="AZ160" s="37"/>
      <c r="BC160" s="37"/>
      <c r="BD160" s="37"/>
    </row>
    <row r="161" spans="51:56" ht="15.95" hidden="1" customHeight="1">
      <c r="AY161" s="31"/>
      <c r="AZ161" s="37"/>
      <c r="BC161" s="37"/>
      <c r="BD161" s="37"/>
    </row>
    <row r="162" spans="51:56" ht="15.95" hidden="1" customHeight="1">
      <c r="AY162" s="31"/>
      <c r="AZ162" s="37"/>
      <c r="BC162" s="37"/>
      <c r="BD162" s="37"/>
    </row>
    <row r="163" spans="51:56" ht="15.95" hidden="1" customHeight="1">
      <c r="AY163" s="31"/>
      <c r="AZ163" s="37"/>
      <c r="BC163" s="37"/>
      <c r="BD163" s="37"/>
    </row>
    <row r="164" spans="51:56" ht="15.95" hidden="1" customHeight="1">
      <c r="AY164" s="31"/>
      <c r="AZ164" s="37"/>
      <c r="BC164" s="37"/>
      <c r="BD164" s="37"/>
    </row>
    <row r="165" spans="51:56" ht="15.95" hidden="1" customHeight="1">
      <c r="AY165" s="31"/>
      <c r="AZ165" s="37"/>
      <c r="BC165" s="37"/>
      <c r="BD165" s="37"/>
    </row>
    <row r="166" spans="51:56" ht="15.95" hidden="1" customHeight="1">
      <c r="AY166" s="31"/>
      <c r="AZ166" s="37"/>
      <c r="BC166" s="37"/>
      <c r="BD166" s="37"/>
    </row>
    <row r="167" spans="51:56" ht="15.95" hidden="1" customHeight="1">
      <c r="AY167" s="31"/>
      <c r="AZ167" s="37"/>
      <c r="BC167" s="37"/>
      <c r="BD167" s="37"/>
    </row>
    <row r="168" spans="51:56" ht="15.95" hidden="1" customHeight="1">
      <c r="AY168" s="31"/>
      <c r="AZ168" s="37"/>
      <c r="BC168" s="37"/>
      <c r="BD168" s="37"/>
    </row>
    <row r="169" spans="51:56" ht="15.95" hidden="1" customHeight="1">
      <c r="AY169" s="31"/>
      <c r="AZ169" s="37"/>
      <c r="BC169" s="37"/>
      <c r="BD169" s="37"/>
    </row>
    <row r="170" spans="51:56" ht="15.95" hidden="1" customHeight="1">
      <c r="AY170" s="31"/>
      <c r="AZ170" s="37"/>
      <c r="BC170" s="37"/>
      <c r="BD170" s="37"/>
    </row>
    <row r="171" spans="51:56" ht="15.95" hidden="1" customHeight="1">
      <c r="AY171" s="31"/>
      <c r="AZ171" s="37"/>
      <c r="BC171" s="37"/>
      <c r="BD171" s="37"/>
    </row>
    <row r="172" spans="51:56" ht="15.95" hidden="1" customHeight="1">
      <c r="AY172" s="31"/>
      <c r="AZ172" s="37"/>
      <c r="BC172" s="37"/>
      <c r="BD172" s="37"/>
    </row>
    <row r="173" spans="51:56" ht="15.95" hidden="1" customHeight="1">
      <c r="AY173" s="31"/>
      <c r="AZ173" s="37"/>
      <c r="BC173" s="37"/>
      <c r="BD173" s="37"/>
    </row>
    <row r="174" spans="51:56" ht="15.95" hidden="1" customHeight="1">
      <c r="AY174" s="31"/>
      <c r="AZ174" s="37"/>
      <c r="BC174" s="37"/>
      <c r="BD174" s="37"/>
    </row>
    <row r="175" spans="51:56" ht="15.95" hidden="1" customHeight="1">
      <c r="AY175" s="31"/>
      <c r="AZ175" s="37"/>
      <c r="BC175" s="37"/>
      <c r="BD175" s="37"/>
    </row>
    <row r="176" spans="51:56" ht="15.95" hidden="1" customHeight="1">
      <c r="AY176" s="31"/>
      <c r="AZ176" s="37"/>
      <c r="BC176" s="37"/>
      <c r="BD176" s="37"/>
    </row>
    <row r="177" spans="51:56" ht="15.95" hidden="1" customHeight="1">
      <c r="AY177" s="31"/>
      <c r="AZ177" s="37"/>
      <c r="BC177" s="37"/>
      <c r="BD177" s="37"/>
    </row>
    <row r="178" spans="51:56" ht="15.95" hidden="1" customHeight="1">
      <c r="AY178" s="31"/>
      <c r="AZ178" s="37"/>
      <c r="BC178" s="37"/>
      <c r="BD178" s="37"/>
    </row>
    <row r="179" spans="51:56" ht="15.95" hidden="1" customHeight="1">
      <c r="AY179" s="31"/>
      <c r="AZ179" s="37"/>
      <c r="BC179" s="37"/>
      <c r="BD179" s="37"/>
    </row>
    <row r="180" spans="51:56" ht="15.95" hidden="1" customHeight="1">
      <c r="AY180" s="31"/>
      <c r="AZ180" s="37"/>
      <c r="BC180" s="37"/>
      <c r="BD180" s="37"/>
    </row>
    <row r="181" spans="51:56" ht="15.95" hidden="1" customHeight="1">
      <c r="AY181" s="31"/>
      <c r="AZ181" s="37"/>
      <c r="BC181" s="37"/>
      <c r="BD181" s="37"/>
    </row>
    <row r="182" spans="51:56" ht="15.95" hidden="1" customHeight="1">
      <c r="AY182" s="31"/>
      <c r="AZ182" s="37"/>
      <c r="BC182" s="37"/>
      <c r="BD182" s="37"/>
    </row>
    <row r="183" spans="51:56" ht="15.95" hidden="1" customHeight="1">
      <c r="AY183" s="31"/>
      <c r="AZ183" s="37"/>
      <c r="BC183" s="37"/>
      <c r="BD183" s="37"/>
    </row>
    <row r="184" spans="51:56" ht="15.95" hidden="1" customHeight="1">
      <c r="AY184" s="31"/>
      <c r="AZ184" s="37"/>
      <c r="BC184" s="37"/>
      <c r="BD184" s="37"/>
    </row>
    <row r="185" spans="51:56" ht="15.95" hidden="1" customHeight="1">
      <c r="AY185" s="31"/>
      <c r="AZ185" s="37"/>
      <c r="BC185" s="37"/>
      <c r="BD185" s="37"/>
    </row>
    <row r="186" spans="51:56" ht="15.95" hidden="1" customHeight="1">
      <c r="AY186" s="31"/>
      <c r="AZ186" s="37"/>
      <c r="BC186" s="37"/>
      <c r="BD186" s="37"/>
    </row>
    <row r="187" spans="51:56" ht="15.95" hidden="1" customHeight="1">
      <c r="AY187" s="31"/>
      <c r="AZ187" s="37"/>
      <c r="BC187" s="37"/>
      <c r="BD187" s="37"/>
    </row>
    <row r="188" spans="51:56" ht="15.95" hidden="1" customHeight="1">
      <c r="AY188" s="31"/>
      <c r="AZ188" s="37"/>
      <c r="BC188" s="37"/>
      <c r="BD188" s="37"/>
    </row>
    <row r="189" spans="51:56" ht="15.95" hidden="1" customHeight="1">
      <c r="AY189" s="31"/>
      <c r="AZ189" s="37"/>
      <c r="BC189" s="37"/>
      <c r="BD189" s="37"/>
    </row>
    <row r="190" spans="51:56" ht="15.95" hidden="1" customHeight="1">
      <c r="AY190" s="31"/>
      <c r="AZ190" s="37"/>
      <c r="BC190" s="37"/>
      <c r="BD190" s="37"/>
    </row>
    <row r="191" spans="51:56" ht="15.95" hidden="1" customHeight="1">
      <c r="AY191" s="31"/>
      <c r="AZ191" s="37"/>
      <c r="BC191" s="37"/>
      <c r="BD191" s="37"/>
    </row>
    <row r="192" spans="51:56" ht="15.95" hidden="1" customHeight="1">
      <c r="AY192" s="31"/>
      <c r="AZ192" s="37"/>
      <c r="BC192" s="37"/>
      <c r="BD192" s="37"/>
    </row>
    <row r="193" spans="1:60" ht="15.95" hidden="1" customHeight="1">
      <c r="AY193" s="31"/>
      <c r="AZ193" s="37"/>
      <c r="BC193" s="37"/>
      <c r="BD193" s="37"/>
    </row>
    <row r="194" spans="1:60" ht="15.95" hidden="1" customHeight="1">
      <c r="AY194" s="31"/>
      <c r="AZ194" s="37"/>
      <c r="BC194" s="37"/>
      <c r="BD194" s="37"/>
    </row>
    <row r="195" spans="1:60" ht="15.95" hidden="1" customHeight="1">
      <c r="AY195" s="31"/>
      <c r="AZ195" s="37"/>
      <c r="BC195" s="37"/>
      <c r="BD195" s="37"/>
    </row>
    <row r="196" spans="1:60" ht="15.95" hidden="1" customHeight="1">
      <c r="AY196" s="31"/>
      <c r="AZ196" s="37"/>
      <c r="BC196" s="37"/>
      <c r="BD196" s="37"/>
    </row>
    <row r="197" spans="1:60" ht="15.95" hidden="1" customHeight="1">
      <c r="AY197" s="31"/>
      <c r="AZ197" s="37"/>
      <c r="BC197" s="37"/>
      <c r="BD197" s="37"/>
    </row>
    <row r="198" spans="1:60" ht="15.95" hidden="1" customHeight="1">
      <c r="AY198" s="31"/>
      <c r="AZ198" s="37"/>
      <c r="BC198" s="37"/>
      <c r="BD198" s="37"/>
    </row>
    <row r="199" spans="1:60" ht="15.95" hidden="1" customHeight="1">
      <c r="AY199" s="31"/>
      <c r="AZ199" s="37"/>
      <c r="BC199" s="37"/>
      <c r="BD199" s="37"/>
    </row>
    <row r="200" spans="1:60"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c r="BA200" s="1127">
        <f>IF(OR(COUNTIF(BA18:BB37,"Missing!")&gt;0,COUNTIF(BA18:BB37,0)&gt;0,COUNTIFS(BA18:BA37,"",BB18:BB37,"",AO18:AO37,"&gt;0")&gt;0),"Missing Units on Custom HVAC. ",SUM(BA18:BB37))</f>
        <v>0</v>
      </c>
      <c r="BC200" s="970">
        <f>SUM(BC18:BC37)</f>
        <v>0</v>
      </c>
      <c r="BD200" s="970">
        <f>SUM(BD18:BD37)</f>
        <v>0</v>
      </c>
      <c r="BG200" s="971">
        <f>SUM(BG18:BG37)</f>
        <v>0</v>
      </c>
      <c r="BH200" s="971">
        <f>SUM(BH18:BH37)</f>
        <v>0</v>
      </c>
    </row>
    <row r="201" spans="1:60"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c r="BA201" s="1128"/>
      <c r="BC201" s="970"/>
      <c r="BD201" s="970"/>
      <c r="BG201" s="972"/>
      <c r="BH201" s="972"/>
    </row>
    <row r="202" spans="1:60"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5.95" hidden="1" customHeight="1"/>
    <row r="204" spans="1:60" ht="15.95" hidden="1" customHeight="1"/>
  </sheetData>
  <sheetProtection algorithmName="SHA-512" hashValue="Vrzc3h1EP7yECCP8hHn1D24XV34lsSN/SePJ01cAYOPK3Yrio/djuTjxeKnf+hnsa6np6+twVl+OpZsUi19kAg==" saltValue="r3lYcgHMZqrZoaoen2hXqA==" spinCount="100000" sheet="1" objects="1" scenarios="1" selectLockedCells="1"/>
  <mergeCells count="390">
    <mergeCell ref="BK30:BK31"/>
    <mergeCell ref="BK32:BK33"/>
    <mergeCell ref="BO34:BO35"/>
    <mergeCell ref="BO36:BO37"/>
    <mergeCell ref="BO16:BO17"/>
    <mergeCell ref="BO18:BO19"/>
    <mergeCell ref="BO20:BO21"/>
    <mergeCell ref="BO22:BO23"/>
    <mergeCell ref="BO24:BO25"/>
    <mergeCell ref="BO26:BO27"/>
    <mergeCell ref="BO28:BO29"/>
    <mergeCell ref="BO30:BO31"/>
    <mergeCell ref="BO32:BO33"/>
    <mergeCell ref="BM30:BM31"/>
    <mergeCell ref="BM34:BM35"/>
    <mergeCell ref="BM36:BM37"/>
    <mergeCell ref="BL34:BL35"/>
    <mergeCell ref="BL36:BL37"/>
    <mergeCell ref="BN34:BN35"/>
    <mergeCell ref="BL32:BL33"/>
    <mergeCell ref="BM32:BM33"/>
    <mergeCell ref="BM28:BM29"/>
    <mergeCell ref="BN36:BN37"/>
    <mergeCell ref="BN32:BN33"/>
    <mergeCell ref="BP34:BP35"/>
    <mergeCell ref="BP36:BP37"/>
    <mergeCell ref="BP16:BP17"/>
    <mergeCell ref="BP18:BP19"/>
    <mergeCell ref="BP20:BP21"/>
    <mergeCell ref="BP22:BP23"/>
    <mergeCell ref="BP24:BP25"/>
    <mergeCell ref="BP26:BP27"/>
    <mergeCell ref="BP28:BP29"/>
    <mergeCell ref="BP30:BP31"/>
    <mergeCell ref="BP32:BP33"/>
    <mergeCell ref="BK34:BK35"/>
    <mergeCell ref="BN28:BN29"/>
    <mergeCell ref="BN30:BN31"/>
    <mergeCell ref="BN26:BN27"/>
    <mergeCell ref="BG26:BG27"/>
    <mergeCell ref="BH26:BH27"/>
    <mergeCell ref="BI26:BI27"/>
    <mergeCell ref="AS5:AW6"/>
    <mergeCell ref="AS7:AW7"/>
    <mergeCell ref="AS8:AW8"/>
    <mergeCell ref="BC20:BC21"/>
    <mergeCell ref="BD20:BD21"/>
    <mergeCell ref="BC22:BC23"/>
    <mergeCell ref="BD22:BD23"/>
    <mergeCell ref="BC24:BC25"/>
    <mergeCell ref="BD24:BD25"/>
    <mergeCell ref="BL30:BL31"/>
    <mergeCell ref="BJ30:BJ31"/>
    <mergeCell ref="AR30:AU31"/>
    <mergeCell ref="AX30:AX31"/>
    <mergeCell ref="AY30:AY31"/>
    <mergeCell ref="BK16:BK17"/>
    <mergeCell ref="BK18:BK19"/>
    <mergeCell ref="BJ34:BJ35"/>
    <mergeCell ref="BH36:BH37"/>
    <mergeCell ref="BI36:BI37"/>
    <mergeCell ref="BJ36:BJ37"/>
    <mergeCell ref="BE36:BE37"/>
    <mergeCell ref="BF36:BF37"/>
    <mergeCell ref="BG36:BG37"/>
    <mergeCell ref="BC36:BC37"/>
    <mergeCell ref="BD36:BD37"/>
    <mergeCell ref="BK36:BK37"/>
    <mergeCell ref="AX36:AX37"/>
    <mergeCell ref="AF36:AG37"/>
    <mergeCell ref="AH36:AI37"/>
    <mergeCell ref="AY36:AY37"/>
    <mergeCell ref="AZ36:AZ37"/>
    <mergeCell ref="BC34:BC35"/>
    <mergeCell ref="BD34:BD35"/>
    <mergeCell ref="BB34:BB35"/>
    <mergeCell ref="BA36:BA37"/>
    <mergeCell ref="BB36:BB37"/>
    <mergeCell ref="AR34:AU35"/>
    <mergeCell ref="AX34:AX35"/>
    <mergeCell ref="BJ32:BJ33"/>
    <mergeCell ref="H32:M33"/>
    <mergeCell ref="AF32:AG33"/>
    <mergeCell ref="T32:V33"/>
    <mergeCell ref="T34:V35"/>
    <mergeCell ref="AC32:AE33"/>
    <mergeCell ref="AC34:AE35"/>
    <mergeCell ref="BF32:BF33"/>
    <mergeCell ref="AJ34:AK35"/>
    <mergeCell ref="AL34:AN35"/>
    <mergeCell ref="AO34:AQ35"/>
    <mergeCell ref="AJ32:AK33"/>
    <mergeCell ref="AL32:AN33"/>
    <mergeCell ref="AO32:AQ33"/>
    <mergeCell ref="BC32:BC33"/>
    <mergeCell ref="BD32:BD33"/>
    <mergeCell ref="H34:M35"/>
    <mergeCell ref="AY32:AY33"/>
    <mergeCell ref="AZ32:AZ33"/>
    <mergeCell ref="BE32:BE33"/>
    <mergeCell ref="BH32:BH33"/>
    <mergeCell ref="BG32:BG33"/>
    <mergeCell ref="AH30:AI31"/>
    <mergeCell ref="AJ30:AK31"/>
    <mergeCell ref="AL30:AN31"/>
    <mergeCell ref="AO30:AQ31"/>
    <mergeCell ref="BA34:BA35"/>
    <mergeCell ref="AH32:AI33"/>
    <mergeCell ref="AR32:AU33"/>
    <mergeCell ref="AX32:AX33"/>
    <mergeCell ref="BF34:BF35"/>
    <mergeCell ref="AH34:AI35"/>
    <mergeCell ref="BF30:BF31"/>
    <mergeCell ref="AZ30:AZ31"/>
    <mergeCell ref="BE30:BE31"/>
    <mergeCell ref="BD30:BD31"/>
    <mergeCell ref="BC30:BC31"/>
    <mergeCell ref="AY34:AY35"/>
    <mergeCell ref="AZ34:AZ35"/>
    <mergeCell ref="BE34:BE35"/>
    <mergeCell ref="BA32:BA33"/>
    <mergeCell ref="BG30:BG31"/>
    <mergeCell ref="BH30:BH31"/>
    <mergeCell ref="BI30:BI31"/>
    <mergeCell ref="BF28:BF29"/>
    <mergeCell ref="BG28:BG29"/>
    <mergeCell ref="BH28:BH29"/>
    <mergeCell ref="BI28:BI29"/>
    <mergeCell ref="BG34:BG35"/>
    <mergeCell ref="BH34:BH35"/>
    <mergeCell ref="BI34:BI35"/>
    <mergeCell ref="BI32:BI33"/>
    <mergeCell ref="BF26:BF27"/>
    <mergeCell ref="BC26:BC27"/>
    <mergeCell ref="BD26:BD27"/>
    <mergeCell ref="BE24:BE25"/>
    <mergeCell ref="BF24:BF25"/>
    <mergeCell ref="AO28:AQ29"/>
    <mergeCell ref="AR28:AU29"/>
    <mergeCell ref="AX28:AX29"/>
    <mergeCell ref="BL28:BL29"/>
    <mergeCell ref="AZ28:AZ29"/>
    <mergeCell ref="BE28:BE29"/>
    <mergeCell ref="BK28:BK29"/>
    <mergeCell ref="BC28:BC29"/>
    <mergeCell ref="BD28:BD29"/>
    <mergeCell ref="AY28:AY29"/>
    <mergeCell ref="BJ28:BJ29"/>
    <mergeCell ref="BN24:BN25"/>
    <mergeCell ref="H26:M27"/>
    <mergeCell ref="AF26:AG27"/>
    <mergeCell ref="AH26:AI27"/>
    <mergeCell ref="AJ26:AK27"/>
    <mergeCell ref="AL26:AN27"/>
    <mergeCell ref="AO26:AQ27"/>
    <mergeCell ref="BH24:BH25"/>
    <mergeCell ref="BI24:BI25"/>
    <mergeCell ref="BJ24:BJ25"/>
    <mergeCell ref="BJ26:BJ27"/>
    <mergeCell ref="AR26:AU27"/>
    <mergeCell ref="AX26:AX27"/>
    <mergeCell ref="AY26:AY27"/>
    <mergeCell ref="AZ26:AZ27"/>
    <mergeCell ref="BE26:BE27"/>
    <mergeCell ref="BL26:BL27"/>
    <mergeCell ref="AR24:AU25"/>
    <mergeCell ref="BM26:BM27"/>
    <mergeCell ref="AX24:AX25"/>
    <mergeCell ref="BA24:BA25"/>
    <mergeCell ref="BK26:BK27"/>
    <mergeCell ref="BL24:BL25"/>
    <mergeCell ref="BA26:BA27"/>
    <mergeCell ref="BM24:BM25"/>
    <mergeCell ref="BK22:BK23"/>
    <mergeCell ref="BF22:BF23"/>
    <mergeCell ref="BG22:BG23"/>
    <mergeCell ref="BH22:BH23"/>
    <mergeCell ref="BI22:BI23"/>
    <mergeCell ref="BG24:BG25"/>
    <mergeCell ref="AR22:AU23"/>
    <mergeCell ref="AX22:AX23"/>
    <mergeCell ref="AY22:AY23"/>
    <mergeCell ref="BE22:BE23"/>
    <mergeCell ref="AY24:AY25"/>
    <mergeCell ref="AZ24:AZ25"/>
    <mergeCell ref="BK24:BK25"/>
    <mergeCell ref="BB24:BB25"/>
    <mergeCell ref="AZ22:AZ23"/>
    <mergeCell ref="BM20:BM21"/>
    <mergeCell ref="BN22:BN23"/>
    <mergeCell ref="BF20:BF21"/>
    <mergeCell ref="BG20:BG21"/>
    <mergeCell ref="BA22:BA23"/>
    <mergeCell ref="BB22:BB23"/>
    <mergeCell ref="BL22:BL23"/>
    <mergeCell ref="BM22:BM23"/>
    <mergeCell ref="BN20:BN21"/>
    <mergeCell ref="BJ22:BJ23"/>
    <mergeCell ref="BL20:BL21"/>
    <mergeCell ref="BH20:BH21"/>
    <mergeCell ref="BI20:BI21"/>
    <mergeCell ref="BJ20:BJ21"/>
    <mergeCell ref="BE20:BE21"/>
    <mergeCell ref="BK20:BK21"/>
    <mergeCell ref="BM16:BM17"/>
    <mergeCell ref="BN16:BN17"/>
    <mergeCell ref="AH17:AI17"/>
    <mergeCell ref="AJ17:AK17"/>
    <mergeCell ref="H18:M19"/>
    <mergeCell ref="AF18:AG19"/>
    <mergeCell ref="AH18:AI19"/>
    <mergeCell ref="AJ18:AK19"/>
    <mergeCell ref="AL18:AN19"/>
    <mergeCell ref="BL16:BL17"/>
    <mergeCell ref="BJ16:BJ17"/>
    <mergeCell ref="BC16:BC17"/>
    <mergeCell ref="BD16:BD17"/>
    <mergeCell ref="AY18:AY19"/>
    <mergeCell ref="AZ18:AZ19"/>
    <mergeCell ref="BE18:BE19"/>
    <mergeCell ref="BF18:BF19"/>
    <mergeCell ref="BN18:BN19"/>
    <mergeCell ref="BL18:BL19"/>
    <mergeCell ref="BM18:BM19"/>
    <mergeCell ref="BE16:BE17"/>
    <mergeCell ref="BF16:BF17"/>
    <mergeCell ref="BG16:BG17"/>
    <mergeCell ref="BJ18:BJ19"/>
    <mergeCell ref="BI16:BI17"/>
    <mergeCell ref="BG18:BG19"/>
    <mergeCell ref="BH18:BH19"/>
    <mergeCell ref="BI18:BI19"/>
    <mergeCell ref="BA20:BA21"/>
    <mergeCell ref="BB20:BB21"/>
    <mergeCell ref="BH16:BH17"/>
    <mergeCell ref="BC18:BC19"/>
    <mergeCell ref="BD18:BD19"/>
    <mergeCell ref="BA16:BA17"/>
    <mergeCell ref="BA18:BA19"/>
    <mergeCell ref="BB16:BB17"/>
    <mergeCell ref="BB18:BB19"/>
    <mergeCell ref="H16:M17"/>
    <mergeCell ref="AF16:AG17"/>
    <mergeCell ref="AH16:AK16"/>
    <mergeCell ref="AO22:AQ23"/>
    <mergeCell ref="H28:M29"/>
    <mergeCell ref="AF28:AG29"/>
    <mergeCell ref="B18:B19"/>
    <mergeCell ref="AO16:AQ17"/>
    <mergeCell ref="AR16:AU17"/>
    <mergeCell ref="W24:AB25"/>
    <mergeCell ref="W26:AB27"/>
    <mergeCell ref="W28:AB29"/>
    <mergeCell ref="N16:S17"/>
    <mergeCell ref="N18:S19"/>
    <mergeCell ref="AL16:AN17"/>
    <mergeCell ref="AY20:AY21"/>
    <mergeCell ref="AZ20:AZ21"/>
    <mergeCell ref="B46:B47"/>
    <mergeCell ref="B44:B45"/>
    <mergeCell ref="B42:B43"/>
    <mergeCell ref="B40:B41"/>
    <mergeCell ref="B38:B39"/>
    <mergeCell ref="B36:B37"/>
    <mergeCell ref="B34:B35"/>
    <mergeCell ref="B32:B33"/>
    <mergeCell ref="B30:B31"/>
    <mergeCell ref="C30:G31"/>
    <mergeCell ref="C32:G33"/>
    <mergeCell ref="C34:G35"/>
    <mergeCell ref="C36:G37"/>
    <mergeCell ref="N20:S21"/>
    <mergeCell ref="N22:S23"/>
    <mergeCell ref="N24:S25"/>
    <mergeCell ref="N26:S27"/>
    <mergeCell ref="N28:S29"/>
    <mergeCell ref="N30:S31"/>
    <mergeCell ref="N32:S33"/>
    <mergeCell ref="N34:S35"/>
    <mergeCell ref="N36:S37"/>
    <mergeCell ref="F1:I3"/>
    <mergeCell ref="J1:M3"/>
    <mergeCell ref="AL1:AO3"/>
    <mergeCell ref="BB30:BB31"/>
    <mergeCell ref="BB32:BB33"/>
    <mergeCell ref="AH24:AI25"/>
    <mergeCell ref="H22:M23"/>
    <mergeCell ref="AF22:AG23"/>
    <mergeCell ref="AH22:AI23"/>
    <mergeCell ref="AJ22:AK23"/>
    <mergeCell ref="AL22:AN23"/>
    <mergeCell ref="H20:M21"/>
    <mergeCell ref="AF20:AG21"/>
    <mergeCell ref="AH20:AI21"/>
    <mergeCell ref="AJ20:AK21"/>
    <mergeCell ref="AL20:AN21"/>
    <mergeCell ref="AJ28:AK29"/>
    <mergeCell ref="AL28:AN29"/>
    <mergeCell ref="J9:M11"/>
    <mergeCell ref="N9:Q11"/>
    <mergeCell ref="R9:U11"/>
    <mergeCell ref="V9:Y11"/>
    <mergeCell ref="Z9:AC11"/>
    <mergeCell ref="AD9:AG11"/>
    <mergeCell ref="BC200:BC201"/>
    <mergeCell ref="BD200:BD201"/>
    <mergeCell ref="BG200:BG201"/>
    <mergeCell ref="O200:AI201"/>
    <mergeCell ref="AY16:AY17"/>
    <mergeCell ref="AZ16:AZ17"/>
    <mergeCell ref="X14:AA14"/>
    <mergeCell ref="AB14:AE14"/>
    <mergeCell ref="AH9:AK11"/>
    <mergeCell ref="AL9:AO11"/>
    <mergeCell ref="T12:W13"/>
    <mergeCell ref="X12:AA13"/>
    <mergeCell ref="AB12:AE13"/>
    <mergeCell ref="E13:R13"/>
    <mergeCell ref="T14:W14"/>
    <mergeCell ref="AX16:AX17"/>
    <mergeCell ref="AO18:AQ19"/>
    <mergeCell ref="AR18:AU19"/>
    <mergeCell ref="AX18:AX19"/>
    <mergeCell ref="AO20:AQ21"/>
    <mergeCell ref="AR20:AU21"/>
    <mergeCell ref="AX20:AX21"/>
    <mergeCell ref="BA28:BA29"/>
    <mergeCell ref="BA30:BA31"/>
    <mergeCell ref="BH200:BH201"/>
    <mergeCell ref="BA200:BA201"/>
    <mergeCell ref="AL24:AN25"/>
    <mergeCell ref="AO24:AQ25"/>
    <mergeCell ref="BB26:BB27"/>
    <mergeCell ref="BB28:BB29"/>
    <mergeCell ref="T36:V37"/>
    <mergeCell ref="AC18:AE19"/>
    <mergeCell ref="AC20:AE21"/>
    <mergeCell ref="AC22:AE23"/>
    <mergeCell ref="AC24:AE25"/>
    <mergeCell ref="AC26:AE27"/>
    <mergeCell ref="AJ24:AK25"/>
    <mergeCell ref="AH28:AI29"/>
    <mergeCell ref="T18:V19"/>
    <mergeCell ref="T20:V21"/>
    <mergeCell ref="T22:V23"/>
    <mergeCell ref="T24:V25"/>
    <mergeCell ref="T26:V27"/>
    <mergeCell ref="T28:V29"/>
    <mergeCell ref="AC28:AE29"/>
    <mergeCell ref="AF24:AG25"/>
    <mergeCell ref="W18:AB19"/>
    <mergeCell ref="W20:AB21"/>
    <mergeCell ref="A4:E6"/>
    <mergeCell ref="A7:E8"/>
    <mergeCell ref="C16:G17"/>
    <mergeCell ref="C18:G19"/>
    <mergeCell ref="C20:G21"/>
    <mergeCell ref="C22:G23"/>
    <mergeCell ref="C24:G25"/>
    <mergeCell ref="C26:G27"/>
    <mergeCell ref="C28:G29"/>
    <mergeCell ref="B28:B29"/>
    <mergeCell ref="B26:B27"/>
    <mergeCell ref="B24:B25"/>
    <mergeCell ref="B22:B23"/>
    <mergeCell ref="B20:B21"/>
    <mergeCell ref="H30:M31"/>
    <mergeCell ref="H36:M37"/>
    <mergeCell ref="H24:M25"/>
    <mergeCell ref="W30:AB31"/>
    <mergeCell ref="W32:AB33"/>
    <mergeCell ref="W34:AB35"/>
    <mergeCell ref="W36:AB37"/>
    <mergeCell ref="Q1:AG3"/>
    <mergeCell ref="AT1:AW3"/>
    <mergeCell ref="T16:V17"/>
    <mergeCell ref="AC16:AE17"/>
    <mergeCell ref="W16:AB17"/>
    <mergeCell ref="W22:AB23"/>
    <mergeCell ref="AP1:AS3"/>
    <mergeCell ref="AF30:AG31"/>
    <mergeCell ref="T30:V31"/>
    <mergeCell ref="AC30:AE31"/>
    <mergeCell ref="AF34:AG35"/>
    <mergeCell ref="AJ36:AK37"/>
    <mergeCell ref="AL36:AN37"/>
    <mergeCell ref="AO36:AQ37"/>
    <mergeCell ref="AR36:AU37"/>
    <mergeCell ref="AC36:AE37"/>
    <mergeCell ref="AM13:AU14"/>
  </mergeCells>
  <conditionalFormatting sqref="H18:N18 T18 W18 AC18 AF18:AK37 H19:M19 H20:N20 T20 W20 AC20 H21:M37 N22 T22 W22 AC22 N24 T24 W24 AC24 N26 T26 W26 AC26 N28 T28 W28 AC28 N30 T30 W30 AC30 N32 T32 W32 AC32 N34 T34 W34 AC34 N36 T36 W36 AC36">
    <cfRule type="expression" dxfId="87" priority="1406">
      <formula>AND(ISBLANK($C18)=FALSE,OR(ISBLANK(H18)=TRUE,H18=""))</formula>
    </cfRule>
  </conditionalFormatting>
  <conditionalFormatting sqref="AR18:AU37">
    <cfRule type="expression" dxfId="86" priority="1" stopIfTrue="1">
      <formula>ISNUMBER($AR18)=FALSE</formula>
    </cfRule>
    <cfRule type="expression" dxfId="85" priority="9">
      <formula>$AR18 &lt;&gt; $BI18</formula>
    </cfRule>
  </conditionalFormatting>
  <conditionalFormatting sqref="AS8:AW8">
    <cfRule type="expression" dxfId="84" priority="12">
      <formula>IF($AS$8=PROJSTATMEASURE,FALSE,TRUE)</formula>
    </cfRule>
  </conditionalFormatting>
  <conditionalFormatting sqref="BA18:BB37 BH18:BH37">
    <cfRule type="expression" dxfId="83" priority="2">
      <formula>IF(AND(ISNUMBER($AO18),OR(BA18="Missing!",BA18="")),TRUE,FALSE)</formula>
    </cfRule>
  </conditionalFormatting>
  <conditionalFormatting sqref="BE18:BE37">
    <cfRule type="expression" dxfId="82" priority="1416">
      <formula>AND($BE18="",$H18&lt;&gt;"")</formula>
    </cfRule>
  </conditionalFormatting>
  <conditionalFormatting sqref="BF18:BF37">
    <cfRule type="expression" dxfId="81" priority="1417">
      <formula>AND($BF18="",$H18&lt;&gt;"")</formula>
    </cfRule>
  </conditionalFormatting>
  <dataValidations xWindow="97" yWindow="552" count="7">
    <dataValidation type="list" allowBlank="1" showInputMessage="1" showErrorMessage="1" sqref="H18:M37" xr:uid="{C0E0B906-9C47-40B4-99A5-9B6F9A2C0C3D}">
      <formula1>CMEHVACDESC</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008CEA61-CE5D-4731-82BC-061EB5A1721D}">
      <formula1>IF($H18="",CUSTOMPROJECTTYPE,"")</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D2436F6E-13A3-44AB-A9DC-75E8F2E14B16}">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33EBCDFE-4C7F-4856-9E9D-6435E7FC030F}">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C33E6A7D-2070-4FBE-A067-477D6C6C2945}">
      <formula1>0</formula1>
      <formula2>999999999</formula2>
    </dataValidation>
    <dataValidation type="list" allowBlank="1" showInputMessage="1" showErrorMessage="1" sqref="BF18:BF37" xr:uid="{54F632A3-9BE4-4B7B-8248-D7F645AD754A}">
      <formula1>ENDUSECAT</formula1>
    </dataValidation>
    <dataValidation type="whole" operator="greaterThanOrEqual" allowBlank="1" showInputMessage="1" showErrorMessage="1" errorTitle="Invalid Entry" error="Value must be a whole number." sqref="AC18:AE37 T18:V37" xr:uid="{9053DAB3-3D8A-49C9-8858-01C1B5B5F746}">
      <formula1>0</formula1>
    </dataValidation>
  </dataValidations>
  <hyperlinks>
    <hyperlink ref="N9:Q11" location="'M03-S03'!C18" tooltip="Lighting Controls" display="'M03-S03'!C18" xr:uid="{EA3B20A2-5C45-4F42-A7A6-D4E8282D6BEA}"/>
    <hyperlink ref="R9:U11" location="'M03-S04'!C18" tooltip="Refrigeration" display="'M03-S04'!C18" xr:uid="{AEE46043-5207-4A53-AFA3-EFDBAE6FA3E1}"/>
    <hyperlink ref="V9:Y11" location="'M03-S05'!C18" tooltip="HVAC" display="'M03-S05'!C18" xr:uid="{2944E948-58F9-4D15-B434-9BA88832A0DD}"/>
    <hyperlink ref="AD9:AG11" location="'M03-S06'!C18" tooltip="Compressed Air / Process" display="'M03-S06'!C18" xr:uid="{DE425450-8085-4AD5-8158-CE44DE9C108F}"/>
    <hyperlink ref="AH9:AK11" location="'M03-S07'!C18" tooltip="Water Heating / Cooking" display="'M03-S07'!C18" xr:uid="{147422F6-92FD-4E86-92E4-C18170485FE0}"/>
    <hyperlink ref="Z9:AC11" location="'M03-S08'!C18" tooltip="Motors and Drives" display="'M03-S08'!C18" xr:uid="{590AA77C-B4F3-4553-897F-BDD64C50142C}"/>
    <hyperlink ref="AL9:AO11" location="'M04-S09'!C18" tooltip="Miscellaneous" display="'M04-S09'!C18" xr:uid="{CBAF0899-C8A5-4AD8-B09A-5293ED0539E0}"/>
    <hyperlink ref="B202" r:id="rId1" xr:uid="{E161FF75-DF57-4AAB-A341-33CF655E6513}"/>
    <hyperlink ref="J1:M3" location="'M01-S02'!J1" tooltip="Instructions" display="'M01-S02'!J1" xr:uid="{A9AFDB36-D048-4F16-8DDD-ABD6390703C2}"/>
    <hyperlink ref="AP1:AS3" location="'M05-S05'!AL1" tooltip=" " display="'M05-S05'!AL1" xr:uid="{AE8ED925-A4C1-4192-8C20-3CDCC7B02BFE}"/>
    <hyperlink ref="AL1:AO3" location="'M05-S04'!AH1" tooltip=" " display="'M05-S04'!AH1" xr:uid="{E6F085D5-0DFC-430B-AFB2-1A2B07A26410}"/>
    <hyperlink ref="AT1:AW3" location="'M01-S03'!AP1" tooltip="Contact" display="'M01-S03'!AP1" xr:uid="{922E236F-47F3-4B98-9C51-792AA85DB326}"/>
  </hyperlinks>
  <printOptions horizontalCentered="1"/>
  <pageMargins left="0" right="0" top="0" bottom="0" header="0" footer="0"/>
  <pageSetup scale="4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7C0C7-3DC2-4D88-958A-B4D7CD5E9E4E}">
  <sheetPr codeName="Sheet35">
    <tabColor theme="8" tint="0.59999389629810485"/>
    <pageSetUpPr fitToPage="1"/>
  </sheetPr>
  <dimension ref="A1:BR204"/>
  <sheetViews>
    <sheetView showGridLines="0" showRowColHeaders="0" zoomScale="85" zoomScaleNormal="85" workbookViewId="0">
      <selection activeCell="C18" sqref="C18:G19"/>
    </sheetView>
  </sheetViews>
  <sheetFormatPr defaultColWidth="0" defaultRowHeight="0" customHeight="1" zeroHeight="1"/>
  <cols>
    <col min="1" max="49" width="4.7109375" customWidth="1"/>
    <col min="50" max="51" width="9.42578125" hidden="1"/>
    <col min="52" max="52" width="15.7109375" hidden="1"/>
    <col min="53" max="59" width="9.42578125" hidden="1"/>
    <col min="60" max="60" width="14.7109375" hidden="1"/>
    <col min="61" max="68" width="9.42578125" hidden="1"/>
    <col min="69" max="69" width="12.85546875" hidden="1"/>
    <col min="70" max="70" width="9.7109375" hidden="1"/>
    <col min="71" max="16384" width="4.7109375" hidden="1"/>
  </cols>
  <sheetData>
    <row r="1" spans="1:68"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8"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8"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68" ht="15.95" customHeight="1">
      <c r="A4" s="666">
        <f>INCENTOTAL</f>
        <v>0</v>
      </c>
      <c r="B4" s="666"/>
      <c r="C4" s="666"/>
      <c r="D4" s="666"/>
      <c r="E4" s="666"/>
      <c r="F4" s="203"/>
      <c r="G4" s="203"/>
      <c r="H4" s="203"/>
      <c r="I4" s="203"/>
    </row>
    <row r="5" spans="1:68" ht="15.95" customHeight="1">
      <c r="A5" s="667"/>
      <c r="B5" s="667"/>
      <c r="C5" s="667"/>
      <c r="D5" s="667"/>
      <c r="E5" s="667"/>
      <c r="F5" s="432"/>
      <c r="G5" s="432"/>
      <c r="H5" s="432"/>
      <c r="I5" s="432"/>
      <c r="AS5" s="1059">
        <f ca="1">PROGRESSSTATUS</f>
        <v>0</v>
      </c>
      <c r="AT5" s="1059"/>
      <c r="AU5" s="1059"/>
      <c r="AV5" s="1059"/>
      <c r="AW5" s="1059"/>
      <c r="AX5" s="22"/>
      <c r="AY5" s="119" t="s">
        <v>1315</v>
      </c>
      <c r="AZ5" s="119" t="s">
        <v>325</v>
      </c>
      <c r="BA5" s="52"/>
      <c r="BB5" s="52"/>
    </row>
    <row r="6" spans="1:68" ht="15.95" customHeight="1">
      <c r="A6" s="667"/>
      <c r="B6" s="667"/>
      <c r="C6" s="667"/>
      <c r="D6" s="667"/>
      <c r="E6" s="667"/>
      <c r="F6" s="432"/>
      <c r="G6" s="432"/>
      <c r="H6" s="432"/>
      <c r="I6" s="432"/>
      <c r="AS6" s="1059"/>
      <c r="AT6" s="1059"/>
      <c r="AU6" s="1059"/>
      <c r="AV6" s="1059"/>
      <c r="AW6" s="1059"/>
      <c r="AX6" s="118" t="s">
        <v>1320</v>
      </c>
      <c r="AY6" s="117" t="str">
        <f>CBPRESE</f>
        <v>NA</v>
      </c>
      <c r="AZ6" s="181" t="str">
        <f>PAYPRESE</f>
        <v>NA</v>
      </c>
      <c r="BA6" s="52"/>
      <c r="BB6" s="52"/>
    </row>
    <row r="7" spans="1:68" ht="15.95" customHeight="1">
      <c r="A7" s="629" t="s">
        <v>83</v>
      </c>
      <c r="B7" s="629"/>
      <c r="C7" s="629"/>
      <c r="D7" s="629"/>
      <c r="E7" s="629"/>
      <c r="F7" s="85"/>
      <c r="G7" s="85"/>
      <c r="H7" s="85"/>
      <c r="I7" s="85"/>
      <c r="AS7" s="629" t="s">
        <v>299</v>
      </c>
      <c r="AT7" s="629"/>
      <c r="AU7" s="629"/>
      <c r="AV7" s="629"/>
      <c r="AW7" s="629"/>
      <c r="AX7" s="118" t="s">
        <v>135</v>
      </c>
      <c r="AY7" s="117" t="str">
        <f>CBCUSE</f>
        <v>NA</v>
      </c>
      <c r="AZ7" s="181" t="str">
        <f>PAYCUSE</f>
        <v>NA</v>
      </c>
      <c r="BA7" s="52"/>
      <c r="BB7" s="52"/>
    </row>
    <row r="8" spans="1:68" ht="15.95" customHeight="1" thickBot="1">
      <c r="A8" s="632"/>
      <c r="B8" s="632"/>
      <c r="C8" s="632"/>
      <c r="D8" s="632"/>
      <c r="E8" s="632"/>
      <c r="F8" s="429"/>
      <c r="G8" s="429"/>
      <c r="H8" s="429"/>
      <c r="I8" s="429"/>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28" t="str">
        <f ca="1">PROJSTATUS</f>
        <v>Enter Measures</v>
      </c>
      <c r="AT8" s="628"/>
      <c r="AU8" s="628"/>
      <c r="AV8" s="628"/>
      <c r="AW8" s="628"/>
      <c r="AX8" s="118" t="s">
        <v>596</v>
      </c>
      <c r="AY8" s="117" t="str">
        <f>CBALL</f>
        <v>NA</v>
      </c>
      <c r="AZ8" s="181" t="str">
        <f>PAYALL</f>
        <v>NA</v>
      </c>
      <c r="BA8" s="52"/>
      <c r="BB8" s="52"/>
    </row>
    <row r="9" spans="1:68" s="88" customFormat="1" ht="15.95" customHeight="1">
      <c r="B9" s="89"/>
      <c r="C9" s="89"/>
      <c r="D9" s="89"/>
      <c r="E9" s="89"/>
      <c r="F9" s="89"/>
      <c r="G9" s="89"/>
      <c r="J9" s="877"/>
      <c r="K9" s="878"/>
      <c r="L9" s="878"/>
      <c r="M9" s="878"/>
      <c r="N9" s="876" t="str">
        <f>M3S3</f>
        <v>Lighting Controls</v>
      </c>
      <c r="O9" s="817"/>
      <c r="P9" s="817"/>
      <c r="Q9" s="817"/>
      <c r="R9" s="876" t="str">
        <f>M3S4</f>
        <v>Refrigeration</v>
      </c>
      <c r="S9" s="817"/>
      <c r="T9" s="817"/>
      <c r="U9" s="817"/>
      <c r="V9" s="876" t="str">
        <f>M3S5</f>
        <v>HVAC</v>
      </c>
      <c r="W9" s="817"/>
      <c r="X9" s="817"/>
      <c r="Y9" s="817"/>
      <c r="Z9" s="819" t="str">
        <f>M4S8</f>
        <v>Motors and Drives</v>
      </c>
      <c r="AA9" s="819"/>
      <c r="AB9" s="819"/>
      <c r="AC9" s="819"/>
      <c r="AD9" s="876" t="str">
        <f>M3S6</f>
        <v>Compressed Air / Process</v>
      </c>
      <c r="AE9" s="817"/>
      <c r="AF9" s="817"/>
      <c r="AG9" s="817"/>
      <c r="AH9" s="876" t="str">
        <f>M3S7</f>
        <v>Water Heating / Food Services</v>
      </c>
      <c r="AI9" s="817"/>
      <c r="AJ9" s="817"/>
      <c r="AK9" s="817"/>
      <c r="AL9" s="876" t="str">
        <f>M4S9</f>
        <v>Miscellaneous</v>
      </c>
      <c r="AM9" s="817"/>
      <c r="AN9" s="817"/>
      <c r="AO9" s="817"/>
      <c r="AP9" s="89"/>
      <c r="AQ9" s="89"/>
      <c r="AR9" s="89"/>
      <c r="AS9"/>
      <c r="AT9"/>
      <c r="AU9" s="89"/>
      <c r="AV9" s="89"/>
    </row>
    <row r="10" spans="1:68" s="88" customFormat="1" ht="15.95" customHeight="1">
      <c r="B10" s="89"/>
      <c r="C10" s="89"/>
      <c r="D10" s="89"/>
      <c r="E10" s="89"/>
      <c r="F10" s="89"/>
      <c r="G10" s="89"/>
      <c r="J10" s="878"/>
      <c r="K10" s="878"/>
      <c r="L10" s="878"/>
      <c r="M10" s="878"/>
      <c r="N10" s="817"/>
      <c r="O10" s="817"/>
      <c r="P10" s="817"/>
      <c r="Q10" s="817"/>
      <c r="R10" s="817"/>
      <c r="S10" s="817"/>
      <c r="T10" s="817"/>
      <c r="U10" s="817"/>
      <c r="V10" s="817"/>
      <c r="W10" s="817"/>
      <c r="X10" s="817"/>
      <c r="Y10" s="817"/>
      <c r="Z10" s="819"/>
      <c r="AA10" s="819"/>
      <c r="AB10" s="819"/>
      <c r="AC10" s="819"/>
      <c r="AD10" s="817"/>
      <c r="AE10" s="817"/>
      <c r="AF10" s="817"/>
      <c r="AG10" s="817"/>
      <c r="AH10" s="817"/>
      <c r="AI10" s="817"/>
      <c r="AJ10" s="817"/>
      <c r="AK10" s="817"/>
      <c r="AL10" s="817"/>
      <c r="AM10" s="817"/>
      <c r="AN10" s="817"/>
      <c r="AO10" s="817"/>
      <c r="AP10" s="89"/>
      <c r="AQ10" s="89"/>
      <c r="AR10" s="89"/>
      <c r="AS10"/>
      <c r="AT10"/>
      <c r="AU10" s="89"/>
      <c r="AV10" s="89"/>
    </row>
    <row r="11" spans="1:68" ht="15.95" customHeight="1">
      <c r="B11" s="106"/>
      <c r="C11" s="106"/>
      <c r="D11" s="106"/>
      <c r="E11" s="106"/>
      <c r="F11" s="106"/>
      <c r="G11" s="106"/>
      <c r="J11" s="878"/>
      <c r="K11" s="878"/>
      <c r="L11" s="878"/>
      <c r="M11" s="878"/>
      <c r="N11" s="817"/>
      <c r="O11" s="817"/>
      <c r="P11" s="817"/>
      <c r="Q11" s="817"/>
      <c r="R11" s="817"/>
      <c r="S11" s="817"/>
      <c r="T11" s="817"/>
      <c r="U11" s="817"/>
      <c r="V11" s="817"/>
      <c r="W11" s="817"/>
      <c r="X11" s="817"/>
      <c r="Y11" s="817"/>
      <c r="Z11" s="819"/>
      <c r="AA11" s="819"/>
      <c r="AB11" s="819"/>
      <c r="AC11" s="819"/>
      <c r="AD11" s="817"/>
      <c r="AE11" s="817"/>
      <c r="AF11" s="817"/>
      <c r="AG11" s="817"/>
      <c r="AH11" s="817"/>
      <c r="AI11" s="817"/>
      <c r="AJ11" s="817"/>
      <c r="AK11" s="817"/>
      <c r="AL11" s="817"/>
      <c r="AM11" s="817"/>
      <c r="AN11" s="817"/>
      <c r="AO11" s="817"/>
      <c r="AP11" s="106"/>
      <c r="AQ11" s="106"/>
      <c r="AR11" s="106"/>
      <c r="AU11" s="106"/>
      <c r="AV11" s="106"/>
    </row>
    <row r="12" spans="1:68" ht="15.95" customHeight="1">
      <c r="A12" s="86"/>
      <c r="B12" s="86"/>
      <c r="C12" s="86"/>
      <c r="D12" s="86"/>
      <c r="E12" s="86"/>
      <c r="F12" s="86"/>
      <c r="G12" s="86"/>
      <c r="T12" s="821">
        <f>SUM(AR18:AU184)</f>
        <v>0</v>
      </c>
      <c r="U12" s="821"/>
      <c r="V12" s="821"/>
      <c r="W12" s="821"/>
      <c r="X12" s="821">
        <f ca="1">SUMIF(AR18:AU184,"&gt;0",AL18:AN184)</f>
        <v>0</v>
      </c>
      <c r="Y12" s="821"/>
      <c r="Z12" s="821"/>
      <c r="AA12" s="821"/>
      <c r="AB12" s="820">
        <f ca="1">SUMIF(AR18:AU184,"&gt;0",AO18:AQ184)</f>
        <v>0</v>
      </c>
      <c r="AC12" s="820"/>
      <c r="AD12" s="820"/>
      <c r="AE12" s="820"/>
      <c r="AV12" s="377"/>
    </row>
    <row r="13" spans="1:68" ht="15.95" customHeight="1">
      <c r="A13" s="86"/>
      <c r="B13" s="86"/>
      <c r="C13" s="86"/>
      <c r="D13" s="86"/>
      <c r="E13" s="1035" t="s">
        <v>3058</v>
      </c>
      <c r="F13" s="1035"/>
      <c r="G13" s="1035"/>
      <c r="H13" s="1035"/>
      <c r="I13" s="1035"/>
      <c r="J13" s="1035"/>
      <c r="K13" s="1035"/>
      <c r="L13" s="1035"/>
      <c r="M13" s="1035"/>
      <c r="N13" s="1035"/>
      <c r="O13" s="1035"/>
      <c r="P13" s="1035"/>
      <c r="Q13" s="1035"/>
      <c r="R13" s="1035"/>
      <c r="T13" s="821"/>
      <c r="U13" s="821"/>
      <c r="V13" s="821"/>
      <c r="W13" s="821"/>
      <c r="X13" s="821"/>
      <c r="Y13" s="821"/>
      <c r="Z13" s="821"/>
      <c r="AA13" s="821"/>
      <c r="AB13" s="820"/>
      <c r="AC13" s="820"/>
      <c r="AD13" s="820"/>
      <c r="AE13" s="820"/>
      <c r="AM13" s="840" t="str">
        <f>IF(OR(IFERROR(MATCH("75% Total Cost", BM:BM, 0), FALSE), IFERROR(MATCH("100% Incremental Cost", BM:BM, 0), FALSE)), "The incentive for one or more measures is capped due to measure cost.", "")</f>
        <v/>
      </c>
      <c r="AN13" s="840"/>
      <c r="AO13" s="840"/>
      <c r="AP13" s="840"/>
      <c r="AQ13" s="840"/>
      <c r="AR13" s="840"/>
      <c r="AS13" s="840"/>
      <c r="AT13" s="840"/>
      <c r="AU13" s="840"/>
    </row>
    <row r="14" spans="1:68" ht="15.95" customHeight="1">
      <c r="T14" s="758" t="s">
        <v>1717</v>
      </c>
      <c r="U14" s="758"/>
      <c r="V14" s="758"/>
      <c r="W14" s="758"/>
      <c r="X14" s="758" t="s">
        <v>67</v>
      </c>
      <c r="Y14" s="758"/>
      <c r="Z14" s="758"/>
      <c r="AA14" s="758"/>
      <c r="AB14" s="758" t="s">
        <v>1161</v>
      </c>
      <c r="AC14" s="758"/>
      <c r="AD14" s="758"/>
      <c r="AE14" s="758"/>
      <c r="AM14" s="840"/>
      <c r="AN14" s="840"/>
      <c r="AO14" s="840"/>
      <c r="AP14" s="840"/>
      <c r="AQ14" s="840"/>
      <c r="AR14" s="840"/>
      <c r="AS14" s="840"/>
      <c r="AT14" s="840"/>
      <c r="AU14" s="840"/>
    </row>
    <row r="15" spans="1:68" ht="15.95" customHeight="1"/>
    <row r="16" spans="1:68" ht="15.95" customHeight="1">
      <c r="B16" s="22"/>
      <c r="C16" s="723" t="s">
        <v>1308</v>
      </c>
      <c r="D16" s="723"/>
      <c r="E16" s="723"/>
      <c r="F16" s="723"/>
      <c r="G16" s="723"/>
      <c r="H16" s="723" t="s">
        <v>1238</v>
      </c>
      <c r="I16" s="723"/>
      <c r="J16" s="723"/>
      <c r="K16" s="723"/>
      <c r="L16" s="723"/>
      <c r="M16" s="723"/>
      <c r="N16" s="723" t="s">
        <v>1309</v>
      </c>
      <c r="O16" s="723"/>
      <c r="P16" s="723"/>
      <c r="Q16" s="723"/>
      <c r="R16" s="723"/>
      <c r="S16" s="723"/>
      <c r="T16" s="723" t="s">
        <v>2426</v>
      </c>
      <c r="U16" s="723"/>
      <c r="V16" s="723"/>
      <c r="W16" s="723" t="s">
        <v>1310</v>
      </c>
      <c r="X16" s="723"/>
      <c r="Y16" s="723"/>
      <c r="Z16" s="723"/>
      <c r="AA16" s="723"/>
      <c r="AB16" s="723"/>
      <c r="AC16" s="723" t="s">
        <v>2427</v>
      </c>
      <c r="AD16" s="723"/>
      <c r="AE16" s="723"/>
      <c r="AF16" s="723" t="s">
        <v>1311</v>
      </c>
      <c r="AG16" s="723"/>
      <c r="AH16" s="814" t="s">
        <v>1257</v>
      </c>
      <c r="AI16" s="814"/>
      <c r="AJ16" s="814"/>
      <c r="AK16" s="814"/>
      <c r="AL16" s="723" t="s">
        <v>1304</v>
      </c>
      <c r="AM16" s="723"/>
      <c r="AN16" s="723"/>
      <c r="AO16" s="723" t="s">
        <v>1108</v>
      </c>
      <c r="AP16" s="723"/>
      <c r="AQ16" s="723"/>
      <c r="AR16" s="723" t="s">
        <v>83</v>
      </c>
      <c r="AS16" s="723"/>
      <c r="AT16" s="723"/>
      <c r="AU16" s="723"/>
      <c r="AV16" s="66"/>
      <c r="AW16" s="66"/>
      <c r="AX16" s="756" t="s">
        <v>132</v>
      </c>
      <c r="AY16" s="756" t="s">
        <v>325</v>
      </c>
      <c r="AZ16" s="756" t="s">
        <v>1116</v>
      </c>
      <c r="BA16" s="756" t="s">
        <v>2595</v>
      </c>
      <c r="BB16" s="756" t="s">
        <v>1324</v>
      </c>
      <c r="BC16" s="756" t="s">
        <v>635</v>
      </c>
      <c r="BD16" s="756" t="s">
        <v>1256</v>
      </c>
      <c r="BE16" s="756" t="s">
        <v>88</v>
      </c>
      <c r="BF16" s="756" t="s">
        <v>1305</v>
      </c>
      <c r="BG16" s="756" t="s">
        <v>1307</v>
      </c>
      <c r="BH16" s="756" t="s">
        <v>1466</v>
      </c>
      <c r="BI16" s="736" t="s">
        <v>2125</v>
      </c>
      <c r="BJ16" s="736" t="s">
        <v>703</v>
      </c>
      <c r="BK16" s="756" t="s">
        <v>1765</v>
      </c>
      <c r="BL16" s="756" t="s">
        <v>85</v>
      </c>
      <c r="BM16" s="756" t="s">
        <v>1306</v>
      </c>
      <c r="BN16" s="756" t="s">
        <v>309</v>
      </c>
      <c r="BO16" s="736" t="s">
        <v>2130</v>
      </c>
      <c r="BP16" s="736" t="s">
        <v>2401</v>
      </c>
    </row>
    <row r="17" spans="1:68" ht="15.95" customHeight="1" thickBot="1">
      <c r="B17" s="22"/>
      <c r="C17" s="724"/>
      <c r="D17" s="724"/>
      <c r="E17" s="724"/>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t="s">
        <v>1241</v>
      </c>
      <c r="AI17" s="724"/>
      <c r="AJ17" s="724" t="s">
        <v>1242</v>
      </c>
      <c r="AK17" s="724"/>
      <c r="AL17" s="724"/>
      <c r="AM17" s="724"/>
      <c r="AN17" s="724"/>
      <c r="AO17" s="724"/>
      <c r="AP17" s="724"/>
      <c r="AQ17" s="724"/>
      <c r="AR17" s="724"/>
      <c r="AS17" s="724"/>
      <c r="AT17" s="724"/>
      <c r="AU17" s="724"/>
      <c r="AV17" s="44"/>
      <c r="AW17" s="44"/>
      <c r="AX17" s="757"/>
      <c r="AY17" s="757"/>
      <c r="AZ17" s="757"/>
      <c r="BA17" s="757"/>
      <c r="BB17" s="757"/>
      <c r="BC17" s="757"/>
      <c r="BD17" s="757"/>
      <c r="BE17" s="757"/>
      <c r="BF17" s="757"/>
      <c r="BG17" s="757"/>
      <c r="BH17" s="757"/>
      <c r="BI17" s="737"/>
      <c r="BJ17" s="737"/>
      <c r="BK17" s="757"/>
      <c r="BL17" s="757"/>
      <c r="BM17" s="757"/>
      <c r="BN17" s="757"/>
      <c r="BO17" s="737"/>
      <c r="BP17" s="737"/>
    </row>
    <row r="18" spans="1:68" ht="15.95" customHeight="1">
      <c r="B18" s="806">
        <v>1</v>
      </c>
      <c r="C18" s="994"/>
      <c r="D18" s="726"/>
      <c r="E18" s="726"/>
      <c r="F18" s="726"/>
      <c r="G18" s="995"/>
      <c r="H18" s="1013"/>
      <c r="I18" s="1013"/>
      <c r="J18" s="1013"/>
      <c r="K18" s="1013"/>
      <c r="L18" s="1013"/>
      <c r="M18" s="991"/>
      <c r="N18" s="1116"/>
      <c r="O18" s="726"/>
      <c r="P18" s="726"/>
      <c r="Q18" s="726"/>
      <c r="R18" s="726"/>
      <c r="S18" s="995"/>
      <c r="T18" s="1129"/>
      <c r="U18" s="1130"/>
      <c r="V18" s="1131"/>
      <c r="W18" s="1116"/>
      <c r="X18" s="726"/>
      <c r="Y18" s="726"/>
      <c r="Z18" s="726"/>
      <c r="AA18" s="726"/>
      <c r="AB18" s="995"/>
      <c r="AC18" s="1129"/>
      <c r="AD18" s="1130"/>
      <c r="AE18" s="1131"/>
      <c r="AF18" s="1121" t="str">
        <f>IFERROR(IF($C18="", "", IF(OR($C18 = "Retrofit existing", $C18 = "Replace in-life equip."), "Total", "Incremental")), "")</f>
        <v/>
      </c>
      <c r="AG18" s="1122"/>
      <c r="AH18" s="999"/>
      <c r="AI18" s="999"/>
      <c r="AJ18" s="1062" t="str">
        <f t="shared" ref="AJ18" si="0">IF(AF18="Incremental",0,"")</f>
        <v/>
      </c>
      <c r="AK18" s="1063"/>
      <c r="AL18" s="1057" t="str">
        <f>IF(OR(C18="",H18="",N18="",T18="",W18="",AC18="",AF18="",AH18="",AJ18=""),"",ROUND(AH18+AJ18,2))</f>
        <v/>
      </c>
      <c r="AM18" s="1058"/>
      <c r="AN18" s="1058"/>
      <c r="AO18" s="1033" t="str">
        <f>IF(OR(C18="",H18="",N18="",T18="",W18="",AC18="",AF18="",AH18="",AJ18=""),"",IF(BC18-BD18&lt;=0,0,ROUND(BC18-BD18,4)))</f>
        <v/>
      </c>
      <c r="AP18" s="1033"/>
      <c r="AQ18" s="1033"/>
      <c r="AR18" s="996" t="str">
        <f>IF(OR(C18="",H18="",N18="",T18="",W18="",AC18="",AF18="",AH18="",AJ18=""),"",
IF(BN18&lt;&gt;"",BN18,IF(BP18&gt;0,BP18,
IF(AF18="Incremental",
IF(ACTIVEBLOCK="Yes",ROUND(MIN(AL18*INCCOSTCAP,AO18*BLOCKBIDRATE),2),
ROUND(MIN(AL18*INCCOSTCAP,BI18),2)),
IF(ACTIVEBLOCK="Yes",ROUND(MIN(AL18*TOTCOSTCAP,AO18*BLOCKBIDRATE),2),
ROUND(MIN(AL18*TOTCOSTCAP,BI18),2))))))</f>
        <v/>
      </c>
      <c r="AS18" s="996"/>
      <c r="AT18" s="996"/>
      <c r="AU18" s="996"/>
      <c r="AV18" s="44"/>
      <c r="AW18" s="44"/>
      <c r="AX18" s="974" t="str">
        <f>IFERROR(IF(OR(C18="",H18="",N18="",T18="",W18="",AC18="",AF18="",AH18="",AJ18=""),"",
ROUND(((1+ELOSS)*((AO18*INDEX(ELECCB[NPV AEC $/kWh],MATCH(BE18,ELECCB[Year Number],1)))+(BG18*INDEX(ELECCB[NPV ACC $/kW],MATCH(BE18,ELECCB[Year Number],1))))/AL18),2)),0)</f>
        <v/>
      </c>
      <c r="AY18" s="974" t="str">
        <f>IFERROR(AL18/M02S04F06/AO18,"")</f>
        <v/>
      </c>
      <c r="AZ18" s="967" t="str">
        <f>IF(OR(C18="",H18=""),"",INDEX(CMEMOTOR[Unit of Measure],MATCH(H18,CMEMOTOR[Proj Desc 1],0)))</f>
        <v/>
      </c>
      <c r="BA18" s="980" t="str">
        <f>IF(AO18&lt;&gt;"","Missing!","")</f>
        <v/>
      </c>
      <c r="BB18" s="980" t="str">
        <f>IF(AO18&lt;&gt;"","Missing!","")</f>
        <v/>
      </c>
      <c r="BC18" s="976" t="str">
        <f>IF(OR(C18="",H18="",N18="",T18="",W18="",AC18="",AF18="",AH18="",AJ18=""),"",ROUND(T18,4))</f>
        <v/>
      </c>
      <c r="BD18" s="976" t="str">
        <f>IF(OR(C18="",H18="",N18="",T18="",W18="",AC18="",AF18="",AH18="",AJ18=""),"",ROUND(AC18,4))</f>
        <v/>
      </c>
      <c r="BE18" s="978" t="str">
        <f>IF(OR(C18="",H18=""),"",IF(INDEX(CMEMOTOR[EUL],MATCH(H18,CMEMOTOR[Proj Desc 1],0))="","",INDEX(CMEMOTOR[EUL],MATCH(H18,CMEMOTOR[Proj Desc 1],0))))</f>
        <v/>
      </c>
      <c r="BF18" s="980" t="str">
        <f>IF(OR(C18="",H18=""),"",IF(INDEX(CMEMOTOR[End Use Category],MATCH(H18,CMEMOTOR[Proj Desc 1],0))="","",INDEX(CMEMOTOR[End Use Category],MATCH(H18,CMEMOTOR[Proj Desc 1],0))))</f>
        <v/>
      </c>
      <c r="BG18" s="972" t="str">
        <f>IFERROR(IF(OR(C18="",H18="",N18="",T18="",W18="",AC18="",AF18="",AH18="",AJ18=""),"",ROUND(AO18*INDEX(ENDUSEALL[Factor],MATCH(BF18,ENDUSEALL[End Use to Coincident Peak Demand Factors],0)),4)),"")</f>
        <v/>
      </c>
      <c r="BH18" s="1076"/>
      <c r="BI18" s="830" t="str">
        <f>IFERROR(ROUND(AO18*BJ18,2),"")</f>
        <v/>
      </c>
      <c r="BJ18" s="830" t="str">
        <f>_xlfn.LET(_xlpm.ROWS,MATCH(BF18,ENDUSEALL[End Use to Coincident Peak Demand Factors],0),IFERROR(INDEX(IF(AND(ACTIVEBONUS = TRUE,INDEX(ENDUSEALL[Bonus Rate ($/kWh)],_xlpm.ROWS)&lt;&gt;""),ENDUSEALL[Bonus Rate ($/kWh)],ENDUSEALL[Rate ($/kWh)]),_xlpm.ROWS),""))</f>
        <v/>
      </c>
      <c r="BK18" s="830"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965" t="str">
        <f>IF(OR(C18="",H18="",N18="",T18="",W18="",AC18="",AF18="",AH18="",AJ18=""),"",IF(BN18&lt;&gt;"",SPILLOVERNUMBER,INDEX(CMEMOTOR[Measure Number],MATCH(H18,CMEMOTOR[Proj Desc 1],0))))</f>
        <v/>
      </c>
      <c r="BM18" s="967"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967"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830" t="str">
        <f>IFERROR(IF(OR(C18="",H18="",N18="",T18="",W18="",AC18="",AF18="",AH18="",AJ18=""),"",
ROUND(((1+ELOSS)*((AO18*INDEX(ELECCB[NPV AEC $/kWh],MATCH(BE18,ELECCB[Year Number],1)))+(BG18*INDEX(ELECCB[NPV ACC $/kW],MATCH(BE18,ELECCB[Year Number],1))))),2)),0)</f>
        <v/>
      </c>
      <c r="BP18" s="969"/>
    </row>
    <row r="19" spans="1:68" ht="15.95" customHeight="1">
      <c r="B19" s="806"/>
      <c r="C19" s="991"/>
      <c r="D19" s="992"/>
      <c r="E19" s="992"/>
      <c r="F19" s="992"/>
      <c r="G19" s="993"/>
      <c r="H19" s="1015"/>
      <c r="I19" s="1015"/>
      <c r="J19" s="1015"/>
      <c r="K19" s="1015"/>
      <c r="L19" s="1015"/>
      <c r="M19" s="1020"/>
      <c r="N19" s="1026"/>
      <c r="O19" s="992"/>
      <c r="P19" s="992"/>
      <c r="Q19" s="992"/>
      <c r="R19" s="992"/>
      <c r="S19" s="993"/>
      <c r="T19" s="1031"/>
      <c r="U19" s="1125"/>
      <c r="V19" s="1126"/>
      <c r="W19" s="1026"/>
      <c r="X19" s="992"/>
      <c r="Y19" s="992"/>
      <c r="Z19" s="992"/>
      <c r="AA19" s="992"/>
      <c r="AB19" s="993"/>
      <c r="AC19" s="1031"/>
      <c r="AD19" s="1125"/>
      <c r="AE19" s="1126"/>
      <c r="AF19" s="1121"/>
      <c r="AG19" s="1122"/>
      <c r="AH19" s="999"/>
      <c r="AI19" s="999"/>
      <c r="AJ19" s="1062"/>
      <c r="AK19" s="1063"/>
      <c r="AL19" s="1001"/>
      <c r="AM19" s="1002"/>
      <c r="AN19" s="1002"/>
      <c r="AO19" s="1034"/>
      <c r="AP19" s="1034"/>
      <c r="AQ19" s="1034"/>
      <c r="AR19" s="997"/>
      <c r="AS19" s="997"/>
      <c r="AT19" s="997"/>
      <c r="AU19" s="997"/>
      <c r="AV19" s="44"/>
      <c r="AW19" s="44"/>
      <c r="AX19" s="982"/>
      <c r="AY19" s="982"/>
      <c r="AZ19" s="983"/>
      <c r="BA19" s="986"/>
      <c r="BB19" s="986"/>
      <c r="BC19" s="984"/>
      <c r="BD19" s="984"/>
      <c r="BE19" s="985"/>
      <c r="BF19" s="986"/>
      <c r="BG19" s="970"/>
      <c r="BH19" s="1077"/>
      <c r="BI19" s="831"/>
      <c r="BJ19" s="831"/>
      <c r="BK19" s="831"/>
      <c r="BL19" s="987"/>
      <c r="BM19" s="983"/>
      <c r="BN19" s="983"/>
      <c r="BO19" s="831"/>
      <c r="BP19" s="981"/>
    </row>
    <row r="20" spans="1:68" ht="15.95" customHeight="1">
      <c r="A20" s="85"/>
      <c r="B20" s="806">
        <v>2</v>
      </c>
      <c r="C20" s="988"/>
      <c r="D20" s="989"/>
      <c r="E20" s="989"/>
      <c r="F20" s="989"/>
      <c r="G20" s="990"/>
      <c r="H20" s="1015"/>
      <c r="I20" s="1015"/>
      <c r="J20" s="1015"/>
      <c r="K20" s="1015"/>
      <c r="L20" s="1015"/>
      <c r="M20" s="1020"/>
      <c r="N20" s="1025"/>
      <c r="O20" s="989"/>
      <c r="P20" s="989"/>
      <c r="Q20" s="989"/>
      <c r="R20" s="989"/>
      <c r="S20" s="990"/>
      <c r="T20" s="1029"/>
      <c r="U20" s="1123"/>
      <c r="V20" s="1124"/>
      <c r="W20" s="1025"/>
      <c r="X20" s="989"/>
      <c r="Y20" s="989"/>
      <c r="Z20" s="989"/>
      <c r="AA20" s="989"/>
      <c r="AB20" s="990"/>
      <c r="AC20" s="1029"/>
      <c r="AD20" s="1123"/>
      <c r="AE20" s="1124"/>
      <c r="AF20" s="1121" t="str">
        <f>IFERROR(IF($C20="", "", IF(OR($C20 = "Retrofit existing", $C20 = "Replace in-life equip."), "Total", "Incremental")), "")</f>
        <v/>
      </c>
      <c r="AG20" s="1122"/>
      <c r="AH20" s="999"/>
      <c r="AI20" s="999"/>
      <c r="AJ20" s="1062" t="str">
        <f t="shared" ref="AJ20" si="1">IF(AF20="Incremental",0,"")</f>
        <v/>
      </c>
      <c r="AK20" s="1063"/>
      <c r="AL20" s="1057" t="str">
        <f>IF(OR(C20="",H20="",N20="",T20="",W20="",AC20="",AF20="",AH20="",AJ20=""),"",ROUND(AH20+AJ20,2))</f>
        <v/>
      </c>
      <c r="AM20" s="1058"/>
      <c r="AN20" s="1058"/>
      <c r="AO20" s="1033" t="str">
        <f>IF(OR(C20="",H20="",N20="",T20="",W20="",AC20="",AF20="",AH20="",AJ20=""),"",IF(BC20-BD20&lt;=0,0,ROUND(BC20-BD20,4)))</f>
        <v/>
      </c>
      <c r="AP20" s="1033"/>
      <c r="AQ20" s="1033"/>
      <c r="AR20" s="1064" t="str">
        <f>IF(OR(C20="",H20="",N20="",T20="",W20="",AC20="",AF20="",AH20="",AJ20=""),"",
IF(BN20&lt;&gt;"",BN20,IF(BP20&gt;0,BP20,
IF(AF20="Incremental",
IF(ACTIVEBLOCK="Yes",ROUND(MIN(AL20*INCCOSTCAP,AO20*BLOCKBIDRATE),2),
ROUND(MIN(AL20*INCCOSTCAP,BI20),2)),
IF(ACTIVEBLOCK="Yes",ROUND(MIN(AL20*TOTCOSTCAP,AO20*BLOCKBIDRATE),2),
ROUND(MIN(AL20*TOTCOSTCAP,BI20),2))))))</f>
        <v/>
      </c>
      <c r="AS20" s="1065"/>
      <c r="AT20" s="1065"/>
      <c r="AU20" s="1066"/>
      <c r="AV20" s="44"/>
      <c r="AW20" s="44"/>
      <c r="AX20" s="974" t="str">
        <f>IFERROR(IF(OR(C20="",H20="",N20="",T20="",W20="",AC20="",AF20="",AH20="",AJ20=""),"",
ROUND(((1+ELOSS)*((AO20*INDEX(ELECCB[NPV AEC $/kWh],MATCH(BE20,ELECCB[Year Number],1)))+(BG20*INDEX(ELECCB[NPV ACC $/kW],MATCH(BE20,ELECCB[Year Number],1))))/AL20),2)),0)</f>
        <v/>
      </c>
      <c r="AY20" s="974" t="str">
        <f>IFERROR(AL20/M02S04F06/AO20,"")</f>
        <v/>
      </c>
      <c r="AZ20" s="967" t="str">
        <f>IF(OR(C20="",H20=""),"",INDEX(CMEMOTOR[Unit of Measure],MATCH(H20,CMEMOTOR[Proj Desc 1],0)))</f>
        <v/>
      </c>
      <c r="BA20" s="980" t="str">
        <f t="shared" ref="BA20" si="2">IF(AO20&lt;&gt;"","Missing!","")</f>
        <v/>
      </c>
      <c r="BB20" s="980" t="str">
        <f t="shared" ref="BB20" si="3">IF(AO20&lt;&gt;"","Missing!","")</f>
        <v/>
      </c>
      <c r="BC20" s="976" t="str">
        <f>IF(OR(C20="",H20="",N20="",T20="",W20="",AC20="",AF20="",AH20="",AJ20=""),"",ROUND(T20,4))</f>
        <v/>
      </c>
      <c r="BD20" s="976" t="str">
        <f>IF(OR(C20="",H20="",N20="",T20="",W20="",AC20="",AF20="",AH20="",AJ20=""),"",ROUND(AC20,4))</f>
        <v/>
      </c>
      <c r="BE20" s="978" t="str">
        <f>IF(OR(C20="",H20=""),"",IF(INDEX(CMEMOTOR[EUL],MATCH(H20,CMEMOTOR[Proj Desc 1],0))="","",INDEX(CMEMOTOR[EUL],MATCH(H20,CMEMOTOR[Proj Desc 1],0))))</f>
        <v/>
      </c>
      <c r="BF20" s="980" t="str">
        <f>IF(OR(C20="",H20=""),"",IF(INDEX(CMEMOTOR[End Use Category],MATCH(H20,CMEMOTOR[Proj Desc 1],0))="","",INDEX(CMEMOTOR[End Use Category],MATCH(H20,CMEMOTOR[Proj Desc 1],0))))</f>
        <v/>
      </c>
      <c r="BG20" s="972" t="str">
        <f>IFERROR(IF(OR(C20="",H20="",N20="",T20="",W20="",AC20="",AF20="",AH20="",AJ20=""),"",ROUND(AO20*INDEX(ENDUSEALL[Factor],MATCH(BF20,ENDUSEALL[End Use to Coincident Peak Demand Factors],0)),4)),"")</f>
        <v/>
      </c>
      <c r="BH20" s="1076"/>
      <c r="BI20" s="830" t="str">
        <f t="shared" ref="BI20" si="4">IFERROR(ROUND(AO20*BJ20,2),"")</f>
        <v/>
      </c>
      <c r="BJ20" s="963" t="str">
        <f>_xlfn.LET(_xlpm.ROWS,MATCH(BF20,ENDUSEALL[End Use to Coincident Peak Demand Factors],0),IFERROR(INDEX(IF(AND(ACTIVEBONUS = TRUE,INDEX(ENDUSEALL[Bonus Rate ($/kWh)],_xlpm.ROWS)&lt;&gt;""),ENDUSEALL[Bonus Rate ($/kWh)],ENDUSEALL[Rate ($/kWh)]),_xlpm.ROWS),""))</f>
        <v/>
      </c>
      <c r="BK20" s="963"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965" t="str">
        <f>IF(OR(C20="",H20="",N20="",T20="",W20="",AC20="",AF20="",AH20="",AJ20=""),"",IF(BN20&lt;&gt;"",SPILLOVERNUMBER,INDEX(CMEMOTOR[Measure Number],MATCH(H20,CMEMOTOR[Proj Desc 1],0))))</f>
        <v/>
      </c>
      <c r="BM20" s="966"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967"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830" t="str">
        <f>IFERROR(IF(OR(C20="",H20="",N20="",T20="",W20="",AC20="",AF20="",AH20="",AJ20=""),"",
ROUND(((1+ELOSS)*((AO20*INDEX(ELECCB[NPV AEC $/kWh],MATCH(BE20,ELECCB[Year Number],1)))+(BG20*INDEX(ELECCB[NPV ACC $/kW],MATCH(BE20,ELECCB[Year Number],1))))),2)),0)</f>
        <v/>
      </c>
      <c r="BP20" s="969"/>
    </row>
    <row r="21" spans="1:68" ht="15.95" customHeight="1">
      <c r="B21" s="806"/>
      <c r="C21" s="991"/>
      <c r="D21" s="992"/>
      <c r="E21" s="992"/>
      <c r="F21" s="992"/>
      <c r="G21" s="993"/>
      <c r="H21" s="1015"/>
      <c r="I21" s="1015"/>
      <c r="J21" s="1015"/>
      <c r="K21" s="1015"/>
      <c r="L21" s="1015"/>
      <c r="M21" s="1020"/>
      <c r="N21" s="1026"/>
      <c r="O21" s="992"/>
      <c r="P21" s="992"/>
      <c r="Q21" s="992"/>
      <c r="R21" s="992"/>
      <c r="S21" s="993"/>
      <c r="T21" s="1031"/>
      <c r="U21" s="1125"/>
      <c r="V21" s="1126"/>
      <c r="W21" s="1026"/>
      <c r="X21" s="992"/>
      <c r="Y21" s="992"/>
      <c r="Z21" s="992"/>
      <c r="AA21" s="992"/>
      <c r="AB21" s="993"/>
      <c r="AC21" s="1031"/>
      <c r="AD21" s="1125"/>
      <c r="AE21" s="1126"/>
      <c r="AF21" s="1121"/>
      <c r="AG21" s="1122"/>
      <c r="AH21" s="999"/>
      <c r="AI21" s="999"/>
      <c r="AJ21" s="1062"/>
      <c r="AK21" s="1063"/>
      <c r="AL21" s="1001"/>
      <c r="AM21" s="1002"/>
      <c r="AN21" s="1002"/>
      <c r="AO21" s="1034"/>
      <c r="AP21" s="1034"/>
      <c r="AQ21" s="1034"/>
      <c r="AR21" s="1067"/>
      <c r="AS21" s="1068"/>
      <c r="AT21" s="1068"/>
      <c r="AU21" s="1069"/>
      <c r="AV21" s="44"/>
      <c r="AW21" s="44"/>
      <c r="AX21" s="982"/>
      <c r="AY21" s="982"/>
      <c r="AZ21" s="983"/>
      <c r="BA21" s="986"/>
      <c r="BB21" s="986"/>
      <c r="BC21" s="984"/>
      <c r="BD21" s="984"/>
      <c r="BE21" s="985"/>
      <c r="BF21" s="986"/>
      <c r="BG21" s="970"/>
      <c r="BH21" s="1077"/>
      <c r="BI21" s="831"/>
      <c r="BJ21" s="830"/>
      <c r="BK21" s="830"/>
      <c r="BL21" s="987"/>
      <c r="BM21" s="967"/>
      <c r="BN21" s="983"/>
      <c r="BO21" s="831"/>
      <c r="BP21" s="981"/>
    </row>
    <row r="22" spans="1:68" s="22" customFormat="1" ht="15.95" customHeight="1">
      <c r="A22" s="120"/>
      <c r="B22" s="806">
        <v>3</v>
      </c>
      <c r="C22" s="988"/>
      <c r="D22" s="989"/>
      <c r="E22" s="989"/>
      <c r="F22" s="989"/>
      <c r="G22" s="990"/>
      <c r="H22" s="1015"/>
      <c r="I22" s="1015"/>
      <c r="J22" s="1015"/>
      <c r="K22" s="1015"/>
      <c r="L22" s="1015"/>
      <c r="M22" s="1020"/>
      <c r="N22" s="1025"/>
      <c r="O22" s="989"/>
      <c r="P22" s="989"/>
      <c r="Q22" s="989"/>
      <c r="R22" s="989"/>
      <c r="S22" s="990"/>
      <c r="T22" s="1029"/>
      <c r="U22" s="1123"/>
      <c r="V22" s="1124"/>
      <c r="W22" s="1025"/>
      <c r="X22" s="989"/>
      <c r="Y22" s="989"/>
      <c r="Z22" s="989"/>
      <c r="AA22" s="989"/>
      <c r="AB22" s="990"/>
      <c r="AC22" s="1029"/>
      <c r="AD22" s="1123"/>
      <c r="AE22" s="1124"/>
      <c r="AF22" s="1121" t="str">
        <f>IFERROR(IF($C22="", "", IF(OR($C22 = "Retrofit existing", $C22 = "Replace in-life equip."), "Total", "Incremental")), "")</f>
        <v/>
      </c>
      <c r="AG22" s="1122"/>
      <c r="AH22" s="999"/>
      <c r="AI22" s="999"/>
      <c r="AJ22" s="1062" t="str">
        <f t="shared" ref="AJ22" si="5">IF(AF22="Incremental",0,"")</f>
        <v/>
      </c>
      <c r="AK22" s="1063"/>
      <c r="AL22" s="1057" t="str">
        <f>IF(OR(C22="",H22="",N22="",T22="",W22="",AC22="",AF22="",AH22="",AJ22=""),"",ROUND(AH22+AJ22,2))</f>
        <v/>
      </c>
      <c r="AM22" s="1058"/>
      <c r="AN22" s="1058"/>
      <c r="AO22" s="1033" t="str">
        <f>IF(OR(C22="",H22="",N22="",T22="",W22="",AC22="",AF22="",AH22="",AJ22=""),"",IF(BC22-BD22&lt;=0,0,ROUND(BC22-BD22,4)))</f>
        <v/>
      </c>
      <c r="AP22" s="1033"/>
      <c r="AQ22" s="1033"/>
      <c r="AR22" s="1064" t="str">
        <f>IF(OR(C22="",H22="",N22="",T22="",W22="",AC22="",AF22="",AH22="",AJ22=""),"",
IF(BN22&lt;&gt;"",BN22,IF(BP22&gt;0,BP22,
IF(AF22="Incremental",
IF(ACTIVEBLOCK="Yes",ROUND(MIN(AL22*INCCOSTCAP,AO22*BLOCKBIDRATE),2),
ROUND(MIN(AL22*INCCOSTCAP,BI22),2)),
IF(ACTIVEBLOCK="Yes",ROUND(MIN(AL22*TOTCOSTCAP,AO22*BLOCKBIDRATE),2),
ROUND(MIN(AL22*TOTCOSTCAP,BI22),2))))))</f>
        <v/>
      </c>
      <c r="AS22" s="1065"/>
      <c r="AT22" s="1065"/>
      <c r="AU22" s="1066"/>
      <c r="AV22" s="66"/>
      <c r="AW22" s="66"/>
      <c r="AX22" s="974" t="str">
        <f>IFERROR(IF(OR(C22="",H22="",N22="",T22="",W22="",AC22="",AF22="",AH22="",AJ22=""),"",
ROUND(((1+ELOSS)*((AO22*INDEX(ELECCB[NPV AEC $/kWh],MATCH(BE22,ELECCB[Year Number],1)))+(BG22*INDEX(ELECCB[NPV ACC $/kW],MATCH(BE22,ELECCB[Year Number],1))))/AL22),2)),0)</f>
        <v/>
      </c>
      <c r="AY22" s="974" t="str">
        <f>IFERROR(AL22/M02S04F06/AO22,"")</f>
        <v/>
      </c>
      <c r="AZ22" s="967" t="str">
        <f>IF(OR(C22="",H22=""),"",INDEX(CMEMOTOR[Unit of Measure],MATCH(H22,CMEMOTOR[Proj Desc 1],0)))</f>
        <v/>
      </c>
      <c r="BA22" s="980" t="str">
        <f t="shared" ref="BA22" si="6">IF(AO22&lt;&gt;"","Missing!","")</f>
        <v/>
      </c>
      <c r="BB22" s="980" t="str">
        <f t="shared" ref="BB22" si="7">IF(AO22&lt;&gt;"","Missing!","")</f>
        <v/>
      </c>
      <c r="BC22" s="976" t="str">
        <f>IF(OR(C22="",H22="",N22="",T22="",W22="",AC22="",AF22="",AH22="",AJ22=""),"",ROUND(T22,4))</f>
        <v/>
      </c>
      <c r="BD22" s="976" t="str">
        <f>IF(OR(C22="",H22="",N22="",T22="",W22="",AC22="",AF22="",AH22="",AJ22=""),"",ROUND(AC22,4))</f>
        <v/>
      </c>
      <c r="BE22" s="978" t="str">
        <f>IF(OR(C22="",H22=""),"",IF(INDEX(CMEMOTOR[EUL],MATCH(H22,CMEMOTOR[Proj Desc 1],0))="","",INDEX(CMEMOTOR[EUL],MATCH(H22,CMEMOTOR[Proj Desc 1],0))))</f>
        <v/>
      </c>
      <c r="BF22" s="980" t="str">
        <f>IF(OR(C22="",H22=""),"",IF(INDEX(CMEMOTOR[End Use Category],MATCH(H22,CMEMOTOR[Proj Desc 1],0))="","",INDEX(CMEMOTOR[End Use Category],MATCH(H22,CMEMOTOR[Proj Desc 1],0))))</f>
        <v/>
      </c>
      <c r="BG22" s="972" t="str">
        <f>IFERROR(IF(OR(C22="",H22="",N22="",T22="",W22="",AC22="",AF22="",AH22="",AJ22=""),"",ROUND(AO22*INDEX(ENDUSEALL[Factor],MATCH(BF22,ENDUSEALL[End Use to Coincident Peak Demand Factors],0)),4)),"")</f>
        <v/>
      </c>
      <c r="BH22" s="1076"/>
      <c r="BI22" s="830" t="str">
        <f t="shared" ref="BI22" si="8">IFERROR(ROUND(AO22*BJ22,2),"")</f>
        <v/>
      </c>
      <c r="BJ22" s="963" t="str">
        <f>_xlfn.LET(_xlpm.ROWS,MATCH(BF22,ENDUSEALL[End Use to Coincident Peak Demand Factors],0),IFERROR(INDEX(IF(AND(ACTIVEBONUS = TRUE,INDEX(ENDUSEALL[Bonus Rate ($/kWh)],_xlpm.ROWS)&lt;&gt;""),ENDUSEALL[Bonus Rate ($/kWh)],ENDUSEALL[Rate ($/kWh)]),_xlpm.ROWS),""))</f>
        <v/>
      </c>
      <c r="BK22" s="963"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965" t="str">
        <f>IF(OR(C22="",H22="",N22="",T22="",W22="",AC22="",AF22="",AH22="",AJ22=""),"",IF(BN22&lt;&gt;"",SPILLOVERNUMBER,INDEX(CMEMOTOR[Measure Number],MATCH(H22,CMEMOTOR[Proj Desc 1],0))))</f>
        <v/>
      </c>
      <c r="BM22" s="966"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967"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830" t="str">
        <f>IFERROR(IF(OR(C22="",H22="",N22="",T22="",W22="",AC22="",AF22="",AH22="",AJ22=""),"",
ROUND(((1+ELOSS)*((AO22*INDEX(ELECCB[NPV AEC $/kWh],MATCH(BE22,ELECCB[Year Number],1)))+(BG22*INDEX(ELECCB[NPV ACC $/kW],MATCH(BE22,ELECCB[Year Number],1))))),2)),0)</f>
        <v/>
      </c>
      <c r="BP22" s="969"/>
    </row>
    <row r="23" spans="1:68" s="22" customFormat="1" ht="15.95" customHeight="1">
      <c r="A23" s="120"/>
      <c r="B23" s="806"/>
      <c r="C23" s="991"/>
      <c r="D23" s="992"/>
      <c r="E23" s="992"/>
      <c r="F23" s="992"/>
      <c r="G23" s="993"/>
      <c r="H23" s="1015"/>
      <c r="I23" s="1015"/>
      <c r="J23" s="1015"/>
      <c r="K23" s="1015"/>
      <c r="L23" s="1015"/>
      <c r="M23" s="1020"/>
      <c r="N23" s="1026"/>
      <c r="O23" s="992"/>
      <c r="P23" s="992"/>
      <c r="Q23" s="992"/>
      <c r="R23" s="992"/>
      <c r="S23" s="993"/>
      <c r="T23" s="1031"/>
      <c r="U23" s="1125"/>
      <c r="V23" s="1126"/>
      <c r="W23" s="1026"/>
      <c r="X23" s="992"/>
      <c r="Y23" s="992"/>
      <c r="Z23" s="992"/>
      <c r="AA23" s="992"/>
      <c r="AB23" s="993"/>
      <c r="AC23" s="1031"/>
      <c r="AD23" s="1125"/>
      <c r="AE23" s="1126"/>
      <c r="AF23" s="1121"/>
      <c r="AG23" s="1122"/>
      <c r="AH23" s="999"/>
      <c r="AI23" s="999"/>
      <c r="AJ23" s="1062"/>
      <c r="AK23" s="1063"/>
      <c r="AL23" s="1001"/>
      <c r="AM23" s="1002"/>
      <c r="AN23" s="1002"/>
      <c r="AO23" s="1034"/>
      <c r="AP23" s="1034"/>
      <c r="AQ23" s="1034"/>
      <c r="AR23" s="1067"/>
      <c r="AS23" s="1068"/>
      <c r="AT23" s="1068"/>
      <c r="AU23" s="1069"/>
      <c r="AV23" s="66"/>
      <c r="AW23" s="66"/>
      <c r="AX23" s="982"/>
      <c r="AY23" s="982"/>
      <c r="AZ23" s="983"/>
      <c r="BA23" s="986"/>
      <c r="BB23" s="986"/>
      <c r="BC23" s="984"/>
      <c r="BD23" s="984"/>
      <c r="BE23" s="985"/>
      <c r="BF23" s="986"/>
      <c r="BG23" s="970"/>
      <c r="BH23" s="1077"/>
      <c r="BI23" s="831"/>
      <c r="BJ23" s="830"/>
      <c r="BK23" s="830"/>
      <c r="BL23" s="987"/>
      <c r="BM23" s="967"/>
      <c r="BN23" s="983"/>
      <c r="BO23" s="831"/>
      <c r="BP23" s="981"/>
    </row>
    <row r="24" spans="1:68" ht="15.95" customHeight="1">
      <c r="B24" s="806">
        <v>4</v>
      </c>
      <c r="C24" s="988"/>
      <c r="D24" s="989"/>
      <c r="E24" s="989"/>
      <c r="F24" s="989"/>
      <c r="G24" s="990"/>
      <c r="H24" s="1015"/>
      <c r="I24" s="1015"/>
      <c r="J24" s="1015"/>
      <c r="K24" s="1015"/>
      <c r="L24" s="1015"/>
      <c r="M24" s="1020"/>
      <c r="N24" s="1025"/>
      <c r="O24" s="989"/>
      <c r="P24" s="989"/>
      <c r="Q24" s="989"/>
      <c r="R24" s="989"/>
      <c r="S24" s="990"/>
      <c r="T24" s="1029"/>
      <c r="U24" s="1123"/>
      <c r="V24" s="1124"/>
      <c r="W24" s="1025"/>
      <c r="X24" s="989"/>
      <c r="Y24" s="989"/>
      <c r="Z24" s="989"/>
      <c r="AA24" s="989"/>
      <c r="AB24" s="990"/>
      <c r="AC24" s="1029"/>
      <c r="AD24" s="1123"/>
      <c r="AE24" s="1124"/>
      <c r="AF24" s="1121" t="str">
        <f>IFERROR(IF($C24="", "", IF(OR($C24 = "Retrofit existing", $C24 = "Replace in-life equip."), "Total", "Incremental")), "")</f>
        <v/>
      </c>
      <c r="AG24" s="1122"/>
      <c r="AH24" s="999"/>
      <c r="AI24" s="999"/>
      <c r="AJ24" s="1062" t="str">
        <f t="shared" ref="AJ24" si="9">IF(AF24="Incremental",0,"")</f>
        <v/>
      </c>
      <c r="AK24" s="1063"/>
      <c r="AL24" s="1057" t="str">
        <f>IF(OR(C24="",H24="",N24="",T24="",W24="",AC24="",AF24="",AH24="",AJ24=""),"",ROUND(AH24+AJ24,2))</f>
        <v/>
      </c>
      <c r="AM24" s="1058"/>
      <c r="AN24" s="1058"/>
      <c r="AO24" s="1033" t="str">
        <f>IF(OR(C24="",H24="",N24="",T24="",W24="",AC24="",AF24="",AH24="",AJ24=""),"",IF(BC24-BD24&lt;=0,0,ROUND(BC24-BD24,4)))</f>
        <v/>
      </c>
      <c r="AP24" s="1033"/>
      <c r="AQ24" s="1033"/>
      <c r="AR24" s="1064" t="str">
        <f>IF(OR(C24="",H24="",N24="",T24="",W24="",AC24="",AF24="",AH24="",AJ24=""),"",
IF(BN24&lt;&gt;"",BN24,IF(BP24&gt;0,BP24,
IF(AF24="Incremental",
IF(ACTIVEBLOCK="Yes",ROUND(MIN(AL24*INCCOSTCAP,AO24*BLOCKBIDRATE),2),
ROUND(MIN(AL24*INCCOSTCAP,BI24),2)),
IF(ACTIVEBLOCK="Yes",ROUND(MIN(AL24*TOTCOSTCAP,AO24*BLOCKBIDRATE),2),
ROUND(MIN(AL24*TOTCOSTCAP,BI24),2))))))</f>
        <v/>
      </c>
      <c r="AS24" s="1065"/>
      <c r="AT24" s="1065"/>
      <c r="AU24" s="1066"/>
      <c r="AV24" s="44"/>
      <c r="AW24" s="44"/>
      <c r="AX24" s="974" t="str">
        <f>IFERROR(IF(OR(C24="",H24="",N24="",T24="",W24="",AC24="",AF24="",AH24="",AJ24=""),"",
ROUND(((1+ELOSS)*((AO24*INDEX(ELECCB[NPV AEC $/kWh],MATCH(BE24,ELECCB[Year Number],1)))+(BG24*INDEX(ELECCB[NPV ACC $/kW],MATCH(BE24,ELECCB[Year Number],1))))/AL24),2)),0)</f>
        <v/>
      </c>
      <c r="AY24" s="974" t="str">
        <f>IFERROR(AL24/M02S04F06/AO24,"")</f>
        <v/>
      </c>
      <c r="AZ24" s="967" t="str">
        <f>IF(OR(C24="",H24=""),"",INDEX(CMEMOTOR[Unit of Measure],MATCH(H24,CMEMOTOR[Proj Desc 1],0)))</f>
        <v/>
      </c>
      <c r="BA24" s="980" t="str">
        <f t="shared" ref="BA24" si="10">IF(AO24&lt;&gt;"","Missing!","")</f>
        <v/>
      </c>
      <c r="BB24" s="980" t="str">
        <f t="shared" ref="BB24" si="11">IF(AO24&lt;&gt;"","Missing!","")</f>
        <v/>
      </c>
      <c r="BC24" s="976" t="str">
        <f>IF(OR(C24="",H24="",N24="",T24="",W24="",AC24="",AF24="",AH24="",AJ24=""),"",ROUND(T24,4))</f>
        <v/>
      </c>
      <c r="BD24" s="976" t="str">
        <f>IF(OR(C24="",H24="",N24="",T24="",W24="",AC24="",AF24="",AH24="",AJ24=""),"",ROUND(AC24,4))</f>
        <v/>
      </c>
      <c r="BE24" s="978" t="str">
        <f>IF(OR(C24="",H24=""),"",IF(INDEX(CMEMOTOR[EUL],MATCH(H24,CMEMOTOR[Proj Desc 1],0))="","",INDEX(CMEMOTOR[EUL],MATCH(H24,CMEMOTOR[Proj Desc 1],0))))</f>
        <v/>
      </c>
      <c r="BF24" s="980" t="str">
        <f>IF(OR(C24="",H24=""),"",IF(INDEX(CMEMOTOR[End Use Category],MATCH(H24,CMEMOTOR[Proj Desc 1],0))="","",INDEX(CMEMOTOR[End Use Category],MATCH(H24,CMEMOTOR[Proj Desc 1],0))))</f>
        <v/>
      </c>
      <c r="BG24" s="972" t="str">
        <f>IFERROR(IF(OR(C24="",H24="",N24="",T24="",W24="",AC24="",AF24="",AH24="",AJ24=""),"",ROUND(AO24*INDEX(ENDUSEALL[Factor],MATCH(BF24,ENDUSEALL[End Use to Coincident Peak Demand Factors],0)),4)),"")</f>
        <v/>
      </c>
      <c r="BH24" s="1076"/>
      <c r="BI24" s="830" t="str">
        <f t="shared" ref="BI24" si="12">IFERROR(ROUND(AO24*BJ24,2),"")</f>
        <v/>
      </c>
      <c r="BJ24" s="963" t="str">
        <f>_xlfn.LET(_xlpm.ROWS,MATCH(BF24,ENDUSEALL[End Use to Coincident Peak Demand Factors],0),IFERROR(INDEX(IF(AND(ACTIVEBONUS = TRUE,INDEX(ENDUSEALL[Bonus Rate ($/kWh)],_xlpm.ROWS)&lt;&gt;""),ENDUSEALL[Bonus Rate ($/kWh)],ENDUSEALL[Rate ($/kWh)]),_xlpm.ROWS),""))</f>
        <v/>
      </c>
      <c r="BK24" s="963"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965" t="str">
        <f>IF(OR(C24="",H24="",N24="",T24="",W24="",AC24="",AF24="",AH24="",AJ24=""),"",IF(BN24&lt;&gt;"",SPILLOVERNUMBER,INDEX(CMEMOTOR[Measure Number],MATCH(H24,CMEMOTOR[Proj Desc 1],0))))</f>
        <v/>
      </c>
      <c r="BM24" s="966"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967"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830" t="str">
        <f>IFERROR(IF(OR(C24="",H24="",N24="",T24="",W24="",AC24="",AF24="",AH24="",AJ24=""),"",
ROUND(((1+ELOSS)*((AO24*INDEX(ELECCB[NPV AEC $/kWh],MATCH(BE24,ELECCB[Year Number],1)))+(BG24*INDEX(ELECCB[NPV ACC $/kW],MATCH(BE24,ELECCB[Year Number],1))))),2)),0)</f>
        <v/>
      </c>
      <c r="BP24" s="969"/>
    </row>
    <row r="25" spans="1:68" ht="15.95" customHeight="1">
      <c r="A25" s="85"/>
      <c r="B25" s="806"/>
      <c r="C25" s="991"/>
      <c r="D25" s="992"/>
      <c r="E25" s="992"/>
      <c r="F25" s="992"/>
      <c r="G25" s="993"/>
      <c r="H25" s="1015"/>
      <c r="I25" s="1015"/>
      <c r="J25" s="1015"/>
      <c r="K25" s="1015"/>
      <c r="L25" s="1015"/>
      <c r="M25" s="1020"/>
      <c r="N25" s="1026"/>
      <c r="O25" s="992"/>
      <c r="P25" s="992"/>
      <c r="Q25" s="992"/>
      <c r="R25" s="992"/>
      <c r="S25" s="993"/>
      <c r="T25" s="1031"/>
      <c r="U25" s="1125"/>
      <c r="V25" s="1126"/>
      <c r="W25" s="1026"/>
      <c r="X25" s="992"/>
      <c r="Y25" s="992"/>
      <c r="Z25" s="992"/>
      <c r="AA25" s="992"/>
      <c r="AB25" s="993"/>
      <c r="AC25" s="1031"/>
      <c r="AD25" s="1125"/>
      <c r="AE25" s="1126"/>
      <c r="AF25" s="1121"/>
      <c r="AG25" s="1122"/>
      <c r="AH25" s="999"/>
      <c r="AI25" s="999"/>
      <c r="AJ25" s="1062"/>
      <c r="AK25" s="1063"/>
      <c r="AL25" s="1001"/>
      <c r="AM25" s="1002"/>
      <c r="AN25" s="1002"/>
      <c r="AO25" s="1034"/>
      <c r="AP25" s="1034"/>
      <c r="AQ25" s="1034"/>
      <c r="AR25" s="1067"/>
      <c r="AS25" s="1068"/>
      <c r="AT25" s="1068"/>
      <c r="AU25" s="1069"/>
      <c r="AV25" s="44"/>
      <c r="AW25" s="44"/>
      <c r="AX25" s="982"/>
      <c r="AY25" s="982"/>
      <c r="AZ25" s="983"/>
      <c r="BA25" s="986"/>
      <c r="BB25" s="986"/>
      <c r="BC25" s="984"/>
      <c r="BD25" s="984"/>
      <c r="BE25" s="985"/>
      <c r="BF25" s="986"/>
      <c r="BG25" s="970"/>
      <c r="BH25" s="1077"/>
      <c r="BI25" s="831"/>
      <c r="BJ25" s="830"/>
      <c r="BK25" s="830"/>
      <c r="BL25" s="987"/>
      <c r="BM25" s="967"/>
      <c r="BN25" s="983"/>
      <c r="BO25" s="831"/>
      <c r="BP25" s="981"/>
    </row>
    <row r="26" spans="1:68" ht="15.95" customHeight="1">
      <c r="B26" s="806">
        <v>5</v>
      </c>
      <c r="C26" s="988"/>
      <c r="D26" s="989"/>
      <c r="E26" s="989"/>
      <c r="F26" s="989"/>
      <c r="G26" s="990"/>
      <c r="H26" s="1015"/>
      <c r="I26" s="1015"/>
      <c r="J26" s="1015"/>
      <c r="K26" s="1015"/>
      <c r="L26" s="1015"/>
      <c r="M26" s="1020"/>
      <c r="N26" s="1025"/>
      <c r="O26" s="989"/>
      <c r="P26" s="989"/>
      <c r="Q26" s="989"/>
      <c r="R26" s="989"/>
      <c r="S26" s="990"/>
      <c r="T26" s="1029"/>
      <c r="U26" s="1123"/>
      <c r="V26" s="1124"/>
      <c r="W26" s="1025"/>
      <c r="X26" s="989"/>
      <c r="Y26" s="989"/>
      <c r="Z26" s="989"/>
      <c r="AA26" s="989"/>
      <c r="AB26" s="990"/>
      <c r="AC26" s="1029"/>
      <c r="AD26" s="1123"/>
      <c r="AE26" s="1124"/>
      <c r="AF26" s="1121" t="str">
        <f>IFERROR(IF($C26="", "", IF(OR($C26 = "Retrofit existing", $C26 = "Replace in-life equip."), "Total", "Incremental")), "")</f>
        <v/>
      </c>
      <c r="AG26" s="1122"/>
      <c r="AH26" s="999"/>
      <c r="AI26" s="999"/>
      <c r="AJ26" s="1062" t="str">
        <f t="shared" ref="AJ26" si="13">IF(AF26="Incremental",0,"")</f>
        <v/>
      </c>
      <c r="AK26" s="1063"/>
      <c r="AL26" s="1057" t="str">
        <f>IF(OR(C26="",H26="",N26="",T26="",W26="",AC26="",AF26="",AH26="",AJ26=""),"",ROUND(AH26+AJ26,2))</f>
        <v/>
      </c>
      <c r="AM26" s="1058"/>
      <c r="AN26" s="1058"/>
      <c r="AO26" s="1033" t="str">
        <f>IF(OR(C26="",H26="",N26="",T26="",W26="",AC26="",AF26="",AH26="",AJ26=""),"",IF(BC26-BD26&lt;=0,0,ROUND(BC26-BD26,4)))</f>
        <v/>
      </c>
      <c r="AP26" s="1033"/>
      <c r="AQ26" s="1033"/>
      <c r="AR26" s="1064" t="str">
        <f>IF(OR(C26="",H26="",N26="",T26="",W26="",AC26="",AF26="",AH26="",AJ26=""),"",
IF(BN26&lt;&gt;"",BN26,IF(BP26&gt;0,BP26,
IF(AF26="Incremental",
IF(ACTIVEBLOCK="Yes",ROUND(MIN(AL26*INCCOSTCAP,AO26*BLOCKBIDRATE),2),
ROUND(MIN(AL26*INCCOSTCAP,BI26),2)),
IF(ACTIVEBLOCK="Yes",ROUND(MIN(AL26*TOTCOSTCAP,AO26*BLOCKBIDRATE),2),
ROUND(MIN(AL26*TOTCOSTCAP,BI26),2))))))</f>
        <v/>
      </c>
      <c r="AS26" s="1065"/>
      <c r="AT26" s="1065"/>
      <c r="AU26" s="1066"/>
      <c r="AV26" s="44"/>
      <c r="AW26" s="44"/>
      <c r="AX26" s="974" t="str">
        <f>IFERROR(IF(OR(C26="",H26="",N26="",T26="",W26="",AC26="",AF26="",AH26="",AJ26=""),"",
ROUND(((1+ELOSS)*((AO26*INDEX(ELECCB[NPV AEC $/kWh],MATCH(BE26,ELECCB[Year Number],1)))+(BG26*INDEX(ELECCB[NPV ACC $/kW],MATCH(BE26,ELECCB[Year Number],1))))/AL26),2)),0)</f>
        <v/>
      </c>
      <c r="AY26" s="974" t="str">
        <f>IFERROR(AL26/M02S04F06/AO26,"")</f>
        <v/>
      </c>
      <c r="AZ26" s="967" t="str">
        <f>IF(OR(C26="",H26=""),"",INDEX(CMEMOTOR[Unit of Measure],MATCH(H26,CMEMOTOR[Proj Desc 1],0)))</f>
        <v/>
      </c>
      <c r="BA26" s="980" t="str">
        <f t="shared" ref="BA26" si="14">IF(AO26&lt;&gt;"","Missing!","")</f>
        <v/>
      </c>
      <c r="BB26" s="980" t="str">
        <f t="shared" ref="BB26" si="15">IF(AO26&lt;&gt;"","Missing!","")</f>
        <v/>
      </c>
      <c r="BC26" s="976" t="str">
        <f>IF(OR(C26="",H26="",N26="",T26="",W26="",AC26="",AF26="",AH26="",AJ26=""),"",ROUND(T26,4))</f>
        <v/>
      </c>
      <c r="BD26" s="976" t="str">
        <f>IF(OR(C26="",H26="",N26="",T26="",W26="",AC26="",AF26="",AH26="",AJ26=""),"",ROUND(AC26,4))</f>
        <v/>
      </c>
      <c r="BE26" s="978" t="str">
        <f>IF(OR(C26="",H26=""),"",IF(INDEX(CMEMOTOR[EUL],MATCH(H26,CMEMOTOR[Proj Desc 1],0))="","",INDEX(CMEMOTOR[EUL],MATCH(H26,CMEMOTOR[Proj Desc 1],0))))</f>
        <v/>
      </c>
      <c r="BF26" s="980" t="str">
        <f>IF(OR(C26="",H26=""),"",IF(INDEX(CMEMOTOR[End Use Category],MATCH(H26,CMEMOTOR[Proj Desc 1],0))="","",INDEX(CMEMOTOR[End Use Category],MATCH(H26,CMEMOTOR[Proj Desc 1],0))))</f>
        <v/>
      </c>
      <c r="BG26" s="972" t="str">
        <f>IFERROR(IF(OR(C26="",H26="",N26="",T26="",W26="",AC26="",AF26="",AH26="",AJ26=""),"",ROUND(AO26*INDEX(ENDUSEALL[Factor],MATCH(BF26,ENDUSEALL[End Use to Coincident Peak Demand Factors],0)),4)),"")</f>
        <v/>
      </c>
      <c r="BH26" s="1076"/>
      <c r="BI26" s="830" t="str">
        <f t="shared" ref="BI26" si="16">IFERROR(ROUND(AO26*BJ26,2),"")</f>
        <v/>
      </c>
      <c r="BJ26" s="963" t="str">
        <f>_xlfn.LET(_xlpm.ROWS,MATCH(BF26,ENDUSEALL[End Use to Coincident Peak Demand Factors],0),IFERROR(INDEX(IF(AND(ACTIVEBONUS = TRUE,INDEX(ENDUSEALL[Bonus Rate ($/kWh)],_xlpm.ROWS)&lt;&gt;""),ENDUSEALL[Bonus Rate ($/kWh)],ENDUSEALL[Rate ($/kWh)]),_xlpm.ROWS),""))</f>
        <v/>
      </c>
      <c r="BK26" s="963"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965" t="str">
        <f>IF(OR(C26="",H26="",N26="",T26="",W26="",AC26="",AF26="",AH26="",AJ26=""),"",IF(BN26&lt;&gt;"",SPILLOVERNUMBER,INDEX(CMEMOTOR[Measure Number],MATCH(H26,CMEMOTOR[Proj Desc 1],0))))</f>
        <v/>
      </c>
      <c r="BM26" s="966"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967" t="str">
        <f ca="1">IFERROR(IF(EXPIRATION&lt;&gt;"",PROJSTATEXP,
IF(BP26&gt;0,"",
IF(BC26-BD26&lt;=0,MEASURESAVE,
IF(OR(M02S04F06="",M02S04F06="Select Rate Code",M02S04F06=0),MEASURERATE,
IF(AND((ISNUMBER(SEARCH("Other",H26))),OR(BE26="",BF26="")),MEASURESUBMIT,
 IF(PAYCUSE&lt;PAYBACKREQ,PROJECTSTATPAYBACK,
IF(CBCUSE&lt;CBREQ,PROJECTSTATCB,""))))))),MEASURESUBMIT)</f>
        <v>Submit for Review</v>
      </c>
      <c r="BO26" s="830" t="str">
        <f>IFERROR(IF(OR(C26="",H26="",N26="",T26="",W26="",AC26="",AF26="",AH26="",AJ26=""),"",
ROUND(((1+ELOSS)*((AO26*INDEX(ELECCB[NPV AEC $/kWh],MATCH(BE26,ELECCB[Year Number],1)))+(BG26*INDEX(ELECCB[NPV ACC $/kW],MATCH(BE26,ELECCB[Year Number],1))))),2)),0)</f>
        <v/>
      </c>
      <c r="BP26" s="969"/>
    </row>
    <row r="27" spans="1:68" ht="15.95" customHeight="1">
      <c r="B27" s="806"/>
      <c r="C27" s="991"/>
      <c r="D27" s="992"/>
      <c r="E27" s="992"/>
      <c r="F27" s="992"/>
      <c r="G27" s="993"/>
      <c r="H27" s="1015"/>
      <c r="I27" s="1015"/>
      <c r="J27" s="1015"/>
      <c r="K27" s="1015"/>
      <c r="L27" s="1015"/>
      <c r="M27" s="1020"/>
      <c r="N27" s="1026"/>
      <c r="O27" s="992"/>
      <c r="P27" s="992"/>
      <c r="Q27" s="992"/>
      <c r="R27" s="992"/>
      <c r="S27" s="993"/>
      <c r="T27" s="1031"/>
      <c r="U27" s="1125"/>
      <c r="V27" s="1126"/>
      <c r="W27" s="1026"/>
      <c r="X27" s="992"/>
      <c r="Y27" s="992"/>
      <c r="Z27" s="992"/>
      <c r="AA27" s="992"/>
      <c r="AB27" s="993"/>
      <c r="AC27" s="1031"/>
      <c r="AD27" s="1125"/>
      <c r="AE27" s="1126"/>
      <c r="AF27" s="1121"/>
      <c r="AG27" s="1122"/>
      <c r="AH27" s="999"/>
      <c r="AI27" s="999"/>
      <c r="AJ27" s="1062"/>
      <c r="AK27" s="1063"/>
      <c r="AL27" s="1001"/>
      <c r="AM27" s="1002"/>
      <c r="AN27" s="1002"/>
      <c r="AO27" s="1034"/>
      <c r="AP27" s="1034"/>
      <c r="AQ27" s="1034"/>
      <c r="AR27" s="1067"/>
      <c r="AS27" s="1068"/>
      <c r="AT27" s="1068"/>
      <c r="AU27" s="1069"/>
      <c r="AV27" s="44"/>
      <c r="AW27" s="44"/>
      <c r="AX27" s="982"/>
      <c r="AY27" s="982"/>
      <c r="AZ27" s="983"/>
      <c r="BA27" s="986"/>
      <c r="BB27" s="986"/>
      <c r="BC27" s="984"/>
      <c r="BD27" s="984"/>
      <c r="BE27" s="985"/>
      <c r="BF27" s="986"/>
      <c r="BG27" s="970"/>
      <c r="BH27" s="1077"/>
      <c r="BI27" s="831"/>
      <c r="BJ27" s="830"/>
      <c r="BK27" s="830"/>
      <c r="BL27" s="987"/>
      <c r="BM27" s="967"/>
      <c r="BN27" s="983"/>
      <c r="BO27" s="831"/>
      <c r="BP27" s="981"/>
    </row>
    <row r="28" spans="1:68" ht="15.95" customHeight="1">
      <c r="B28" s="806">
        <v>6</v>
      </c>
      <c r="C28" s="988"/>
      <c r="D28" s="989"/>
      <c r="E28" s="989"/>
      <c r="F28" s="989"/>
      <c r="G28" s="990"/>
      <c r="H28" s="1015"/>
      <c r="I28" s="1015"/>
      <c r="J28" s="1015"/>
      <c r="K28" s="1015"/>
      <c r="L28" s="1015"/>
      <c r="M28" s="1020"/>
      <c r="N28" s="1025"/>
      <c r="O28" s="989"/>
      <c r="P28" s="989"/>
      <c r="Q28" s="989"/>
      <c r="R28" s="989"/>
      <c r="S28" s="990"/>
      <c r="T28" s="1029"/>
      <c r="U28" s="1123"/>
      <c r="V28" s="1124"/>
      <c r="W28" s="1025"/>
      <c r="X28" s="989"/>
      <c r="Y28" s="989"/>
      <c r="Z28" s="989"/>
      <c r="AA28" s="989"/>
      <c r="AB28" s="990"/>
      <c r="AC28" s="1029"/>
      <c r="AD28" s="1123"/>
      <c r="AE28" s="1124"/>
      <c r="AF28" s="1121" t="str">
        <f>IFERROR(IF($C28="", "", IF(OR($C28 = "Retrofit existing", $C28 = "Replace in-life equip."), "Total", "Incremental")), "")</f>
        <v/>
      </c>
      <c r="AG28" s="1122"/>
      <c r="AH28" s="999"/>
      <c r="AI28" s="999"/>
      <c r="AJ28" s="1062" t="str">
        <f t="shared" ref="AJ28" si="17">IF(AF28="Incremental",0,"")</f>
        <v/>
      </c>
      <c r="AK28" s="1063"/>
      <c r="AL28" s="1057" t="str">
        <f>IF(OR(C28="",H28="",N28="",T28="",W28="",AC28="",AF28="",AH28="",AJ28=""),"",ROUND(AH28+AJ28,2))</f>
        <v/>
      </c>
      <c r="AM28" s="1058"/>
      <c r="AN28" s="1058"/>
      <c r="AO28" s="1033" t="str">
        <f>IF(OR(C28="",H28="",N28="",T28="",W28="",AC28="",AF28="",AH28="",AJ28=""),"",IF(BC28-BD28&lt;=0,0,ROUND(BC28-BD28,4)))</f>
        <v/>
      </c>
      <c r="AP28" s="1033"/>
      <c r="AQ28" s="1033"/>
      <c r="AR28" s="1064" t="str">
        <f>IF(OR(C28="",H28="",N28="",T28="",W28="",AC28="",AF28="",AH28="",AJ28=""),"",
IF(BN28&lt;&gt;"",BN28,IF(BP28&gt;0,BP28,
IF(AF28="Incremental",
IF(ACTIVEBLOCK="Yes",ROUND(MIN(AL28*INCCOSTCAP,AO28*BLOCKBIDRATE),2),
ROUND(MIN(AL28*INCCOSTCAP,BI28),2)),
IF(ACTIVEBLOCK="Yes",ROUND(MIN(AL28*TOTCOSTCAP,AO28*BLOCKBIDRATE),2),
ROUND(MIN(AL28*TOTCOSTCAP,BI28),2))))))</f>
        <v/>
      </c>
      <c r="AS28" s="1065"/>
      <c r="AT28" s="1065"/>
      <c r="AU28" s="1066"/>
      <c r="AV28" s="44"/>
      <c r="AW28" s="44"/>
      <c r="AX28" s="974" t="str">
        <f>IFERROR(IF(OR(C28="",H28="",N28="",T28="",W28="",AC28="",AF28="",AH28="",AJ28=""),"",
ROUND(((1+ELOSS)*((AO28*INDEX(ELECCB[NPV AEC $/kWh],MATCH(BE28,ELECCB[Year Number],1)))+(BG28*INDEX(ELECCB[NPV ACC $/kW],MATCH(BE28,ELECCB[Year Number],1))))/AL28),2)),0)</f>
        <v/>
      </c>
      <c r="AY28" s="974" t="str">
        <f>IFERROR(AL28/M02S04F06/AO28,"")</f>
        <v/>
      </c>
      <c r="AZ28" s="967" t="str">
        <f>IF(OR(C28="",H28=""),"",INDEX(CMEMOTOR[Unit of Measure],MATCH(H28,CMEMOTOR[Proj Desc 1],0)))</f>
        <v/>
      </c>
      <c r="BA28" s="980" t="str">
        <f t="shared" ref="BA28" si="18">IF(AO28&lt;&gt;"","Missing!","")</f>
        <v/>
      </c>
      <c r="BB28" s="980" t="str">
        <f t="shared" ref="BB28" si="19">IF(AO28&lt;&gt;"","Missing!","")</f>
        <v/>
      </c>
      <c r="BC28" s="976" t="str">
        <f>IF(OR(C28="",H28="",N28="",T28="",W28="",AC28="",AF28="",AH28="",AJ28=""),"",ROUND(T28,4))</f>
        <v/>
      </c>
      <c r="BD28" s="976" t="str">
        <f>IF(OR(C28="",H28="",N28="",T28="",W28="",AC28="",AF28="",AH28="",AJ28=""),"",ROUND(AC28,4))</f>
        <v/>
      </c>
      <c r="BE28" s="978" t="str">
        <f>IF(OR(C28="",H28=""),"",IF(INDEX(CMEMOTOR[EUL],MATCH(H28,CMEMOTOR[Proj Desc 1],0))="","",INDEX(CMEMOTOR[EUL],MATCH(H28,CMEMOTOR[Proj Desc 1],0))))</f>
        <v/>
      </c>
      <c r="BF28" s="980" t="str">
        <f>IF(OR(C28="",H28=""),"",IF(INDEX(CMEMOTOR[End Use Category],MATCH(H28,CMEMOTOR[Proj Desc 1],0))="","",INDEX(CMEMOTOR[End Use Category],MATCH(H28,CMEMOTOR[Proj Desc 1],0))))</f>
        <v/>
      </c>
      <c r="BG28" s="972" t="str">
        <f>IFERROR(IF(OR(C28="",H28="",N28="",T28="",W28="",AC28="",AF28="",AH28="",AJ28=""),"",ROUND(AO28*INDEX(ENDUSEALL[Factor],MATCH(BF28,ENDUSEALL[End Use to Coincident Peak Demand Factors],0)),4)),"")</f>
        <v/>
      </c>
      <c r="BH28" s="1076"/>
      <c r="BI28" s="830" t="str">
        <f t="shared" ref="BI28" si="20">IFERROR(ROUND(AO28*BJ28,2),"")</f>
        <v/>
      </c>
      <c r="BJ28" s="963" t="str">
        <f>_xlfn.LET(_xlpm.ROWS,MATCH(BF28,ENDUSEALL[End Use to Coincident Peak Demand Factors],0),IFERROR(INDEX(IF(AND(ACTIVEBONUS = TRUE,INDEX(ENDUSEALL[Bonus Rate ($/kWh)],_xlpm.ROWS)&lt;&gt;""),ENDUSEALL[Bonus Rate ($/kWh)],ENDUSEALL[Rate ($/kWh)]),_xlpm.ROWS),""))</f>
        <v/>
      </c>
      <c r="BK28" s="963"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965" t="str">
        <f>IF(OR(C28="",H28="",N28="",T28="",W28="",AC28="",AF28="",AH28="",AJ28=""),"",IF(BN28&lt;&gt;"",SPILLOVERNUMBER,INDEX(CMEMOTOR[Measure Number],MATCH(H28,CMEMOTOR[Proj Desc 1],0))))</f>
        <v/>
      </c>
      <c r="BM28" s="966"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967" t="str">
        <f ca="1">IFERROR(IF(EXPIRATION&lt;&gt;"",PROJSTATEXP,
IF(BP28&gt;0,"",
IF(BC28-BD28&lt;=0,MEASURESAVE,
IF(OR(M02S04F06="",M02S04F06="Select Rate Code",M02S04F06=0),MEASURERATE,
IF(AND((ISNUMBER(SEARCH("Other",H28))),OR(BE28="",BF28="")),MEASURESUBMIT,
 IF(PAYCUSE&lt;PAYBACKREQ,PROJECTSTATPAYBACK,
IF(CBCUSE&lt;CBREQ,PROJECTSTATCB,""))))))),MEASURESUBMIT)</f>
        <v>Submit for Review</v>
      </c>
      <c r="BO28" s="830" t="str">
        <f>IFERROR(IF(OR(C28="",H28="",N28="",T28="",W28="",AC28="",AF28="",AH28="",AJ28=""),"",
ROUND(((1+ELOSS)*((AO28*INDEX(ELECCB[NPV AEC $/kWh],MATCH(BE28,ELECCB[Year Number],1)))+(BG28*INDEX(ELECCB[NPV ACC $/kW],MATCH(BE28,ELECCB[Year Number],1))))),2)),0)</f>
        <v/>
      </c>
      <c r="BP28" s="969"/>
    </row>
    <row r="29" spans="1:68" ht="15.95" customHeight="1">
      <c r="B29" s="806"/>
      <c r="C29" s="991"/>
      <c r="D29" s="992"/>
      <c r="E29" s="992"/>
      <c r="F29" s="992"/>
      <c r="G29" s="993"/>
      <c r="H29" s="1015"/>
      <c r="I29" s="1015"/>
      <c r="J29" s="1015"/>
      <c r="K29" s="1015"/>
      <c r="L29" s="1015"/>
      <c r="M29" s="1020"/>
      <c r="N29" s="1026"/>
      <c r="O29" s="992"/>
      <c r="P29" s="992"/>
      <c r="Q29" s="992"/>
      <c r="R29" s="992"/>
      <c r="S29" s="993"/>
      <c r="T29" s="1031"/>
      <c r="U29" s="1125"/>
      <c r="V29" s="1126"/>
      <c r="W29" s="1026"/>
      <c r="X29" s="992"/>
      <c r="Y29" s="992"/>
      <c r="Z29" s="992"/>
      <c r="AA29" s="992"/>
      <c r="AB29" s="993"/>
      <c r="AC29" s="1031"/>
      <c r="AD29" s="1125"/>
      <c r="AE29" s="1126"/>
      <c r="AF29" s="1121"/>
      <c r="AG29" s="1122"/>
      <c r="AH29" s="999"/>
      <c r="AI29" s="999"/>
      <c r="AJ29" s="1062"/>
      <c r="AK29" s="1063"/>
      <c r="AL29" s="1001"/>
      <c r="AM29" s="1002"/>
      <c r="AN29" s="1002"/>
      <c r="AO29" s="1034"/>
      <c r="AP29" s="1034"/>
      <c r="AQ29" s="1034"/>
      <c r="AR29" s="1067"/>
      <c r="AS29" s="1068"/>
      <c r="AT29" s="1068"/>
      <c r="AU29" s="1069"/>
      <c r="AV29" s="44"/>
      <c r="AW29" s="44"/>
      <c r="AX29" s="982"/>
      <c r="AY29" s="982"/>
      <c r="AZ29" s="983"/>
      <c r="BA29" s="986"/>
      <c r="BB29" s="986"/>
      <c r="BC29" s="984"/>
      <c r="BD29" s="984"/>
      <c r="BE29" s="985"/>
      <c r="BF29" s="986"/>
      <c r="BG29" s="970"/>
      <c r="BH29" s="1077"/>
      <c r="BI29" s="831"/>
      <c r="BJ29" s="830"/>
      <c r="BK29" s="830"/>
      <c r="BL29" s="987"/>
      <c r="BM29" s="967"/>
      <c r="BN29" s="983"/>
      <c r="BO29" s="831"/>
      <c r="BP29" s="981"/>
    </row>
    <row r="30" spans="1:68" ht="15.95" customHeight="1">
      <c r="B30" s="806">
        <v>7</v>
      </c>
      <c r="C30" s="988"/>
      <c r="D30" s="989"/>
      <c r="E30" s="989"/>
      <c r="F30" s="989"/>
      <c r="G30" s="990"/>
      <c r="H30" s="1015"/>
      <c r="I30" s="1015"/>
      <c r="J30" s="1015"/>
      <c r="K30" s="1015"/>
      <c r="L30" s="1015"/>
      <c r="M30" s="1020"/>
      <c r="N30" s="1025"/>
      <c r="O30" s="989"/>
      <c r="P30" s="989"/>
      <c r="Q30" s="989"/>
      <c r="R30" s="989"/>
      <c r="S30" s="990"/>
      <c r="T30" s="1029"/>
      <c r="U30" s="1123"/>
      <c r="V30" s="1124"/>
      <c r="W30" s="1025"/>
      <c r="X30" s="989"/>
      <c r="Y30" s="989"/>
      <c r="Z30" s="989"/>
      <c r="AA30" s="989"/>
      <c r="AB30" s="990"/>
      <c r="AC30" s="1029"/>
      <c r="AD30" s="1123"/>
      <c r="AE30" s="1124"/>
      <c r="AF30" s="1121" t="str">
        <f>IFERROR(IF($C30="", "", IF(OR($C30 = "Retrofit existing", $C30 = "Replace in-life equip."), "Total", "Incremental")), "")</f>
        <v/>
      </c>
      <c r="AG30" s="1122"/>
      <c r="AH30" s="999"/>
      <c r="AI30" s="999"/>
      <c r="AJ30" s="1062" t="str">
        <f t="shared" ref="AJ30" si="21">IF(AF30="Incremental",0,"")</f>
        <v/>
      </c>
      <c r="AK30" s="1063"/>
      <c r="AL30" s="1057" t="str">
        <f>IF(OR(C30="",H30="",N30="",T30="",W30="",AC30="",AF30="",AH30="",AJ30=""),"",ROUND(AH30+AJ30,2))</f>
        <v/>
      </c>
      <c r="AM30" s="1058"/>
      <c r="AN30" s="1058"/>
      <c r="AO30" s="1033" t="str">
        <f>IF(OR(C30="",H30="",N30="",T30="",W30="",AC30="",AF30="",AH30="",AJ30=""),"",IF(BC30-BD30&lt;=0,0,ROUND(BC30-BD30,4)))</f>
        <v/>
      </c>
      <c r="AP30" s="1033"/>
      <c r="AQ30" s="1033"/>
      <c r="AR30" s="1064" t="str">
        <f>IF(OR(C30="",H30="",N30="",T30="",W30="",AC30="",AF30="",AH30="",AJ30=""),"",
IF(BN30&lt;&gt;"",BN30,IF(BP30&gt;0,BP30,
IF(AF30="Incremental",
IF(ACTIVEBLOCK="Yes",ROUND(MIN(AL30*INCCOSTCAP,AO30*BLOCKBIDRATE),2),
ROUND(MIN(AL30*INCCOSTCAP,BI30),2)),
IF(ACTIVEBLOCK="Yes",ROUND(MIN(AL30*TOTCOSTCAP,AO30*BLOCKBIDRATE),2),
ROUND(MIN(AL30*TOTCOSTCAP,BI30),2))))))</f>
        <v/>
      </c>
      <c r="AS30" s="1065"/>
      <c r="AT30" s="1065"/>
      <c r="AU30" s="1066"/>
      <c r="AV30" s="44"/>
      <c r="AW30" s="44"/>
      <c r="AX30" s="974" t="str">
        <f>IFERROR(IF(OR(C30="",H30="",N30="",T30="",W30="",AC30="",AF30="",AH30="",AJ30=""),"",
ROUND(((1+ELOSS)*((AO30*INDEX(ELECCB[NPV AEC $/kWh],MATCH(BE30,ELECCB[Year Number],1)))+(BG30*INDEX(ELECCB[NPV ACC $/kW],MATCH(BE30,ELECCB[Year Number],1))))/AL30),2)),0)</f>
        <v/>
      </c>
      <c r="AY30" s="974" t="str">
        <f>IFERROR(AL30/M02S04F06/AO30,"")</f>
        <v/>
      </c>
      <c r="AZ30" s="967" t="str">
        <f>IF(OR(C30="",H30=""),"",INDEX(CMEMOTOR[Unit of Measure],MATCH(H30,CMEMOTOR[Proj Desc 1],0)))</f>
        <v/>
      </c>
      <c r="BA30" s="980" t="str">
        <f t="shared" ref="BA30" si="22">IF(AO30&lt;&gt;"","Missing!","")</f>
        <v/>
      </c>
      <c r="BB30" s="980" t="str">
        <f t="shared" ref="BB30" si="23">IF(AO30&lt;&gt;"","Missing!","")</f>
        <v/>
      </c>
      <c r="BC30" s="976" t="str">
        <f>IF(OR(C30="",H30="",N30="",T30="",W30="",AC30="",AF30="",AH30="",AJ30=""),"",ROUND(T30,4))</f>
        <v/>
      </c>
      <c r="BD30" s="976" t="str">
        <f>IF(OR(C30="",H30="",N30="",T30="",W30="",AC30="",AF30="",AH30="",AJ30=""),"",ROUND(AC30,4))</f>
        <v/>
      </c>
      <c r="BE30" s="978" t="str">
        <f>IF(OR(C30="",H30=""),"",IF(INDEX(CMEMOTOR[EUL],MATCH(H30,CMEMOTOR[Proj Desc 1],0))="","",INDEX(CMEMOTOR[EUL],MATCH(H30,CMEMOTOR[Proj Desc 1],0))))</f>
        <v/>
      </c>
      <c r="BF30" s="980" t="str">
        <f>IF(OR(C30="",H30=""),"",IF(INDEX(CMEMOTOR[End Use Category],MATCH(H30,CMEMOTOR[Proj Desc 1],0))="","",INDEX(CMEMOTOR[End Use Category],MATCH(H30,CMEMOTOR[Proj Desc 1],0))))</f>
        <v/>
      </c>
      <c r="BG30" s="972" t="str">
        <f>IFERROR(IF(OR(C30="",H30="",N30="",T30="",W30="",AC30="",AF30="",AH30="",AJ30=""),"",ROUND(AO30*INDEX(ENDUSEALL[Factor],MATCH(BF30,ENDUSEALL[End Use to Coincident Peak Demand Factors],0)),4)),"")</f>
        <v/>
      </c>
      <c r="BH30" s="1076"/>
      <c r="BI30" s="830" t="str">
        <f t="shared" ref="BI30" si="24">IFERROR(ROUND(AO30*BJ30,2),"")</f>
        <v/>
      </c>
      <c r="BJ30" s="963" t="str">
        <f>_xlfn.LET(_xlpm.ROWS,MATCH(BF30,ENDUSEALL[End Use to Coincident Peak Demand Factors],0),IFERROR(INDEX(IF(AND(ACTIVEBONUS = TRUE,INDEX(ENDUSEALL[Bonus Rate ($/kWh)],_xlpm.ROWS)&lt;&gt;""),ENDUSEALL[Bonus Rate ($/kWh)],ENDUSEALL[Rate ($/kWh)]),_xlpm.ROWS),""))</f>
        <v/>
      </c>
      <c r="BK30" s="963"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965" t="str">
        <f>IF(OR(C30="",H30="",N30="",T30="",W30="",AC30="",AF30="",AH30="",AJ30=""),"",IF(BN30&lt;&gt;"",SPILLOVERNUMBER,INDEX(CMEMOTOR[Measure Number],MATCH(H30,CMEMOTOR[Proj Desc 1],0))))</f>
        <v/>
      </c>
      <c r="BM30" s="966"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967" t="str">
        <f ca="1">IFERROR(IF(EXPIRATION&lt;&gt;"",PROJSTATEXP,
IF(BP30&gt;0,"",
IF(BC30-BD30&lt;=0,MEASURESAVE,
IF(OR(M02S04F06="",M02S04F06="Select Rate Code",M02S04F06=0),MEASURERATE,
IF(AND((ISNUMBER(SEARCH("Other",H30))),OR(BE30="",BF30="")),MEASURESUBMIT,
 IF(PAYCUSE&lt;PAYBACKREQ,PROJECTSTATPAYBACK,
IF(CBCUSE&lt;CBREQ,PROJECTSTATCB,""))))))),MEASURESUBMIT)</f>
        <v>Submit for Review</v>
      </c>
      <c r="BO30" s="830" t="str">
        <f>IFERROR(IF(OR(C30="",H30="",N30="",T30="",W30="",AC30="",AF30="",AH30="",AJ30=""),"",
ROUND(((1+ELOSS)*((AO30*INDEX(ELECCB[NPV AEC $/kWh],MATCH(BE30,ELECCB[Year Number],1)))+(BG30*INDEX(ELECCB[NPV ACC $/kW],MATCH(BE30,ELECCB[Year Number],1))))),2)),0)</f>
        <v/>
      </c>
      <c r="BP30" s="969"/>
    </row>
    <row r="31" spans="1:68" ht="15.95" customHeight="1">
      <c r="B31" s="806"/>
      <c r="C31" s="991"/>
      <c r="D31" s="992"/>
      <c r="E31" s="992"/>
      <c r="F31" s="992"/>
      <c r="G31" s="993"/>
      <c r="H31" s="1015"/>
      <c r="I31" s="1015"/>
      <c r="J31" s="1015"/>
      <c r="K31" s="1015"/>
      <c r="L31" s="1015"/>
      <c r="M31" s="1020"/>
      <c r="N31" s="1026"/>
      <c r="O31" s="992"/>
      <c r="P31" s="992"/>
      <c r="Q31" s="992"/>
      <c r="R31" s="992"/>
      <c r="S31" s="993"/>
      <c r="T31" s="1031"/>
      <c r="U31" s="1125"/>
      <c r="V31" s="1126"/>
      <c r="W31" s="1026"/>
      <c r="X31" s="992"/>
      <c r="Y31" s="992"/>
      <c r="Z31" s="992"/>
      <c r="AA31" s="992"/>
      <c r="AB31" s="993"/>
      <c r="AC31" s="1031"/>
      <c r="AD31" s="1125"/>
      <c r="AE31" s="1126"/>
      <c r="AF31" s="1121"/>
      <c r="AG31" s="1122"/>
      <c r="AH31" s="999"/>
      <c r="AI31" s="999"/>
      <c r="AJ31" s="1062"/>
      <c r="AK31" s="1063"/>
      <c r="AL31" s="1001"/>
      <c r="AM31" s="1002"/>
      <c r="AN31" s="1002"/>
      <c r="AO31" s="1034"/>
      <c r="AP31" s="1034"/>
      <c r="AQ31" s="1034"/>
      <c r="AR31" s="1067"/>
      <c r="AS31" s="1068"/>
      <c r="AT31" s="1068"/>
      <c r="AU31" s="1069"/>
      <c r="AV31" s="44"/>
      <c r="AW31" s="44"/>
      <c r="AX31" s="982"/>
      <c r="AY31" s="982"/>
      <c r="AZ31" s="983"/>
      <c r="BA31" s="986"/>
      <c r="BB31" s="986"/>
      <c r="BC31" s="984"/>
      <c r="BD31" s="984"/>
      <c r="BE31" s="985"/>
      <c r="BF31" s="986"/>
      <c r="BG31" s="970"/>
      <c r="BH31" s="1077"/>
      <c r="BI31" s="831"/>
      <c r="BJ31" s="830"/>
      <c r="BK31" s="830"/>
      <c r="BL31" s="987"/>
      <c r="BM31" s="967"/>
      <c r="BN31" s="983"/>
      <c r="BO31" s="831"/>
      <c r="BP31" s="981"/>
    </row>
    <row r="32" spans="1:68" ht="15.95" customHeight="1">
      <c r="B32" s="806">
        <v>8</v>
      </c>
      <c r="C32" s="988"/>
      <c r="D32" s="989"/>
      <c r="E32" s="989"/>
      <c r="F32" s="989"/>
      <c r="G32" s="990"/>
      <c r="H32" s="1015"/>
      <c r="I32" s="1015"/>
      <c r="J32" s="1015"/>
      <c r="K32" s="1015"/>
      <c r="L32" s="1015"/>
      <c r="M32" s="1020"/>
      <c r="N32" s="1025"/>
      <c r="O32" s="989"/>
      <c r="P32" s="989"/>
      <c r="Q32" s="989"/>
      <c r="R32" s="989"/>
      <c r="S32" s="990"/>
      <c r="T32" s="1029"/>
      <c r="U32" s="1123"/>
      <c r="V32" s="1124"/>
      <c r="W32" s="1025"/>
      <c r="X32" s="989"/>
      <c r="Y32" s="989"/>
      <c r="Z32" s="989"/>
      <c r="AA32" s="989"/>
      <c r="AB32" s="990"/>
      <c r="AC32" s="1029"/>
      <c r="AD32" s="1123"/>
      <c r="AE32" s="1124"/>
      <c r="AF32" s="1121" t="str">
        <f>IFERROR(IF($C32="", "", IF(OR($C32 = "Retrofit existing", $C32 = "Replace in-life equip."), "Total", "Incremental")), "")</f>
        <v/>
      </c>
      <c r="AG32" s="1122"/>
      <c r="AH32" s="999"/>
      <c r="AI32" s="999"/>
      <c r="AJ32" s="1062" t="str">
        <f t="shared" ref="AJ32" si="25">IF(AF32="Incremental",0,"")</f>
        <v/>
      </c>
      <c r="AK32" s="1063"/>
      <c r="AL32" s="1057" t="str">
        <f>IF(OR(C32="",H32="",N32="",T32="",W32="",AC32="",AF32="",AH32="",AJ32=""),"",ROUND(AH32+AJ32,2))</f>
        <v/>
      </c>
      <c r="AM32" s="1058"/>
      <c r="AN32" s="1058"/>
      <c r="AO32" s="1033" t="str">
        <f>IF(OR(C32="",H32="",N32="",T32="",W32="",AC32="",AF32="",AH32="",AJ32=""),"",IF(BC32-BD32&lt;=0,0,ROUND(BC32-BD32,4)))</f>
        <v/>
      </c>
      <c r="AP32" s="1033"/>
      <c r="AQ32" s="1033"/>
      <c r="AR32" s="1064" t="str">
        <f>IF(OR(C32="",H32="",N32="",T32="",W32="",AC32="",AF32="",AH32="",AJ32=""),"",
IF(BN32&lt;&gt;"",BN32,IF(BP32&gt;0,BP32,
IF(AF32="Incremental",
IF(ACTIVEBLOCK="Yes",ROUND(MIN(AL32*INCCOSTCAP,AO32*BLOCKBIDRATE),2),
ROUND(MIN(AL32*INCCOSTCAP,BI32),2)),
IF(ACTIVEBLOCK="Yes",ROUND(MIN(AL32*TOTCOSTCAP,AO32*BLOCKBIDRATE),2),
ROUND(MIN(AL32*TOTCOSTCAP,BI32),2))))))</f>
        <v/>
      </c>
      <c r="AS32" s="1065"/>
      <c r="AT32" s="1065"/>
      <c r="AU32" s="1066"/>
      <c r="AV32" s="44"/>
      <c r="AW32" s="44"/>
      <c r="AX32" s="974" t="str">
        <f>IFERROR(IF(OR(C32="",H32="",N32="",T32="",W32="",AC32="",AF32="",AH32="",AJ32=""),"",
ROUND(((1+ELOSS)*((AO32*INDEX(ELECCB[NPV AEC $/kWh],MATCH(BE32,ELECCB[Year Number],1)))+(BG32*INDEX(ELECCB[NPV ACC $/kW],MATCH(BE32,ELECCB[Year Number],1))))/AL32),2)),0)</f>
        <v/>
      </c>
      <c r="AY32" s="974" t="str">
        <f>IFERROR(AL32/M02S04F06/AO32,"")</f>
        <v/>
      </c>
      <c r="AZ32" s="967" t="str">
        <f>IF(OR(C32="",H32=""),"",INDEX(CMEMOTOR[Unit of Measure],MATCH(H32,CMEMOTOR[Proj Desc 1],0)))</f>
        <v/>
      </c>
      <c r="BA32" s="980" t="str">
        <f t="shared" ref="BA32" si="26">IF(AO32&lt;&gt;"","Missing!","")</f>
        <v/>
      </c>
      <c r="BB32" s="980" t="str">
        <f t="shared" ref="BB32" si="27">IF(AO32&lt;&gt;"","Missing!","")</f>
        <v/>
      </c>
      <c r="BC32" s="976" t="str">
        <f>IF(OR(C32="",H32="",N32="",T32="",W32="",AC32="",AF32="",AH32="",AJ32=""),"",ROUND(T32,4))</f>
        <v/>
      </c>
      <c r="BD32" s="976" t="str">
        <f>IF(OR(C32="",H32="",N32="",T32="",W32="",AC32="",AF32="",AH32="",AJ32=""),"",ROUND(AC32,4))</f>
        <v/>
      </c>
      <c r="BE32" s="978" t="str">
        <f>IF(OR(C32="",H32=""),"",IF(INDEX(CMEMOTOR[EUL],MATCH(H32,CMEMOTOR[Proj Desc 1],0))="","",INDEX(CMEMOTOR[EUL],MATCH(H32,CMEMOTOR[Proj Desc 1],0))))</f>
        <v/>
      </c>
      <c r="BF32" s="980" t="str">
        <f>IF(OR(C32="",H32=""),"",IF(INDEX(CMEMOTOR[End Use Category],MATCH(H32,CMEMOTOR[Proj Desc 1],0))="","",INDEX(CMEMOTOR[End Use Category],MATCH(H32,CMEMOTOR[Proj Desc 1],0))))</f>
        <v/>
      </c>
      <c r="BG32" s="972" t="str">
        <f>IFERROR(IF(OR(C32="",H32="",N32="",T32="",W32="",AC32="",AF32="",AH32="",AJ32=""),"",ROUND(AO32*INDEX(ENDUSEALL[Factor],MATCH(BF32,ENDUSEALL[End Use to Coincident Peak Demand Factors],0)),4)),"")</f>
        <v/>
      </c>
      <c r="BH32" s="1076"/>
      <c r="BI32" s="830" t="str">
        <f t="shared" ref="BI32" si="28">IFERROR(ROUND(AO32*BJ32,2),"")</f>
        <v/>
      </c>
      <c r="BJ32" s="963" t="str">
        <f>_xlfn.LET(_xlpm.ROWS,MATCH(BF32,ENDUSEALL[End Use to Coincident Peak Demand Factors],0),IFERROR(INDEX(IF(AND(ACTIVEBONUS = TRUE,INDEX(ENDUSEALL[Bonus Rate ($/kWh)],_xlpm.ROWS)&lt;&gt;""),ENDUSEALL[Bonus Rate ($/kWh)],ENDUSEALL[Rate ($/kWh)]),_xlpm.ROWS),""))</f>
        <v/>
      </c>
      <c r="BK32" s="963"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965" t="str">
        <f>IF(OR(C32="",H32="",N32="",T32="",W32="",AC32="",AF32="",AH32="",AJ32=""),"",IF(BN32&lt;&gt;"",SPILLOVERNUMBER,INDEX(CMEMOTOR[Measure Number],MATCH(H32,CMEMOTOR[Proj Desc 1],0))))</f>
        <v/>
      </c>
      <c r="BM32" s="966"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967" t="str">
        <f ca="1">IFERROR(IF(EXPIRATION&lt;&gt;"",PROJSTATEXP,
IF(BP32&gt;0,"",
IF(BC32-BD32&lt;=0,MEASURESAVE,
IF(OR(M02S04F06="",M02S04F06="Select Rate Code",M02S04F06=0),MEASURERATE,
IF(AND((ISNUMBER(SEARCH("Other",H32))),OR(BE32="",BF32="")),MEASURESUBMIT,
 IF(PAYCUSE&lt;PAYBACKREQ,PROJECTSTATPAYBACK,
IF(CBCUSE&lt;CBREQ,PROJECTSTATCB,""))))))),MEASURESUBMIT)</f>
        <v>Submit for Review</v>
      </c>
      <c r="BO32" s="830" t="str">
        <f>IFERROR(IF(OR(C32="",H32="",N32="",T32="",W32="",AC32="",AF32="",AH32="",AJ32=""),"",
ROUND(((1+ELOSS)*((AO32*INDEX(ELECCB[NPV AEC $/kWh],MATCH(BE32,ELECCB[Year Number],1)))+(BG32*INDEX(ELECCB[NPV ACC $/kW],MATCH(BE32,ELECCB[Year Number],1))))),2)),0)</f>
        <v/>
      </c>
      <c r="BP32" s="969"/>
    </row>
    <row r="33" spans="2:68" ht="15.95" customHeight="1">
      <c r="B33" s="806"/>
      <c r="C33" s="991"/>
      <c r="D33" s="992"/>
      <c r="E33" s="992"/>
      <c r="F33" s="992"/>
      <c r="G33" s="993"/>
      <c r="H33" s="1015"/>
      <c r="I33" s="1015"/>
      <c r="J33" s="1015"/>
      <c r="K33" s="1015"/>
      <c r="L33" s="1015"/>
      <c r="M33" s="1020"/>
      <c r="N33" s="1026"/>
      <c r="O33" s="992"/>
      <c r="P33" s="992"/>
      <c r="Q33" s="992"/>
      <c r="R33" s="992"/>
      <c r="S33" s="993"/>
      <c r="T33" s="1031"/>
      <c r="U33" s="1125"/>
      <c r="V33" s="1126"/>
      <c r="W33" s="1026"/>
      <c r="X33" s="992"/>
      <c r="Y33" s="992"/>
      <c r="Z33" s="992"/>
      <c r="AA33" s="992"/>
      <c r="AB33" s="993"/>
      <c r="AC33" s="1031"/>
      <c r="AD33" s="1125"/>
      <c r="AE33" s="1126"/>
      <c r="AF33" s="1121"/>
      <c r="AG33" s="1122"/>
      <c r="AH33" s="999"/>
      <c r="AI33" s="999"/>
      <c r="AJ33" s="1062"/>
      <c r="AK33" s="1063"/>
      <c r="AL33" s="1001"/>
      <c r="AM33" s="1002"/>
      <c r="AN33" s="1002"/>
      <c r="AO33" s="1034"/>
      <c r="AP33" s="1034"/>
      <c r="AQ33" s="1034"/>
      <c r="AR33" s="1067"/>
      <c r="AS33" s="1068"/>
      <c r="AT33" s="1068"/>
      <c r="AU33" s="1069"/>
      <c r="AV33" s="44"/>
      <c r="AW33" s="44"/>
      <c r="AX33" s="982"/>
      <c r="AY33" s="982"/>
      <c r="AZ33" s="983"/>
      <c r="BA33" s="986"/>
      <c r="BB33" s="986"/>
      <c r="BC33" s="984"/>
      <c r="BD33" s="984"/>
      <c r="BE33" s="985"/>
      <c r="BF33" s="986"/>
      <c r="BG33" s="970"/>
      <c r="BH33" s="1077"/>
      <c r="BI33" s="831"/>
      <c r="BJ33" s="830"/>
      <c r="BK33" s="830"/>
      <c r="BL33" s="987"/>
      <c r="BM33" s="967"/>
      <c r="BN33" s="983"/>
      <c r="BO33" s="831"/>
      <c r="BP33" s="981"/>
    </row>
    <row r="34" spans="2:68" ht="15.95" customHeight="1">
      <c r="B34" s="806">
        <v>9</v>
      </c>
      <c r="C34" s="988"/>
      <c r="D34" s="989"/>
      <c r="E34" s="989"/>
      <c r="F34" s="989"/>
      <c r="G34" s="990"/>
      <c r="H34" s="1015"/>
      <c r="I34" s="1015"/>
      <c r="J34" s="1015"/>
      <c r="K34" s="1015"/>
      <c r="L34" s="1015"/>
      <c r="M34" s="1020"/>
      <c r="N34" s="1025"/>
      <c r="O34" s="989"/>
      <c r="P34" s="989"/>
      <c r="Q34" s="989"/>
      <c r="R34" s="989"/>
      <c r="S34" s="990"/>
      <c r="T34" s="1029"/>
      <c r="U34" s="1123"/>
      <c r="V34" s="1124"/>
      <c r="W34" s="1025"/>
      <c r="X34" s="989"/>
      <c r="Y34" s="989"/>
      <c r="Z34" s="989"/>
      <c r="AA34" s="989"/>
      <c r="AB34" s="990"/>
      <c r="AC34" s="1029"/>
      <c r="AD34" s="1123"/>
      <c r="AE34" s="1124"/>
      <c r="AF34" s="1121" t="str">
        <f>IFERROR(IF($C34="", "", IF(OR($C34 = "Retrofit existing", $C34 = "Replace in-life equip."), "Total", "Incremental")), "")</f>
        <v/>
      </c>
      <c r="AG34" s="1122"/>
      <c r="AH34" s="999"/>
      <c r="AI34" s="999"/>
      <c r="AJ34" s="1062" t="str">
        <f t="shared" ref="AJ34" si="29">IF(AF34="Incremental",0,"")</f>
        <v/>
      </c>
      <c r="AK34" s="1063"/>
      <c r="AL34" s="1057" t="str">
        <f>IF(OR(C34="",H34="",N34="",T34="",W34="",AC34="",AF34="",AH34="",AJ34=""),"",ROUND(AH34+AJ34,2))</f>
        <v/>
      </c>
      <c r="AM34" s="1058"/>
      <c r="AN34" s="1058"/>
      <c r="AO34" s="1033" t="str">
        <f>IF(OR(C34="",H34="",N34="",T34="",W34="",AC34="",AF34="",AH34="",AJ34=""),"",IF(BC34-BD34&lt;=0,0,ROUND(BC34-BD34,4)))</f>
        <v/>
      </c>
      <c r="AP34" s="1033"/>
      <c r="AQ34" s="1033"/>
      <c r="AR34" s="1064" t="str">
        <f>IF(OR(C34="",H34="",N34="",T34="",W34="",AC34="",AF34="",AH34="",AJ34=""),"",
IF(BN34&lt;&gt;"",BN34,IF(BP34&gt;0,BP34,
IF(AF34="Incremental",
IF(ACTIVEBLOCK="Yes",ROUND(MIN(AL34*INCCOSTCAP,AO34*BLOCKBIDRATE),2),
ROUND(MIN(AL34*INCCOSTCAP,BI34),2)),
IF(ACTIVEBLOCK="Yes",ROUND(MIN(AL34*TOTCOSTCAP,AO34*BLOCKBIDRATE),2),
ROUND(MIN(AL34*TOTCOSTCAP,BI34),2))))))</f>
        <v/>
      </c>
      <c r="AS34" s="1065"/>
      <c r="AT34" s="1065"/>
      <c r="AU34" s="1066"/>
      <c r="AV34" s="44"/>
      <c r="AW34" s="44"/>
      <c r="AX34" s="974" t="str">
        <f>IFERROR(IF(OR(C34="",H34="",N34="",T34="",W34="",AC34="",AF34="",AH34="",AJ34=""),"",
ROUND(((1+ELOSS)*((AO34*INDEX(ELECCB[NPV AEC $/kWh],MATCH(BE34,ELECCB[Year Number],1)))+(BG34*INDEX(ELECCB[NPV ACC $/kW],MATCH(BE34,ELECCB[Year Number],1))))/AL34),2)),0)</f>
        <v/>
      </c>
      <c r="AY34" s="974" t="str">
        <f>IFERROR(AL34/M02S04F06/AO34,"")</f>
        <v/>
      </c>
      <c r="AZ34" s="967" t="str">
        <f>IF(OR(C34="",H34=""),"",INDEX(CMEMOTOR[Unit of Measure],MATCH(H34,CMEMOTOR[Proj Desc 1],0)))</f>
        <v/>
      </c>
      <c r="BA34" s="980" t="str">
        <f t="shared" ref="BA34" si="30">IF(AO34&lt;&gt;"","Missing!","")</f>
        <v/>
      </c>
      <c r="BB34" s="980" t="str">
        <f t="shared" ref="BB34" si="31">IF(AO34&lt;&gt;"","Missing!","")</f>
        <v/>
      </c>
      <c r="BC34" s="976" t="str">
        <f>IF(OR(C34="",H34="",N34="",T34="",W34="",AC34="",AF34="",AH34="",AJ34=""),"",ROUND(T34,4))</f>
        <v/>
      </c>
      <c r="BD34" s="976" t="str">
        <f>IF(OR(C34="",H34="",N34="",T34="",W34="",AC34="",AF34="",AH34="",AJ34=""),"",ROUND(AC34,4))</f>
        <v/>
      </c>
      <c r="BE34" s="978" t="str">
        <f>IF(OR(C34="",H34=""),"",IF(INDEX(CMEMOTOR[EUL],MATCH(H34,CMEMOTOR[Proj Desc 1],0))="","",INDEX(CMEMOTOR[EUL],MATCH(H34,CMEMOTOR[Proj Desc 1],0))))</f>
        <v/>
      </c>
      <c r="BF34" s="980" t="str">
        <f>IF(OR(C34="",H34=""),"",IF(INDEX(CMEMOTOR[End Use Category],MATCH(H34,CMEMOTOR[Proj Desc 1],0))="","",INDEX(CMEMOTOR[End Use Category],MATCH(H34,CMEMOTOR[Proj Desc 1],0))))</f>
        <v/>
      </c>
      <c r="BG34" s="972" t="str">
        <f>IFERROR(IF(OR(C34="",H34="",N34="",T34="",W34="",AC34="",AF34="",AH34="",AJ34=""),"",ROUND(AO34*INDEX(ENDUSEALL[Factor],MATCH(BF34,ENDUSEALL[End Use to Coincident Peak Demand Factors],0)),4)),"")</f>
        <v/>
      </c>
      <c r="BH34" s="1076"/>
      <c r="BI34" s="830" t="str">
        <f t="shared" ref="BI34" si="32">IFERROR(ROUND(AO34*BJ34,2),"")</f>
        <v/>
      </c>
      <c r="BJ34" s="963" t="str">
        <f>_xlfn.LET(_xlpm.ROWS,MATCH(BF34,ENDUSEALL[End Use to Coincident Peak Demand Factors],0),IFERROR(INDEX(IF(AND(ACTIVEBONUS = TRUE,INDEX(ENDUSEALL[Bonus Rate ($/kWh)],_xlpm.ROWS)&lt;&gt;""),ENDUSEALL[Bonus Rate ($/kWh)],ENDUSEALL[Rate ($/kWh)]),_xlpm.ROWS),""))</f>
        <v/>
      </c>
      <c r="BK34" s="963"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965" t="str">
        <f>IF(OR(C34="",H34="",N34="",T34="",W34="",AC34="",AF34="",AH34="",AJ34=""),"",IF(BN34&lt;&gt;"",SPILLOVERNUMBER,INDEX(CMEMOTOR[Measure Number],MATCH(H34,CMEMOTOR[Proj Desc 1],0))))</f>
        <v/>
      </c>
      <c r="BM34" s="966"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967" t="str">
        <f ca="1">IFERROR(IF(EXPIRATION&lt;&gt;"",PROJSTATEXP,
IF(BP34&gt;0,"",
IF(BC34-BD34&lt;=0,MEASURESAVE,
IF(OR(M02S04F06="",M02S04F06="Select Rate Code",M02S04F06=0),MEASURERATE,
IF(AND((ISNUMBER(SEARCH("Other",H34))),OR(BE34="",BF34="")),MEASURESUBMIT,
 IF(PAYCUSE&lt;PAYBACKREQ,PROJECTSTATPAYBACK,
IF(CBCUSE&lt;CBREQ,PROJECTSTATCB,""))))))),MEASURESUBMIT)</f>
        <v>Submit for Review</v>
      </c>
      <c r="BO34" s="830" t="str">
        <f>IFERROR(IF(OR(C34="",H34="",N34="",T34="",W34="",AC34="",AF34="",AH34="",AJ34=""),"",
ROUND(((1+ELOSS)*((AO34*INDEX(ELECCB[NPV AEC $/kWh],MATCH(BE34,ELECCB[Year Number],1)))+(BG34*INDEX(ELECCB[NPV ACC $/kW],MATCH(BE34,ELECCB[Year Number],1))))),2)),0)</f>
        <v/>
      </c>
      <c r="BP34" s="969"/>
    </row>
    <row r="35" spans="2:68" ht="15.95" customHeight="1">
      <c r="B35" s="806"/>
      <c r="C35" s="991"/>
      <c r="D35" s="992"/>
      <c r="E35" s="992"/>
      <c r="F35" s="992"/>
      <c r="G35" s="993"/>
      <c r="H35" s="1015"/>
      <c r="I35" s="1015"/>
      <c r="J35" s="1015"/>
      <c r="K35" s="1015"/>
      <c r="L35" s="1015"/>
      <c r="M35" s="1020"/>
      <c r="N35" s="1026"/>
      <c r="O35" s="992"/>
      <c r="P35" s="992"/>
      <c r="Q35" s="992"/>
      <c r="R35" s="992"/>
      <c r="S35" s="993"/>
      <c r="T35" s="1031"/>
      <c r="U35" s="1125"/>
      <c r="V35" s="1126"/>
      <c r="W35" s="1026"/>
      <c r="X35" s="992"/>
      <c r="Y35" s="992"/>
      <c r="Z35" s="992"/>
      <c r="AA35" s="992"/>
      <c r="AB35" s="993"/>
      <c r="AC35" s="1031"/>
      <c r="AD35" s="1125"/>
      <c r="AE35" s="1126"/>
      <c r="AF35" s="1121"/>
      <c r="AG35" s="1122"/>
      <c r="AH35" s="999"/>
      <c r="AI35" s="999"/>
      <c r="AJ35" s="1062"/>
      <c r="AK35" s="1063"/>
      <c r="AL35" s="1001"/>
      <c r="AM35" s="1002"/>
      <c r="AN35" s="1002"/>
      <c r="AO35" s="1034"/>
      <c r="AP35" s="1034"/>
      <c r="AQ35" s="1034"/>
      <c r="AR35" s="1067"/>
      <c r="AS35" s="1068"/>
      <c r="AT35" s="1068"/>
      <c r="AU35" s="1069"/>
      <c r="AV35" s="44"/>
      <c r="AW35" s="44"/>
      <c r="AX35" s="982"/>
      <c r="AY35" s="982"/>
      <c r="AZ35" s="983"/>
      <c r="BA35" s="986"/>
      <c r="BB35" s="986"/>
      <c r="BC35" s="984"/>
      <c r="BD35" s="984"/>
      <c r="BE35" s="985"/>
      <c r="BF35" s="986"/>
      <c r="BG35" s="970"/>
      <c r="BH35" s="1077"/>
      <c r="BI35" s="831"/>
      <c r="BJ35" s="830"/>
      <c r="BK35" s="830"/>
      <c r="BL35" s="987"/>
      <c r="BM35" s="967"/>
      <c r="BN35" s="983"/>
      <c r="BO35" s="831"/>
      <c r="BP35" s="981"/>
    </row>
    <row r="36" spans="2:68" ht="15.95" customHeight="1">
      <c r="B36" s="806">
        <v>10</v>
      </c>
      <c r="C36" s="988"/>
      <c r="D36" s="989"/>
      <c r="E36" s="989"/>
      <c r="F36" s="989"/>
      <c r="G36" s="990"/>
      <c r="H36" s="1015"/>
      <c r="I36" s="1015"/>
      <c r="J36" s="1015"/>
      <c r="K36" s="1015"/>
      <c r="L36" s="1015"/>
      <c r="M36" s="1020"/>
      <c r="N36" s="1025"/>
      <c r="O36" s="989"/>
      <c r="P36" s="989"/>
      <c r="Q36" s="989"/>
      <c r="R36" s="989"/>
      <c r="S36" s="990"/>
      <c r="T36" s="1029"/>
      <c r="U36" s="1123"/>
      <c r="V36" s="1124"/>
      <c r="W36" s="1025"/>
      <c r="X36" s="989"/>
      <c r="Y36" s="989"/>
      <c r="Z36" s="989"/>
      <c r="AA36" s="989"/>
      <c r="AB36" s="990"/>
      <c r="AC36" s="1029"/>
      <c r="AD36" s="1123"/>
      <c r="AE36" s="1124"/>
      <c r="AF36" s="1121" t="str">
        <f>IFERROR(IF($C36="", "", IF(OR($C36 = "Retrofit existing", $C36 = "Replace in-life equip."), "Total", "Incremental")), "")</f>
        <v/>
      </c>
      <c r="AG36" s="1122"/>
      <c r="AH36" s="999"/>
      <c r="AI36" s="999"/>
      <c r="AJ36" s="1062" t="str">
        <f t="shared" ref="AJ36" si="33">IF(AF36="Incremental",0,"")</f>
        <v/>
      </c>
      <c r="AK36" s="1063"/>
      <c r="AL36" s="1057" t="str">
        <f>IF(OR(C36="",H36="",N36="",T36="",W36="",AC36="",AF36="",AH36="",AJ36=""),"",ROUND(AH36+AJ36,2))</f>
        <v/>
      </c>
      <c r="AM36" s="1058"/>
      <c r="AN36" s="1058"/>
      <c r="AO36" s="1033" t="str">
        <f>IF(OR(C36="",H36="",N36="",T36="",W36="",AC36="",AF36="",AH36="",AJ36=""),"",IF(BC36-BD36&lt;=0,0,ROUND(BC36-BD36,4)))</f>
        <v/>
      </c>
      <c r="AP36" s="1033"/>
      <c r="AQ36" s="1033"/>
      <c r="AR36" s="1064" t="str">
        <f>IF(OR(C36="",H36="",N36="",T36="",W36="",AC36="",AF36="",AH36="",AJ36=""),"",
IF(BN36&lt;&gt;"",BN36,IF(BP36&gt;0,BP36,
IF(AF36="Incremental",
IF(ACTIVEBLOCK="Yes",ROUND(MIN(AL36*INCCOSTCAP,AO36*BLOCKBIDRATE),2),
ROUND(MIN(AL36*INCCOSTCAP,BI36),2)),
IF(ACTIVEBLOCK="Yes",ROUND(MIN(AL36*TOTCOSTCAP,AO36*BLOCKBIDRATE),2),
ROUND(MIN(AL36*TOTCOSTCAP,BI36),2))))))</f>
        <v/>
      </c>
      <c r="AS36" s="1065"/>
      <c r="AT36" s="1065"/>
      <c r="AU36" s="1066"/>
      <c r="AV36" s="44"/>
      <c r="AW36" s="44"/>
      <c r="AX36" s="974" t="str">
        <f>IFERROR(IF(OR(C36="",H36="",N36="",T36="",W36="",AC36="",AF36="",AH36="",AJ36=""),"",
ROUND(((1+ELOSS)*((AO36*INDEX(ELECCB[NPV AEC $/kWh],MATCH(BE36,ELECCB[Year Number],1)))+(BG36*INDEX(ELECCB[NPV ACC $/kW],MATCH(BE36,ELECCB[Year Number],1))))/AL36),2)),0)</f>
        <v/>
      </c>
      <c r="AY36" s="974" t="str">
        <f>IFERROR(AL36/M02S04F06/AO36,"")</f>
        <v/>
      </c>
      <c r="AZ36" s="967" t="str">
        <f>IF(OR(C36="",H36=""),"",INDEX(CMEMOTOR[Unit of Measure],MATCH(H36,CMEMOTOR[Proj Desc 1],0)))</f>
        <v/>
      </c>
      <c r="BA36" s="980" t="str">
        <f t="shared" ref="BA36" si="34">IF(AO36&lt;&gt;"","Missing!","")</f>
        <v/>
      </c>
      <c r="BB36" s="980" t="str">
        <f t="shared" ref="BB36" si="35">IF(AO36&lt;&gt;"","Missing!","")</f>
        <v/>
      </c>
      <c r="BC36" s="976" t="str">
        <f>IF(OR(C36="",H36="",N36="",T36="",W36="",AC36="",AF36="",AH36="",AJ36=""),"",ROUND(T36,4))</f>
        <v/>
      </c>
      <c r="BD36" s="976" t="str">
        <f>IF(OR(C36="",H36="",N36="",T36="",W36="",AC36="",AF36="",AH36="",AJ36=""),"",ROUND(AC36,4))</f>
        <v/>
      </c>
      <c r="BE36" s="978" t="str">
        <f>IF(OR(C36="",H36=""),"",IF(INDEX(CMEMOTOR[EUL],MATCH(H36,CMEMOTOR[Proj Desc 1],0))="","",INDEX(CMEMOTOR[EUL],MATCH(H36,CMEMOTOR[Proj Desc 1],0))))</f>
        <v/>
      </c>
      <c r="BF36" s="980" t="str">
        <f>IF(OR(C36="",H36=""),"",IF(INDEX(CMEMOTOR[End Use Category],MATCH(H36,CMEMOTOR[Proj Desc 1],0))="","",INDEX(CMEMOTOR[End Use Category],MATCH(H36,CMEMOTOR[Proj Desc 1],0))))</f>
        <v/>
      </c>
      <c r="BG36" s="972" t="str">
        <f>IFERROR(IF(OR(C36="",H36="",N36="",T36="",W36="",AC36="",AF36="",AH36="",AJ36=""),"",ROUND(AO36*INDEX(ENDUSEALL[Factor],MATCH(BF36,ENDUSEALL[End Use to Coincident Peak Demand Factors],0)),4)),"")</f>
        <v/>
      </c>
      <c r="BH36" s="1076"/>
      <c r="BI36" s="830" t="str">
        <f t="shared" ref="BI36" si="36">IFERROR(ROUND(AO36*BJ36,2),"")</f>
        <v/>
      </c>
      <c r="BJ36" s="963" t="str">
        <f>_xlfn.LET(_xlpm.ROWS,MATCH(BF36,ENDUSEALL[End Use to Coincident Peak Demand Factors],0),IFERROR(INDEX(IF(AND(ACTIVEBONUS = TRUE,INDEX(ENDUSEALL[Bonus Rate ($/kWh)],_xlpm.ROWS)&lt;&gt;""),ENDUSEALL[Bonus Rate ($/kWh)],ENDUSEALL[Rate ($/kWh)]),_xlpm.ROWS),""))</f>
        <v/>
      </c>
      <c r="BK36" s="963"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965" t="str">
        <f>IF(OR(C36="",H36="",N36="",T36="",W36="",AC36="",AF36="",AH36="",AJ36=""),"",IF(BN36&lt;&gt;"",SPILLOVERNUMBER,INDEX(CMEMOTOR[Measure Number],MATCH(H36,CMEMOTOR[Proj Desc 1],0))))</f>
        <v/>
      </c>
      <c r="BM36" s="966"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967" t="str">
        <f ca="1">IFERROR(IF(EXPIRATION&lt;&gt;"",PROJSTATEXP,
IF(BP36&gt;0,"",
IF(BC36-BD36&lt;=0,MEASURESAVE,
IF(OR(M02S04F06="",M02S04F06="Select Rate Code",M02S04F06=0),MEASURERATE,
IF(AND((ISNUMBER(SEARCH("Other",H36))),OR(BE36="",BF36="")),MEASURESUBMIT,
 IF(PAYCUSE&lt;PAYBACKREQ,PROJECTSTATPAYBACK,
IF(CBCUSE&lt;CBREQ,PROJECTSTATCB,""))))))),MEASURESUBMIT)</f>
        <v>Submit for Review</v>
      </c>
      <c r="BO36" s="830" t="str">
        <f>IFERROR(IF(OR(C36="",H36="",N36="",T36="",W36="",AC36="",AF36="",AH36="",AJ36=""),"",
ROUND(((1+ELOSS)*((AO36*INDEX(ELECCB[NPV AEC $/kWh],MATCH(BE36,ELECCB[Year Number],1)))+(BG36*INDEX(ELECCB[NPV ACC $/kW],MATCH(BE36,ELECCB[Year Number],1))))),2)),0)</f>
        <v/>
      </c>
      <c r="BP36" s="969"/>
    </row>
    <row r="37" spans="2:68" ht="15.95" customHeight="1">
      <c r="B37" s="806"/>
      <c r="C37" s="991"/>
      <c r="D37" s="992"/>
      <c r="E37" s="992"/>
      <c r="F37" s="992"/>
      <c r="G37" s="993"/>
      <c r="H37" s="1015"/>
      <c r="I37" s="1015"/>
      <c r="J37" s="1015"/>
      <c r="K37" s="1015"/>
      <c r="L37" s="1015"/>
      <c r="M37" s="1020"/>
      <c r="N37" s="1026"/>
      <c r="O37" s="992"/>
      <c r="P37" s="992"/>
      <c r="Q37" s="992"/>
      <c r="R37" s="992"/>
      <c r="S37" s="993"/>
      <c r="T37" s="1031"/>
      <c r="U37" s="1125"/>
      <c r="V37" s="1126"/>
      <c r="W37" s="1026"/>
      <c r="X37" s="992"/>
      <c r="Y37" s="992"/>
      <c r="Z37" s="992"/>
      <c r="AA37" s="992"/>
      <c r="AB37" s="993"/>
      <c r="AC37" s="1031"/>
      <c r="AD37" s="1125"/>
      <c r="AE37" s="1126"/>
      <c r="AF37" s="1121"/>
      <c r="AG37" s="1122"/>
      <c r="AH37" s="999"/>
      <c r="AI37" s="999"/>
      <c r="AJ37" s="1062"/>
      <c r="AK37" s="1063"/>
      <c r="AL37" s="1001"/>
      <c r="AM37" s="1002"/>
      <c r="AN37" s="1002"/>
      <c r="AO37" s="1034"/>
      <c r="AP37" s="1034"/>
      <c r="AQ37" s="1034"/>
      <c r="AR37" s="1067"/>
      <c r="AS37" s="1068"/>
      <c r="AT37" s="1068"/>
      <c r="AU37" s="1069"/>
      <c r="AV37" s="44"/>
      <c r="AW37" s="44"/>
      <c r="AX37" s="982"/>
      <c r="AY37" s="982"/>
      <c r="AZ37" s="983"/>
      <c r="BA37" s="986"/>
      <c r="BB37" s="986"/>
      <c r="BC37" s="984"/>
      <c r="BD37" s="984"/>
      <c r="BE37" s="985"/>
      <c r="BF37" s="986"/>
      <c r="BG37" s="970"/>
      <c r="BH37" s="1077"/>
      <c r="BI37" s="831"/>
      <c r="BJ37" s="830"/>
      <c r="BK37" s="830"/>
      <c r="BL37" s="987"/>
      <c r="BM37" s="967"/>
      <c r="BN37" s="983"/>
      <c r="BO37" s="831"/>
      <c r="BP37" s="981"/>
    </row>
    <row r="38" spans="2:68" ht="15.95" customHeight="1"/>
    <row r="39" spans="2:68" ht="15.95" hidden="1" customHeight="1"/>
    <row r="40" spans="2:68" ht="15.95" hidden="1" customHeight="1"/>
    <row r="41" spans="2:68" ht="15.95" hidden="1" customHeight="1"/>
    <row r="42" spans="2:68" ht="15.95" hidden="1" customHeight="1"/>
    <row r="43" spans="2:68" ht="15.95" hidden="1" customHeight="1"/>
    <row r="44" spans="2:68" ht="15.95" hidden="1" customHeight="1"/>
    <row r="45" spans="2:68" ht="15.95" hidden="1" customHeight="1"/>
    <row r="46" spans="2:68" ht="15.95" hidden="1" customHeight="1"/>
    <row r="47" spans="2:68" ht="15.95" hidden="1" customHeight="1"/>
    <row r="48" spans="2:68" ht="15.95" hidden="1" customHeight="1">
      <c r="AY48" s="31"/>
      <c r="AZ48" s="37"/>
      <c r="BC48" s="37"/>
      <c r="BD48" s="37"/>
    </row>
    <row r="49" spans="51:56" ht="15.95" hidden="1" customHeight="1">
      <c r="AY49" s="31"/>
      <c r="AZ49" s="37"/>
      <c r="BC49" s="37"/>
      <c r="BD49" s="37"/>
    </row>
    <row r="50" spans="51:56" ht="15.95" hidden="1" customHeight="1">
      <c r="AY50" s="31"/>
      <c r="AZ50" s="37"/>
      <c r="BC50" s="37"/>
      <c r="BD50" s="37"/>
    </row>
    <row r="51" spans="51:56" ht="15.95" hidden="1" customHeight="1">
      <c r="AY51" s="31"/>
      <c r="AZ51" s="37"/>
      <c r="BC51" s="37"/>
      <c r="BD51" s="37"/>
    </row>
    <row r="52" spans="51:56" ht="15.95" hidden="1" customHeight="1">
      <c r="AY52" s="31"/>
      <c r="AZ52" s="37"/>
      <c r="BC52" s="37"/>
      <c r="BD52" s="37"/>
    </row>
    <row r="53" spans="51:56" ht="15.95" hidden="1" customHeight="1">
      <c r="AY53" s="31"/>
      <c r="AZ53" s="37"/>
      <c r="BC53" s="37"/>
      <c r="BD53" s="37"/>
    </row>
    <row r="54" spans="51:56" ht="15.95" hidden="1" customHeight="1">
      <c r="AY54" s="31"/>
      <c r="AZ54" s="37"/>
      <c r="BC54" s="37"/>
      <c r="BD54" s="37"/>
    </row>
    <row r="55" spans="51:56" ht="15.95" hidden="1" customHeight="1">
      <c r="AY55" s="31"/>
      <c r="AZ55" s="37"/>
      <c r="BC55" s="37"/>
      <c r="BD55" s="37"/>
    </row>
    <row r="56" spans="51:56" ht="15.95" hidden="1" customHeight="1">
      <c r="AY56" s="31"/>
      <c r="AZ56" s="37"/>
      <c r="BC56" s="37"/>
      <c r="BD56" s="37"/>
    </row>
    <row r="57" spans="51:56" ht="15.95" hidden="1" customHeight="1">
      <c r="AY57" s="31"/>
      <c r="AZ57" s="37"/>
      <c r="BC57" s="37"/>
      <c r="BD57" s="37"/>
    </row>
    <row r="58" spans="51:56" ht="15.95" hidden="1" customHeight="1">
      <c r="AY58" s="31"/>
      <c r="AZ58" s="37"/>
      <c r="BC58" s="37"/>
      <c r="BD58" s="37"/>
    </row>
    <row r="59" spans="51:56" ht="15.95" hidden="1" customHeight="1">
      <c r="AY59" s="31"/>
      <c r="AZ59" s="37"/>
      <c r="BC59" s="37"/>
      <c r="BD59" s="37"/>
    </row>
    <row r="60" spans="51:56" ht="15.95" hidden="1" customHeight="1">
      <c r="AY60" s="31"/>
      <c r="AZ60" s="37"/>
      <c r="BC60" s="37"/>
      <c r="BD60" s="37"/>
    </row>
    <row r="61" spans="51:56" ht="15.95" hidden="1" customHeight="1">
      <c r="AY61" s="31"/>
      <c r="AZ61" s="37"/>
      <c r="BC61" s="37"/>
      <c r="BD61" s="37"/>
    </row>
    <row r="62" spans="51:56" ht="15.95" hidden="1" customHeight="1">
      <c r="AY62" s="31"/>
      <c r="AZ62" s="37"/>
      <c r="BC62" s="37"/>
      <c r="BD62" s="37"/>
    </row>
    <row r="63" spans="51:56" ht="15.95" hidden="1" customHeight="1">
      <c r="AY63" s="31"/>
      <c r="AZ63" s="37"/>
      <c r="BC63" s="37"/>
      <c r="BD63" s="37"/>
    </row>
    <row r="64" spans="51:56" ht="15.95" hidden="1" customHeight="1">
      <c r="AY64" s="31"/>
      <c r="AZ64" s="37"/>
      <c r="BC64" s="37"/>
      <c r="BD64" s="37"/>
    </row>
    <row r="65" spans="51:56" ht="15.95" hidden="1" customHeight="1">
      <c r="AY65" s="31"/>
      <c r="AZ65" s="37"/>
      <c r="BC65" s="37"/>
      <c r="BD65" s="37"/>
    </row>
    <row r="66" spans="51:56" ht="15.95" hidden="1" customHeight="1">
      <c r="AY66" s="31"/>
      <c r="AZ66" s="37"/>
      <c r="BC66" s="37"/>
      <c r="BD66" s="37"/>
    </row>
    <row r="67" spans="51:56" ht="15.95" hidden="1" customHeight="1">
      <c r="AY67" s="31"/>
      <c r="AZ67" s="37"/>
      <c r="BC67" s="37"/>
      <c r="BD67" s="37"/>
    </row>
    <row r="68" spans="51:56" ht="15.95" hidden="1" customHeight="1">
      <c r="AY68" s="31"/>
      <c r="AZ68" s="37"/>
      <c r="BC68" s="37"/>
      <c r="BD68" s="37"/>
    </row>
    <row r="69" spans="51:56" ht="15.95" hidden="1" customHeight="1">
      <c r="AY69" s="31"/>
      <c r="AZ69" s="37"/>
      <c r="BC69" s="37"/>
      <c r="BD69" s="37"/>
    </row>
    <row r="70" spans="51:56" ht="15.95" hidden="1" customHeight="1">
      <c r="AY70" s="31"/>
      <c r="AZ70" s="37"/>
      <c r="BC70" s="37"/>
      <c r="BD70" s="37"/>
    </row>
    <row r="71" spans="51:56" ht="15.95" hidden="1" customHeight="1">
      <c r="AY71" s="31"/>
      <c r="AZ71" s="37"/>
      <c r="BC71" s="37"/>
      <c r="BD71" s="37"/>
    </row>
    <row r="72" spans="51:56" ht="15.95" hidden="1" customHeight="1">
      <c r="AY72" s="31"/>
      <c r="AZ72" s="37"/>
      <c r="BC72" s="37"/>
      <c r="BD72" s="37"/>
    </row>
    <row r="73" spans="51:56" ht="15.95" hidden="1" customHeight="1">
      <c r="AY73" s="31"/>
      <c r="AZ73" s="37"/>
      <c r="BC73" s="37"/>
      <c r="BD73" s="37"/>
    </row>
    <row r="74" spans="51:56" ht="15.95" hidden="1" customHeight="1">
      <c r="AY74" s="31"/>
      <c r="AZ74" s="37"/>
      <c r="BC74" s="37"/>
      <c r="BD74" s="37"/>
    </row>
    <row r="75" spans="51:56" ht="15.95" hidden="1" customHeight="1">
      <c r="AY75" s="31"/>
      <c r="AZ75" s="37"/>
      <c r="BC75" s="37"/>
      <c r="BD75" s="37"/>
    </row>
    <row r="76" spans="51:56" ht="15.95" hidden="1" customHeight="1">
      <c r="AY76" s="31"/>
      <c r="AZ76" s="37"/>
      <c r="BC76" s="37"/>
      <c r="BD76" s="37"/>
    </row>
    <row r="77" spans="51:56" ht="15.95" hidden="1" customHeight="1">
      <c r="AY77" s="31"/>
      <c r="AZ77" s="37"/>
      <c r="BC77" s="37"/>
      <c r="BD77" s="37"/>
    </row>
    <row r="78" spans="51:56" ht="15.95" hidden="1" customHeight="1">
      <c r="AY78" s="31"/>
      <c r="AZ78" s="37"/>
      <c r="BC78" s="37"/>
      <c r="BD78" s="37"/>
    </row>
    <row r="79" spans="51:56" ht="15.95" hidden="1" customHeight="1">
      <c r="AY79" s="31"/>
      <c r="AZ79" s="37"/>
      <c r="BC79" s="37"/>
      <c r="BD79" s="37"/>
    </row>
    <row r="80" spans="51:56" ht="15.95" hidden="1" customHeight="1">
      <c r="AY80" s="31"/>
      <c r="AZ80" s="37"/>
      <c r="BC80" s="37"/>
      <c r="BD80" s="37"/>
    </row>
    <row r="81" spans="51:56" ht="15.95" hidden="1" customHeight="1">
      <c r="AY81" s="31"/>
      <c r="AZ81" s="37"/>
      <c r="BC81" s="37"/>
      <c r="BD81" s="37"/>
    </row>
    <row r="82" spans="51:56" ht="15.95" hidden="1" customHeight="1">
      <c r="AY82" s="31"/>
      <c r="AZ82" s="37"/>
      <c r="BC82" s="37"/>
      <c r="BD82" s="37"/>
    </row>
    <row r="83" spans="51:56" ht="15.95" hidden="1" customHeight="1">
      <c r="AY83" s="31"/>
      <c r="AZ83" s="37"/>
      <c r="BC83" s="37"/>
      <c r="BD83" s="37"/>
    </row>
    <row r="84" spans="51:56" ht="15.95" hidden="1" customHeight="1">
      <c r="AY84" s="31"/>
      <c r="AZ84" s="37"/>
      <c r="BC84" s="37"/>
      <c r="BD84" s="37"/>
    </row>
    <row r="85" spans="51:56" ht="15.95" hidden="1" customHeight="1">
      <c r="AY85" s="31"/>
      <c r="AZ85" s="37"/>
      <c r="BC85" s="37"/>
      <c r="BD85" s="37"/>
    </row>
    <row r="86" spans="51:56" ht="15.95" hidden="1" customHeight="1">
      <c r="AY86" s="31"/>
      <c r="AZ86" s="37"/>
      <c r="BC86" s="37"/>
      <c r="BD86" s="37"/>
    </row>
    <row r="87" spans="51:56" ht="15.95" hidden="1" customHeight="1">
      <c r="AY87" s="31"/>
      <c r="AZ87" s="37"/>
      <c r="BC87" s="37"/>
      <c r="BD87" s="37"/>
    </row>
    <row r="88" spans="51:56" ht="15.95" hidden="1" customHeight="1">
      <c r="AY88" s="31"/>
      <c r="AZ88" s="37"/>
      <c r="BC88" s="37"/>
      <c r="BD88" s="37"/>
    </row>
    <row r="89" spans="51:56" ht="15.95" hidden="1" customHeight="1">
      <c r="AY89" s="31"/>
      <c r="AZ89" s="37"/>
      <c r="BC89" s="37"/>
      <c r="BD89" s="37"/>
    </row>
    <row r="90" spans="51:56" ht="15.95" hidden="1" customHeight="1">
      <c r="AY90" s="31"/>
      <c r="AZ90" s="37"/>
      <c r="BC90" s="37"/>
      <c r="BD90" s="37"/>
    </row>
    <row r="91" spans="51:56" ht="15.95" hidden="1" customHeight="1">
      <c r="AY91" s="31"/>
      <c r="AZ91" s="37"/>
      <c r="BC91" s="37"/>
      <c r="BD91" s="37"/>
    </row>
    <row r="92" spans="51:56" ht="15.95" hidden="1" customHeight="1">
      <c r="AY92" s="31"/>
      <c r="AZ92" s="37"/>
      <c r="BC92" s="37"/>
      <c r="BD92" s="37"/>
    </row>
    <row r="93" spans="51:56" ht="15.95" hidden="1" customHeight="1">
      <c r="AY93" s="31"/>
      <c r="AZ93" s="37"/>
      <c r="BC93" s="37"/>
      <c r="BD93" s="37"/>
    </row>
    <row r="94" spans="51:56" ht="15.95" hidden="1" customHeight="1">
      <c r="AY94" s="31"/>
      <c r="AZ94" s="37"/>
      <c r="BC94" s="37"/>
      <c r="BD94" s="37"/>
    </row>
    <row r="95" spans="51:56" ht="15.95" hidden="1" customHeight="1">
      <c r="AY95" s="31"/>
      <c r="AZ95" s="37"/>
      <c r="BC95" s="37"/>
      <c r="BD95" s="37"/>
    </row>
    <row r="96" spans="51:56" ht="15.95" hidden="1" customHeight="1">
      <c r="AY96" s="31"/>
      <c r="AZ96" s="37"/>
      <c r="BC96" s="37"/>
      <c r="BD96" s="37"/>
    </row>
    <row r="97" spans="51:56" ht="15.95" hidden="1" customHeight="1">
      <c r="AY97" s="31"/>
      <c r="AZ97" s="37"/>
      <c r="BC97" s="37"/>
      <c r="BD97" s="37"/>
    </row>
    <row r="98" spans="51:56" ht="15.95" hidden="1" customHeight="1">
      <c r="AY98" s="31"/>
      <c r="AZ98" s="37"/>
      <c r="BC98" s="37"/>
      <c r="BD98" s="37"/>
    </row>
    <row r="99" spans="51:56" ht="15.95" hidden="1" customHeight="1">
      <c r="AY99" s="31"/>
      <c r="AZ99" s="37"/>
      <c r="BC99" s="37"/>
      <c r="BD99" s="37"/>
    </row>
    <row r="100" spans="51:56" ht="15.95" hidden="1" customHeight="1">
      <c r="AY100" s="31"/>
      <c r="AZ100" s="37"/>
      <c r="BC100" s="37"/>
      <c r="BD100" s="37"/>
    </row>
    <row r="101" spans="51:56" ht="15.95" hidden="1" customHeight="1">
      <c r="AY101" s="31"/>
      <c r="AZ101" s="37"/>
      <c r="BC101" s="37"/>
      <c r="BD101" s="37"/>
    </row>
    <row r="102" spans="51:56" ht="15.95" hidden="1" customHeight="1">
      <c r="AY102" s="31"/>
      <c r="AZ102" s="37"/>
      <c r="BC102" s="37"/>
      <c r="BD102" s="37"/>
    </row>
    <row r="103" spans="51:56" ht="15.95" hidden="1" customHeight="1">
      <c r="AY103" s="31"/>
      <c r="AZ103" s="37"/>
      <c r="BC103" s="37"/>
      <c r="BD103" s="37"/>
    </row>
    <row r="104" spans="51:56" ht="15.95" hidden="1" customHeight="1">
      <c r="AY104" s="31"/>
      <c r="AZ104" s="37"/>
      <c r="BC104" s="37"/>
      <c r="BD104" s="37"/>
    </row>
    <row r="105" spans="51:56" ht="15.95" hidden="1" customHeight="1">
      <c r="AY105" s="31"/>
      <c r="AZ105" s="37"/>
      <c r="BC105" s="37"/>
      <c r="BD105" s="37"/>
    </row>
    <row r="106" spans="51:56" ht="15.95" hidden="1" customHeight="1">
      <c r="AY106" s="31"/>
      <c r="AZ106" s="37"/>
      <c r="BC106" s="37"/>
      <c r="BD106" s="37"/>
    </row>
    <row r="107" spans="51:56" ht="15.95" hidden="1" customHeight="1">
      <c r="AY107" s="31"/>
      <c r="AZ107" s="37"/>
      <c r="BC107" s="37"/>
      <c r="BD107" s="37"/>
    </row>
    <row r="108" spans="51:56" ht="15.95" hidden="1" customHeight="1">
      <c r="AY108" s="31"/>
      <c r="AZ108" s="37"/>
      <c r="BC108" s="37"/>
      <c r="BD108" s="37"/>
    </row>
    <row r="109" spans="51:56" ht="15.95" hidden="1" customHeight="1">
      <c r="AY109" s="31"/>
      <c r="AZ109" s="37"/>
      <c r="BC109" s="37"/>
      <c r="BD109" s="37"/>
    </row>
    <row r="110" spans="51:56" ht="15.95" hidden="1" customHeight="1">
      <c r="AY110" s="31"/>
      <c r="AZ110" s="37"/>
      <c r="BC110" s="37"/>
      <c r="BD110" s="37"/>
    </row>
    <row r="111" spans="51:56" ht="15.95" hidden="1" customHeight="1">
      <c r="AY111" s="31"/>
      <c r="AZ111" s="37"/>
      <c r="BC111" s="37"/>
      <c r="BD111" s="37"/>
    </row>
    <row r="112" spans="51:56" ht="15.95" hidden="1" customHeight="1">
      <c r="AY112" s="31"/>
      <c r="AZ112" s="37"/>
      <c r="BC112" s="37"/>
      <c r="BD112" s="37"/>
    </row>
    <row r="113" spans="51:56" ht="15.95" hidden="1" customHeight="1">
      <c r="AY113" s="31"/>
      <c r="AZ113" s="37"/>
      <c r="BC113" s="37"/>
      <c r="BD113" s="37"/>
    </row>
    <row r="114" spans="51:56" ht="15.95" hidden="1" customHeight="1">
      <c r="AY114" s="31"/>
      <c r="AZ114" s="37"/>
      <c r="BC114" s="37"/>
      <c r="BD114" s="37"/>
    </row>
    <row r="115" spans="51:56" ht="15.95" hidden="1" customHeight="1">
      <c r="AY115" s="31"/>
      <c r="AZ115" s="37"/>
      <c r="BC115" s="37"/>
      <c r="BD115" s="37"/>
    </row>
    <row r="116" spans="51:56" ht="15.95" hidden="1" customHeight="1">
      <c r="AY116" s="31"/>
      <c r="AZ116" s="37"/>
      <c r="BC116" s="37"/>
      <c r="BD116" s="37"/>
    </row>
    <row r="117" spans="51:56" ht="15.95" hidden="1" customHeight="1">
      <c r="AY117" s="31"/>
      <c r="AZ117" s="37"/>
      <c r="BC117" s="37"/>
      <c r="BD117" s="37"/>
    </row>
    <row r="118" spans="51:56" ht="15.95" hidden="1" customHeight="1">
      <c r="AY118" s="31"/>
      <c r="AZ118" s="37"/>
      <c r="BC118" s="37"/>
      <c r="BD118" s="37"/>
    </row>
    <row r="119" spans="51:56" ht="15.95" hidden="1" customHeight="1">
      <c r="AY119" s="31"/>
      <c r="AZ119" s="37"/>
      <c r="BC119" s="37"/>
      <c r="BD119" s="37"/>
    </row>
    <row r="120" spans="51:56" ht="15.95" hidden="1" customHeight="1">
      <c r="AY120" s="31"/>
      <c r="AZ120" s="37"/>
      <c r="BC120" s="37"/>
      <c r="BD120" s="37"/>
    </row>
    <row r="121" spans="51:56" ht="15.95" hidden="1" customHeight="1">
      <c r="AY121" s="31"/>
      <c r="AZ121" s="37"/>
      <c r="BC121" s="37"/>
      <c r="BD121" s="37"/>
    </row>
    <row r="122" spans="51:56" ht="15.95" hidden="1" customHeight="1">
      <c r="AY122" s="31"/>
      <c r="AZ122" s="37"/>
      <c r="BC122" s="37"/>
      <c r="BD122" s="37"/>
    </row>
    <row r="123" spans="51:56" ht="15.95" hidden="1" customHeight="1">
      <c r="AY123" s="31"/>
      <c r="AZ123" s="37"/>
      <c r="BC123" s="37"/>
      <c r="BD123" s="37"/>
    </row>
    <row r="124" spans="51:56" ht="15.95" hidden="1" customHeight="1">
      <c r="AY124" s="31"/>
      <c r="AZ124" s="37"/>
      <c r="BC124" s="37"/>
      <c r="BD124" s="37"/>
    </row>
    <row r="125" spans="51:56" ht="15.95" hidden="1" customHeight="1">
      <c r="AY125" s="31"/>
      <c r="AZ125" s="37"/>
      <c r="BC125" s="37"/>
      <c r="BD125" s="37"/>
    </row>
    <row r="126" spans="51:56" ht="15.95" hidden="1" customHeight="1">
      <c r="AY126" s="31"/>
      <c r="AZ126" s="37"/>
      <c r="BC126" s="37"/>
      <c r="BD126" s="37"/>
    </row>
    <row r="127" spans="51:56" ht="15.95" hidden="1" customHeight="1">
      <c r="AY127" s="31"/>
      <c r="AZ127" s="37"/>
      <c r="BC127" s="37"/>
      <c r="BD127" s="37"/>
    </row>
    <row r="128" spans="51:56" ht="15.95" hidden="1" customHeight="1">
      <c r="AY128" s="31"/>
      <c r="AZ128" s="37"/>
      <c r="BC128" s="37"/>
      <c r="BD128" s="37"/>
    </row>
    <row r="129" spans="51:56" ht="15.95" hidden="1" customHeight="1">
      <c r="AY129" s="31"/>
      <c r="AZ129" s="37"/>
      <c r="BC129" s="37"/>
      <c r="BD129" s="37"/>
    </row>
    <row r="130" spans="51:56" ht="15.95" hidden="1" customHeight="1">
      <c r="AY130" s="31"/>
      <c r="AZ130" s="37"/>
      <c r="BC130" s="37"/>
      <c r="BD130" s="37"/>
    </row>
    <row r="131" spans="51:56" ht="15.95" hidden="1" customHeight="1">
      <c r="AY131" s="31"/>
      <c r="AZ131" s="37"/>
      <c r="BC131" s="37"/>
      <c r="BD131" s="37"/>
    </row>
    <row r="132" spans="51:56" ht="15.95" hidden="1" customHeight="1">
      <c r="AY132" s="31"/>
      <c r="AZ132" s="37"/>
      <c r="BC132" s="37"/>
      <c r="BD132" s="37"/>
    </row>
    <row r="133" spans="51:56" ht="15.95" hidden="1" customHeight="1">
      <c r="AY133" s="31"/>
      <c r="AZ133" s="37"/>
      <c r="BC133" s="37"/>
      <c r="BD133" s="37"/>
    </row>
    <row r="134" spans="51:56" ht="15.95" hidden="1" customHeight="1">
      <c r="AY134" s="31"/>
      <c r="AZ134" s="37"/>
      <c r="BC134" s="37"/>
      <c r="BD134" s="37"/>
    </row>
    <row r="135" spans="51:56" ht="15.95" hidden="1" customHeight="1">
      <c r="AY135" s="31"/>
      <c r="AZ135" s="37"/>
      <c r="BC135" s="37"/>
      <c r="BD135" s="37"/>
    </row>
    <row r="136" spans="51:56" ht="15.95" hidden="1" customHeight="1">
      <c r="AY136" s="31"/>
      <c r="AZ136" s="37"/>
      <c r="BC136" s="37"/>
      <c r="BD136" s="37"/>
    </row>
    <row r="137" spans="51:56" ht="15.95" hidden="1" customHeight="1">
      <c r="AY137" s="31"/>
      <c r="AZ137" s="37"/>
      <c r="BC137" s="37"/>
      <c r="BD137" s="37"/>
    </row>
    <row r="138" spans="51:56" ht="15.95" hidden="1" customHeight="1">
      <c r="AY138" s="31"/>
      <c r="AZ138" s="37"/>
      <c r="BC138" s="37"/>
      <c r="BD138" s="37"/>
    </row>
    <row r="139" spans="51:56" ht="15.95" hidden="1" customHeight="1">
      <c r="AY139" s="31"/>
      <c r="AZ139" s="37"/>
      <c r="BC139" s="37"/>
      <c r="BD139" s="37"/>
    </row>
    <row r="140" spans="51:56" ht="15.95" hidden="1" customHeight="1">
      <c r="AY140" s="31"/>
      <c r="AZ140" s="37"/>
      <c r="BC140" s="37"/>
      <c r="BD140" s="37"/>
    </row>
    <row r="141" spans="51:56" ht="15.95" hidden="1" customHeight="1">
      <c r="AY141" s="31"/>
      <c r="AZ141" s="37"/>
      <c r="BC141" s="37"/>
      <c r="BD141" s="37"/>
    </row>
    <row r="142" spans="51:56" ht="15.95" hidden="1" customHeight="1">
      <c r="AY142" s="31"/>
      <c r="AZ142" s="37"/>
      <c r="BC142" s="37"/>
      <c r="BD142" s="37"/>
    </row>
    <row r="143" spans="51:56" ht="15.95" hidden="1" customHeight="1">
      <c r="AY143" s="31"/>
      <c r="AZ143" s="37"/>
      <c r="BC143" s="37"/>
      <c r="BD143" s="37"/>
    </row>
    <row r="144" spans="51:56" ht="15.95" hidden="1" customHeight="1">
      <c r="AY144" s="31"/>
      <c r="AZ144" s="37"/>
      <c r="BC144" s="37"/>
      <c r="BD144" s="37"/>
    </row>
    <row r="145" spans="51:56" ht="15.95" hidden="1" customHeight="1">
      <c r="AY145" s="31"/>
      <c r="AZ145" s="37"/>
      <c r="BC145" s="37"/>
      <c r="BD145" s="37"/>
    </row>
    <row r="146" spans="51:56" ht="15.95" hidden="1" customHeight="1">
      <c r="AY146" s="31"/>
      <c r="AZ146" s="37"/>
      <c r="BC146" s="37"/>
      <c r="BD146" s="37"/>
    </row>
    <row r="147" spans="51:56" ht="15.95" hidden="1" customHeight="1">
      <c r="AY147" s="31"/>
      <c r="AZ147" s="37"/>
      <c r="BC147" s="37"/>
      <c r="BD147" s="37"/>
    </row>
    <row r="148" spans="51:56" ht="15.95" hidden="1" customHeight="1">
      <c r="AY148" s="31"/>
      <c r="AZ148" s="37"/>
      <c r="BC148" s="37"/>
      <c r="BD148" s="37"/>
    </row>
    <row r="149" spans="51:56" ht="15.95" hidden="1" customHeight="1">
      <c r="AY149" s="31"/>
      <c r="AZ149" s="37"/>
      <c r="BC149" s="37"/>
      <c r="BD149" s="37"/>
    </row>
    <row r="150" spans="51:56" ht="15.95" hidden="1" customHeight="1">
      <c r="AY150" s="31"/>
      <c r="AZ150" s="37"/>
      <c r="BC150" s="37"/>
      <c r="BD150" s="37"/>
    </row>
    <row r="151" spans="51:56" ht="15.95" hidden="1" customHeight="1">
      <c r="AY151" s="31"/>
      <c r="AZ151" s="37"/>
      <c r="BC151" s="37"/>
      <c r="BD151" s="37"/>
    </row>
    <row r="152" spans="51:56" ht="15.95" hidden="1" customHeight="1">
      <c r="AY152" s="31"/>
      <c r="AZ152" s="37"/>
      <c r="BC152" s="37"/>
      <c r="BD152" s="37"/>
    </row>
    <row r="153" spans="51:56" ht="15.95" hidden="1" customHeight="1">
      <c r="AY153" s="31"/>
      <c r="AZ153" s="37"/>
      <c r="BC153" s="37"/>
      <c r="BD153" s="37"/>
    </row>
    <row r="154" spans="51:56" ht="15.95" hidden="1" customHeight="1">
      <c r="AY154" s="31"/>
      <c r="AZ154" s="37"/>
      <c r="BC154" s="37"/>
      <c r="BD154" s="37"/>
    </row>
    <row r="155" spans="51:56" ht="15.95" hidden="1" customHeight="1">
      <c r="AY155" s="31"/>
      <c r="AZ155" s="37"/>
      <c r="BC155" s="37"/>
      <c r="BD155" s="37"/>
    </row>
    <row r="156" spans="51:56" ht="15.95" hidden="1" customHeight="1">
      <c r="AY156" s="31"/>
      <c r="AZ156" s="37"/>
      <c r="BC156" s="37"/>
      <c r="BD156" s="37"/>
    </row>
    <row r="157" spans="51:56" ht="15.95" hidden="1" customHeight="1">
      <c r="AY157" s="31"/>
      <c r="AZ157" s="37"/>
      <c r="BC157" s="37"/>
      <c r="BD157" s="37"/>
    </row>
    <row r="158" spans="51:56" ht="15.95" hidden="1" customHeight="1">
      <c r="AY158" s="31"/>
      <c r="AZ158" s="37"/>
      <c r="BC158" s="37"/>
      <c r="BD158" s="37"/>
    </row>
    <row r="159" spans="51:56" ht="15.95" hidden="1" customHeight="1">
      <c r="AY159" s="31"/>
      <c r="AZ159" s="37"/>
      <c r="BC159" s="37"/>
      <c r="BD159" s="37"/>
    </row>
    <row r="160" spans="51:56" ht="15.95" hidden="1" customHeight="1">
      <c r="AY160" s="31"/>
      <c r="AZ160" s="37"/>
      <c r="BC160" s="37"/>
      <c r="BD160" s="37"/>
    </row>
    <row r="161" spans="51:56" ht="15.95" hidden="1" customHeight="1">
      <c r="AY161" s="31"/>
      <c r="AZ161" s="37"/>
      <c r="BC161" s="37"/>
      <c r="BD161" s="37"/>
    </row>
    <row r="162" spans="51:56" ht="15.95" hidden="1" customHeight="1">
      <c r="AY162" s="31"/>
      <c r="AZ162" s="37"/>
      <c r="BC162" s="37"/>
      <c r="BD162" s="37"/>
    </row>
    <row r="163" spans="51:56" ht="15.95" hidden="1" customHeight="1">
      <c r="AY163" s="31"/>
      <c r="AZ163" s="37"/>
      <c r="BC163" s="37"/>
      <c r="BD163" s="37"/>
    </row>
    <row r="164" spans="51:56" ht="15.95" hidden="1" customHeight="1">
      <c r="AY164" s="31"/>
      <c r="AZ164" s="37"/>
      <c r="BC164" s="37"/>
      <c r="BD164" s="37"/>
    </row>
    <row r="165" spans="51:56" ht="15.95" hidden="1" customHeight="1">
      <c r="AY165" s="31"/>
      <c r="AZ165" s="37"/>
      <c r="BC165" s="37"/>
      <c r="BD165" s="37"/>
    </row>
    <row r="166" spans="51:56" ht="15.95" hidden="1" customHeight="1">
      <c r="AY166" s="31"/>
      <c r="AZ166" s="37"/>
      <c r="BC166" s="37"/>
      <c r="BD166" s="37"/>
    </row>
    <row r="167" spans="51:56" ht="15.95" hidden="1" customHeight="1">
      <c r="AY167" s="31"/>
      <c r="AZ167" s="37"/>
      <c r="BC167" s="37"/>
      <c r="BD167" s="37"/>
    </row>
    <row r="168" spans="51:56" ht="15.95" hidden="1" customHeight="1">
      <c r="AY168" s="31"/>
      <c r="AZ168" s="37"/>
      <c r="BC168" s="37"/>
      <c r="BD168" s="37"/>
    </row>
    <row r="169" spans="51:56" ht="15.95" hidden="1" customHeight="1">
      <c r="AY169" s="31"/>
      <c r="AZ169" s="37"/>
      <c r="BC169" s="37"/>
      <c r="BD169" s="37"/>
    </row>
    <row r="170" spans="51:56" ht="15.95" hidden="1" customHeight="1">
      <c r="AY170" s="31"/>
      <c r="AZ170" s="37"/>
      <c r="BC170" s="37"/>
      <c r="BD170" s="37"/>
    </row>
    <row r="171" spans="51:56" ht="15.95" hidden="1" customHeight="1">
      <c r="AY171" s="31"/>
      <c r="AZ171" s="37"/>
      <c r="BC171" s="37"/>
      <c r="BD171" s="37"/>
    </row>
    <row r="172" spans="51:56" ht="15.95" hidden="1" customHeight="1">
      <c r="AY172" s="31"/>
      <c r="AZ172" s="37"/>
      <c r="BC172" s="37"/>
      <c r="BD172" s="37"/>
    </row>
    <row r="173" spans="51:56" ht="15.95" hidden="1" customHeight="1">
      <c r="AY173" s="31"/>
      <c r="AZ173" s="37"/>
      <c r="BC173" s="37"/>
      <c r="BD173" s="37"/>
    </row>
    <row r="174" spans="51:56" ht="15.95" hidden="1" customHeight="1">
      <c r="AY174" s="31"/>
      <c r="AZ174" s="37"/>
      <c r="BC174" s="37"/>
      <c r="BD174" s="37"/>
    </row>
    <row r="175" spans="51:56" ht="15.95" hidden="1" customHeight="1">
      <c r="AY175" s="31"/>
      <c r="AZ175" s="37"/>
      <c r="BC175" s="37"/>
      <c r="BD175" s="37"/>
    </row>
    <row r="176" spans="51:56" ht="15.95" hidden="1" customHeight="1">
      <c r="AY176" s="31"/>
      <c r="AZ176" s="37"/>
      <c r="BC176" s="37"/>
      <c r="BD176" s="37"/>
    </row>
    <row r="177" spans="51:56" ht="15.95" hidden="1" customHeight="1">
      <c r="AY177" s="31"/>
      <c r="AZ177" s="37"/>
      <c r="BC177" s="37"/>
      <c r="BD177" s="37"/>
    </row>
    <row r="178" spans="51:56" ht="15.95" hidden="1" customHeight="1">
      <c r="AY178" s="31"/>
      <c r="AZ178" s="37"/>
      <c r="BC178" s="37"/>
      <c r="BD178" s="37"/>
    </row>
    <row r="179" spans="51:56" ht="15.95" hidden="1" customHeight="1">
      <c r="AY179" s="31"/>
      <c r="AZ179" s="37"/>
      <c r="BC179" s="37"/>
      <c r="BD179" s="37"/>
    </row>
    <row r="180" spans="51:56" ht="15.95" hidden="1" customHeight="1">
      <c r="AY180" s="31"/>
      <c r="AZ180" s="37"/>
      <c r="BC180" s="37"/>
      <c r="BD180" s="37"/>
    </row>
    <row r="181" spans="51:56" ht="15.95" hidden="1" customHeight="1">
      <c r="AY181" s="31"/>
      <c r="AZ181" s="37"/>
      <c r="BC181" s="37"/>
      <c r="BD181" s="37"/>
    </row>
    <row r="182" spans="51:56" ht="15.95" hidden="1" customHeight="1">
      <c r="AY182" s="31"/>
      <c r="AZ182" s="37"/>
      <c r="BC182" s="37"/>
      <c r="BD182" s="37"/>
    </row>
    <row r="183" spans="51:56" ht="15.95" hidden="1" customHeight="1">
      <c r="AY183" s="31"/>
      <c r="AZ183" s="37"/>
      <c r="BC183" s="37"/>
      <c r="BD183" s="37"/>
    </row>
    <row r="184" spans="51:56" ht="15.95" hidden="1" customHeight="1">
      <c r="AY184" s="31"/>
      <c r="AZ184" s="37"/>
      <c r="BC184" s="37"/>
      <c r="BD184" s="37"/>
    </row>
    <row r="185" spans="51:56" ht="15.95" hidden="1" customHeight="1">
      <c r="AY185" s="31"/>
      <c r="AZ185" s="37"/>
      <c r="BC185" s="37"/>
      <c r="BD185" s="37"/>
    </row>
    <row r="186" spans="51:56" ht="15.95" hidden="1" customHeight="1">
      <c r="AY186" s="31"/>
      <c r="AZ186" s="37"/>
      <c r="BC186" s="37"/>
      <c r="BD186" s="37"/>
    </row>
    <row r="187" spans="51:56" ht="15.95" hidden="1" customHeight="1">
      <c r="AY187" s="31"/>
      <c r="AZ187" s="37"/>
      <c r="BC187" s="37"/>
      <c r="BD187" s="37"/>
    </row>
    <row r="188" spans="51:56" ht="15.95" hidden="1" customHeight="1">
      <c r="AY188" s="31"/>
      <c r="AZ188" s="37"/>
      <c r="BC188" s="37"/>
      <c r="BD188" s="37"/>
    </row>
    <row r="189" spans="51:56" ht="15.95" hidden="1" customHeight="1">
      <c r="AY189" s="31"/>
      <c r="AZ189" s="37"/>
      <c r="BC189" s="37"/>
      <c r="BD189" s="37"/>
    </row>
    <row r="190" spans="51:56" ht="15.95" hidden="1" customHeight="1">
      <c r="AY190" s="31"/>
      <c r="AZ190" s="37"/>
      <c r="BC190" s="37"/>
      <c r="BD190" s="37"/>
    </row>
    <row r="191" spans="51:56" ht="15.95" hidden="1" customHeight="1">
      <c r="AY191" s="31"/>
      <c r="AZ191" s="37"/>
      <c r="BC191" s="37"/>
      <c r="BD191" s="37"/>
    </row>
    <row r="192" spans="51:56" ht="15.95" hidden="1" customHeight="1">
      <c r="AY192" s="31"/>
      <c r="AZ192" s="37"/>
      <c r="BC192" s="37"/>
      <c r="BD192" s="37"/>
    </row>
    <row r="193" spans="1:60" ht="15.95" hidden="1" customHeight="1">
      <c r="AY193" s="31"/>
      <c r="AZ193" s="37"/>
      <c r="BC193" s="37"/>
      <c r="BD193" s="37"/>
    </row>
    <row r="194" spans="1:60" ht="15.95" hidden="1" customHeight="1">
      <c r="AY194" s="31"/>
      <c r="AZ194" s="37"/>
      <c r="BC194" s="37"/>
      <c r="BD194" s="37"/>
    </row>
    <row r="195" spans="1:60" ht="15.95" hidden="1" customHeight="1">
      <c r="AY195" s="31"/>
      <c r="AZ195" s="37"/>
      <c r="BC195" s="37"/>
      <c r="BD195" s="37"/>
    </row>
    <row r="196" spans="1:60" ht="15.95" hidden="1" customHeight="1">
      <c r="AY196" s="31"/>
      <c r="AZ196" s="37"/>
      <c r="BC196" s="37"/>
      <c r="BD196" s="37"/>
    </row>
    <row r="197" spans="1:60" ht="15.95" hidden="1" customHeight="1">
      <c r="AY197" s="31"/>
      <c r="AZ197" s="37"/>
      <c r="BC197" s="37"/>
      <c r="BD197" s="37"/>
    </row>
    <row r="198" spans="1:60" ht="15.95" hidden="1" customHeight="1">
      <c r="AY198" s="31"/>
      <c r="AZ198" s="37"/>
      <c r="BC198" s="37"/>
      <c r="BD198" s="37"/>
    </row>
    <row r="199" spans="1:60" ht="15.95" hidden="1" customHeight="1">
      <c r="AY199" s="31"/>
      <c r="AZ199" s="37"/>
      <c r="BC199" s="37"/>
      <c r="BD199" s="37"/>
    </row>
    <row r="200" spans="1:60"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c r="BA200" s="1127">
        <f>IF(OR(COUNTIF(BA18:BB37,"Missing!")&gt;0,COUNTIF(BA18:BB37,0)&gt;0,COUNTIFS(BA18:BA37,"",BB18:BB37,"",AO18:AO37,"&gt;0")&gt;0),"Missing Units on Custom Motors &amp; Drives. ",SUM(BA18:BB37))</f>
        <v>0</v>
      </c>
      <c r="BC200" s="970">
        <f>SUM(BC18:BC37)</f>
        <v>0</v>
      </c>
      <c r="BD200" s="970">
        <f>SUM(BD18:BD37)</f>
        <v>0</v>
      </c>
      <c r="BG200" s="971">
        <f>SUM(BG18:BG37)</f>
        <v>0</v>
      </c>
      <c r="BH200" s="971">
        <f>SUM(BH18:BH37)</f>
        <v>0</v>
      </c>
    </row>
    <row r="201" spans="1:60"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c r="BA201" s="1128"/>
      <c r="BC201" s="970"/>
      <c r="BD201" s="970"/>
      <c r="BG201" s="972"/>
      <c r="BH201" s="972"/>
    </row>
    <row r="202" spans="1:60"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5.95" hidden="1" customHeight="1"/>
    <row r="204" spans="1:60" ht="15.95" hidden="1" customHeight="1"/>
  </sheetData>
  <sheetProtection algorithmName="SHA-512" hashValue="xi0/LaqEb64mRPW3RipP39WX14RYrzgB1jjbYz9MKBo/ZbWu7tg1N9DRgMDZ5jLSelsNpUmQ9pS3Weg58udZsQ==" saltValue="9Iizer6nTaYX9oaZsDyZew==" spinCount="100000" sheet="1" objects="1" scenarios="1" selectLockedCells="1"/>
  <mergeCells count="385">
    <mergeCell ref="BN16:BN17"/>
    <mergeCell ref="BN18:BN19"/>
    <mergeCell ref="BB22:BB23"/>
    <mergeCell ref="BB18:BB19"/>
    <mergeCell ref="BB20:BB21"/>
    <mergeCell ref="BO34:BO35"/>
    <mergeCell ref="BO36:BO37"/>
    <mergeCell ref="BO16:BO17"/>
    <mergeCell ref="BO18:BO19"/>
    <mergeCell ref="BO20:BO21"/>
    <mergeCell ref="BO22:BO23"/>
    <mergeCell ref="BO24:BO25"/>
    <mergeCell ref="BO26:BO27"/>
    <mergeCell ref="BO28:BO29"/>
    <mergeCell ref="BO30:BO31"/>
    <mergeCell ref="BO32:BO33"/>
    <mergeCell ref="BN34:BN35"/>
    <mergeCell ref="BF34:BF35"/>
    <mergeCell ref="BN36:BN37"/>
    <mergeCell ref="BH36:BH37"/>
    <mergeCell ref="BI36:BI37"/>
    <mergeCell ref="BJ36:BJ37"/>
    <mergeCell ref="BM36:BM37"/>
    <mergeCell ref="BM34:BM35"/>
    <mergeCell ref="BP16:BP17"/>
    <mergeCell ref="BP18:BP19"/>
    <mergeCell ref="BP20:BP21"/>
    <mergeCell ref="BP22:BP23"/>
    <mergeCell ref="BP24:BP25"/>
    <mergeCell ref="BP26:BP27"/>
    <mergeCell ref="BP28:BP29"/>
    <mergeCell ref="BP30:BP31"/>
    <mergeCell ref="BP32:BP33"/>
    <mergeCell ref="BL28:BL29"/>
    <mergeCell ref="BM28:BM29"/>
    <mergeCell ref="BI28:BI29"/>
    <mergeCell ref="BJ28:BJ29"/>
    <mergeCell ref="BH28:BH29"/>
    <mergeCell ref="BK34:BK35"/>
    <mergeCell ref="BG28:BG29"/>
    <mergeCell ref="BP34:BP35"/>
    <mergeCell ref="BP36:BP37"/>
    <mergeCell ref="BL34:BL35"/>
    <mergeCell ref="BL36:BL37"/>
    <mergeCell ref="BN30:BN31"/>
    <mergeCell ref="BN28:BN29"/>
    <mergeCell ref="BL30:BL31"/>
    <mergeCell ref="BM30:BM31"/>
    <mergeCell ref="AY36:AY37"/>
    <mergeCell ref="AZ36:AZ37"/>
    <mergeCell ref="BE36:BE37"/>
    <mergeCell ref="BF36:BF37"/>
    <mergeCell ref="BK36:BK37"/>
    <mergeCell ref="BA36:BA37"/>
    <mergeCell ref="BB34:BB35"/>
    <mergeCell ref="BB36:BB37"/>
    <mergeCell ref="AY34:AY35"/>
    <mergeCell ref="BA34:BA35"/>
    <mergeCell ref="AZ34:AZ35"/>
    <mergeCell ref="BJ34:BJ35"/>
    <mergeCell ref="BG36:BG37"/>
    <mergeCell ref="BG34:BG35"/>
    <mergeCell ref="BH34:BH35"/>
    <mergeCell ref="BI34:BI35"/>
    <mergeCell ref="BD36:BD37"/>
    <mergeCell ref="AJ34:AK35"/>
    <mergeCell ref="AL34:AN35"/>
    <mergeCell ref="AF36:AG37"/>
    <mergeCell ref="AH36:AI37"/>
    <mergeCell ref="H34:M35"/>
    <mergeCell ref="T34:V35"/>
    <mergeCell ref="T36:V37"/>
    <mergeCell ref="AJ36:AK37"/>
    <mergeCell ref="AL36:AN37"/>
    <mergeCell ref="W34:AB35"/>
    <mergeCell ref="W36:AB37"/>
    <mergeCell ref="AC36:AE37"/>
    <mergeCell ref="AC34:AE35"/>
    <mergeCell ref="AJ30:AK31"/>
    <mergeCell ref="AL30:AN31"/>
    <mergeCell ref="AO30:AQ31"/>
    <mergeCell ref="BA30:BA31"/>
    <mergeCell ref="BA32:BA33"/>
    <mergeCell ref="BN32:BN33"/>
    <mergeCell ref="H32:M33"/>
    <mergeCell ref="AF32:AG33"/>
    <mergeCell ref="AZ32:AZ33"/>
    <mergeCell ref="AJ32:AK33"/>
    <mergeCell ref="AL32:AN33"/>
    <mergeCell ref="AO32:AQ33"/>
    <mergeCell ref="AR32:AU33"/>
    <mergeCell ref="AX32:AX33"/>
    <mergeCell ref="BL32:BL33"/>
    <mergeCell ref="BM32:BM33"/>
    <mergeCell ref="BG30:BG31"/>
    <mergeCell ref="BH30:BH31"/>
    <mergeCell ref="BI30:BI31"/>
    <mergeCell ref="BJ30:BJ31"/>
    <mergeCell ref="AR30:AU31"/>
    <mergeCell ref="AX30:AX31"/>
    <mergeCell ref="AY30:AY31"/>
    <mergeCell ref="AZ30:AZ31"/>
    <mergeCell ref="BK26:BK27"/>
    <mergeCell ref="BK28:BK29"/>
    <mergeCell ref="BC28:BC29"/>
    <mergeCell ref="BE28:BE29"/>
    <mergeCell ref="BF30:BF31"/>
    <mergeCell ref="BF32:BF33"/>
    <mergeCell ref="BG32:BG33"/>
    <mergeCell ref="BE32:BE33"/>
    <mergeCell ref="BC30:BC31"/>
    <mergeCell ref="BD30:BD31"/>
    <mergeCell ref="BK30:BK31"/>
    <mergeCell ref="BE30:BE31"/>
    <mergeCell ref="BJ32:BJ33"/>
    <mergeCell ref="BK32:BK33"/>
    <mergeCell ref="AY26:AY27"/>
    <mergeCell ref="AZ26:AZ27"/>
    <mergeCell ref="BE26:BE27"/>
    <mergeCell ref="BA28:BA29"/>
    <mergeCell ref="AY28:AY29"/>
    <mergeCell ref="AZ28:AZ29"/>
    <mergeCell ref="BB26:BB27"/>
    <mergeCell ref="BB28:BB29"/>
    <mergeCell ref="BB30:BB31"/>
    <mergeCell ref="BD28:BD29"/>
    <mergeCell ref="BN24:BN25"/>
    <mergeCell ref="H26:M27"/>
    <mergeCell ref="AF26:AG27"/>
    <mergeCell ref="AH26:AI27"/>
    <mergeCell ref="AJ26:AK27"/>
    <mergeCell ref="AL26:AN27"/>
    <mergeCell ref="AO26:AQ27"/>
    <mergeCell ref="BH24:BH25"/>
    <mergeCell ref="BI24:BI25"/>
    <mergeCell ref="BJ24:BJ25"/>
    <mergeCell ref="BL24:BL25"/>
    <mergeCell ref="BM24:BM25"/>
    <mergeCell ref="BC24:BC25"/>
    <mergeCell ref="BD24:BD25"/>
    <mergeCell ref="BD26:BD27"/>
    <mergeCell ref="BF26:BF27"/>
    <mergeCell ref="AY24:AY25"/>
    <mergeCell ref="BB24:BB25"/>
    <mergeCell ref="AZ24:AZ25"/>
    <mergeCell ref="BK24:BK25"/>
    <mergeCell ref="BM26:BM27"/>
    <mergeCell ref="BN26:BN27"/>
    <mergeCell ref="BL26:BL27"/>
    <mergeCell ref="AX26:AX27"/>
    <mergeCell ref="BN20:BN21"/>
    <mergeCell ref="BH20:BH21"/>
    <mergeCell ref="BI20:BI21"/>
    <mergeCell ref="BJ20:BJ21"/>
    <mergeCell ref="BN22:BN23"/>
    <mergeCell ref="BH22:BH23"/>
    <mergeCell ref="BI22:BI23"/>
    <mergeCell ref="BJ22:BJ23"/>
    <mergeCell ref="BL22:BL23"/>
    <mergeCell ref="BM22:BM23"/>
    <mergeCell ref="BK20:BK21"/>
    <mergeCell ref="BK22:BK23"/>
    <mergeCell ref="BM18:BM19"/>
    <mergeCell ref="BF18:BF19"/>
    <mergeCell ref="BG18:BG19"/>
    <mergeCell ref="BH18:BH19"/>
    <mergeCell ref="AY16:AY17"/>
    <mergeCell ref="BL20:BL21"/>
    <mergeCell ref="BM20:BM21"/>
    <mergeCell ref="BI18:BI19"/>
    <mergeCell ref="BJ18:BJ19"/>
    <mergeCell ref="BB16:BB17"/>
    <mergeCell ref="BA16:BA17"/>
    <mergeCell ref="BK16:BK17"/>
    <mergeCell ref="BK18:BK19"/>
    <mergeCell ref="BC16:BC17"/>
    <mergeCell ref="BD16:BD17"/>
    <mergeCell ref="BC18:BC19"/>
    <mergeCell ref="BD18:BD19"/>
    <mergeCell ref="BC20:BC21"/>
    <mergeCell ref="BD20:BD21"/>
    <mergeCell ref="AZ16:AZ17"/>
    <mergeCell ref="BE16:BE17"/>
    <mergeCell ref="BM16:BM17"/>
    <mergeCell ref="AS5:AW6"/>
    <mergeCell ref="AS7:AW7"/>
    <mergeCell ref="AS8:AW8"/>
    <mergeCell ref="AB12:AE13"/>
    <mergeCell ref="AH17:AI17"/>
    <mergeCell ref="AJ17:AK17"/>
    <mergeCell ref="BL16:BL17"/>
    <mergeCell ref="BG16:BG17"/>
    <mergeCell ref="BL18:BL19"/>
    <mergeCell ref="AM13:AU14"/>
    <mergeCell ref="BA18:BA19"/>
    <mergeCell ref="BH16:BH17"/>
    <mergeCell ref="BI16:BI17"/>
    <mergeCell ref="AX16:AX17"/>
    <mergeCell ref="AL16:AN17"/>
    <mergeCell ref="AO16:AQ17"/>
    <mergeCell ref="AR16:AU17"/>
    <mergeCell ref="F1:I3"/>
    <mergeCell ref="J1:M3"/>
    <mergeCell ref="AL1:AO3"/>
    <mergeCell ref="J9:M11"/>
    <mergeCell ref="N9:Q11"/>
    <mergeCell ref="R9:U11"/>
    <mergeCell ref="V9:Y11"/>
    <mergeCell ref="Z9:AC11"/>
    <mergeCell ref="AD9:AG11"/>
    <mergeCell ref="AH9:AK11"/>
    <mergeCell ref="AL9:AO11"/>
    <mergeCell ref="B28:B29"/>
    <mergeCell ref="AY22:AY23"/>
    <mergeCell ref="AZ22:AZ23"/>
    <mergeCell ref="BA24:BA25"/>
    <mergeCell ref="BA26:BA27"/>
    <mergeCell ref="AR26:AU27"/>
    <mergeCell ref="H20:M21"/>
    <mergeCell ref="AF20:AG21"/>
    <mergeCell ref="AY18:AY19"/>
    <mergeCell ref="AZ18:AZ19"/>
    <mergeCell ref="H28:M29"/>
    <mergeCell ref="AF24:AG25"/>
    <mergeCell ref="AH24:AI25"/>
    <mergeCell ref="AF28:AG29"/>
    <mergeCell ref="AH18:AI19"/>
    <mergeCell ref="AJ18:AK19"/>
    <mergeCell ref="AL18:AN19"/>
    <mergeCell ref="AC18:AE19"/>
    <mergeCell ref="H18:M19"/>
    <mergeCell ref="AF18:AG19"/>
    <mergeCell ref="C26:G27"/>
    <mergeCell ref="AC26:AE27"/>
    <mergeCell ref="AC28:AE29"/>
    <mergeCell ref="AJ28:AK29"/>
    <mergeCell ref="B30:B31"/>
    <mergeCell ref="B32:B33"/>
    <mergeCell ref="B34:B35"/>
    <mergeCell ref="B36:B37"/>
    <mergeCell ref="AR18:AU19"/>
    <mergeCell ref="AX18:AX19"/>
    <mergeCell ref="AH20:AI21"/>
    <mergeCell ref="AJ20:AK21"/>
    <mergeCell ref="AL20:AN21"/>
    <mergeCell ref="AO20:AQ21"/>
    <mergeCell ref="AR20:AU21"/>
    <mergeCell ref="AX20:AX21"/>
    <mergeCell ref="H22:M23"/>
    <mergeCell ref="B24:B25"/>
    <mergeCell ref="AR22:AU23"/>
    <mergeCell ref="AX22:AX23"/>
    <mergeCell ref="B26:B27"/>
    <mergeCell ref="H24:M25"/>
    <mergeCell ref="B22:B23"/>
    <mergeCell ref="AC20:AE21"/>
    <mergeCell ref="AC22:AE23"/>
    <mergeCell ref="AC24:AE25"/>
    <mergeCell ref="B18:B19"/>
    <mergeCell ref="B20:B21"/>
    <mergeCell ref="BA200:BA201"/>
    <mergeCell ref="BB32:BB33"/>
    <mergeCell ref="BF20:BF21"/>
    <mergeCell ref="BG20:BG21"/>
    <mergeCell ref="BG22:BG23"/>
    <mergeCell ref="AO36:AQ37"/>
    <mergeCell ref="AR36:AU37"/>
    <mergeCell ref="AX36:AX37"/>
    <mergeCell ref="AR34:AU35"/>
    <mergeCell ref="AO22:AQ23"/>
    <mergeCell ref="AY20:AY21"/>
    <mergeCell ref="AZ20:AZ21"/>
    <mergeCell ref="BE20:BE21"/>
    <mergeCell ref="BF22:BF23"/>
    <mergeCell ref="BE22:BE23"/>
    <mergeCell ref="BA20:BA21"/>
    <mergeCell ref="BA22:BA23"/>
    <mergeCell ref="AY32:AY33"/>
    <mergeCell ref="AX34:AX35"/>
    <mergeCell ref="AO34:AQ35"/>
    <mergeCell ref="BC200:BC201"/>
    <mergeCell ref="BD200:BD201"/>
    <mergeCell ref="BG200:BG201"/>
    <mergeCell ref="BF28:BF29"/>
    <mergeCell ref="BH200:BH201"/>
    <mergeCell ref="BC36:BC37"/>
    <mergeCell ref="BJ16:BJ17"/>
    <mergeCell ref="BF16:BF17"/>
    <mergeCell ref="BG26:BG27"/>
    <mergeCell ref="BH26:BH27"/>
    <mergeCell ref="BI26:BI27"/>
    <mergeCell ref="BJ26:BJ27"/>
    <mergeCell ref="BF24:BF25"/>
    <mergeCell ref="BG24:BG25"/>
    <mergeCell ref="BC26:BC27"/>
    <mergeCell ref="BE24:BE25"/>
    <mergeCell ref="BE18:BE19"/>
    <mergeCell ref="BC22:BC23"/>
    <mergeCell ref="BD22:BD23"/>
    <mergeCell ref="BC34:BC35"/>
    <mergeCell ref="BD34:BD35"/>
    <mergeCell ref="BE34:BE35"/>
    <mergeCell ref="BC32:BC33"/>
    <mergeCell ref="BD32:BD33"/>
    <mergeCell ref="BH32:BH33"/>
    <mergeCell ref="BI32:BI33"/>
    <mergeCell ref="T12:W13"/>
    <mergeCell ref="X12:AA13"/>
    <mergeCell ref="T18:V19"/>
    <mergeCell ref="AO18:AQ19"/>
    <mergeCell ref="T14:W14"/>
    <mergeCell ref="X14:AA14"/>
    <mergeCell ref="AB14:AE14"/>
    <mergeCell ref="AC16:AE17"/>
    <mergeCell ref="T16:V17"/>
    <mergeCell ref="AF16:AG17"/>
    <mergeCell ref="AH16:AK16"/>
    <mergeCell ref="AC30:AE31"/>
    <mergeCell ref="AC32:AE33"/>
    <mergeCell ref="W26:AB27"/>
    <mergeCell ref="W28:AB29"/>
    <mergeCell ref="W30:AB31"/>
    <mergeCell ref="W32:AB33"/>
    <mergeCell ref="O200:AI201"/>
    <mergeCell ref="T26:V27"/>
    <mergeCell ref="T28:V29"/>
    <mergeCell ref="T30:V31"/>
    <mergeCell ref="T32:V33"/>
    <mergeCell ref="AF30:AG31"/>
    <mergeCell ref="AH30:AI31"/>
    <mergeCell ref="AF34:AG35"/>
    <mergeCell ref="AH34:AI35"/>
    <mergeCell ref="AH32:AI33"/>
    <mergeCell ref="AH28:AI29"/>
    <mergeCell ref="AL28:AN29"/>
    <mergeCell ref="AO28:AQ29"/>
    <mergeCell ref="AR28:AU29"/>
    <mergeCell ref="AX28:AX29"/>
    <mergeCell ref="AJ24:AK25"/>
    <mergeCell ref="AL24:AN25"/>
    <mergeCell ref="AO24:AQ25"/>
    <mergeCell ref="AR24:AU25"/>
    <mergeCell ref="AX24:AX25"/>
    <mergeCell ref="A4:E6"/>
    <mergeCell ref="A7:E8"/>
    <mergeCell ref="Q1:AG3"/>
    <mergeCell ref="AT1:AW3"/>
    <mergeCell ref="C16:G17"/>
    <mergeCell ref="C18:G19"/>
    <mergeCell ref="C20:G21"/>
    <mergeCell ref="C22:G23"/>
    <mergeCell ref="C24:G25"/>
    <mergeCell ref="W16:AB17"/>
    <mergeCell ref="W18:AB19"/>
    <mergeCell ref="W20:AB21"/>
    <mergeCell ref="W22:AB23"/>
    <mergeCell ref="W24:AB25"/>
    <mergeCell ref="T20:V21"/>
    <mergeCell ref="T22:V23"/>
    <mergeCell ref="T24:V25"/>
    <mergeCell ref="AF22:AG23"/>
    <mergeCell ref="AH22:AI23"/>
    <mergeCell ref="AJ22:AK23"/>
    <mergeCell ref="AL22:AN23"/>
    <mergeCell ref="E13:R13"/>
    <mergeCell ref="AP1:AS3"/>
    <mergeCell ref="H16:M17"/>
    <mergeCell ref="C28:G29"/>
    <mergeCell ref="C30:G31"/>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30:M31"/>
    <mergeCell ref="H36:M37"/>
  </mergeCells>
  <conditionalFormatting sqref="N18 T18 W18 AC18 H18:M19 AF18:AK37 H20:N20 T20 W20 AC20 H21:M37 N22 T22 W22 AC22 N24 T24 W24 AC24 N26 T26 W26 AC26 N28 T28 W28 AC28 N30 T30 W30 AC30 N32 T32 W32 AC32 N34 T34 W34 AC34 N36 T36 W36 AC36">
    <cfRule type="expression" dxfId="80" priority="1418">
      <formula>AND(ISBLANK($C18)=FALSE,OR(ISBLANK(H18)=TRUE,H18=""))</formula>
    </cfRule>
  </conditionalFormatting>
  <conditionalFormatting sqref="AR18:AU37">
    <cfRule type="expression" dxfId="79" priority="1" stopIfTrue="1">
      <formula>ISNUMBER($AR18)=FALSE</formula>
    </cfRule>
    <cfRule type="expression" dxfId="78" priority="9">
      <formula>$AR18 &lt;&gt; $BI18</formula>
    </cfRule>
  </conditionalFormatting>
  <conditionalFormatting sqref="AS8:AW8">
    <cfRule type="expression" dxfId="77" priority="13">
      <formula>IF($AS$8=PROJSTATMEASURE,FALSE,TRUE)</formula>
    </cfRule>
  </conditionalFormatting>
  <conditionalFormatting sqref="BA18:BB37 BH18:BH37">
    <cfRule type="expression" dxfId="76" priority="2">
      <formula>IF(AND(ISNUMBER($AO18),OR(BA18="Missing!",BA18="")),TRUE,FALSE)</formula>
    </cfRule>
  </conditionalFormatting>
  <conditionalFormatting sqref="BE18:BE37">
    <cfRule type="expression" dxfId="75" priority="1428">
      <formula>AND($BE18="",$H18&lt;&gt;"")</formula>
    </cfRule>
  </conditionalFormatting>
  <conditionalFormatting sqref="BF18:BF37">
    <cfRule type="expression" dxfId="74" priority="1429">
      <formula>AND($BF18="",$H18&lt;&gt;"")</formula>
    </cfRule>
  </conditionalFormatting>
  <dataValidations count="7">
    <dataValidation type="list" allowBlank="1" showInputMessage="1" showErrorMessage="1" sqref="BF18:BF37" xr:uid="{835AA8E5-A881-4B78-BEC3-8321F5BFF994}">
      <formula1>ENDUSECAT</formula1>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670472D9-C877-47BF-A180-B39037A1ED1B}">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B8E272A9-FD9B-43EA-9305-EE1181D444E7}">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5BD81C21-28F8-409A-9971-B8E819F9E752}">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55FA9DEB-3874-4370-8405-200A53FF1497}">
      <formula1>IF($H18="",CUSTOMPROJECTTYPE,"")</formula1>
    </dataValidation>
    <dataValidation type="list" allowBlank="1" showInputMessage="1" showErrorMessage="1" sqref="H18:M37" xr:uid="{B480D427-E75C-4A3B-A5BF-3BA0638FA3BD}">
      <formula1>CMEMOTORDESC</formula1>
    </dataValidation>
    <dataValidation type="whole" operator="greaterThanOrEqual" allowBlank="1" showInputMessage="1" showErrorMessage="1" errorTitle="Invalid Entry" error="Value must be a whole number." sqref="T18:V37 AC18:AE37" xr:uid="{563D0899-651A-448F-9E36-FD150BDD8DEC}">
      <formula1>0</formula1>
    </dataValidation>
  </dataValidations>
  <hyperlinks>
    <hyperlink ref="N9:Q11" location="'M03-S03'!C18" tooltip="Lighting Controls" display="'M03-S03'!C18" xr:uid="{C0E5AAFF-73FB-4363-9984-988ACFD8F4F9}"/>
    <hyperlink ref="R9:U11" location="'M03-S04'!C18" tooltip="Refrigeration" display="'M03-S04'!C18" xr:uid="{E3936F97-F652-497F-BC37-F573E69EC2B4}"/>
    <hyperlink ref="V9:Y11" location="'M03-S05'!C18" tooltip="HVAC" display="'M03-S05'!C18" xr:uid="{05F499C4-78BE-41A6-B98D-09DAC07819C5}"/>
    <hyperlink ref="AD9:AG11" location="'M03-S06'!C18" tooltip="Compressed Air / Process" display="'M03-S06'!C18" xr:uid="{009E5CEA-7A55-42AF-8BA6-73D136A45243}"/>
    <hyperlink ref="AH9:AK11" location="'M03-S07'!C18" tooltip="Water Heating / Cooking" display="'M03-S07'!C18" xr:uid="{3C8CC9AF-58A6-44F2-8DC4-23F8FABA7C70}"/>
    <hyperlink ref="Z9:AC11" location="'M03-S08'!C18" tooltip="Motors and Drives" display="'M03-S08'!C18" xr:uid="{5527A571-A8EB-4017-A4CB-8D9A2788AF5B}"/>
    <hyperlink ref="AL9:AO11" location="'M04-S09'!C18" tooltip="Miscellaneous" display="'M04-S09'!C18" xr:uid="{38A54196-450D-40BA-B241-96DAFF50574B}"/>
    <hyperlink ref="B202" r:id="rId1" xr:uid="{88A26C03-BC8D-48F4-A1F7-72DCE305631C}"/>
    <hyperlink ref="J1:M3" location="'M01-S02'!J1" tooltip="Instructions" display="'M01-S02'!J1" xr:uid="{E9EA49C8-E2CA-4E71-8288-EDE0DC25C3E6}"/>
    <hyperlink ref="AP1:AS3" location="'M05-S05'!AL1" tooltip=" " display="'M05-S05'!AL1" xr:uid="{949B62F1-E4D5-4F31-BFEA-1E6A510CD1D2}"/>
    <hyperlink ref="AL1:AO3" location="'M05-S04'!AH1" tooltip=" " display="'M05-S04'!AH1" xr:uid="{024B034D-7849-406B-B900-831FA67F6579}"/>
    <hyperlink ref="AT1:AW3" location="'M01-S03'!AP1" tooltip="Contact" display="'M01-S03'!AP1" xr:uid="{BEF86C28-91C9-437A-BD28-862A24141361}"/>
  </hyperlinks>
  <printOptions horizontalCentered="1"/>
  <pageMargins left="0" right="0" top="0" bottom="0" header="0" footer="0"/>
  <pageSetup scale="4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2">
    <tabColor rgb="FFFFFF00"/>
  </sheetPr>
  <dimension ref="A1:BK518"/>
  <sheetViews>
    <sheetView zoomScale="85" zoomScaleNormal="85" workbookViewId="0">
      <selection activeCell="G41" sqref="G41"/>
    </sheetView>
  </sheetViews>
  <sheetFormatPr defaultColWidth="4.7109375" defaultRowHeight="15"/>
  <cols>
    <col min="1" max="1" width="39.140625" bestFit="1" customWidth="1"/>
    <col min="2" max="2" width="4.7109375" customWidth="1"/>
    <col min="3" max="3" width="36.85546875" customWidth="1"/>
    <col min="4" max="4" width="53.5703125" customWidth="1"/>
    <col min="5" max="5" width="4.7109375" customWidth="1"/>
    <col min="6" max="6" width="28.7109375" bestFit="1" customWidth="1"/>
    <col min="7" max="7" width="38.28515625" bestFit="1" customWidth="1"/>
    <col min="8" max="8" width="28" bestFit="1" customWidth="1"/>
    <col min="9" max="9" width="5.7109375" customWidth="1"/>
    <col min="10" max="10" width="15.5703125" bestFit="1" customWidth="1"/>
    <col min="11" max="11" width="12.28515625" bestFit="1" customWidth="1"/>
    <col min="12" max="12" width="11.85546875" bestFit="1" customWidth="1"/>
    <col min="13" max="13" width="11.7109375" bestFit="1" customWidth="1"/>
    <col min="14" max="14" width="5.7109375" customWidth="1"/>
    <col min="15" max="15" width="26.42578125" customWidth="1"/>
    <col min="16" max="16" width="22.85546875" customWidth="1"/>
    <col min="17" max="17" width="29.42578125" customWidth="1"/>
    <col min="18" max="18" width="11.28515625" customWidth="1"/>
    <col min="19" max="19" width="17" bestFit="1" customWidth="1"/>
    <col min="20" max="20" width="6" customWidth="1"/>
    <col min="21" max="21" width="42.7109375" customWidth="1"/>
    <col min="22" max="22" width="30.28515625" customWidth="1"/>
    <col min="23" max="23" width="13.85546875" customWidth="1"/>
    <col min="24" max="24" width="16.28515625" customWidth="1"/>
    <col min="25" max="25" width="22.140625" customWidth="1"/>
    <col min="26" max="26" width="28.7109375" customWidth="1"/>
    <col min="27" max="27" width="6" customWidth="1"/>
    <col min="28" max="28" width="11.28515625" bestFit="1" customWidth="1"/>
    <col min="29" max="29" width="22.7109375" bestFit="1" customWidth="1"/>
    <col min="30" max="30" width="14.85546875" bestFit="1" customWidth="1"/>
    <col min="31" max="31" width="9.85546875" bestFit="1" customWidth="1"/>
    <col min="32" max="32" width="18" bestFit="1" customWidth="1"/>
    <col min="33" max="33" width="11.140625" bestFit="1" customWidth="1"/>
    <col min="34" max="34" width="7.5703125" bestFit="1" customWidth="1"/>
    <col min="35" max="35" width="22.7109375" bestFit="1" customWidth="1"/>
    <col min="36" max="36" width="9" bestFit="1" customWidth="1"/>
    <col min="37" max="37" width="7" customWidth="1"/>
    <col min="38" max="38" width="10.42578125" bestFit="1" customWidth="1"/>
    <col min="39" max="40" width="11.140625" bestFit="1" customWidth="1"/>
    <col min="41" max="41" width="9.42578125" bestFit="1" customWidth="1"/>
    <col min="42" max="42" width="10.42578125" bestFit="1" customWidth="1"/>
    <col min="43" max="44" width="12.140625" bestFit="1" customWidth="1"/>
    <col min="45" max="45" width="10.42578125" bestFit="1" customWidth="1"/>
    <col min="46" max="46" width="4.7109375" customWidth="1"/>
    <col min="47" max="47" width="32.7109375" bestFit="1" customWidth="1"/>
    <col min="48" max="48" width="11.85546875" bestFit="1" customWidth="1"/>
    <col min="49" max="49" width="10.5703125" bestFit="1" customWidth="1"/>
    <col min="50" max="50" width="11.28515625" bestFit="1" customWidth="1"/>
    <col min="51" max="51" width="8.28515625" bestFit="1" customWidth="1"/>
    <col min="52" max="52" width="6.28515625" bestFit="1" customWidth="1"/>
    <col min="53" max="53" width="7.28515625" bestFit="1" customWidth="1"/>
    <col min="54" max="54" width="7" bestFit="1" customWidth="1"/>
    <col min="55" max="55" width="9.28515625" bestFit="1" customWidth="1"/>
    <col min="56" max="56" width="8.28515625" bestFit="1" customWidth="1"/>
    <col min="57" max="57" width="42.28515625" customWidth="1"/>
    <col min="58" max="58" width="21.85546875" bestFit="1" customWidth="1"/>
    <col min="59" max="63" width="4.7109375" customWidth="1"/>
  </cols>
  <sheetData>
    <row r="1" spans="1:63">
      <c r="C1" s="317" t="s">
        <v>2365</v>
      </c>
      <c r="D1" s="12" t="s">
        <v>1795</v>
      </c>
    </row>
    <row r="2" spans="1:63">
      <c r="C2" s="317" t="s">
        <v>2366</v>
      </c>
      <c r="D2" s="12" t="str">
        <f>Hotline</f>
        <v>(844)687-0229</v>
      </c>
    </row>
    <row r="3" spans="1:63">
      <c r="C3" s="317" t="s">
        <v>2367</v>
      </c>
      <c r="D3" s="12" t="s">
        <v>1784</v>
      </c>
    </row>
    <row r="4" spans="1:63">
      <c r="C4" s="317" t="s">
        <v>2368</v>
      </c>
      <c r="D4" s="12" t="str">
        <f>""</f>
        <v/>
      </c>
    </row>
    <row r="5" spans="1:63">
      <c r="C5" s="317" t="s">
        <v>2369</v>
      </c>
      <c r="D5" s="12" t="str">
        <f>""</f>
        <v/>
      </c>
    </row>
    <row r="6" spans="1:63">
      <c r="C6" s="317" t="s">
        <v>2370</v>
      </c>
      <c r="D6" s="12" t="s">
        <v>2206</v>
      </c>
    </row>
    <row r="7" spans="1:63">
      <c r="C7" s="317" t="s">
        <v>2372</v>
      </c>
      <c r="D7" s="12" t="str">
        <f>IF(AND(PROJID=0,M02S04F07=""),"",IF(AND(PROJID=0,M02S04F07&lt;&gt;""),M02S04F07,IF(AND(PROJID&lt;&gt;0,M02S04F07&lt;&gt;""),CONCATENATE("Project ",PROJID," - ",M02S04F07),"")))</f>
        <v/>
      </c>
    </row>
    <row r="8" spans="1:63">
      <c r="C8" s="317" t="s">
        <v>2371</v>
      </c>
      <c r="D8" s="12" t="e">
        <f>IF(AND(PROJID_N=0,N02S03F15=""),"",IF(AND(PROJID_N=0,N02S03F15&lt;&gt;""),N02S03F15,IF(AND(PROJID_N&lt;&gt;0,N02S03F15&lt;&gt;""),CONCATENATE("Project ",PROJID_N," - ",N02S03F15),"")))</f>
        <v>#REF!</v>
      </c>
    </row>
    <row r="9" spans="1:63">
      <c r="C9" s="317" t="s">
        <v>2375</v>
      </c>
      <c r="D9" s="12" t="e">
        <f>IF(AND(PROJID_X=0,X02S03F24=""),"",IF(AND(PROJID_X=0,X02S03F24&lt;&gt;""),X02S03F24,IF(AND(PROJID_X&lt;&gt;0,X02S03F24&lt;&gt;""),CONCATENATE("Project ",PROJID_X," - ",X02S03F24),"")))</f>
        <v>#REF!</v>
      </c>
    </row>
    <row r="10" spans="1:63" ht="30.6" customHeight="1">
      <c r="J10" s="597" t="s">
        <v>2280</v>
      </c>
      <c r="K10" s="597"/>
      <c r="L10" s="597"/>
      <c r="M10" s="597"/>
      <c r="AB10" s="598" t="s">
        <v>2844</v>
      </c>
      <c r="AC10" s="597"/>
      <c r="AD10" s="597"/>
      <c r="AE10" s="597"/>
      <c r="AF10" s="597"/>
      <c r="AG10" s="597"/>
      <c r="AH10" s="276"/>
      <c r="AI10" t="s">
        <v>713</v>
      </c>
    </row>
    <row r="11" spans="1:63" ht="15.6" customHeight="1">
      <c r="A11" t="s">
        <v>1206</v>
      </c>
      <c r="C11" t="s">
        <v>293</v>
      </c>
      <c r="D11" t="s">
        <v>587</v>
      </c>
      <c r="F11" t="s">
        <v>621</v>
      </c>
      <c r="G11" t="s">
        <v>287</v>
      </c>
      <c r="H11" t="s">
        <v>138</v>
      </c>
      <c r="J11" t="s">
        <v>3024</v>
      </c>
      <c r="K11" t="s">
        <v>2292</v>
      </c>
      <c r="L11" t="s">
        <v>211</v>
      </c>
      <c r="M11" t="s">
        <v>2264</v>
      </c>
      <c r="O11" t="s">
        <v>177</v>
      </c>
      <c r="P11" t="s">
        <v>2283</v>
      </c>
      <c r="Q11" t="s">
        <v>1337</v>
      </c>
      <c r="R11" t="s">
        <v>2584</v>
      </c>
      <c r="S11" t="s">
        <v>2805</v>
      </c>
      <c r="U11" t="s">
        <v>321</v>
      </c>
      <c r="V11" t="s">
        <v>1146</v>
      </c>
      <c r="W11" t="s">
        <v>322</v>
      </c>
      <c r="X11" t="s">
        <v>2124</v>
      </c>
      <c r="Y11" t="s">
        <v>1766</v>
      </c>
      <c r="Z11" t="s">
        <v>1655</v>
      </c>
      <c r="AB11" t="s">
        <v>712</v>
      </c>
      <c r="AC11" t="s">
        <v>71</v>
      </c>
      <c r="AD11" t="s">
        <v>714</v>
      </c>
      <c r="AE11" t="s">
        <v>715</v>
      </c>
      <c r="AF11" t="s">
        <v>716</v>
      </c>
      <c r="AG11" t="s">
        <v>687</v>
      </c>
      <c r="AI11" t="s">
        <v>71</v>
      </c>
      <c r="AK11" s="599" t="s">
        <v>2806</v>
      </c>
      <c r="AL11" s="599"/>
      <c r="AM11" s="599"/>
      <c r="AN11" s="599"/>
      <c r="AO11" s="599"/>
      <c r="AP11" s="599"/>
      <c r="AQ11" s="599"/>
      <c r="AR11" s="599"/>
      <c r="AS11" s="599"/>
      <c r="AU11" t="s">
        <v>292</v>
      </c>
      <c r="AV11" t="s">
        <v>82</v>
      </c>
      <c r="AW11" t="s">
        <v>76</v>
      </c>
      <c r="AX11" t="s">
        <v>71</v>
      </c>
      <c r="AY11" t="s">
        <v>72</v>
      </c>
      <c r="AZ11" t="s">
        <v>80</v>
      </c>
      <c r="BA11" t="s">
        <v>288</v>
      </c>
      <c r="BB11" t="s">
        <v>289</v>
      </c>
      <c r="BC11" t="s">
        <v>287</v>
      </c>
      <c r="BD11" t="s">
        <v>138</v>
      </c>
      <c r="BE11" t="s">
        <v>291</v>
      </c>
      <c r="BF11" t="s">
        <v>597</v>
      </c>
      <c r="BK11" s="78"/>
    </row>
    <row r="12" spans="1:63">
      <c r="A12" t="s">
        <v>706</v>
      </c>
      <c r="C12" t="s">
        <v>2609</v>
      </c>
      <c r="D12" t="s">
        <v>2609</v>
      </c>
      <c r="F12" t="s">
        <v>1730</v>
      </c>
      <c r="G12" t="s">
        <v>2289</v>
      </c>
      <c r="H12" s="186" t="s">
        <v>2360</v>
      </c>
      <c r="J12" s="202" t="b">
        <v>0</v>
      </c>
      <c r="K12" s="202" t="str">
        <f>IF(Excel_Ack[[#This Row],[Acknowledge]]=TRUE, "'M02-S01'!A1", "'M01-S02'!A1")</f>
        <v>'M01-S02'!A1</v>
      </c>
      <c r="L12" s="202" t="str">
        <f>IF(Excel_Ack[[#This Row],[Acknowledge]]=TRUE, "'N02-S01'!A1", "'N01-S02'!A1")</f>
        <v>'N01-S02'!A1</v>
      </c>
      <c r="M12" s="202" t="str">
        <f>IF(Excel_Ack[[#This Row],[Acknowledge]]=TRUE, "'X02-S01'!A1", "'X01-S02'!A1")</f>
        <v>'X01-S02'!A1</v>
      </c>
      <c r="O12" t="s">
        <v>1339</v>
      </c>
      <c r="P12" s="14">
        <v>1.1399999999999999</v>
      </c>
      <c r="Q12" s="14">
        <v>0.66</v>
      </c>
      <c r="R12" s="14">
        <v>1.3</v>
      </c>
      <c r="S12" s="14">
        <v>0.22</v>
      </c>
      <c r="U12" s="77" t="s">
        <v>318</v>
      </c>
      <c r="V12" s="77" t="s">
        <v>3009</v>
      </c>
      <c r="W12" s="483">
        <v>3.823408E-4</v>
      </c>
      <c r="X12" s="484">
        <v>0.25</v>
      </c>
      <c r="Y12" s="286"/>
      <c r="Z12" s="220" t="s">
        <v>1639</v>
      </c>
      <c r="AB12">
        <v>64720</v>
      </c>
      <c r="AC12" t="s">
        <v>720</v>
      </c>
      <c r="AD12" t="s">
        <v>2373</v>
      </c>
      <c r="AE12" t="s">
        <v>763</v>
      </c>
      <c r="AF12" t="s">
        <v>2373</v>
      </c>
      <c r="AG12" t="s">
        <v>719</v>
      </c>
      <c r="AI12" t="s">
        <v>720</v>
      </c>
      <c r="AK12" s="381"/>
      <c r="AL12" s="597" t="s">
        <v>2807</v>
      </c>
      <c r="AM12" s="597"/>
      <c r="AN12" s="597"/>
      <c r="AO12" s="597"/>
      <c r="AP12" s="597" t="s">
        <v>2794</v>
      </c>
      <c r="AQ12" s="597"/>
      <c r="AR12" s="597"/>
      <c r="AS12" s="597"/>
      <c r="AU12" t="s">
        <v>1802</v>
      </c>
      <c r="AV12">
        <f>M02S02F02</f>
        <v>0</v>
      </c>
      <c r="AW12">
        <f>M02S02F03</f>
        <v>0</v>
      </c>
      <c r="AX12">
        <f>M02S02F04</f>
        <v>0</v>
      </c>
      <c r="AY12">
        <f>M02S02F05</f>
        <v>0</v>
      </c>
      <c r="AZ12">
        <f>M02S02F06</f>
        <v>0</v>
      </c>
      <c r="BA12">
        <f>M02S02F07</f>
        <v>0</v>
      </c>
      <c r="BB12">
        <f>M02S02F08</f>
        <v>0</v>
      </c>
      <c r="BC12">
        <f>M02S02F10</f>
        <v>0</v>
      </c>
      <c r="BD12">
        <f>M02S02F11</f>
        <v>0</v>
      </c>
      <c r="BE12" t="s">
        <v>1787</v>
      </c>
      <c r="BF12" t="s">
        <v>1666</v>
      </c>
    </row>
    <row r="13" spans="1:63">
      <c r="A13" t="s">
        <v>1205</v>
      </c>
      <c r="C13" t="s">
        <v>294</v>
      </c>
      <c r="D13" t="s">
        <v>588</v>
      </c>
      <c r="F13" t="s">
        <v>2420</v>
      </c>
      <c r="G13" t="s">
        <v>2422</v>
      </c>
      <c r="H13" s="186" t="s">
        <v>2421</v>
      </c>
      <c r="O13" t="s">
        <v>2402</v>
      </c>
      <c r="P13" s="14">
        <v>1.1599999999999999</v>
      </c>
      <c r="Q13" s="14">
        <v>0.97</v>
      </c>
      <c r="R13" s="14">
        <v>1.24</v>
      </c>
      <c r="S13" s="14">
        <v>0.22</v>
      </c>
      <c r="U13" s="77" t="s">
        <v>1846</v>
      </c>
      <c r="V13" s="77" t="s">
        <v>3009</v>
      </c>
      <c r="W13" s="483">
        <v>1.1674499999999999E-4</v>
      </c>
      <c r="X13" s="484">
        <v>0.12</v>
      </c>
      <c r="Y13" s="286"/>
      <c r="Z13" s="220" t="s">
        <v>1638</v>
      </c>
      <c r="AB13">
        <v>64401</v>
      </c>
      <c r="AC13" t="s">
        <v>722</v>
      </c>
      <c r="AD13" t="s">
        <v>2373</v>
      </c>
      <c r="AE13" t="s">
        <v>814</v>
      </c>
      <c r="AF13" t="s">
        <v>2373</v>
      </c>
      <c r="AG13" t="s">
        <v>719</v>
      </c>
      <c r="AI13" t="s">
        <v>722</v>
      </c>
      <c r="AK13" t="s">
        <v>2800</v>
      </c>
      <c r="AL13" t="s">
        <v>2808</v>
      </c>
      <c r="AM13" t="s">
        <v>2809</v>
      </c>
      <c r="AN13" t="s">
        <v>2810</v>
      </c>
      <c r="AO13" s="24" t="s">
        <v>2811</v>
      </c>
      <c r="AP13" s="24" t="s">
        <v>2812</v>
      </c>
      <c r="AQ13" t="s">
        <v>2813</v>
      </c>
      <c r="AR13" t="s">
        <v>2814</v>
      </c>
      <c r="AS13" s="24" t="s">
        <v>2815</v>
      </c>
      <c r="AU13" t="s">
        <v>1801</v>
      </c>
      <c r="AV13">
        <f>M02S03F01</f>
        <v>0</v>
      </c>
      <c r="AW13">
        <f>M02S03F02</f>
        <v>0</v>
      </c>
      <c r="AX13">
        <f>M02S03F03</f>
        <v>0</v>
      </c>
      <c r="AY13">
        <f>M02S03F04</f>
        <v>0</v>
      </c>
      <c r="AZ13">
        <f>M02S03F05</f>
        <v>0</v>
      </c>
      <c r="BA13">
        <f>M02S03F06</f>
        <v>0</v>
      </c>
      <c r="BB13">
        <f>M02S03F07</f>
        <v>0</v>
      </c>
      <c r="BC13">
        <f>M02S03F09</f>
        <v>0</v>
      </c>
      <c r="BD13">
        <f>M02S03F10</f>
        <v>0</v>
      </c>
      <c r="BE13" t="s">
        <v>1788</v>
      </c>
      <c r="BF13" t="s">
        <v>290</v>
      </c>
    </row>
    <row r="14" spans="1:63">
      <c r="C14" t="s">
        <v>295</v>
      </c>
      <c r="D14" t="s">
        <v>295</v>
      </c>
      <c r="F14" t="s">
        <v>2733</v>
      </c>
      <c r="G14" t="s">
        <v>2734</v>
      </c>
      <c r="H14" s="186" t="s">
        <v>2735</v>
      </c>
      <c r="J14" s="597" t="s">
        <v>79</v>
      </c>
      <c r="K14" s="597"/>
      <c r="L14" s="597"/>
      <c r="M14" s="597"/>
      <c r="O14" t="s">
        <v>1341</v>
      </c>
      <c r="P14" s="14">
        <v>1.0900000000000001</v>
      </c>
      <c r="Q14" s="14">
        <v>0.76</v>
      </c>
      <c r="R14" s="14">
        <v>1.26</v>
      </c>
      <c r="S14" s="14">
        <v>0.22</v>
      </c>
      <c r="U14" s="77" t="s">
        <v>1858</v>
      </c>
      <c r="V14" s="77" t="s">
        <v>3009</v>
      </c>
      <c r="W14" s="483">
        <v>6.6623799999999999E-4</v>
      </c>
      <c r="X14" s="484">
        <v>0.36</v>
      </c>
      <c r="Y14" s="286"/>
      <c r="Z14" s="220" t="s">
        <v>1651</v>
      </c>
      <c r="AB14">
        <v>64402</v>
      </c>
      <c r="AC14" t="s">
        <v>724</v>
      </c>
      <c r="AE14" t="s">
        <v>926</v>
      </c>
      <c r="AG14" t="s">
        <v>719</v>
      </c>
      <c r="AI14" t="s">
        <v>724</v>
      </c>
      <c r="AK14">
        <v>0</v>
      </c>
      <c r="AL14" s="384">
        <v>0.9798</v>
      </c>
      <c r="AM14" s="383"/>
      <c r="AN14" s="383"/>
      <c r="AO14" s="383"/>
      <c r="AP14" s="385">
        <v>0.97340000000000004</v>
      </c>
      <c r="AQ14" s="383"/>
      <c r="AR14" s="383"/>
      <c r="AS14" s="383"/>
      <c r="AU14" t="s">
        <v>1800</v>
      </c>
      <c r="AV14">
        <f>M02S04F07</f>
        <v>0</v>
      </c>
      <c r="AW14">
        <f>M02S04F08</f>
        <v>0</v>
      </c>
      <c r="AX14">
        <f>M02S04F09</f>
        <v>0</v>
      </c>
      <c r="AY14" t="str">
        <f>M02S04F10</f>
        <v>MO</v>
      </c>
      <c r="AZ14">
        <f>M02S04F11</f>
        <v>0</v>
      </c>
      <c r="BA14" t="str">
        <f>M02S04F12</f>
        <v/>
      </c>
      <c r="BB14" t="str">
        <f>M02S04F13</f>
        <v/>
      </c>
      <c r="BC14" t="str">
        <f>M02S04F15</f>
        <v/>
      </c>
      <c r="BD14" t="str">
        <f>M02S04F16</f>
        <v/>
      </c>
      <c r="BE14" t="s">
        <v>1789</v>
      </c>
      <c r="BF14" t="s">
        <v>290</v>
      </c>
    </row>
    <row r="15" spans="1:63">
      <c r="A15" t="s">
        <v>286</v>
      </c>
      <c r="C15" t="s">
        <v>296</v>
      </c>
      <c r="D15" t="s">
        <v>296</v>
      </c>
      <c r="F15" t="s">
        <v>2889</v>
      </c>
      <c r="G15" t="s">
        <v>2890</v>
      </c>
      <c r="H15" s="186" t="s">
        <v>2891</v>
      </c>
      <c r="J15" t="s">
        <v>3024</v>
      </c>
      <c r="K15" t="s">
        <v>2292</v>
      </c>
      <c r="L15" t="s">
        <v>211</v>
      </c>
      <c r="M15" t="s">
        <v>2264</v>
      </c>
      <c r="O15" t="s">
        <v>2403</v>
      </c>
      <c r="P15" s="14">
        <v>1.08</v>
      </c>
      <c r="Q15" s="14">
        <v>0.67</v>
      </c>
      <c r="R15" s="14">
        <v>1.3</v>
      </c>
      <c r="S15" s="14">
        <v>0.22</v>
      </c>
      <c r="U15" s="77" t="s">
        <v>1894</v>
      </c>
      <c r="V15" s="77" t="s">
        <v>3009</v>
      </c>
      <c r="W15" s="483">
        <v>0</v>
      </c>
      <c r="X15" s="484">
        <v>0.05</v>
      </c>
      <c r="Y15" s="287"/>
      <c r="Z15" s="220" t="s">
        <v>1654</v>
      </c>
      <c r="AB15">
        <v>64420</v>
      </c>
      <c r="AC15" t="s">
        <v>726</v>
      </c>
      <c r="AD15" t="s">
        <v>2373</v>
      </c>
      <c r="AE15" t="s">
        <v>1091</v>
      </c>
      <c r="AF15" t="s">
        <v>2373</v>
      </c>
      <c r="AG15" t="s">
        <v>719</v>
      </c>
      <c r="AI15" t="s">
        <v>726</v>
      </c>
      <c r="AK15">
        <v>15</v>
      </c>
      <c r="AL15" s="382">
        <f>ROUND(AVERAGE(AM15:AO15), 4)</f>
        <v>0.9798</v>
      </c>
      <c r="AM15" s="383">
        <v>0.98099999999999998</v>
      </c>
      <c r="AN15" s="383">
        <v>0.97860000000000003</v>
      </c>
      <c r="AO15" s="383"/>
      <c r="AP15" s="382">
        <f>ROUND(AVERAGE(AQ15:AS15), 4)</f>
        <v>0.97340000000000004</v>
      </c>
      <c r="AQ15" s="383">
        <v>0.97499999999999998</v>
      </c>
      <c r="AR15" s="383">
        <v>0.97180000000000011</v>
      </c>
      <c r="AS15" s="383"/>
      <c r="AU15" t="s">
        <v>1799</v>
      </c>
      <c r="AV15">
        <f>M02S04F07</f>
        <v>0</v>
      </c>
      <c r="AW15">
        <f>M02S04F08</f>
        <v>0</v>
      </c>
      <c r="AX15">
        <f>M02S04F09</f>
        <v>0</v>
      </c>
      <c r="AY15" t="str">
        <f>M02S04F10</f>
        <v>MO</v>
      </c>
      <c r="AZ15">
        <f>M02S04F11</f>
        <v>0</v>
      </c>
      <c r="BA15" t="str">
        <f>M02S04F12</f>
        <v/>
      </c>
      <c r="BB15" t="str">
        <f>M02S04F13</f>
        <v/>
      </c>
      <c r="BC15" t="str">
        <f>M02S04F15</f>
        <v/>
      </c>
      <c r="BD15" t="str">
        <f>M02S04F16</f>
        <v/>
      </c>
      <c r="BE15" t="s">
        <v>1804</v>
      </c>
      <c r="BF15" t="s">
        <v>97</v>
      </c>
    </row>
    <row r="16" spans="1:63">
      <c r="A16" t="s">
        <v>1827</v>
      </c>
      <c r="C16" t="s">
        <v>97</v>
      </c>
      <c r="D16" t="s">
        <v>97</v>
      </c>
      <c r="F16" t="s">
        <v>2941</v>
      </c>
      <c r="G16" t="s">
        <v>2942</v>
      </c>
      <c r="H16" s="469" t="s">
        <v>2943</v>
      </c>
      <c r="J16" s="202" t="b" cm="1">
        <f t="array" ref="J16">Excel_Ack[Acknowledge]</f>
        <v>0</v>
      </c>
      <c r="K16" s="202" t="str">
        <f>"'M01-S03'!A1"</f>
        <v>'M01-S03'!A1</v>
      </c>
      <c r="L16" s="202" t="str">
        <f>"'N01-S03'!A1"</f>
        <v>'N01-S03'!A1</v>
      </c>
      <c r="M16" s="202" t="str">
        <f>"'X01-S03'!A1"</f>
        <v>'X01-S03'!A1</v>
      </c>
      <c r="O16" t="s">
        <v>1300</v>
      </c>
      <c r="P16" s="14">
        <v>1</v>
      </c>
      <c r="Q16" s="14">
        <v>0</v>
      </c>
      <c r="R16" s="14">
        <v>1</v>
      </c>
      <c r="S16" s="14">
        <v>0.22</v>
      </c>
      <c r="U16" s="77" t="s">
        <v>2902</v>
      </c>
      <c r="V16" s="77" t="s">
        <v>3009</v>
      </c>
      <c r="W16" s="483">
        <v>1.3870850000000001E-4</v>
      </c>
      <c r="X16" s="516">
        <v>0</v>
      </c>
      <c r="Y16" s="286"/>
      <c r="Z16" s="220" t="s">
        <v>1645</v>
      </c>
      <c r="AB16">
        <v>64001</v>
      </c>
      <c r="AC16" t="s">
        <v>728</v>
      </c>
      <c r="AD16" t="s">
        <v>2373</v>
      </c>
      <c r="AE16" t="s">
        <v>1081</v>
      </c>
      <c r="AF16" t="s">
        <v>2373</v>
      </c>
      <c r="AG16" t="s">
        <v>719</v>
      </c>
      <c r="AI16" t="s">
        <v>728</v>
      </c>
      <c r="AK16">
        <v>25</v>
      </c>
      <c r="AL16" s="382">
        <f t="shared" ref="AL16:AL34" si="0">ROUND(AVERAGE(AM16:AO16), 4)</f>
        <v>0.98229999999999995</v>
      </c>
      <c r="AM16" s="383">
        <v>0.98329999999999995</v>
      </c>
      <c r="AN16" s="383">
        <v>0.98120000000000007</v>
      </c>
      <c r="AO16" s="383"/>
      <c r="AP16" s="384">
        <v>0.97340000000000004</v>
      </c>
      <c r="AQ16" s="383"/>
      <c r="AR16" s="383"/>
      <c r="AS16" s="383"/>
      <c r="AU16" t="s">
        <v>1803</v>
      </c>
      <c r="AV16" t="str">
        <f>""</f>
        <v/>
      </c>
      <c r="AW16" t="str">
        <f>""</f>
        <v/>
      </c>
      <c r="AX16" t="str">
        <f>""</f>
        <v/>
      </c>
      <c r="AY16" t="str">
        <f>""</f>
        <v/>
      </c>
      <c r="AZ16" t="str">
        <f>""</f>
        <v/>
      </c>
      <c r="BA16" t="str">
        <f>""</f>
        <v/>
      </c>
      <c r="BB16" t="str">
        <f>""</f>
        <v/>
      </c>
      <c r="BC16" t="str">
        <f>""</f>
        <v/>
      </c>
      <c r="BD16" t="str">
        <f>""</f>
        <v/>
      </c>
      <c r="BE16" t="s">
        <v>1789</v>
      </c>
      <c r="BF16" t="s">
        <v>97</v>
      </c>
    </row>
    <row r="17" spans="1:58">
      <c r="A17" t="s">
        <v>1828</v>
      </c>
      <c r="C17" t="s">
        <v>297</v>
      </c>
      <c r="D17" t="s">
        <v>590</v>
      </c>
      <c r="F17" s="27" t="s">
        <v>2955</v>
      </c>
      <c r="G17" s="27" t="s">
        <v>3017</v>
      </c>
      <c r="H17" s="482" t="s">
        <v>2956</v>
      </c>
      <c r="O17" t="s">
        <v>1326</v>
      </c>
      <c r="P17" s="14">
        <v>1</v>
      </c>
      <c r="Q17" s="14">
        <v>0.92</v>
      </c>
      <c r="R17" s="14">
        <v>1</v>
      </c>
      <c r="S17" s="14">
        <v>0.22</v>
      </c>
      <c r="U17" s="77" t="s">
        <v>2140</v>
      </c>
      <c r="V17" s="77" t="s">
        <v>3009</v>
      </c>
      <c r="W17" s="483">
        <v>0</v>
      </c>
      <c r="X17" s="516">
        <v>0</v>
      </c>
      <c r="Y17" s="286"/>
      <c r="Z17" s="220" t="s">
        <v>1644</v>
      </c>
      <c r="AB17">
        <v>64620</v>
      </c>
      <c r="AC17" t="s">
        <v>730</v>
      </c>
      <c r="AD17" t="s">
        <v>2373</v>
      </c>
      <c r="AE17" t="s">
        <v>966</v>
      </c>
      <c r="AF17" t="s">
        <v>2373</v>
      </c>
      <c r="AG17" t="s">
        <v>719</v>
      </c>
      <c r="AI17" t="s">
        <v>730</v>
      </c>
      <c r="AK17">
        <v>30</v>
      </c>
      <c r="AL17" s="384">
        <v>0.98229999999999995</v>
      </c>
      <c r="AM17" s="383"/>
      <c r="AN17" s="383"/>
      <c r="AO17" s="383"/>
      <c r="AP17" s="382">
        <f t="shared" ref="AP17:AP38" si="1">ROUND(AVERAGE(AQ17:AS17), 4)</f>
        <v>0.97770000000000001</v>
      </c>
      <c r="AQ17" s="383">
        <v>0.97900000000000009</v>
      </c>
      <c r="AR17" s="383">
        <v>0.97629999999999995</v>
      </c>
      <c r="AS17" s="383"/>
    </row>
    <row r="18" spans="1:58">
      <c r="C18" t="s">
        <v>2610</v>
      </c>
      <c r="D18" t="s">
        <v>2610</v>
      </c>
      <c r="F18" t="s">
        <v>3124</v>
      </c>
      <c r="G18" t="s">
        <v>3126</v>
      </c>
      <c r="H18" s="482" t="s">
        <v>3125</v>
      </c>
      <c r="J18" s="597" t="s">
        <v>3047</v>
      </c>
      <c r="K18" s="597"/>
      <c r="L18" s="597"/>
      <c r="M18" s="597"/>
      <c r="O18" t="s">
        <v>1342</v>
      </c>
      <c r="P18" s="14">
        <v>1</v>
      </c>
      <c r="Q18" s="14">
        <v>1</v>
      </c>
      <c r="R18" s="14">
        <v>1</v>
      </c>
      <c r="S18" s="14">
        <v>0.22</v>
      </c>
      <c r="U18" s="77" t="s">
        <v>1838</v>
      </c>
      <c r="V18" s="77" t="s">
        <v>3009</v>
      </c>
      <c r="W18" s="483">
        <v>1.998949E-4</v>
      </c>
      <c r="X18" s="484">
        <v>0.1</v>
      </c>
      <c r="Y18" s="286"/>
      <c r="Z18" s="220" t="s">
        <v>1640</v>
      </c>
      <c r="AB18">
        <v>64421</v>
      </c>
      <c r="AC18" t="s">
        <v>717</v>
      </c>
      <c r="AD18" t="s">
        <v>2373</v>
      </c>
      <c r="AE18" t="s">
        <v>718</v>
      </c>
      <c r="AF18" t="s">
        <v>2373</v>
      </c>
      <c r="AG18" t="s">
        <v>719</v>
      </c>
      <c r="AI18" t="s">
        <v>717</v>
      </c>
      <c r="AK18">
        <v>37.5</v>
      </c>
      <c r="AL18" s="382">
        <f t="shared" si="0"/>
        <v>0.98399999999999999</v>
      </c>
      <c r="AM18" s="383">
        <v>0.9849</v>
      </c>
      <c r="AN18" s="383">
        <v>0.98299999999999998</v>
      </c>
      <c r="AO18" s="383"/>
      <c r="AP18" s="384">
        <v>0.97770000000000001</v>
      </c>
      <c r="AQ18" s="383"/>
      <c r="AR18" s="383"/>
      <c r="AS18" s="383"/>
      <c r="AU18" t="s">
        <v>292</v>
      </c>
      <c r="AV18" t="s">
        <v>82</v>
      </c>
      <c r="AW18" t="s">
        <v>76</v>
      </c>
      <c r="AX18" t="s">
        <v>71</v>
      </c>
      <c r="AY18" t="s">
        <v>72</v>
      </c>
      <c r="AZ18" t="s">
        <v>80</v>
      </c>
      <c r="BA18" t="s">
        <v>288</v>
      </c>
      <c r="BB18" t="s">
        <v>289</v>
      </c>
      <c r="BC18" t="s">
        <v>287</v>
      </c>
      <c r="BD18" t="s">
        <v>138</v>
      </c>
      <c r="BE18" t="s">
        <v>291</v>
      </c>
      <c r="BF18" t="s">
        <v>597</v>
      </c>
    </row>
    <row r="19" spans="1:58">
      <c r="A19" t="s">
        <v>1308</v>
      </c>
      <c r="C19" t="s">
        <v>2612</v>
      </c>
      <c r="D19" t="s">
        <v>589</v>
      </c>
      <c r="F19" t="s">
        <v>625</v>
      </c>
      <c r="J19" t="s">
        <v>3024</v>
      </c>
      <c r="K19" t="s">
        <v>2292</v>
      </c>
      <c r="L19" t="s">
        <v>211</v>
      </c>
      <c r="M19" t="s">
        <v>2264</v>
      </c>
      <c r="O19" t="s">
        <v>2404</v>
      </c>
      <c r="P19" s="14">
        <v>1.0900000000000001</v>
      </c>
      <c r="Q19" s="14">
        <v>0.76</v>
      </c>
      <c r="R19" s="14">
        <v>1.26</v>
      </c>
      <c r="S19" s="14">
        <v>0.22</v>
      </c>
      <c r="U19" s="77" t="s">
        <v>94</v>
      </c>
      <c r="V19" s="77" t="s">
        <v>3009</v>
      </c>
      <c r="W19" s="483">
        <v>3.4198269999999997E-4</v>
      </c>
      <c r="X19" s="484">
        <v>0.23</v>
      </c>
      <c r="Y19" s="286"/>
      <c r="Z19" s="220" t="s">
        <v>1641</v>
      </c>
      <c r="AB19">
        <v>64422</v>
      </c>
      <c r="AC19" t="s">
        <v>733</v>
      </c>
      <c r="AD19" t="s">
        <v>2373</v>
      </c>
      <c r="AE19" t="s">
        <v>975</v>
      </c>
      <c r="AF19" t="s">
        <v>2373</v>
      </c>
      <c r="AG19" t="s">
        <v>719</v>
      </c>
      <c r="AI19" t="s">
        <v>733</v>
      </c>
      <c r="AK19">
        <v>45</v>
      </c>
      <c r="AL19" s="384">
        <v>0.98399999999999999</v>
      </c>
      <c r="AM19" s="383"/>
      <c r="AN19" s="383"/>
      <c r="AO19" s="383"/>
      <c r="AP19" s="382">
        <f t="shared" si="1"/>
        <v>0.9798</v>
      </c>
      <c r="AQ19" s="383">
        <v>0.98099999999999998</v>
      </c>
      <c r="AR19" s="383">
        <v>0.97860000000000003</v>
      </c>
      <c r="AS19" s="383"/>
      <c r="AU19" t="s">
        <v>2359</v>
      </c>
      <c r="AV19" t="e">
        <f>IF(X05S01F15="Service Provider", X02S02F01,
IF(X05S01F15=X02S02F12, X02S02F13,
IF(X05S01F15=X02S02F23, X02S02F24,"")))</f>
        <v>#REF!</v>
      </c>
      <c r="AW19" t="e">
        <f>IF(X05S01F15="Service Provider", X02S02F02,
IF(X05S01F15=X02S02F12, X02S02F14,
IF(X05S01F15=X02S02F23, X02S02F25,"")))</f>
        <v>#REF!</v>
      </c>
      <c r="AX19" t="e">
        <f>IF(X05S01F15="Service Provider", X02S02F03,
IF(X05S01F15=X02S02F12, X02S02F15,
IF(X05S01F15=X02S02F23, X02S02F26,"")))</f>
        <v>#REF!</v>
      </c>
      <c r="AY19" t="e">
        <f>IF(X05S01F15="Service Provider", X02S02F04,
IF(X05S01F15=X02S02F12, X02S02F16,
IF(X05S01F15=X02S02F23, X02S02F27,"")))</f>
        <v>#REF!</v>
      </c>
      <c r="AZ19" t="e">
        <f>IF(X05S01F15="Service Provider", X02S02F05,
IF(X05S01F15=X02S02F12, X02S02F17,
IF(X05S01F15=X02S02F23, X02S02F28,"")))</f>
        <v>#REF!</v>
      </c>
      <c r="BA19" t="e">
        <f>IF(X05S01F15="Service Provider", X02S02F06,
IF(X05S01F15=X02S02F12, X02S02F18,
IF(X05S01F15=X02S02F23, X02S02F29,"")))</f>
        <v>#REF!</v>
      </c>
      <c r="BB19" t="e">
        <f>IF(X05S01F15="Service Provider", X02S02F07,
IF(X05S01F15=X02S02F12, X02S02F19,
IF(X05S01F15=X02S02F23, X02S02F30,"")))</f>
        <v>#REF!</v>
      </c>
      <c r="BC19" t="e">
        <f>IF(X05S01F15="Service Provider", X02S02F09,
IF(X05S01F15=X02S02F12, X02S02F21,
IF(X05S01F15=X02S02F23, X02S02F32,"")))</f>
        <v>#REF!</v>
      </c>
      <c r="BD19" t="e">
        <f>IF(X05S01F15="Service Provider", X02S02F10,
IF(X05S01F15=X02S02F12, X02S02F22,
IF(X05S01F15=X02S02F23, X02S02F33,"")))</f>
        <v>#REF!</v>
      </c>
      <c r="BE19" t="s">
        <v>1787</v>
      </c>
      <c r="BF19" t="s">
        <v>1666</v>
      </c>
    </row>
    <row r="20" spans="1:58">
      <c r="A20" t="s">
        <v>1320</v>
      </c>
      <c r="C20" t="s">
        <v>2611</v>
      </c>
      <c r="D20" t="s">
        <v>2611</v>
      </c>
      <c r="F20" t="s">
        <v>97</v>
      </c>
      <c r="J20" s="202" t="b" cm="1">
        <f t="array" ref="J20">Excel_Ack[Acknowledge]</f>
        <v>0</v>
      </c>
      <c r="K20" s="202" t="str">
        <f>IF(Excel_Ack_Offer[[#This Row],[Acknowledge]]=TRUE, IF(ACTIVEOFFER="Yes", "'M05-S04'!A1", ""), "'M01-S02'!A1")</f>
        <v>'M01-S02'!A1</v>
      </c>
      <c r="L20" s="202" t="str">
        <f>IF(Excel_Ack_Offer[[#This Row],[Acknowledge]]=TRUE, IF(ACTIVEOFFER_N="Yes", "'N05-S04'!A1", ""), "'N01-S02'!A1")</f>
        <v>'N01-S02'!A1</v>
      </c>
      <c r="M20" s="202" t="str">
        <f>IF(Excel_Ack_Offer[[#This Row],[Acknowledge]]=TRUE, IF(ACTIVEOFFER_X="Yes", "'X05-S04'!A1", ""), "'X01-S02'!A1")</f>
        <v>'X01-S02'!A1</v>
      </c>
      <c r="O20" t="s">
        <v>1343</v>
      </c>
      <c r="P20" s="14">
        <v>1.05</v>
      </c>
      <c r="Q20" s="14">
        <v>0.82</v>
      </c>
      <c r="R20" s="14">
        <v>1.22</v>
      </c>
      <c r="S20" s="14">
        <v>0.22</v>
      </c>
      <c r="U20" s="77" t="s">
        <v>2138</v>
      </c>
      <c r="V20" s="77" t="s">
        <v>3009</v>
      </c>
      <c r="W20" s="483">
        <v>1.3870850000000001E-4</v>
      </c>
      <c r="X20" s="484">
        <v>0.18</v>
      </c>
      <c r="Y20" s="287"/>
      <c r="Z20" s="220" t="s">
        <v>1642</v>
      </c>
      <c r="AB20">
        <v>64722</v>
      </c>
      <c r="AC20" t="s">
        <v>736</v>
      </c>
      <c r="AD20" t="s">
        <v>2373</v>
      </c>
      <c r="AE20" t="s">
        <v>763</v>
      </c>
      <c r="AF20" t="s">
        <v>2373</v>
      </c>
      <c r="AG20" t="s">
        <v>719</v>
      </c>
      <c r="AI20" t="s">
        <v>736</v>
      </c>
      <c r="AK20">
        <v>50</v>
      </c>
      <c r="AL20" s="382">
        <f t="shared" si="0"/>
        <v>0.98509999999999998</v>
      </c>
      <c r="AM20" s="383">
        <v>0.98599999999999999</v>
      </c>
      <c r="AN20" s="383">
        <v>0.98419999999999996</v>
      </c>
      <c r="AO20" s="383"/>
      <c r="AP20" s="384">
        <v>0.9798</v>
      </c>
      <c r="AQ20" s="383"/>
      <c r="AR20" s="383"/>
      <c r="AS20" s="383"/>
      <c r="AU20" t="s">
        <v>1801</v>
      </c>
      <c r="AV20" t="e">
        <f>X02S03F01</f>
        <v>#REF!</v>
      </c>
      <c r="AW20" t="e">
        <f>X02S03F02</f>
        <v>#REF!</v>
      </c>
      <c r="AX20" t="e">
        <f>X02S03F03</f>
        <v>#REF!</v>
      </c>
      <c r="AY20" t="e">
        <f>X02S03F04</f>
        <v>#REF!</v>
      </c>
      <c r="AZ20" t="e">
        <f>X02S03F05</f>
        <v>#REF!</v>
      </c>
      <c r="BA20" t="e">
        <f>X02S03F06</f>
        <v>#REF!</v>
      </c>
      <c r="BB20" t="e">
        <f>X02S03F07</f>
        <v>#REF!</v>
      </c>
      <c r="BC20" t="e">
        <f>X02S03F09</f>
        <v>#REF!</v>
      </c>
      <c r="BD20" t="e">
        <f>X02S03F10</f>
        <v>#REF!</v>
      </c>
      <c r="BE20" t="s">
        <v>1788</v>
      </c>
      <c r="BF20" t="s">
        <v>290</v>
      </c>
    </row>
    <row r="21" spans="1:58">
      <c r="A21" t="s">
        <v>135</v>
      </c>
      <c r="H21" s="186"/>
      <c r="J21" s="38"/>
      <c r="O21" t="s">
        <v>1353</v>
      </c>
      <c r="P21" s="14">
        <v>1.1299999999999999</v>
      </c>
      <c r="Q21" s="14">
        <v>0.56000000000000005</v>
      </c>
      <c r="R21" s="14">
        <v>1.35</v>
      </c>
      <c r="S21" s="14">
        <v>0.22</v>
      </c>
      <c r="U21" s="77" t="s">
        <v>2139</v>
      </c>
      <c r="V21" s="77" t="s">
        <v>3009</v>
      </c>
      <c r="W21" s="483">
        <v>0</v>
      </c>
      <c r="X21" s="484">
        <v>0.08</v>
      </c>
      <c r="Y21" s="286"/>
      <c r="Z21" s="220" t="s">
        <v>1643</v>
      </c>
      <c r="AB21">
        <v>64723</v>
      </c>
      <c r="AC21" t="s">
        <v>738</v>
      </c>
      <c r="AD21" t="s">
        <v>2373</v>
      </c>
      <c r="AE21" t="s">
        <v>763</v>
      </c>
      <c r="AF21" t="s">
        <v>2373</v>
      </c>
      <c r="AG21" t="s">
        <v>719</v>
      </c>
      <c r="AI21" t="s">
        <v>738</v>
      </c>
      <c r="AK21">
        <v>75</v>
      </c>
      <c r="AL21" s="382">
        <f t="shared" si="0"/>
        <v>0.98609999999999998</v>
      </c>
      <c r="AM21" s="383">
        <v>0.98730000000000007</v>
      </c>
      <c r="AN21" s="383">
        <v>0.98569999999999991</v>
      </c>
      <c r="AO21" s="383">
        <v>0.98530000000000006</v>
      </c>
      <c r="AP21" s="382">
        <f t="shared" si="1"/>
        <v>0.98229999999999995</v>
      </c>
      <c r="AQ21" s="383">
        <v>0.98329999999999995</v>
      </c>
      <c r="AR21" s="383">
        <v>0.98129999999999995</v>
      </c>
      <c r="AS21" s="383"/>
      <c r="AU21" t="s">
        <v>1800</v>
      </c>
      <c r="AV21" t="e">
        <f>X02S03F24</f>
        <v>#REF!</v>
      </c>
      <c r="AW21" t="e">
        <f>X02S03F25</f>
        <v>#REF!</v>
      </c>
      <c r="AX21" t="e">
        <f>X02S03F26</f>
        <v>#REF!</v>
      </c>
      <c r="AY21" t="e">
        <f>X02S03F27</f>
        <v>#REF!</v>
      </c>
      <c r="AZ21" t="e">
        <f>X02S03F28</f>
        <v>#REF!</v>
      </c>
      <c r="BA21" t="e">
        <f>X02S03F12</f>
        <v>#REF!</v>
      </c>
      <c r="BB21" t="e">
        <f>X02S03F13</f>
        <v>#REF!</v>
      </c>
      <c r="BC21" t="e">
        <f>X02S03F15</f>
        <v>#REF!</v>
      </c>
      <c r="BD21" t="e">
        <f>X02S03F16</f>
        <v>#REF!</v>
      </c>
      <c r="BE21" t="s">
        <v>1789</v>
      </c>
      <c r="BF21" t="s">
        <v>290</v>
      </c>
    </row>
    <row r="22" spans="1:58">
      <c r="A22" t="s">
        <v>1464</v>
      </c>
      <c r="C22" t="s">
        <v>179</v>
      </c>
      <c r="D22" t="s">
        <v>280</v>
      </c>
      <c r="J22" s="597" t="s">
        <v>3048</v>
      </c>
      <c r="K22" s="597"/>
      <c r="L22" s="597"/>
      <c r="M22" s="597"/>
      <c r="O22" t="s">
        <v>1344</v>
      </c>
      <c r="P22" s="14">
        <v>1.1399999999999999</v>
      </c>
      <c r="Q22" s="14">
        <v>0.67</v>
      </c>
      <c r="R22" s="14">
        <v>1.04</v>
      </c>
      <c r="S22" s="14">
        <v>0.22</v>
      </c>
      <c r="U22" s="77" t="s">
        <v>1124</v>
      </c>
      <c r="V22" s="77" t="s">
        <v>3009</v>
      </c>
      <c r="W22" s="483">
        <v>1.69729E-4</v>
      </c>
      <c r="X22" s="516">
        <v>0</v>
      </c>
      <c r="Y22" s="286"/>
      <c r="Z22" s="220" t="s">
        <v>1646</v>
      </c>
      <c r="AB22">
        <v>64724</v>
      </c>
      <c r="AC22" t="s">
        <v>740</v>
      </c>
      <c r="AD22" t="s">
        <v>2373</v>
      </c>
      <c r="AE22" t="s">
        <v>2842</v>
      </c>
      <c r="AF22" t="s">
        <v>2373</v>
      </c>
      <c r="AG22" t="s">
        <v>719</v>
      </c>
      <c r="AI22" t="s">
        <v>740</v>
      </c>
      <c r="AK22">
        <v>100</v>
      </c>
      <c r="AL22" s="382">
        <f t="shared" si="0"/>
        <v>0.98709999999999998</v>
      </c>
      <c r="AM22" s="383">
        <v>0.98819999999999997</v>
      </c>
      <c r="AN22" s="383">
        <v>0.98670000000000002</v>
      </c>
      <c r="AO22" s="383">
        <v>0.98629999999999995</v>
      </c>
      <c r="AP22" s="384">
        <v>0.98229999999999995</v>
      </c>
      <c r="AQ22" s="383"/>
      <c r="AR22" s="383"/>
      <c r="AS22" s="383"/>
      <c r="AU22" t="s">
        <v>1799</v>
      </c>
      <c r="AV22" t="e">
        <f>X02S03F24</f>
        <v>#REF!</v>
      </c>
      <c r="AW22" t="e">
        <f>X02S03F25</f>
        <v>#REF!</v>
      </c>
      <c r="AX22" t="e">
        <f>X02S03F26</f>
        <v>#REF!</v>
      </c>
      <c r="AY22" t="e">
        <f>X02S03F27</f>
        <v>#REF!</v>
      </c>
      <c r="AZ22" t="e">
        <f>X02S03F28</f>
        <v>#REF!</v>
      </c>
      <c r="BA22" t="e">
        <f>X02S03F12</f>
        <v>#REF!</v>
      </c>
      <c r="BB22" t="e">
        <f>X02S03F13</f>
        <v>#REF!</v>
      </c>
      <c r="BC22" t="e">
        <f>X02S03F15</f>
        <v>#REF!</v>
      </c>
      <c r="BD22" t="e">
        <f>X02S03F16</f>
        <v>#REF!</v>
      </c>
      <c r="BE22" t="s">
        <v>1804</v>
      </c>
      <c r="BF22" t="s">
        <v>97</v>
      </c>
    </row>
    <row r="23" spans="1:58">
      <c r="A23" t="s">
        <v>122</v>
      </c>
      <c r="C23" t="s">
        <v>184</v>
      </c>
      <c r="D23" t="s">
        <v>185</v>
      </c>
      <c r="F23" t="s">
        <v>580</v>
      </c>
      <c r="G23" t="s">
        <v>581</v>
      </c>
      <c r="H23" t="s">
        <v>2538</v>
      </c>
      <c r="J23" t="s">
        <v>3024</v>
      </c>
      <c r="K23" t="s">
        <v>2292</v>
      </c>
      <c r="L23" t="s">
        <v>211</v>
      </c>
      <c r="M23" t="s">
        <v>2264</v>
      </c>
      <c r="O23" t="s">
        <v>707</v>
      </c>
      <c r="P23" s="14">
        <v>1.1299999999999999</v>
      </c>
      <c r="Q23" s="14">
        <v>0.65500000000000003</v>
      </c>
      <c r="R23" s="14">
        <v>1.24</v>
      </c>
      <c r="S23" s="14">
        <v>0.22</v>
      </c>
      <c r="U23" s="77" t="s">
        <v>1125</v>
      </c>
      <c r="V23" s="77" t="s">
        <v>3009</v>
      </c>
      <c r="W23" s="483">
        <v>4.5176359999999998E-4</v>
      </c>
      <c r="X23" s="484">
        <v>0.3</v>
      </c>
      <c r="Y23" s="286"/>
      <c r="Z23" s="220" t="s">
        <v>1647</v>
      </c>
      <c r="AB23">
        <v>64725</v>
      </c>
      <c r="AC23" t="s">
        <v>742</v>
      </c>
      <c r="AD23" t="s">
        <v>2373</v>
      </c>
      <c r="AE23" t="s">
        <v>851</v>
      </c>
      <c r="AF23" t="s">
        <v>2373</v>
      </c>
      <c r="AG23" t="s">
        <v>719</v>
      </c>
      <c r="AI23" t="s">
        <v>742</v>
      </c>
      <c r="AK23">
        <v>112.5</v>
      </c>
      <c r="AL23" s="384">
        <v>0.98709999999999998</v>
      </c>
      <c r="AM23" s="383"/>
      <c r="AN23" s="383"/>
      <c r="AO23" s="383"/>
      <c r="AP23" s="382">
        <f t="shared" si="1"/>
        <v>0.98440000000000005</v>
      </c>
      <c r="AQ23" s="383">
        <v>0.98519999999999996</v>
      </c>
      <c r="AR23" s="383">
        <v>0.98360000000000003</v>
      </c>
      <c r="AS23" s="383"/>
      <c r="AU23" t="s">
        <v>1803</v>
      </c>
      <c r="AV23" t="str">
        <f>""</f>
        <v/>
      </c>
      <c r="AW23" t="str">
        <f>""</f>
        <v/>
      </c>
      <c r="AX23" t="str">
        <f>""</f>
        <v/>
      </c>
      <c r="AY23" t="str">
        <f>""</f>
        <v/>
      </c>
      <c r="AZ23" t="str">
        <f>""</f>
        <v/>
      </c>
      <c r="BA23" t="str">
        <f>""</f>
        <v/>
      </c>
      <c r="BB23" t="str">
        <f>""</f>
        <v/>
      </c>
      <c r="BC23" t="str">
        <f>""</f>
        <v/>
      </c>
      <c r="BD23" t="str">
        <f>""</f>
        <v/>
      </c>
      <c r="BE23" t="s">
        <v>1789</v>
      </c>
      <c r="BF23" t="s">
        <v>97</v>
      </c>
    </row>
    <row r="24" spans="1:58">
      <c r="A24" t="s">
        <v>2264</v>
      </c>
      <c r="C24" t="s">
        <v>180</v>
      </c>
      <c r="D24" t="s">
        <v>181</v>
      </c>
      <c r="F24" s="38" t="s">
        <v>1782</v>
      </c>
      <c r="G24" s="38" t="s">
        <v>1384</v>
      </c>
      <c r="J24" s="202" t="b" cm="1">
        <f t="array" ref="J24">Excel_Ack[Acknowledge]</f>
        <v>0</v>
      </c>
      <c r="K24" s="202" t="str">
        <f>IF(Excel_Ack_Compl[[#This Row],[Acknowledge]]=TRUE, IF(ACTIVECOMPL="Yes", "'M05-S05'!A1", ""), "'M01-S02'!A1")</f>
        <v>'M01-S02'!A1</v>
      </c>
      <c r="L24" s="202" t="str">
        <f>IF(Excel_Ack_Compl[[#This Row],[Acknowledge]]=TRUE, IF(ACTIVECOMPL_N="Yes", "'N05-S05'!A1", ""), "'N01-S02'!A1")</f>
        <v>'N01-S02'!A1</v>
      </c>
      <c r="M24" s="202" t="str">
        <f>IF(Excel_Ack_Compl[[#This Row],[Acknowledge]]=TRUE, IF(ACTIVECOMPL_X="Yes", "'X05-S05'!A1", ""), "'X01-S02'!A1")</f>
        <v>'X01-S02'!A1</v>
      </c>
      <c r="O24" t="s">
        <v>2405</v>
      </c>
      <c r="P24" s="14">
        <v>1.08</v>
      </c>
      <c r="Q24" s="14">
        <v>0.67</v>
      </c>
      <c r="R24" s="14">
        <v>1.3</v>
      </c>
      <c r="S24" s="14">
        <v>0.45</v>
      </c>
      <c r="U24" s="77" t="s">
        <v>319</v>
      </c>
      <c r="V24" s="77" t="s">
        <v>3009</v>
      </c>
      <c r="W24" s="483">
        <v>1.379439E-4</v>
      </c>
      <c r="X24" s="484">
        <v>0.08</v>
      </c>
      <c r="Y24" s="286"/>
      <c r="Z24" s="220" t="s">
        <v>1652</v>
      </c>
      <c r="AB24">
        <v>65603</v>
      </c>
      <c r="AC24" t="s">
        <v>744</v>
      </c>
      <c r="AD24" t="s">
        <v>2373</v>
      </c>
      <c r="AE24" t="s">
        <v>958</v>
      </c>
      <c r="AF24" t="s">
        <v>2373</v>
      </c>
      <c r="AG24" t="s">
        <v>719</v>
      </c>
      <c r="AI24" t="s">
        <v>744</v>
      </c>
      <c r="AK24">
        <v>150</v>
      </c>
      <c r="AL24" s="384">
        <v>0.98709999999999998</v>
      </c>
      <c r="AM24" s="383"/>
      <c r="AN24" s="383"/>
      <c r="AO24" s="383"/>
      <c r="AP24" s="382">
        <f t="shared" si="1"/>
        <v>0.98580000000000001</v>
      </c>
      <c r="AQ24" s="383">
        <v>0.98650000000000004</v>
      </c>
      <c r="AR24" s="383">
        <v>0.98510000000000009</v>
      </c>
      <c r="AS24" s="383"/>
    </row>
    <row r="25" spans="1:58">
      <c r="A25" t="s">
        <v>2323</v>
      </c>
      <c r="C25" t="s">
        <v>192</v>
      </c>
      <c r="D25" t="s">
        <v>193</v>
      </c>
      <c r="F25" t="s">
        <v>1709</v>
      </c>
      <c r="G25">
        <v>0.17119999999999999</v>
      </c>
      <c r="H25" t="s">
        <v>2450</v>
      </c>
      <c r="O25" t="s">
        <v>1346</v>
      </c>
      <c r="P25" s="14">
        <v>1.02</v>
      </c>
      <c r="Q25" s="14">
        <v>0.64</v>
      </c>
      <c r="R25" s="14">
        <v>1.04</v>
      </c>
      <c r="S25" s="14">
        <v>0.45</v>
      </c>
      <c r="U25" s="77" t="s">
        <v>1145</v>
      </c>
      <c r="V25" s="77" t="s">
        <v>3009</v>
      </c>
      <c r="W25" s="483">
        <v>1.6543880000000001E-4</v>
      </c>
      <c r="X25" s="484">
        <v>0.15</v>
      </c>
      <c r="Y25" s="287"/>
      <c r="Z25" s="220" t="s">
        <v>1648</v>
      </c>
      <c r="AB25">
        <v>65230</v>
      </c>
      <c r="AC25" t="s">
        <v>746</v>
      </c>
      <c r="AD25" t="s">
        <v>2373</v>
      </c>
      <c r="AE25" t="s">
        <v>1027</v>
      </c>
      <c r="AF25" t="s">
        <v>2373</v>
      </c>
      <c r="AG25" t="s">
        <v>719</v>
      </c>
      <c r="AI25" t="s">
        <v>746</v>
      </c>
      <c r="AK25">
        <v>167</v>
      </c>
      <c r="AL25" s="382">
        <f t="shared" si="0"/>
        <v>0.98860000000000003</v>
      </c>
      <c r="AM25" s="383">
        <v>0.98959999999999992</v>
      </c>
      <c r="AN25" s="383">
        <v>0.98829999999999996</v>
      </c>
      <c r="AO25" s="383">
        <v>0.98799999999999999</v>
      </c>
      <c r="AP25" s="384">
        <v>0.98580000000000001</v>
      </c>
      <c r="AQ25" s="383"/>
      <c r="AR25" s="383"/>
      <c r="AS25" s="383"/>
      <c r="AU25" t="s">
        <v>292</v>
      </c>
      <c r="AV25" t="s">
        <v>82</v>
      </c>
      <c r="AW25" t="s">
        <v>76</v>
      </c>
      <c r="AX25" t="s">
        <v>71</v>
      </c>
      <c r="AY25" t="s">
        <v>72</v>
      </c>
      <c r="AZ25" t="s">
        <v>80</v>
      </c>
      <c r="BA25" t="s">
        <v>288</v>
      </c>
      <c r="BB25" t="s">
        <v>289</v>
      </c>
      <c r="BC25" t="s">
        <v>287</v>
      </c>
      <c r="BD25" t="s">
        <v>138</v>
      </c>
      <c r="BE25" t="s">
        <v>291</v>
      </c>
      <c r="BF25" t="s">
        <v>597</v>
      </c>
    </row>
    <row r="26" spans="1:58">
      <c r="A26" t="s">
        <v>1528</v>
      </c>
      <c r="C26" t="s">
        <v>188</v>
      </c>
      <c r="D26" t="s">
        <v>189</v>
      </c>
      <c r="F26" t="s">
        <v>1710</v>
      </c>
      <c r="G26">
        <v>0.14130000000000001</v>
      </c>
      <c r="H26" t="s">
        <v>2450</v>
      </c>
      <c r="O26" t="s">
        <v>1345</v>
      </c>
      <c r="P26" s="14">
        <v>1.1100000000000001</v>
      </c>
      <c r="Q26" s="14">
        <v>0.53</v>
      </c>
      <c r="R26" s="14">
        <v>1.38</v>
      </c>
      <c r="S26" s="14">
        <v>0.22</v>
      </c>
      <c r="U26" s="77" t="s">
        <v>134</v>
      </c>
      <c r="V26" s="77" t="s">
        <v>3009</v>
      </c>
      <c r="W26" s="483">
        <v>2.0772379999999999E-4</v>
      </c>
      <c r="X26" s="484">
        <v>0.19</v>
      </c>
      <c r="Y26" s="286"/>
      <c r="Z26" s="220" t="s">
        <v>1649</v>
      </c>
      <c r="AB26">
        <v>65320</v>
      </c>
      <c r="AC26" t="s">
        <v>749</v>
      </c>
      <c r="AD26" t="s">
        <v>2373</v>
      </c>
      <c r="AE26" t="s">
        <v>1098</v>
      </c>
      <c r="AF26" t="s">
        <v>2373</v>
      </c>
      <c r="AG26" t="s">
        <v>719</v>
      </c>
      <c r="AI26" t="s">
        <v>749</v>
      </c>
      <c r="AK26">
        <v>225</v>
      </c>
      <c r="AL26" s="384">
        <v>0.98860000000000003</v>
      </c>
      <c r="AM26" s="383"/>
      <c r="AN26" s="383"/>
      <c r="AO26" s="383"/>
      <c r="AP26" s="382">
        <f t="shared" si="1"/>
        <v>0.9869</v>
      </c>
      <c r="AQ26" s="383">
        <v>0.98819999999999997</v>
      </c>
      <c r="AR26" s="383">
        <v>0.9869</v>
      </c>
      <c r="AS26" s="383">
        <v>0.98569999999999991</v>
      </c>
      <c r="AU26" t="s">
        <v>2317</v>
      </c>
      <c r="AV26" t="e">
        <f>IF(N05S01F15="Trade Ally / General Contractor",N02S02F01,
IF(N05S01F15="Architect",N02S02F11,
IF(N05S01F15="Mechanical Engineer",N02S02F21,
IF(N05S01F15="Electrical Engineer",N02S02F31,
IF(N05S01F15="Additional Contact 1",N02S02F41,
IF(N05S01F15="Additional Contact 2",N02S02F51,
""))))))</f>
        <v>#REF!</v>
      </c>
      <c r="AW26" t="e">
        <f>IF(N05S01F15="Trade Ally / General Contractor",N02S02F02,
IF(N05S01F15="Architect",N02S02F12,
IF(N05S01F15="Mechanical Engineer",N02S02F22,
IF(N05S01F15="Electrical Engineer",N02S02F32,
IF(N05S01F15="Additional Contact 1",N02S02F42,
IF(N05S01F15="Additional Contact 2",N02S02F52,
""))))))</f>
        <v>#REF!</v>
      </c>
      <c r="AX26" t="e">
        <f>IF(N05S01F15="Trade Ally / General Contractor",N02S02F03,
IF(N05S01F15="Architect",N02S02F13,
IF(N05S01F15="Mechanical Engineer",N02S02F23,
IF(N05S01F15="Electrical Engineer",N02S02F33,
IF(N05S01F15="Additional Contact 1",N02S02F43,
IF(N05S01F15="Additional Contact 2",N02S02F53,
""))))))</f>
        <v>#REF!</v>
      </c>
      <c r="AY26" t="e">
        <f>IF(N05S01F15="Trade Ally / General Contractor",N02S02F04,
IF(N05S01F15="Architect",N02S02F14,
IF(N05S01F15="Mechanical Engineer",N02S02F24,
IF(N05S01F15="Electrical Engineer",N02S02F34,
IF(N05S01F15="Additional Contact 1",N02S02F44,
IF(N05S01F15="Additional Contact 2",N02S02F54,
""))))))</f>
        <v>#REF!</v>
      </c>
      <c r="AZ26" t="e">
        <f>IF(N05S01F15="Trade Ally / General Contractor",N02S02F05,
IF(N05S01F15="Architect",N02S02F15,
IF(N05S01F15="Mechanical Engineer",N02S02F25,
IF(N05S01F15="Electrical Engineer",N02S02F35,
IF(N05S01F15="Additional Contact 1",N02S02F45,
IF(N05S01F15="Additional Contact 2",N02S02F55,
""))))))</f>
        <v>#REF!</v>
      </c>
      <c r="BA26" t="e">
        <f>IF(N05S01F15="Trade Ally / General Contractor",N02S02F06,
IF(N05S01F15="Architect",N02S02F16,
IF(N05S01F15="Mechanical Engineer",N02S02F26,
IF(N05S01F15="Electrical Engineer",N02S02F36,
IF(N05S01F15="Additional Contact 1",N02S02F46,
IF(N05S01F15="Additional Contact 2",N02S02F56,
""))))))</f>
        <v>#REF!</v>
      </c>
      <c r="BB26" t="e">
        <f>IF(N05S01F15="Trade Ally / General Contractor",N02S02F07,
IF(N05S01F15="Architect",N02S02F17,
IF(N05S01F15="Mechanical Engineer",N02S02F27,
IF(N05S01F15="Electrical Engineer",N02S02F37,
IF(N05S01F15="Additional Contact 1",N02S02F47,
IF(N05S01F15="Additional Contact 2",N02S02F57,
""))))))</f>
        <v>#REF!</v>
      </c>
      <c r="BC26" t="e">
        <f>IF(N05S01F15="Trade Ally / General Contractor",N02S02F09,
IF(N05S01F15="Architect",N02S02F19,
IF(N05S01F15="Mechanical Engineer",N02S02F29,
IF(N05S01F15="Electrical Engineer",N02S02F39,
IF(N05S01F15="Additional Contact 1",N02S02F49,
IF(N05S01F15="Additional Contact 2",N02S02F59,
""))))))</f>
        <v>#REF!</v>
      </c>
      <c r="BD26" t="e">
        <f>IF(N05S01F15="Trade Ally / General Contractor",N02S02F10,
IF(N05S01F15="Architect",N02S02F20,
IF(N05S01F15="Mechanical Engineer",N02S02F30,
IF(N05S01F15="Electrical Engineer",N02S02F40,
IF(N05S01F15="Additional Contact 1",N02S02F50,
IF(N05S01F15="Additional Contact 2",N02S02F60,
""))))))</f>
        <v>#REF!</v>
      </c>
      <c r="BE26" t="s">
        <v>1787</v>
      </c>
      <c r="BF26" t="s">
        <v>1666</v>
      </c>
    </row>
    <row r="27" spans="1:58">
      <c r="C27" t="s">
        <v>196</v>
      </c>
      <c r="D27" t="s">
        <v>197</v>
      </c>
      <c r="F27" t="s">
        <v>1711</v>
      </c>
      <c r="G27">
        <v>0.1212</v>
      </c>
      <c r="H27" t="s">
        <v>2450</v>
      </c>
      <c r="O27" t="s">
        <v>1387</v>
      </c>
      <c r="P27" s="14">
        <v>1.155</v>
      </c>
      <c r="Q27" s="14">
        <v>0.76</v>
      </c>
      <c r="R27" s="14">
        <v>1.2</v>
      </c>
      <c r="S27" s="14">
        <v>0.22</v>
      </c>
      <c r="U27" s="77" t="s">
        <v>96</v>
      </c>
      <c r="V27" s="77" t="s">
        <v>3009</v>
      </c>
      <c r="W27" s="483">
        <v>8.0642000000000005E-5</v>
      </c>
      <c r="X27" s="484">
        <v>0.09</v>
      </c>
      <c r="Y27" s="286"/>
      <c r="Z27" s="220" t="s">
        <v>1650</v>
      </c>
      <c r="AB27">
        <v>64832</v>
      </c>
      <c r="AC27" t="s">
        <v>747</v>
      </c>
      <c r="AD27" t="s">
        <v>2373</v>
      </c>
      <c r="AE27" t="s">
        <v>748</v>
      </c>
      <c r="AF27" t="s">
        <v>2373</v>
      </c>
      <c r="AG27" t="s">
        <v>719</v>
      </c>
      <c r="AI27" t="s">
        <v>747</v>
      </c>
      <c r="AK27">
        <v>250</v>
      </c>
      <c r="AL27" s="382">
        <f t="shared" si="0"/>
        <v>0.98980000000000001</v>
      </c>
      <c r="AM27" s="383">
        <v>0.99069999999999991</v>
      </c>
      <c r="AN27" s="383">
        <v>0.98950000000000005</v>
      </c>
      <c r="AO27" s="383">
        <v>0.98909999999999998</v>
      </c>
      <c r="AP27" s="384">
        <v>0.9869</v>
      </c>
      <c r="AQ27" s="383"/>
      <c r="AR27" s="383"/>
      <c r="AS27" s="383"/>
      <c r="AU27" t="s">
        <v>1801</v>
      </c>
      <c r="AV27" t="e">
        <f>N02S03F01</f>
        <v>#REF!</v>
      </c>
      <c r="AW27" t="e">
        <f>N02S03F02</f>
        <v>#REF!</v>
      </c>
      <c r="AX27" t="e">
        <f>N02S03F03</f>
        <v>#REF!</v>
      </c>
      <c r="AY27" t="e">
        <f>N02S03F04</f>
        <v>#REF!</v>
      </c>
      <c r="AZ27" t="e">
        <f>N02S03F05</f>
        <v>#REF!</v>
      </c>
      <c r="BA27" t="e">
        <f>N02S03F06</f>
        <v>#REF!</v>
      </c>
      <c r="BB27" t="e">
        <f>N02S03F07</f>
        <v>#REF!</v>
      </c>
      <c r="BC27" t="e">
        <f>N02S03F09</f>
        <v>#REF!</v>
      </c>
      <c r="BD27" t="e">
        <f>N02S03F10</f>
        <v>#REF!</v>
      </c>
      <c r="BE27" t="s">
        <v>1788</v>
      </c>
      <c r="BF27" t="s">
        <v>290</v>
      </c>
    </row>
    <row r="28" spans="1:58">
      <c r="A28" t="s">
        <v>1663</v>
      </c>
      <c r="C28" t="s">
        <v>200</v>
      </c>
      <c r="D28" t="s">
        <v>201</v>
      </c>
      <c r="F28" t="s">
        <v>1712</v>
      </c>
      <c r="G28">
        <v>9.9599999999999994E-2</v>
      </c>
      <c r="H28" t="s">
        <v>2450</v>
      </c>
      <c r="O28" s="44" t="s">
        <v>2425</v>
      </c>
      <c r="P28" s="14">
        <v>1.06</v>
      </c>
      <c r="Q28">
        <v>0.65</v>
      </c>
      <c r="R28" s="14">
        <v>1.0900000000000001</v>
      </c>
      <c r="S28" s="14">
        <v>0.22</v>
      </c>
      <c r="U28" t="s">
        <v>136</v>
      </c>
      <c r="V28" s="77" t="s">
        <v>3009</v>
      </c>
      <c r="W28" s="483">
        <v>1.811545E-4</v>
      </c>
      <c r="X28" s="484">
        <v>0.11</v>
      </c>
      <c r="Y28" s="49"/>
      <c r="Z28" s="220" t="s">
        <v>1653</v>
      </c>
      <c r="AB28">
        <v>64037</v>
      </c>
      <c r="AC28" t="s">
        <v>752</v>
      </c>
      <c r="AD28" t="s">
        <v>2373</v>
      </c>
      <c r="AE28" t="s">
        <v>1081</v>
      </c>
      <c r="AF28" t="s">
        <v>2373</v>
      </c>
      <c r="AG28" t="s">
        <v>719</v>
      </c>
      <c r="AI28" t="s">
        <v>752</v>
      </c>
      <c r="AK28">
        <v>300</v>
      </c>
      <c r="AL28" s="384">
        <v>0.98980000000000001</v>
      </c>
      <c r="AM28" s="383"/>
      <c r="AN28" s="383"/>
      <c r="AO28" s="383"/>
      <c r="AP28" s="382">
        <f t="shared" si="1"/>
        <v>0.98809999999999998</v>
      </c>
      <c r="AQ28" s="383">
        <v>0.98930000000000007</v>
      </c>
      <c r="AR28" s="383">
        <v>0.98809999999999998</v>
      </c>
      <c r="AS28" s="383">
        <v>0.9869</v>
      </c>
      <c r="AU28" t="s">
        <v>1800</v>
      </c>
      <c r="AV28" t="e">
        <f>N02S03F15</f>
        <v>#REF!</v>
      </c>
      <c r="AW28" t="e">
        <f>N02S03F16</f>
        <v>#REF!</v>
      </c>
      <c r="AX28" t="e">
        <f>N02S03F17</f>
        <v>#REF!</v>
      </c>
      <c r="AY28" t="e">
        <f>N02S03F18</f>
        <v>#REF!</v>
      </c>
      <c r="AZ28" t="e">
        <f>N02S03F19</f>
        <v>#REF!</v>
      </c>
      <c r="BA28" t="e">
        <f>N02S03F21</f>
        <v>#REF!</v>
      </c>
      <c r="BB28" t="e">
        <f>N02S03F22</f>
        <v>#REF!</v>
      </c>
      <c r="BC28" t="e">
        <f>N02S03F24</f>
        <v>#REF!</v>
      </c>
      <c r="BD28" t="e">
        <f>N02S03F25</f>
        <v>#REF!</v>
      </c>
      <c r="BE28" t="s">
        <v>1789</v>
      </c>
      <c r="BF28" t="s">
        <v>290</v>
      </c>
    </row>
    <row r="29" spans="1:58">
      <c r="A29" t="s">
        <v>688</v>
      </c>
      <c r="C29" t="s">
        <v>204</v>
      </c>
      <c r="D29" t="s">
        <v>205</v>
      </c>
      <c r="F29" s="38" t="s">
        <v>1783</v>
      </c>
      <c r="G29" s="38" t="s">
        <v>1384</v>
      </c>
      <c r="O29" s="44" t="s">
        <v>1347</v>
      </c>
      <c r="P29" s="14">
        <v>1.06</v>
      </c>
      <c r="Q29" s="14">
        <v>0.6</v>
      </c>
      <c r="R29" s="14">
        <v>1.65</v>
      </c>
      <c r="S29" s="14">
        <v>0.22</v>
      </c>
      <c r="AB29">
        <v>64725</v>
      </c>
      <c r="AC29" t="s">
        <v>754</v>
      </c>
      <c r="AD29" t="s">
        <v>2373</v>
      </c>
      <c r="AE29" t="s">
        <v>851</v>
      </c>
      <c r="AF29" t="s">
        <v>2373</v>
      </c>
      <c r="AG29" t="s">
        <v>719</v>
      </c>
      <c r="AI29" t="s">
        <v>754</v>
      </c>
      <c r="AK29">
        <v>333</v>
      </c>
      <c r="AL29" s="382">
        <f t="shared" si="0"/>
        <v>0.99050000000000005</v>
      </c>
      <c r="AM29" s="383">
        <v>0.99140000000000006</v>
      </c>
      <c r="AN29" s="383">
        <v>0.99029999999999996</v>
      </c>
      <c r="AO29" s="383">
        <v>0.9899</v>
      </c>
      <c r="AP29" s="384">
        <v>0.98809999999999998</v>
      </c>
      <c r="AQ29" s="383"/>
      <c r="AR29" s="383"/>
      <c r="AS29" s="383"/>
      <c r="AU29" t="s">
        <v>1799</v>
      </c>
      <c r="AV29" t="e">
        <f>N02S03F15</f>
        <v>#REF!</v>
      </c>
      <c r="AW29" t="e">
        <f>N02S03F16</f>
        <v>#REF!</v>
      </c>
      <c r="AX29" t="e">
        <f>N02S03F17</f>
        <v>#REF!</v>
      </c>
      <c r="AY29" t="e">
        <f>N02S03F18</f>
        <v>#REF!</v>
      </c>
      <c r="AZ29" t="e">
        <f>N02S03F19</f>
        <v>#REF!</v>
      </c>
      <c r="BA29" t="e">
        <f>N02S03F21</f>
        <v>#REF!</v>
      </c>
      <c r="BB29" t="e">
        <f>N02S03F22</f>
        <v>#REF!</v>
      </c>
      <c r="BC29" t="e">
        <f>N02S03F24</f>
        <v>#REF!</v>
      </c>
      <c r="BD29" t="e">
        <f>N02S03F25</f>
        <v>#REF!</v>
      </c>
      <c r="BE29" t="s">
        <v>1804</v>
      </c>
      <c r="BF29" t="s">
        <v>97</v>
      </c>
    </row>
    <row r="30" spans="1:58">
      <c r="A30" t="s">
        <v>689</v>
      </c>
      <c r="C30" s="27" t="s">
        <v>2957</v>
      </c>
      <c r="D30" s="27" t="s">
        <v>2958</v>
      </c>
      <c r="F30" t="s">
        <v>1713</v>
      </c>
      <c r="G30">
        <v>0.1552</v>
      </c>
      <c r="H30" t="s">
        <v>2451</v>
      </c>
      <c r="O30" s="44" t="s">
        <v>1348</v>
      </c>
      <c r="P30" s="14">
        <v>1.1000000000000001</v>
      </c>
      <c r="Q30" s="14">
        <v>0.52</v>
      </c>
      <c r="R30" s="14">
        <v>1.26</v>
      </c>
      <c r="S30" s="14">
        <v>0.22</v>
      </c>
      <c r="AB30">
        <v>64601</v>
      </c>
      <c r="AC30" t="s">
        <v>756</v>
      </c>
      <c r="AD30" t="s">
        <v>2373</v>
      </c>
      <c r="AE30" t="s">
        <v>1089</v>
      </c>
      <c r="AF30" t="s">
        <v>2373</v>
      </c>
      <c r="AG30" t="s">
        <v>719</v>
      </c>
      <c r="AI30" t="s">
        <v>756</v>
      </c>
      <c r="AK30">
        <v>500</v>
      </c>
      <c r="AL30" s="382">
        <f t="shared" si="0"/>
        <v>0.99139999999999995</v>
      </c>
      <c r="AM30" s="383">
        <v>0.99219999999999997</v>
      </c>
      <c r="AN30" s="383">
        <v>0.99120000000000008</v>
      </c>
      <c r="AO30" s="383">
        <v>0.9909</v>
      </c>
      <c r="AP30" s="382">
        <f t="shared" si="1"/>
        <v>0.9899</v>
      </c>
      <c r="AQ30" s="383">
        <v>0.9909</v>
      </c>
      <c r="AR30" s="383">
        <v>0.9899</v>
      </c>
      <c r="AS30" s="383">
        <v>0.9889</v>
      </c>
      <c r="AU30" t="s">
        <v>1803</v>
      </c>
      <c r="AV30" t="str">
        <f>""</f>
        <v/>
      </c>
      <c r="AW30" t="str">
        <f>""</f>
        <v/>
      </c>
      <c r="AX30" t="str">
        <f>""</f>
        <v/>
      </c>
      <c r="AY30" t="str">
        <f>""</f>
        <v/>
      </c>
      <c r="AZ30" t="str">
        <f>""</f>
        <v/>
      </c>
      <c r="BA30" t="str">
        <f>""</f>
        <v/>
      </c>
      <c r="BB30" t="str">
        <f>""</f>
        <v/>
      </c>
      <c r="BC30" t="str">
        <f>""</f>
        <v/>
      </c>
      <c r="BD30" t="str">
        <f>""</f>
        <v/>
      </c>
      <c r="BE30" t="s">
        <v>1789</v>
      </c>
      <c r="BF30" t="s">
        <v>97</v>
      </c>
    </row>
    <row r="31" spans="1:58">
      <c r="A31" t="s">
        <v>690</v>
      </c>
      <c r="C31" t="s">
        <v>208</v>
      </c>
      <c r="D31" t="s">
        <v>209</v>
      </c>
      <c r="F31" t="s">
        <v>1714</v>
      </c>
      <c r="G31">
        <v>9.5799999999999996E-2</v>
      </c>
      <c r="H31" t="s">
        <v>2451</v>
      </c>
      <c r="O31" s="44" t="s">
        <v>1349</v>
      </c>
      <c r="P31" s="14">
        <v>1.25</v>
      </c>
      <c r="Q31" s="14">
        <v>0.69</v>
      </c>
      <c r="R31" s="14">
        <v>1.36</v>
      </c>
      <c r="S31" s="14">
        <v>0.22</v>
      </c>
      <c r="AB31">
        <v>64117</v>
      </c>
      <c r="AC31" t="s">
        <v>758</v>
      </c>
      <c r="AD31" t="s">
        <v>2373</v>
      </c>
      <c r="AE31" t="s">
        <v>906</v>
      </c>
      <c r="AF31" t="s">
        <v>2373</v>
      </c>
      <c r="AG31" t="s">
        <v>719</v>
      </c>
      <c r="AI31" t="s">
        <v>758</v>
      </c>
      <c r="AK31">
        <v>500</v>
      </c>
      <c r="AL31" s="382">
        <f t="shared" si="0"/>
        <v>0.99139999999999995</v>
      </c>
      <c r="AM31" s="383">
        <v>0.99219999999999997</v>
      </c>
      <c r="AN31" s="383">
        <v>0.99120000000000008</v>
      </c>
      <c r="AO31" s="383">
        <v>0.9909</v>
      </c>
      <c r="AP31" s="384">
        <v>0.9899</v>
      </c>
      <c r="AQ31" s="383"/>
      <c r="AR31" s="383"/>
      <c r="AS31" s="383"/>
    </row>
    <row r="32" spans="1:58">
      <c r="A32" t="s">
        <v>1661</v>
      </c>
      <c r="C32" t="s">
        <v>212</v>
      </c>
      <c r="D32" t="s">
        <v>213</v>
      </c>
      <c r="F32" t="s">
        <v>1715</v>
      </c>
      <c r="G32">
        <v>8.0299999999999996E-2</v>
      </c>
      <c r="H32" t="s">
        <v>2451</v>
      </c>
      <c r="O32" s="44" t="s">
        <v>97</v>
      </c>
      <c r="P32" s="14">
        <v>1.0900000000000001</v>
      </c>
      <c r="Q32" s="14">
        <v>0.73</v>
      </c>
      <c r="R32" s="14">
        <v>1.36</v>
      </c>
      <c r="S32" s="14">
        <v>0.22</v>
      </c>
      <c r="AB32">
        <v>65350</v>
      </c>
      <c r="AC32" t="s">
        <v>760</v>
      </c>
      <c r="AD32" t="s">
        <v>2373</v>
      </c>
      <c r="AE32" t="s">
        <v>1094</v>
      </c>
      <c r="AF32" t="s">
        <v>2373</v>
      </c>
      <c r="AG32" t="s">
        <v>719</v>
      </c>
      <c r="AI32" t="s">
        <v>760</v>
      </c>
      <c r="AK32">
        <v>667</v>
      </c>
      <c r="AL32" s="382">
        <f t="shared" si="0"/>
        <v>0.99199999999999999</v>
      </c>
      <c r="AM32" s="383">
        <v>0.99269999999999992</v>
      </c>
      <c r="AN32" s="383">
        <v>0.99180000000000001</v>
      </c>
      <c r="AO32" s="383">
        <v>0.99150000000000005</v>
      </c>
      <c r="AP32" s="384">
        <v>0.9899</v>
      </c>
      <c r="AQ32" s="383"/>
      <c r="AR32" s="383"/>
      <c r="AS32" s="383"/>
    </row>
    <row r="33" spans="1:45">
      <c r="A33" t="s">
        <v>2918</v>
      </c>
      <c r="C33" t="s">
        <v>216</v>
      </c>
      <c r="D33" t="s">
        <v>217</v>
      </c>
      <c r="O33" s="44" t="s">
        <v>1389</v>
      </c>
      <c r="P33" s="14">
        <v>1.1200000000000001</v>
      </c>
      <c r="Q33" s="14">
        <v>0.48</v>
      </c>
      <c r="R33" s="14">
        <v>1.37</v>
      </c>
      <c r="S33" s="14">
        <v>0.22</v>
      </c>
      <c r="T33" s="14"/>
      <c r="U33" s="14"/>
      <c r="V33" s="14"/>
      <c r="W33" s="14"/>
      <c r="X33" s="14"/>
      <c r="Y33" s="14"/>
      <c r="Z33" s="14"/>
      <c r="AA33" s="14"/>
      <c r="AB33">
        <v>64080</v>
      </c>
      <c r="AC33" t="s">
        <v>2825</v>
      </c>
      <c r="AD33" t="s">
        <v>2373</v>
      </c>
      <c r="AE33" t="s">
        <v>851</v>
      </c>
      <c r="AF33" t="s">
        <v>2373</v>
      </c>
      <c r="AG33" t="s">
        <v>719</v>
      </c>
      <c r="AI33" t="s">
        <v>2825</v>
      </c>
      <c r="AK33">
        <v>750</v>
      </c>
      <c r="AL33" s="384">
        <v>0.99199999999999999</v>
      </c>
      <c r="AM33" s="383"/>
      <c r="AN33" s="383"/>
      <c r="AO33" s="383"/>
      <c r="AP33" s="382">
        <f t="shared" si="1"/>
        <v>0.99119999999999997</v>
      </c>
      <c r="AQ33" s="383">
        <v>0.99209999999999998</v>
      </c>
      <c r="AR33" s="383">
        <v>0.99120000000000008</v>
      </c>
      <c r="AS33" s="383">
        <v>0.99019999999999997</v>
      </c>
    </row>
    <row r="34" spans="1:45">
      <c r="C34" t="s">
        <v>220</v>
      </c>
      <c r="D34" t="s">
        <v>221</v>
      </c>
      <c r="O34" s="44" t="s">
        <v>1350</v>
      </c>
      <c r="P34" s="14">
        <v>1.08</v>
      </c>
      <c r="Q34" s="14">
        <v>1</v>
      </c>
      <c r="R34" s="14">
        <v>1.1000000000000001</v>
      </c>
      <c r="S34" s="14">
        <v>0.22</v>
      </c>
      <c r="T34" s="14"/>
      <c r="U34" s="14"/>
      <c r="V34" s="14"/>
      <c r="W34" s="14"/>
      <c r="X34" s="14"/>
      <c r="Y34" s="14"/>
      <c r="Z34" s="14"/>
      <c r="AA34" s="14"/>
      <c r="AB34">
        <v>64423</v>
      </c>
      <c r="AC34" t="s">
        <v>762</v>
      </c>
      <c r="AD34" t="s">
        <v>2373</v>
      </c>
      <c r="AE34" t="s">
        <v>1093</v>
      </c>
      <c r="AF34" t="s">
        <v>2373</v>
      </c>
      <c r="AG34" t="s">
        <v>719</v>
      </c>
      <c r="AI34" t="s">
        <v>762</v>
      </c>
      <c r="AK34">
        <v>833</v>
      </c>
      <c r="AL34" s="382">
        <f t="shared" si="0"/>
        <v>0.99250000000000005</v>
      </c>
      <c r="AM34" s="383">
        <v>0.99309999999999998</v>
      </c>
      <c r="AN34" s="383">
        <v>0.99230000000000007</v>
      </c>
      <c r="AO34" s="383">
        <v>0.99199999999999999</v>
      </c>
      <c r="AP34" s="384">
        <v>0.99119999999999997</v>
      </c>
      <c r="AQ34" s="383"/>
      <c r="AR34" s="383"/>
      <c r="AS34" s="383"/>
    </row>
    <row r="35" spans="1:45">
      <c r="C35" t="s">
        <v>236</v>
      </c>
      <c r="D35" t="s">
        <v>237</v>
      </c>
      <c r="O35" s="44" t="s">
        <v>1351</v>
      </c>
      <c r="P35" s="14">
        <v>1.06</v>
      </c>
      <c r="Q35" s="14">
        <v>0.94</v>
      </c>
      <c r="R35" s="14">
        <v>1.06</v>
      </c>
      <c r="S35" s="14">
        <v>0.22</v>
      </c>
      <c r="T35" s="14"/>
      <c r="U35" s="14"/>
      <c r="V35" s="14"/>
      <c r="W35" s="14"/>
      <c r="X35" s="14"/>
      <c r="Y35" s="14"/>
      <c r="Z35" s="14"/>
      <c r="AA35" s="14"/>
      <c r="AB35">
        <v>64011</v>
      </c>
      <c r="AC35" t="s">
        <v>764</v>
      </c>
      <c r="AD35" t="s">
        <v>2373</v>
      </c>
      <c r="AE35" t="s">
        <v>1081</v>
      </c>
      <c r="AF35" t="s">
        <v>2373</v>
      </c>
      <c r="AG35" t="s">
        <v>719</v>
      </c>
      <c r="AI35" t="s">
        <v>764</v>
      </c>
      <c r="AK35">
        <v>1000</v>
      </c>
      <c r="AL35" s="384">
        <v>0.99250000000000005</v>
      </c>
      <c r="AM35" s="383"/>
      <c r="AN35" s="383"/>
      <c r="AO35" s="383"/>
      <c r="AP35" s="382">
        <f t="shared" si="1"/>
        <v>0.99199999999999999</v>
      </c>
      <c r="AQ35" s="383">
        <v>0.99280000000000002</v>
      </c>
      <c r="AR35" s="383">
        <v>0.99199999999999999</v>
      </c>
      <c r="AS35" s="383">
        <v>0.99109999999999998</v>
      </c>
    </row>
    <row r="36" spans="1:45">
      <c r="A36" t="s">
        <v>1379</v>
      </c>
      <c r="C36" t="s">
        <v>224</v>
      </c>
      <c r="D36" t="s">
        <v>225</v>
      </c>
      <c r="O36" s="44" t="s">
        <v>1352</v>
      </c>
      <c r="P36" s="14">
        <v>1.1200000000000001</v>
      </c>
      <c r="Q36" s="14">
        <v>0.74</v>
      </c>
      <c r="R36" s="14">
        <v>1.29</v>
      </c>
      <c r="S36" s="14">
        <v>0.22</v>
      </c>
      <c r="T36" s="14"/>
      <c r="U36" s="14"/>
      <c r="V36" s="14"/>
      <c r="W36" s="14"/>
      <c r="X36" s="14"/>
      <c r="Y36" s="14"/>
      <c r="Z36" s="14"/>
      <c r="AA36" s="14"/>
      <c r="AB36">
        <v>65350</v>
      </c>
      <c r="AC36" t="s">
        <v>765</v>
      </c>
      <c r="AD36" t="s">
        <v>2373</v>
      </c>
      <c r="AE36" t="s">
        <v>1094</v>
      </c>
      <c r="AF36" t="s">
        <v>2373</v>
      </c>
      <c r="AG36" t="s">
        <v>719</v>
      </c>
      <c r="AI36" t="s">
        <v>765</v>
      </c>
      <c r="AK36">
        <v>1500</v>
      </c>
      <c r="AL36" s="384">
        <v>0.99250000000000005</v>
      </c>
      <c r="AM36" s="383"/>
      <c r="AN36" s="383"/>
      <c r="AO36" s="383"/>
      <c r="AP36" s="382">
        <f t="shared" si="1"/>
        <v>0.9929</v>
      </c>
      <c r="AQ36" s="383">
        <v>0.99370000000000003</v>
      </c>
      <c r="AR36" s="383">
        <v>0.99299999999999999</v>
      </c>
      <c r="AS36" s="383">
        <v>0.99209999999999998</v>
      </c>
    </row>
    <row r="37" spans="1:45">
      <c r="A37" t="s">
        <v>1790</v>
      </c>
      <c r="C37" t="s">
        <v>228</v>
      </c>
      <c r="D37" t="s">
        <v>229</v>
      </c>
      <c r="O37" s="44" t="s">
        <v>1340</v>
      </c>
      <c r="P37" s="14">
        <v>1.17</v>
      </c>
      <c r="Q37" s="14">
        <v>0.63</v>
      </c>
      <c r="R37" s="14">
        <v>1.33</v>
      </c>
      <c r="S37" s="14">
        <v>0.22</v>
      </c>
      <c r="T37" s="14"/>
      <c r="U37" s="14"/>
      <c r="V37" s="14"/>
      <c r="W37" s="14"/>
      <c r="X37" s="14"/>
      <c r="Y37" s="14"/>
      <c r="Z37" s="14"/>
      <c r="AA37" s="14"/>
      <c r="AB37">
        <v>64012</v>
      </c>
      <c r="AC37" t="s">
        <v>698</v>
      </c>
      <c r="AD37" t="s">
        <v>689</v>
      </c>
      <c r="AE37" t="s">
        <v>851</v>
      </c>
      <c r="AF37" t="s">
        <v>2373</v>
      </c>
      <c r="AG37" t="s">
        <v>2373</v>
      </c>
      <c r="AI37" t="s">
        <v>698</v>
      </c>
      <c r="AK37">
        <v>2000</v>
      </c>
      <c r="AL37" s="384">
        <v>0.99250000000000005</v>
      </c>
      <c r="AM37" s="383"/>
      <c r="AN37" s="383"/>
      <c r="AO37" s="383"/>
      <c r="AP37" s="382">
        <f t="shared" si="1"/>
        <v>0.99360000000000004</v>
      </c>
      <c r="AQ37" s="383">
        <v>0.99430000000000007</v>
      </c>
      <c r="AR37" s="383">
        <v>0.99360000000000004</v>
      </c>
      <c r="AS37" s="383">
        <v>0.99280000000000002</v>
      </c>
    </row>
    <row r="38" spans="1:45">
      <c r="A38" t="s">
        <v>1791</v>
      </c>
      <c r="C38" t="s">
        <v>232</v>
      </c>
      <c r="D38" t="s">
        <v>233</v>
      </c>
      <c r="O38" s="44" t="s">
        <v>1338</v>
      </c>
      <c r="P38" s="14">
        <v>1.02</v>
      </c>
      <c r="Q38" s="14">
        <v>0.63</v>
      </c>
      <c r="R38" s="14">
        <v>1.54</v>
      </c>
      <c r="S38" s="14">
        <v>0.22</v>
      </c>
      <c r="T38" s="14"/>
      <c r="U38" s="14"/>
      <c r="V38" s="14"/>
      <c r="W38" s="14"/>
      <c r="X38" s="14"/>
      <c r="Y38" s="14"/>
      <c r="Z38" s="14"/>
      <c r="AA38" s="14"/>
      <c r="AB38">
        <v>64424</v>
      </c>
      <c r="AC38" t="s">
        <v>767</v>
      </c>
      <c r="AD38" t="s">
        <v>692</v>
      </c>
      <c r="AE38" t="s">
        <v>997</v>
      </c>
      <c r="AF38" t="s">
        <v>2373</v>
      </c>
      <c r="AG38" t="s">
        <v>2373</v>
      </c>
      <c r="AI38" t="s">
        <v>767</v>
      </c>
      <c r="AK38">
        <v>2500</v>
      </c>
      <c r="AL38" s="384">
        <v>0.99250000000000005</v>
      </c>
      <c r="AM38" s="383"/>
      <c r="AN38" s="383"/>
      <c r="AO38" s="383"/>
      <c r="AP38" s="382">
        <f t="shared" si="1"/>
        <v>0.99399999999999999</v>
      </c>
      <c r="AQ38" s="383">
        <v>0.99470000000000003</v>
      </c>
      <c r="AR38" s="383">
        <v>0.99409999999999998</v>
      </c>
      <c r="AS38" s="383">
        <v>0.99329999999999996</v>
      </c>
    </row>
    <row r="39" spans="1:45">
      <c r="A39" t="s">
        <v>1380</v>
      </c>
      <c r="C39" t="s">
        <v>240</v>
      </c>
      <c r="D39" t="s">
        <v>241</v>
      </c>
      <c r="O39" s="44" t="s">
        <v>708</v>
      </c>
      <c r="P39" s="14">
        <v>1.04</v>
      </c>
      <c r="Q39" s="14">
        <v>0.65</v>
      </c>
      <c r="R39" s="14">
        <v>1.51</v>
      </c>
      <c r="S39" s="14">
        <v>0.22</v>
      </c>
      <c r="T39" s="14"/>
      <c r="U39" s="14"/>
      <c r="V39" s="14"/>
      <c r="W39" s="14"/>
      <c r="X39" s="14"/>
      <c r="Y39" s="14"/>
      <c r="Z39" s="14"/>
      <c r="AA39" s="14"/>
      <c r="AB39">
        <v>64437</v>
      </c>
      <c r="AC39" t="s">
        <v>2826</v>
      </c>
      <c r="AD39" t="s">
        <v>2373</v>
      </c>
      <c r="AE39" t="s">
        <v>911</v>
      </c>
      <c r="AF39" t="s">
        <v>2373</v>
      </c>
      <c r="AG39" t="s">
        <v>719</v>
      </c>
      <c r="AI39" t="s">
        <v>2826</v>
      </c>
    </row>
    <row r="40" spans="1:45">
      <c r="A40" t="s">
        <v>1381</v>
      </c>
      <c r="C40" t="s">
        <v>244</v>
      </c>
      <c r="D40" t="s">
        <v>245</v>
      </c>
      <c r="O40" s="44" t="s">
        <v>709</v>
      </c>
      <c r="P40" s="14">
        <v>1.17</v>
      </c>
      <c r="Q40" s="14">
        <v>0.63</v>
      </c>
      <c r="R40" s="14">
        <v>1.33</v>
      </c>
      <c r="S40" s="14">
        <v>0.22</v>
      </c>
      <c r="T40" s="14"/>
      <c r="U40" s="14"/>
      <c r="V40" s="14"/>
      <c r="W40" s="14"/>
      <c r="X40" s="14"/>
      <c r="Y40" s="14"/>
      <c r="Z40" s="14"/>
      <c r="AA40" s="14"/>
      <c r="AB40">
        <v>64437</v>
      </c>
      <c r="AC40" t="s">
        <v>769</v>
      </c>
      <c r="AD40" t="s">
        <v>2373</v>
      </c>
      <c r="AE40" t="s">
        <v>911</v>
      </c>
      <c r="AF40" t="s">
        <v>2373</v>
      </c>
      <c r="AG40" t="s">
        <v>719</v>
      </c>
      <c r="AI40" t="s">
        <v>769</v>
      </c>
      <c r="AK40" s="599" t="s">
        <v>2816</v>
      </c>
      <c r="AL40" s="599"/>
      <c r="AM40" s="599"/>
      <c r="AO40" s="599" t="s">
        <v>2817</v>
      </c>
      <c r="AP40" s="599"/>
      <c r="AQ40" s="599"/>
    </row>
    <row r="41" spans="1:45">
      <c r="A41" t="s">
        <v>1382</v>
      </c>
      <c r="C41" t="s">
        <v>248</v>
      </c>
      <c r="D41" t="s">
        <v>249</v>
      </c>
      <c r="O41" s="44" t="s">
        <v>178</v>
      </c>
      <c r="P41" s="14">
        <v>1</v>
      </c>
      <c r="Q41">
        <v>0.55000000000000004</v>
      </c>
      <c r="R41" s="14">
        <v>1.22</v>
      </c>
      <c r="S41" s="14">
        <v>0.22</v>
      </c>
      <c r="T41" s="14"/>
      <c r="U41" s="14"/>
      <c r="V41" s="14"/>
      <c r="W41" s="14"/>
      <c r="X41" s="14"/>
      <c r="Y41" s="14"/>
      <c r="Z41" s="14"/>
      <c r="AA41" s="14"/>
      <c r="AB41">
        <v>64161</v>
      </c>
      <c r="AC41" t="s">
        <v>771</v>
      </c>
      <c r="AD41" t="s">
        <v>2373</v>
      </c>
      <c r="AE41" t="s">
        <v>906</v>
      </c>
      <c r="AF41" t="s">
        <v>2373</v>
      </c>
      <c r="AG41" t="s">
        <v>719</v>
      </c>
      <c r="AI41" t="s">
        <v>771</v>
      </c>
      <c r="AK41" t="s">
        <v>2800</v>
      </c>
      <c r="AL41" t="s">
        <v>2808</v>
      </c>
      <c r="AM41" t="s">
        <v>2812</v>
      </c>
      <c r="AO41" t="s">
        <v>2800</v>
      </c>
      <c r="AP41" t="s">
        <v>2808</v>
      </c>
      <c r="AQ41" t="s">
        <v>2812</v>
      </c>
    </row>
    <row r="42" spans="1:45">
      <c r="A42" t="s">
        <v>1383</v>
      </c>
      <c r="C42" t="s">
        <v>260</v>
      </c>
      <c r="D42" t="s">
        <v>261</v>
      </c>
      <c r="O42" s="14"/>
      <c r="P42" s="14"/>
      <c r="Q42" s="14"/>
      <c r="R42" s="14"/>
      <c r="S42" s="14"/>
      <c r="T42" s="14"/>
      <c r="U42" s="14"/>
      <c r="V42" s="14"/>
      <c r="W42" s="14"/>
      <c r="X42" s="14"/>
      <c r="Y42" s="14"/>
      <c r="Z42" s="14"/>
      <c r="AA42" s="14"/>
      <c r="AB42">
        <v>65321</v>
      </c>
      <c r="AC42" t="s">
        <v>773</v>
      </c>
      <c r="AD42" t="s">
        <v>2373</v>
      </c>
      <c r="AE42" t="s">
        <v>1098</v>
      </c>
      <c r="AF42" t="s">
        <v>2373</v>
      </c>
      <c r="AG42" t="s">
        <v>719</v>
      </c>
      <c r="AI42" t="s">
        <v>773</v>
      </c>
      <c r="AK42">
        <v>0</v>
      </c>
      <c r="AL42" s="385">
        <v>0.98699999999999999</v>
      </c>
      <c r="AM42" s="385">
        <v>0.98650000000000004</v>
      </c>
      <c r="AO42">
        <v>0</v>
      </c>
      <c r="AP42" s="384">
        <v>0.97699999999999998</v>
      </c>
      <c r="AQ42" s="385">
        <v>0.97889999999999999</v>
      </c>
    </row>
    <row r="43" spans="1:45">
      <c r="A43" t="s">
        <v>2393</v>
      </c>
      <c r="C43" t="s">
        <v>256</v>
      </c>
      <c r="D43" t="s">
        <v>257</v>
      </c>
      <c r="O43" s="14"/>
      <c r="P43" s="14"/>
      <c r="Q43" s="14"/>
      <c r="R43" s="14"/>
      <c r="S43" s="14"/>
      <c r="T43" s="14"/>
      <c r="U43" s="14"/>
      <c r="V43" s="14"/>
      <c r="W43" s="14"/>
      <c r="X43" s="14"/>
      <c r="Y43" s="14"/>
      <c r="Z43" s="14"/>
      <c r="AA43" s="14"/>
      <c r="AB43">
        <v>65337</v>
      </c>
      <c r="AC43" t="s">
        <v>2841</v>
      </c>
      <c r="AD43" t="s">
        <v>2373</v>
      </c>
      <c r="AE43" t="s">
        <v>1094</v>
      </c>
      <c r="AF43" t="s">
        <v>2373</v>
      </c>
      <c r="AG43" t="s">
        <v>719</v>
      </c>
      <c r="AI43" t="s">
        <v>2841</v>
      </c>
      <c r="AK43">
        <v>10</v>
      </c>
      <c r="AL43" s="382">
        <v>0.98699999999999999</v>
      </c>
      <c r="AM43" s="384">
        <v>0.98650000000000004</v>
      </c>
      <c r="AO43">
        <v>15</v>
      </c>
      <c r="AP43" s="382">
        <v>0.97699999999999998</v>
      </c>
      <c r="AQ43" s="382">
        <v>0.97889999999999999</v>
      </c>
    </row>
    <row r="44" spans="1:45">
      <c r="A44" t="s">
        <v>97</v>
      </c>
      <c r="C44" t="s">
        <v>252</v>
      </c>
      <c r="D44" t="s">
        <v>253</v>
      </c>
      <c r="O44" s="14"/>
      <c r="P44" s="14"/>
      <c r="Q44" s="14"/>
      <c r="R44" s="14"/>
      <c r="S44" s="14"/>
      <c r="T44" s="14"/>
      <c r="U44" s="14"/>
      <c r="V44" s="14"/>
      <c r="W44" s="14"/>
      <c r="X44" s="14"/>
      <c r="Y44" s="14"/>
      <c r="Z44" s="14"/>
      <c r="AA44" s="14"/>
      <c r="AB44">
        <v>64726</v>
      </c>
      <c r="AC44" t="s">
        <v>775</v>
      </c>
      <c r="AD44" t="s">
        <v>2373</v>
      </c>
      <c r="AE44" t="s">
        <v>1008</v>
      </c>
      <c r="AF44" t="s">
        <v>2373</v>
      </c>
      <c r="AG44" t="s">
        <v>719</v>
      </c>
      <c r="AI44" t="s">
        <v>775</v>
      </c>
      <c r="AK44">
        <v>15</v>
      </c>
      <c r="AL44" s="382">
        <v>0.98819999999999997</v>
      </c>
      <c r="AM44" s="382">
        <v>0.98650000000000004</v>
      </c>
      <c r="AO44">
        <v>25</v>
      </c>
      <c r="AP44" s="382">
        <v>0.98</v>
      </c>
      <c r="AQ44" s="384">
        <v>0.97889999999999999</v>
      </c>
    </row>
    <row r="45" spans="1:45">
      <c r="C45" t="s">
        <v>264</v>
      </c>
      <c r="D45" t="s">
        <v>265</v>
      </c>
      <c r="O45" s="14"/>
      <c r="P45" s="14"/>
      <c r="Q45" s="14"/>
      <c r="R45" s="14"/>
      <c r="S45" s="14"/>
      <c r="T45" s="14"/>
      <c r="U45" s="14"/>
      <c r="V45" s="14"/>
      <c r="W45" s="14"/>
      <c r="X45" s="14"/>
      <c r="Y45" s="14"/>
      <c r="Z45" s="14"/>
      <c r="AA45" s="14"/>
      <c r="AB45">
        <v>64013</v>
      </c>
      <c r="AC45" t="s">
        <v>777</v>
      </c>
      <c r="AD45" t="s">
        <v>689</v>
      </c>
      <c r="AE45" t="s">
        <v>1036</v>
      </c>
      <c r="AF45" t="s">
        <v>688</v>
      </c>
      <c r="AG45" t="s">
        <v>2373</v>
      </c>
      <c r="AI45" t="s">
        <v>777</v>
      </c>
      <c r="AK45">
        <v>25</v>
      </c>
      <c r="AL45" s="382">
        <v>0.98950000000000005</v>
      </c>
      <c r="AM45" s="384">
        <v>0.98650000000000004</v>
      </c>
      <c r="AO45">
        <v>30</v>
      </c>
      <c r="AP45" s="384">
        <v>0.98</v>
      </c>
      <c r="AQ45" s="382">
        <v>0.98229999999999995</v>
      </c>
    </row>
    <row r="46" spans="1:45">
      <c r="A46" t="s">
        <v>298</v>
      </c>
      <c r="C46" t="s">
        <v>268</v>
      </c>
      <c r="D46" t="s">
        <v>269</v>
      </c>
      <c r="O46" s="14"/>
      <c r="P46" s="14"/>
      <c r="Q46" s="14"/>
      <c r="R46" s="14"/>
      <c r="S46" s="14"/>
      <c r="T46" s="14"/>
      <c r="U46" s="14"/>
      <c r="V46" s="14"/>
      <c r="W46" s="14"/>
      <c r="X46" s="14"/>
      <c r="Y46" s="14"/>
      <c r="Z46" s="14"/>
      <c r="AA46" s="14"/>
      <c r="AB46">
        <v>64014</v>
      </c>
      <c r="AC46" t="s">
        <v>777</v>
      </c>
      <c r="AD46" t="s">
        <v>689</v>
      </c>
      <c r="AE46" t="s">
        <v>1036</v>
      </c>
      <c r="AF46" t="s">
        <v>688</v>
      </c>
      <c r="AG46" t="s">
        <v>2373</v>
      </c>
      <c r="AI46" t="s">
        <v>779</v>
      </c>
      <c r="AK46">
        <v>30</v>
      </c>
      <c r="AL46" s="384">
        <v>0.98950000000000005</v>
      </c>
      <c r="AM46" s="382">
        <v>0.98829999999999996</v>
      </c>
      <c r="AO46">
        <v>37.5</v>
      </c>
      <c r="AP46" s="382">
        <v>0.98199999999999998</v>
      </c>
      <c r="AQ46" s="384">
        <v>0.98229999999999995</v>
      </c>
    </row>
    <row r="47" spans="1:45">
      <c r="A47" t="s">
        <v>575</v>
      </c>
      <c r="C47" t="s">
        <v>276</v>
      </c>
      <c r="D47" t="s">
        <v>277</v>
      </c>
      <c r="O47" s="14"/>
      <c r="P47" s="14"/>
      <c r="Q47" s="14"/>
      <c r="R47" s="14"/>
      <c r="S47" s="14"/>
      <c r="T47" s="14"/>
      <c r="U47" s="14"/>
      <c r="V47" s="14"/>
      <c r="W47" s="14"/>
      <c r="X47" s="14"/>
      <c r="Y47" s="14"/>
      <c r="Z47" s="14"/>
      <c r="AA47" s="14"/>
      <c r="AB47">
        <v>64015</v>
      </c>
      <c r="AC47" t="s">
        <v>777</v>
      </c>
      <c r="AD47" t="s">
        <v>689</v>
      </c>
      <c r="AE47" t="s">
        <v>1036</v>
      </c>
      <c r="AF47" t="s">
        <v>688</v>
      </c>
      <c r="AG47" t="s">
        <v>2373</v>
      </c>
      <c r="AI47" t="s">
        <v>781</v>
      </c>
      <c r="AK47">
        <v>37.5</v>
      </c>
      <c r="AL47" s="382">
        <v>0.99049999999999994</v>
      </c>
      <c r="AM47" s="384">
        <v>0.98829999999999996</v>
      </c>
      <c r="AO47">
        <v>45</v>
      </c>
      <c r="AP47" s="384">
        <v>0.98199999999999998</v>
      </c>
      <c r="AQ47" s="382">
        <v>0.98399999999999999</v>
      </c>
    </row>
    <row r="48" spans="1:45">
      <c r="A48" t="s">
        <v>592</v>
      </c>
      <c r="C48" t="s">
        <v>272</v>
      </c>
      <c r="D48" t="s">
        <v>273</v>
      </c>
      <c r="O48" s="14"/>
      <c r="P48" s="14"/>
      <c r="Q48" s="14"/>
      <c r="R48" s="14"/>
      <c r="S48" s="14"/>
      <c r="T48" s="14"/>
      <c r="U48" s="14"/>
      <c r="V48" s="14"/>
      <c r="W48" s="14"/>
      <c r="X48" s="14"/>
      <c r="Y48" s="14"/>
      <c r="Z48" s="14"/>
      <c r="AA48" s="14"/>
      <c r="AB48">
        <v>64426</v>
      </c>
      <c r="AC48" t="s">
        <v>779</v>
      </c>
      <c r="AD48" t="s">
        <v>2373</v>
      </c>
      <c r="AE48" t="s">
        <v>997</v>
      </c>
      <c r="AF48" t="s">
        <v>2373</v>
      </c>
      <c r="AG48" t="s">
        <v>719</v>
      </c>
      <c r="AI48" t="s">
        <v>721</v>
      </c>
      <c r="AK48">
        <v>45</v>
      </c>
      <c r="AL48" s="384">
        <v>0.99050000000000005</v>
      </c>
      <c r="AM48" s="382">
        <v>0.98919999999999997</v>
      </c>
      <c r="AO48">
        <v>50</v>
      </c>
      <c r="AP48" s="382">
        <v>0.98299999999999998</v>
      </c>
      <c r="AQ48" s="384">
        <v>0.98399999999999999</v>
      </c>
    </row>
    <row r="49" spans="1:43">
      <c r="A49" t="s">
        <v>593</v>
      </c>
      <c r="C49" t="s">
        <v>182</v>
      </c>
      <c r="D49" t="s">
        <v>183</v>
      </c>
      <c r="O49" s="14"/>
      <c r="P49" s="14"/>
      <c r="Q49" s="14"/>
      <c r="R49" s="14"/>
      <c r="S49" s="14"/>
      <c r="T49" s="14"/>
      <c r="U49" s="14"/>
      <c r="V49" s="14"/>
      <c r="W49" s="14"/>
      <c r="X49" s="14"/>
      <c r="Y49" s="14"/>
      <c r="Z49" s="14"/>
      <c r="AA49" s="14"/>
      <c r="AB49">
        <v>64622</v>
      </c>
      <c r="AC49" t="s">
        <v>781</v>
      </c>
      <c r="AD49" t="s">
        <v>2373</v>
      </c>
      <c r="AE49" t="s">
        <v>836</v>
      </c>
      <c r="AF49" t="s">
        <v>2373</v>
      </c>
      <c r="AG49" t="s">
        <v>719</v>
      </c>
      <c r="AI49" t="s">
        <v>784</v>
      </c>
      <c r="AK49">
        <v>50</v>
      </c>
      <c r="AL49" s="382">
        <v>0.99109999999999998</v>
      </c>
      <c r="AM49" s="384">
        <v>0.98919999999999997</v>
      </c>
      <c r="AO49">
        <v>75</v>
      </c>
      <c r="AP49" s="382">
        <v>0.98499999999999999</v>
      </c>
      <c r="AQ49" s="382">
        <v>0.98599999999999999</v>
      </c>
    </row>
    <row r="50" spans="1:43">
      <c r="A50" t="s">
        <v>582</v>
      </c>
      <c r="C50" t="s">
        <v>210</v>
      </c>
      <c r="D50" t="s">
        <v>211</v>
      </c>
      <c r="O50" s="14"/>
      <c r="P50" s="14"/>
      <c r="Q50" s="14"/>
      <c r="R50" s="14"/>
      <c r="S50" s="14"/>
      <c r="T50" s="14"/>
      <c r="U50" s="14"/>
      <c r="V50" s="14"/>
      <c r="W50" s="14"/>
      <c r="X50" s="14"/>
      <c r="Y50" s="14"/>
      <c r="Z50" s="14"/>
      <c r="AA50" s="14"/>
      <c r="AB50">
        <v>64427</v>
      </c>
      <c r="AC50" t="s">
        <v>721</v>
      </c>
      <c r="AD50" t="s">
        <v>2373</v>
      </c>
      <c r="AE50" t="s">
        <v>718</v>
      </c>
      <c r="AF50" t="s">
        <v>2373</v>
      </c>
      <c r="AG50" t="s">
        <v>719</v>
      </c>
      <c r="AI50" t="s">
        <v>787</v>
      </c>
      <c r="AK50">
        <v>75</v>
      </c>
      <c r="AL50" s="382">
        <v>0.9919</v>
      </c>
      <c r="AM50" s="382">
        <v>0.99029999999999996</v>
      </c>
      <c r="AO50">
        <v>100</v>
      </c>
      <c r="AP50" s="382">
        <v>0.98599999999999999</v>
      </c>
      <c r="AQ50" s="384">
        <v>0.98599999999999999</v>
      </c>
    </row>
    <row r="51" spans="1:43">
      <c r="A51" t="s">
        <v>1750</v>
      </c>
      <c r="C51" t="s">
        <v>214</v>
      </c>
      <c r="D51" t="s">
        <v>215</v>
      </c>
      <c r="O51" s="14"/>
      <c r="P51" s="14"/>
      <c r="Q51" s="14"/>
      <c r="R51" s="14"/>
      <c r="S51" s="14"/>
      <c r="T51" s="14"/>
      <c r="U51" s="14"/>
      <c r="V51" s="14"/>
      <c r="W51" s="14"/>
      <c r="X51" s="14"/>
      <c r="Y51" s="14"/>
      <c r="Z51" s="14"/>
      <c r="AA51" s="14"/>
      <c r="AB51">
        <v>65250</v>
      </c>
      <c r="AC51" t="s">
        <v>784</v>
      </c>
      <c r="AD51" t="s">
        <v>2373</v>
      </c>
      <c r="AE51" t="s">
        <v>1027</v>
      </c>
      <c r="AF51" t="s">
        <v>2373</v>
      </c>
      <c r="AG51" t="s">
        <v>719</v>
      </c>
      <c r="AI51" t="s">
        <v>789</v>
      </c>
      <c r="AK51">
        <v>100</v>
      </c>
      <c r="AL51" s="382">
        <v>0.99250000000000005</v>
      </c>
      <c r="AM51" s="384">
        <v>0.99029999999999996</v>
      </c>
      <c r="AO51">
        <v>112.5</v>
      </c>
      <c r="AP51" s="384">
        <v>0.98599999999999999</v>
      </c>
      <c r="AQ51" s="382">
        <v>0.98740000000000006</v>
      </c>
    </row>
    <row r="52" spans="1:43">
      <c r="A52" t="s">
        <v>586</v>
      </c>
      <c r="C52" t="s">
        <v>186</v>
      </c>
      <c r="D52" t="s">
        <v>187</v>
      </c>
      <c r="O52" s="14"/>
      <c r="P52" s="14"/>
      <c r="Q52" s="14"/>
      <c r="R52" s="14"/>
      <c r="S52" s="14"/>
      <c r="T52" s="14"/>
      <c r="U52" s="14"/>
      <c r="V52" s="14"/>
      <c r="W52" s="14"/>
      <c r="X52" s="14"/>
      <c r="Y52" s="14"/>
      <c r="Z52" s="14"/>
      <c r="AA52" s="14"/>
      <c r="AB52">
        <v>64623</v>
      </c>
      <c r="AC52" t="s">
        <v>787</v>
      </c>
      <c r="AD52" t="s">
        <v>2373</v>
      </c>
      <c r="AE52" t="s">
        <v>836</v>
      </c>
      <c r="AF52" t="s">
        <v>2373</v>
      </c>
      <c r="AG52" t="s">
        <v>719</v>
      </c>
      <c r="AI52" t="s">
        <v>2827</v>
      </c>
      <c r="AK52">
        <v>112.5</v>
      </c>
      <c r="AL52" s="384">
        <v>0.99250000000000005</v>
      </c>
      <c r="AM52" s="382">
        <v>0.99109999999999998</v>
      </c>
      <c r="AO52">
        <v>150</v>
      </c>
      <c r="AP52" s="384">
        <v>0.98599999999999999</v>
      </c>
      <c r="AQ52" s="382">
        <v>0.98829999999999996</v>
      </c>
    </row>
    <row r="53" spans="1:43">
      <c r="A53" t="s">
        <v>601</v>
      </c>
      <c r="C53" t="s">
        <v>194</v>
      </c>
      <c r="D53" t="s">
        <v>195</v>
      </c>
      <c r="O53" s="14"/>
      <c r="P53" s="14"/>
      <c r="Q53" s="14"/>
      <c r="R53" s="14"/>
      <c r="S53" s="14"/>
      <c r="T53" s="14"/>
      <c r="U53" s="14"/>
      <c r="V53" s="14"/>
      <c r="W53" s="14"/>
      <c r="X53" s="14"/>
      <c r="Y53" s="14"/>
      <c r="Z53" s="14"/>
      <c r="AA53" s="14"/>
      <c r="AB53">
        <v>64642</v>
      </c>
      <c r="AC53" t="s">
        <v>789</v>
      </c>
      <c r="AD53" t="s">
        <v>2373</v>
      </c>
      <c r="AE53" t="s">
        <v>997</v>
      </c>
      <c r="AF53" t="s">
        <v>2373</v>
      </c>
      <c r="AG53" t="s">
        <v>719</v>
      </c>
      <c r="AI53" t="s">
        <v>2828</v>
      </c>
      <c r="AK53">
        <v>150</v>
      </c>
      <c r="AL53" s="384">
        <v>0.99250000000000005</v>
      </c>
      <c r="AM53" s="382">
        <v>0.99159999999999993</v>
      </c>
      <c r="AO53">
        <v>167</v>
      </c>
      <c r="AP53" s="382">
        <v>0.98699999999999999</v>
      </c>
      <c r="AQ53" s="384">
        <v>0.98829999999999996</v>
      </c>
    </row>
    <row r="54" spans="1:43">
      <c r="A54" t="s">
        <v>630</v>
      </c>
      <c r="C54" t="s">
        <v>198</v>
      </c>
      <c r="D54" t="s">
        <v>199</v>
      </c>
      <c r="O54" s="14"/>
      <c r="P54" s="14"/>
      <c r="Q54" s="14"/>
      <c r="R54" s="14"/>
      <c r="S54" s="14"/>
      <c r="T54" s="14"/>
      <c r="U54" s="14"/>
      <c r="V54" s="14"/>
      <c r="W54" s="14"/>
      <c r="X54" s="14"/>
      <c r="Y54" s="14"/>
      <c r="Z54" s="14"/>
      <c r="AA54" s="14"/>
      <c r="AB54">
        <v>64728</v>
      </c>
      <c r="AC54" t="s">
        <v>2827</v>
      </c>
      <c r="AD54" t="s">
        <v>2373</v>
      </c>
      <c r="AE54" t="s">
        <v>1099</v>
      </c>
      <c r="AF54" t="s">
        <v>2373</v>
      </c>
      <c r="AG54" t="s">
        <v>719</v>
      </c>
      <c r="AI54" t="s">
        <v>791</v>
      </c>
      <c r="AK54">
        <v>167</v>
      </c>
      <c r="AL54" s="382">
        <v>0.99329999999999996</v>
      </c>
      <c r="AM54" s="384">
        <v>0.99160000000000004</v>
      </c>
      <c r="AO54">
        <v>225</v>
      </c>
      <c r="AP54" s="384">
        <v>0.98699999999999999</v>
      </c>
      <c r="AQ54" s="382">
        <v>0.98939999999999995</v>
      </c>
    </row>
    <row r="55" spans="1:43">
      <c r="A55" t="s">
        <v>704</v>
      </c>
      <c r="C55" t="s">
        <v>202</v>
      </c>
      <c r="D55" t="s">
        <v>203</v>
      </c>
      <c r="O55" s="14"/>
      <c r="P55" s="14"/>
      <c r="Q55" s="14"/>
      <c r="R55" s="14"/>
      <c r="S55" s="14"/>
      <c r="T55" s="14"/>
      <c r="U55" s="14"/>
      <c r="V55" s="14"/>
      <c r="W55" s="14"/>
      <c r="X55" s="14"/>
      <c r="Y55" s="14"/>
      <c r="Z55" s="14"/>
      <c r="AA55" s="14"/>
      <c r="AB55">
        <v>64740</v>
      </c>
      <c r="AC55" t="s">
        <v>2828</v>
      </c>
      <c r="AD55" t="s">
        <v>2373</v>
      </c>
      <c r="AE55" t="s">
        <v>1008</v>
      </c>
      <c r="AF55" t="s">
        <v>2373</v>
      </c>
      <c r="AG55" t="s">
        <v>719</v>
      </c>
      <c r="AI55" t="s">
        <v>697</v>
      </c>
      <c r="AK55">
        <v>225</v>
      </c>
      <c r="AL55" s="384">
        <v>0.99329999999999996</v>
      </c>
      <c r="AM55" s="382">
        <v>0.99230000000000007</v>
      </c>
      <c r="AO55">
        <v>250</v>
      </c>
      <c r="AP55" s="382">
        <v>0.98799999999999999</v>
      </c>
      <c r="AQ55" s="384">
        <v>0.98939999999999995</v>
      </c>
    </row>
    <row r="56" spans="1:43">
      <c r="A56" t="s">
        <v>711</v>
      </c>
      <c r="C56" t="s">
        <v>190</v>
      </c>
      <c r="D56" t="s">
        <v>191</v>
      </c>
      <c r="O56" s="14"/>
      <c r="P56" s="14"/>
      <c r="Q56" s="14"/>
      <c r="R56" s="14"/>
      <c r="S56" s="14"/>
      <c r="T56" s="14"/>
      <c r="U56" s="14"/>
      <c r="V56" s="14"/>
      <c r="W56" s="14"/>
      <c r="X56" s="14"/>
      <c r="Y56" s="14"/>
      <c r="Z56" s="14"/>
      <c r="AA56" s="14"/>
      <c r="AB56">
        <v>65236</v>
      </c>
      <c r="AC56" t="s">
        <v>791</v>
      </c>
      <c r="AD56" t="s">
        <v>2373</v>
      </c>
      <c r="AE56" t="s">
        <v>884</v>
      </c>
      <c r="AF56" t="s">
        <v>2373</v>
      </c>
      <c r="AG56" t="s">
        <v>719</v>
      </c>
      <c r="AI56" t="s">
        <v>794</v>
      </c>
      <c r="AK56">
        <v>250</v>
      </c>
      <c r="AL56" s="382">
        <v>0.99390000000000001</v>
      </c>
      <c r="AM56" s="384">
        <v>0.99229999999999996</v>
      </c>
      <c r="AO56">
        <v>300</v>
      </c>
      <c r="AP56" s="384">
        <v>0.98799999999999999</v>
      </c>
      <c r="AQ56" s="382">
        <v>0.99019999999999997</v>
      </c>
    </row>
    <row r="57" spans="1:43">
      <c r="A57" t="s">
        <v>2315</v>
      </c>
      <c r="C57" t="s">
        <v>206</v>
      </c>
      <c r="D57" t="s">
        <v>207</v>
      </c>
      <c r="O57" s="14"/>
      <c r="P57" s="14"/>
      <c r="Q57" s="14"/>
      <c r="R57" s="14"/>
      <c r="S57" s="14"/>
      <c r="T57" s="14"/>
      <c r="U57" s="14"/>
      <c r="V57" s="14"/>
      <c r="W57" s="14"/>
      <c r="X57" s="14"/>
      <c r="Y57" s="14"/>
      <c r="Z57" s="14"/>
      <c r="AA57" s="14"/>
      <c r="AB57">
        <v>64016</v>
      </c>
      <c r="AC57" t="s">
        <v>697</v>
      </c>
      <c r="AD57" t="s">
        <v>2373</v>
      </c>
      <c r="AE57" t="s">
        <v>1036</v>
      </c>
      <c r="AF57" t="s">
        <v>688</v>
      </c>
      <c r="AG57" t="s">
        <v>719</v>
      </c>
      <c r="AI57" t="s">
        <v>766</v>
      </c>
      <c r="AK57">
        <v>300</v>
      </c>
      <c r="AL57" s="384">
        <v>0.99390000000000001</v>
      </c>
      <c r="AM57" s="382">
        <v>0.99269999999999992</v>
      </c>
      <c r="AO57">
        <v>333</v>
      </c>
      <c r="AP57" s="382">
        <v>0.98899999999999999</v>
      </c>
      <c r="AQ57" s="384">
        <v>0.99019999999999997</v>
      </c>
    </row>
    <row r="58" spans="1:43">
      <c r="A58" t="s">
        <v>2316</v>
      </c>
      <c r="C58" t="s">
        <v>218</v>
      </c>
      <c r="D58" t="s">
        <v>219</v>
      </c>
      <c r="O58" s="14"/>
      <c r="P58" s="14"/>
      <c r="Q58" s="14"/>
      <c r="R58" s="14"/>
      <c r="S58" s="14"/>
      <c r="T58" s="14"/>
      <c r="U58" s="14"/>
      <c r="V58" s="14"/>
      <c r="W58" s="14"/>
      <c r="X58" s="14"/>
      <c r="Y58" s="14"/>
      <c r="Z58" s="14"/>
      <c r="AA58" s="14"/>
      <c r="AB58">
        <v>64428</v>
      </c>
      <c r="AC58" t="s">
        <v>794</v>
      </c>
      <c r="AD58" t="s">
        <v>2373</v>
      </c>
      <c r="AE58" t="s">
        <v>1093</v>
      </c>
      <c r="AF58" t="s">
        <v>2373</v>
      </c>
      <c r="AG58" t="s">
        <v>719</v>
      </c>
      <c r="AI58" t="s">
        <v>797</v>
      </c>
      <c r="AK58">
        <v>333</v>
      </c>
      <c r="AL58" s="382">
        <v>0.99430000000000007</v>
      </c>
      <c r="AM58" s="384">
        <v>0.99270000000000003</v>
      </c>
      <c r="AO58">
        <v>500</v>
      </c>
      <c r="AP58" s="384">
        <v>0.98899999999999999</v>
      </c>
      <c r="AQ58" s="382">
        <v>0.99139999999999995</v>
      </c>
    </row>
    <row r="59" spans="1:43">
      <c r="C59" t="s">
        <v>222</v>
      </c>
      <c r="D59" t="s">
        <v>223</v>
      </c>
      <c r="O59" s="14"/>
      <c r="P59" s="14"/>
      <c r="Q59" s="14"/>
      <c r="R59" s="14"/>
      <c r="S59" s="14"/>
      <c r="T59" s="14"/>
      <c r="U59" s="14"/>
      <c r="V59" s="14"/>
      <c r="W59" s="14"/>
      <c r="X59" s="14"/>
      <c r="Y59" s="14"/>
      <c r="Z59" s="14"/>
      <c r="AA59" s="14"/>
      <c r="AB59">
        <v>64730</v>
      </c>
      <c r="AC59" t="s">
        <v>766</v>
      </c>
      <c r="AD59" t="s">
        <v>2373</v>
      </c>
      <c r="AE59" t="s">
        <v>763</v>
      </c>
      <c r="AF59" t="s">
        <v>2373</v>
      </c>
      <c r="AG59" t="s">
        <v>719</v>
      </c>
      <c r="AI59" t="s">
        <v>799</v>
      </c>
      <c r="AK59">
        <v>500</v>
      </c>
      <c r="AL59" s="382">
        <v>0.9948999999999999</v>
      </c>
      <c r="AM59" s="382">
        <v>0.99349999999999994</v>
      </c>
      <c r="AO59">
        <v>750</v>
      </c>
      <c r="AP59" s="384">
        <v>0.98899999999999999</v>
      </c>
      <c r="AQ59" s="382">
        <v>0.99229999999999996</v>
      </c>
    </row>
    <row r="60" spans="1:43">
      <c r="A60" t="s">
        <v>600</v>
      </c>
      <c r="C60" t="s">
        <v>226</v>
      </c>
      <c r="D60" t="s">
        <v>227</v>
      </c>
      <c r="O60" s="14"/>
      <c r="P60" s="14"/>
      <c r="Q60" s="14"/>
      <c r="R60" s="14"/>
      <c r="S60" s="14"/>
      <c r="T60" s="14"/>
      <c r="U60" s="14"/>
      <c r="V60" s="14"/>
      <c r="W60" s="14"/>
      <c r="X60" s="14"/>
      <c r="Y60" s="14"/>
      <c r="Z60" s="14"/>
      <c r="AA60" s="14"/>
      <c r="AB60">
        <v>65281</v>
      </c>
      <c r="AC60" t="s">
        <v>797</v>
      </c>
      <c r="AD60" t="s">
        <v>2373</v>
      </c>
      <c r="AE60" t="s">
        <v>884</v>
      </c>
      <c r="AF60" t="s">
        <v>2373</v>
      </c>
      <c r="AG60" t="s">
        <v>719</v>
      </c>
      <c r="AI60" t="s">
        <v>801</v>
      </c>
      <c r="AK60">
        <v>667</v>
      </c>
      <c r="AL60" s="382">
        <v>0.99519999999999997</v>
      </c>
      <c r="AM60" s="384">
        <v>0.99350000000000005</v>
      </c>
      <c r="AO60">
        <v>1000</v>
      </c>
      <c r="AP60" s="384">
        <v>0.98899999999999999</v>
      </c>
      <c r="AQ60" s="382">
        <v>0.99280000000000002</v>
      </c>
    </row>
    <row r="61" spans="1:43">
      <c r="A61" t="s">
        <v>2773</v>
      </c>
      <c r="C61" t="s">
        <v>230</v>
      </c>
      <c r="D61" t="s">
        <v>231</v>
      </c>
      <c r="O61" s="14"/>
      <c r="P61" s="14"/>
      <c r="Q61" s="14"/>
      <c r="R61" s="14"/>
      <c r="S61" s="14"/>
      <c r="T61" s="14"/>
      <c r="U61" s="14"/>
      <c r="V61" s="14"/>
      <c r="W61" s="14"/>
      <c r="X61" s="14"/>
      <c r="Y61" s="14"/>
      <c r="Z61" s="14"/>
      <c r="AA61" s="14"/>
      <c r="AB61">
        <v>64632</v>
      </c>
      <c r="AC61" t="s">
        <v>799</v>
      </c>
      <c r="AD61" t="s">
        <v>2373</v>
      </c>
      <c r="AE61" t="s">
        <v>997</v>
      </c>
      <c r="AF61" t="s">
        <v>2373</v>
      </c>
      <c r="AG61" t="s">
        <v>719</v>
      </c>
      <c r="AI61" t="s">
        <v>803</v>
      </c>
      <c r="AK61">
        <v>750</v>
      </c>
      <c r="AL61" s="384">
        <v>0.99519999999999997</v>
      </c>
      <c r="AM61" s="382">
        <v>0.99400000000000011</v>
      </c>
    </row>
    <row r="62" spans="1:43">
      <c r="A62" s="27" t="s">
        <v>2953</v>
      </c>
      <c r="C62" s="27" t="s">
        <v>2959</v>
      </c>
      <c r="D62" s="27" t="s">
        <v>2960</v>
      </c>
      <c r="O62" s="14"/>
      <c r="P62" s="14"/>
      <c r="Q62" s="14"/>
      <c r="R62" s="14"/>
      <c r="S62" s="14"/>
      <c r="T62" s="14"/>
      <c r="U62" s="14"/>
      <c r="V62" s="14"/>
      <c r="W62" s="14"/>
      <c r="X62" s="14"/>
      <c r="Y62" s="14"/>
      <c r="Z62" s="14"/>
      <c r="AA62" s="14"/>
      <c r="AB62">
        <v>65239</v>
      </c>
      <c r="AC62" t="s">
        <v>801</v>
      </c>
      <c r="AD62" t="s">
        <v>2373</v>
      </c>
      <c r="AE62" t="s">
        <v>925</v>
      </c>
      <c r="AF62" t="s">
        <v>2373</v>
      </c>
      <c r="AG62" t="s">
        <v>719</v>
      </c>
      <c r="AI62" t="s">
        <v>805</v>
      </c>
      <c r="AK62">
        <v>833</v>
      </c>
      <c r="AL62" s="382">
        <v>0.99549999999999994</v>
      </c>
      <c r="AM62" s="384">
        <v>0.99399999999999999</v>
      </c>
    </row>
    <row r="63" spans="1:43">
      <c r="A63" t="s">
        <v>2950</v>
      </c>
      <c r="C63" t="s">
        <v>234</v>
      </c>
      <c r="D63" t="s">
        <v>235</v>
      </c>
      <c r="AB63">
        <v>65323</v>
      </c>
      <c r="AC63" t="s">
        <v>803</v>
      </c>
      <c r="AD63" t="s">
        <v>2373</v>
      </c>
      <c r="AE63" t="s">
        <v>1008</v>
      </c>
      <c r="AF63" t="s">
        <v>2373</v>
      </c>
      <c r="AG63" t="s">
        <v>719</v>
      </c>
      <c r="AI63" t="s">
        <v>807</v>
      </c>
      <c r="AK63">
        <v>1000</v>
      </c>
      <c r="AL63" s="384">
        <v>0.99550000000000005</v>
      </c>
      <c r="AM63" s="382">
        <v>0.99430000000000007</v>
      </c>
    </row>
    <row r="64" spans="1:43">
      <c r="A64" t="s">
        <v>2419</v>
      </c>
      <c r="C64" t="s">
        <v>238</v>
      </c>
      <c r="D64" t="s">
        <v>239</v>
      </c>
      <c r="AB64">
        <v>64017</v>
      </c>
      <c r="AC64" t="s">
        <v>805</v>
      </c>
      <c r="AD64" t="s">
        <v>2373</v>
      </c>
      <c r="AE64" t="s">
        <v>1096</v>
      </c>
      <c r="AF64" t="s">
        <v>2373</v>
      </c>
      <c r="AG64" t="s">
        <v>719</v>
      </c>
      <c r="AI64" t="s">
        <v>809</v>
      </c>
      <c r="AK64">
        <v>1500</v>
      </c>
      <c r="AL64" s="384">
        <v>0.99550000000000005</v>
      </c>
      <c r="AM64" s="382">
        <v>0.99480000000000002</v>
      </c>
    </row>
    <row r="65" spans="1:39">
      <c r="A65" s="27" t="s">
        <v>2952</v>
      </c>
      <c r="C65" t="s">
        <v>242</v>
      </c>
      <c r="D65" t="s">
        <v>243</v>
      </c>
      <c r="AB65">
        <v>64018</v>
      </c>
      <c r="AC65" t="s">
        <v>807</v>
      </c>
      <c r="AD65" t="s">
        <v>2373</v>
      </c>
      <c r="AE65" t="s">
        <v>1095</v>
      </c>
      <c r="AF65" t="s">
        <v>1661</v>
      </c>
      <c r="AG65" t="s">
        <v>2373</v>
      </c>
      <c r="AI65" t="s">
        <v>811</v>
      </c>
      <c r="AK65">
        <v>2000</v>
      </c>
      <c r="AL65" s="384">
        <v>0.99550000000000005</v>
      </c>
      <c r="AM65" s="382">
        <v>0.9951000000000001</v>
      </c>
    </row>
    <row r="66" spans="1:39">
      <c r="A66" t="s">
        <v>2940</v>
      </c>
      <c r="C66" t="s">
        <v>246</v>
      </c>
      <c r="D66" t="s">
        <v>247</v>
      </c>
      <c r="AB66">
        <v>64429</v>
      </c>
      <c r="AC66" t="s">
        <v>809</v>
      </c>
      <c r="AD66" t="s">
        <v>690</v>
      </c>
      <c r="AE66" t="s">
        <v>831</v>
      </c>
      <c r="AF66" t="s">
        <v>2373</v>
      </c>
      <c r="AG66" t="s">
        <v>2373</v>
      </c>
      <c r="AI66" t="s">
        <v>813</v>
      </c>
      <c r="AK66">
        <v>2500</v>
      </c>
      <c r="AL66" s="384">
        <v>0.99550000000000005</v>
      </c>
      <c r="AM66" s="382">
        <v>0.99529999999999996</v>
      </c>
    </row>
    <row r="67" spans="1:39">
      <c r="A67" t="s">
        <v>3109</v>
      </c>
      <c r="C67" t="s">
        <v>250</v>
      </c>
      <c r="D67" t="s">
        <v>251</v>
      </c>
      <c r="AB67">
        <v>64772</v>
      </c>
      <c r="AC67" t="s">
        <v>811</v>
      </c>
      <c r="AD67" t="s">
        <v>2373</v>
      </c>
      <c r="AE67" t="s">
        <v>1099</v>
      </c>
      <c r="AF67" t="s">
        <v>2373</v>
      </c>
      <c r="AG67" t="s">
        <v>719</v>
      </c>
      <c r="AI67" t="s">
        <v>815</v>
      </c>
    </row>
    <row r="68" spans="1:39">
      <c r="A68" t="s">
        <v>3110</v>
      </c>
      <c r="C68" t="s">
        <v>254</v>
      </c>
      <c r="D68" t="s">
        <v>255</v>
      </c>
      <c r="AB68">
        <v>65607</v>
      </c>
      <c r="AC68" t="s">
        <v>813</v>
      </c>
      <c r="AD68" t="s">
        <v>2373</v>
      </c>
      <c r="AE68" t="s">
        <v>878</v>
      </c>
      <c r="AF68" t="s">
        <v>2373</v>
      </c>
      <c r="AG68" t="s">
        <v>719</v>
      </c>
      <c r="AI68" t="s">
        <v>817</v>
      </c>
    </row>
    <row r="69" spans="1:39">
      <c r="C69" t="s">
        <v>262</v>
      </c>
      <c r="D69" t="s">
        <v>263</v>
      </c>
      <c r="AB69">
        <v>64633</v>
      </c>
      <c r="AC69" t="s">
        <v>815</v>
      </c>
      <c r="AD69" t="s">
        <v>690</v>
      </c>
      <c r="AE69" t="s">
        <v>836</v>
      </c>
      <c r="AF69" t="s">
        <v>2373</v>
      </c>
      <c r="AG69" t="s">
        <v>2373</v>
      </c>
      <c r="AI69" t="s">
        <v>819</v>
      </c>
    </row>
    <row r="70" spans="1:39">
      <c r="C70" s="27" t="s">
        <v>2961</v>
      </c>
      <c r="D70" s="27" t="s">
        <v>2962</v>
      </c>
      <c r="AB70">
        <v>64019</v>
      </c>
      <c r="AC70" t="s">
        <v>817</v>
      </c>
      <c r="AD70" t="s">
        <v>2373</v>
      </c>
      <c r="AE70" t="s">
        <v>1075</v>
      </c>
      <c r="AF70" t="s">
        <v>2373</v>
      </c>
      <c r="AG70" t="s">
        <v>719</v>
      </c>
      <c r="AI70" t="s">
        <v>821</v>
      </c>
    </row>
    <row r="71" spans="1:39">
      <c r="A71" t="s">
        <v>624</v>
      </c>
      <c r="C71" t="s">
        <v>258</v>
      </c>
      <c r="D71" t="s">
        <v>259</v>
      </c>
      <c r="AB71">
        <v>64733</v>
      </c>
      <c r="AC71" t="s">
        <v>819</v>
      </c>
      <c r="AD71" t="s">
        <v>2373</v>
      </c>
      <c r="AE71" t="s">
        <v>1075</v>
      </c>
      <c r="AF71" t="s">
        <v>2373</v>
      </c>
      <c r="AG71" t="s">
        <v>719</v>
      </c>
      <c r="AI71" t="s">
        <v>823</v>
      </c>
    </row>
    <row r="72" spans="1:39">
      <c r="A72" t="s">
        <v>1728</v>
      </c>
      <c r="C72" t="s">
        <v>266</v>
      </c>
      <c r="D72" t="s">
        <v>267</v>
      </c>
      <c r="AB72">
        <v>64601</v>
      </c>
      <c r="AC72" t="s">
        <v>821</v>
      </c>
      <c r="AD72" t="s">
        <v>692</v>
      </c>
      <c r="AE72" t="s">
        <v>1089</v>
      </c>
      <c r="AF72" t="s">
        <v>2373</v>
      </c>
      <c r="AG72" t="s">
        <v>2373</v>
      </c>
      <c r="AI72" t="s">
        <v>825</v>
      </c>
    </row>
    <row r="73" spans="1:39">
      <c r="A73" t="s">
        <v>1729</v>
      </c>
      <c r="C73" t="s">
        <v>274</v>
      </c>
      <c r="D73" t="s">
        <v>275</v>
      </c>
      <c r="AB73">
        <v>64635</v>
      </c>
      <c r="AC73" t="s">
        <v>823</v>
      </c>
      <c r="AD73" t="s">
        <v>2373</v>
      </c>
      <c r="AE73" t="s">
        <v>1089</v>
      </c>
      <c r="AF73" t="s">
        <v>2373</v>
      </c>
      <c r="AG73" t="s">
        <v>719</v>
      </c>
      <c r="AI73" t="s">
        <v>826</v>
      </c>
    </row>
    <row r="74" spans="1:39">
      <c r="A74" t="s">
        <v>2737</v>
      </c>
      <c r="C74" t="s">
        <v>270</v>
      </c>
      <c r="D74" t="s">
        <v>271</v>
      </c>
      <c r="AB74">
        <v>65243</v>
      </c>
      <c r="AC74" t="s">
        <v>825</v>
      </c>
      <c r="AD74" t="s">
        <v>2373</v>
      </c>
      <c r="AE74" t="s">
        <v>925</v>
      </c>
      <c r="AF74" t="s">
        <v>2373</v>
      </c>
      <c r="AG74" t="s">
        <v>719</v>
      </c>
      <c r="AI74" t="s">
        <v>827</v>
      </c>
    </row>
    <row r="75" spans="1:39">
      <c r="A75" s="27" t="s">
        <v>2954</v>
      </c>
      <c r="C75" t="s">
        <v>278</v>
      </c>
      <c r="D75" t="s">
        <v>279</v>
      </c>
      <c r="AB75">
        <v>64430</v>
      </c>
      <c r="AC75" t="s">
        <v>826</v>
      </c>
      <c r="AD75" t="s">
        <v>2373</v>
      </c>
      <c r="AE75" t="s">
        <v>975</v>
      </c>
      <c r="AF75" t="s">
        <v>2373</v>
      </c>
      <c r="AG75" t="s">
        <v>719</v>
      </c>
      <c r="AI75" t="s">
        <v>828</v>
      </c>
    </row>
    <row r="76" spans="1:39">
      <c r="A76" t="s">
        <v>2736</v>
      </c>
      <c r="C76" s="27" t="s">
        <v>3066</v>
      </c>
      <c r="D76" s="27" t="s">
        <v>3067</v>
      </c>
      <c r="AB76">
        <v>64119</v>
      </c>
      <c r="AC76" t="s">
        <v>827</v>
      </c>
      <c r="AD76" t="s">
        <v>2373</v>
      </c>
      <c r="AE76" t="s">
        <v>906</v>
      </c>
      <c r="AF76" t="s">
        <v>2373</v>
      </c>
      <c r="AG76" t="s">
        <v>719</v>
      </c>
      <c r="AI76" t="s">
        <v>829</v>
      </c>
    </row>
    <row r="77" spans="1:39">
      <c r="A77" t="s">
        <v>3065</v>
      </c>
      <c r="C77" s="27" t="s">
        <v>3068</v>
      </c>
      <c r="D77" s="27" t="s">
        <v>3069</v>
      </c>
      <c r="AB77">
        <v>64431</v>
      </c>
      <c r="AC77" t="s">
        <v>828</v>
      </c>
      <c r="AD77" t="s">
        <v>2373</v>
      </c>
      <c r="AE77" t="s">
        <v>1093</v>
      </c>
      <c r="AF77" t="s">
        <v>2373</v>
      </c>
      <c r="AG77" t="s">
        <v>719</v>
      </c>
      <c r="AI77" t="s">
        <v>830</v>
      </c>
    </row>
    <row r="78" spans="1:39">
      <c r="A78" t="s">
        <v>3108</v>
      </c>
      <c r="C78" s="27" t="s">
        <v>3070</v>
      </c>
      <c r="D78" s="27" t="s">
        <v>3071</v>
      </c>
      <c r="AB78">
        <v>64734</v>
      </c>
      <c r="AC78" t="s">
        <v>829</v>
      </c>
      <c r="AD78" t="s">
        <v>2373</v>
      </c>
      <c r="AE78" t="s">
        <v>851</v>
      </c>
      <c r="AF78" t="s">
        <v>2373</v>
      </c>
      <c r="AG78" t="s">
        <v>719</v>
      </c>
      <c r="AI78" t="s">
        <v>831</v>
      </c>
    </row>
    <row r="79" spans="1:39">
      <c r="C79" s="27" t="s">
        <v>3072</v>
      </c>
      <c r="D79" s="27" t="s">
        <v>3073</v>
      </c>
      <c r="AB79">
        <v>65244</v>
      </c>
      <c r="AC79" t="s">
        <v>830</v>
      </c>
      <c r="AD79" t="s">
        <v>2373</v>
      </c>
      <c r="AE79" t="s">
        <v>925</v>
      </c>
      <c r="AF79" t="s">
        <v>2373</v>
      </c>
      <c r="AG79" t="s">
        <v>719</v>
      </c>
      <c r="AI79" t="s">
        <v>832</v>
      </c>
    </row>
    <row r="80" spans="1:39">
      <c r="A80" t="s">
        <v>2272</v>
      </c>
      <c r="C80" s="27" t="s">
        <v>3074</v>
      </c>
      <c r="D80" s="27" t="s">
        <v>3075</v>
      </c>
      <c r="AB80">
        <v>64735</v>
      </c>
      <c r="AC80" t="s">
        <v>831</v>
      </c>
      <c r="AD80" t="s">
        <v>2373</v>
      </c>
      <c r="AE80" t="s">
        <v>1008</v>
      </c>
      <c r="AF80" t="s">
        <v>2373</v>
      </c>
      <c r="AG80" t="s">
        <v>719</v>
      </c>
      <c r="AI80" t="s">
        <v>834</v>
      </c>
    </row>
    <row r="81" spans="1:35">
      <c r="A81" t="s">
        <v>2264</v>
      </c>
      <c r="C81" s="27" t="s">
        <v>3076</v>
      </c>
      <c r="D81" s="27" t="s">
        <v>3077</v>
      </c>
      <c r="AB81">
        <v>64432</v>
      </c>
      <c r="AC81" t="s">
        <v>832</v>
      </c>
      <c r="AD81" t="s">
        <v>2373</v>
      </c>
      <c r="AE81" t="s">
        <v>1093</v>
      </c>
      <c r="AF81" t="s">
        <v>2373</v>
      </c>
      <c r="AG81" t="s">
        <v>719</v>
      </c>
      <c r="AI81" t="s">
        <v>785</v>
      </c>
    </row>
    <row r="82" spans="1:35">
      <c r="A82" t="s">
        <v>135</v>
      </c>
      <c r="C82" s="27" t="s">
        <v>3078</v>
      </c>
      <c r="D82" s="27" t="s">
        <v>3079</v>
      </c>
      <c r="AB82">
        <v>64636</v>
      </c>
      <c r="AC82" t="s">
        <v>834</v>
      </c>
      <c r="AD82" t="s">
        <v>2373</v>
      </c>
      <c r="AE82" t="s">
        <v>966</v>
      </c>
      <c r="AF82" t="s">
        <v>2373</v>
      </c>
      <c r="AG82" t="s">
        <v>719</v>
      </c>
      <c r="AI82" t="s">
        <v>837</v>
      </c>
    </row>
    <row r="83" spans="1:35">
      <c r="C83" s="27" t="s">
        <v>3080</v>
      </c>
      <c r="D83" s="27" t="s">
        <v>3081</v>
      </c>
      <c r="AB83">
        <v>65325</v>
      </c>
      <c r="AC83" t="s">
        <v>785</v>
      </c>
      <c r="AD83" t="s">
        <v>2373</v>
      </c>
      <c r="AE83" t="s">
        <v>786</v>
      </c>
      <c r="AF83" t="s">
        <v>2373</v>
      </c>
      <c r="AG83" t="s">
        <v>719</v>
      </c>
      <c r="AI83" t="s">
        <v>838</v>
      </c>
    </row>
    <row r="84" spans="1:35">
      <c r="A84" t="s">
        <v>2285</v>
      </c>
      <c r="C84" s="27" t="s">
        <v>3082</v>
      </c>
      <c r="D84" s="27" t="s">
        <v>3083</v>
      </c>
      <c r="AB84">
        <v>64738</v>
      </c>
      <c r="AC84" t="s">
        <v>837</v>
      </c>
      <c r="AD84" t="s">
        <v>2373</v>
      </c>
      <c r="AE84" t="s">
        <v>1097</v>
      </c>
      <c r="AF84" t="s">
        <v>2373</v>
      </c>
      <c r="AG84" t="s">
        <v>719</v>
      </c>
      <c r="AI84" t="s">
        <v>839</v>
      </c>
    </row>
    <row r="85" spans="1:35">
      <c r="A85" t="s">
        <v>2286</v>
      </c>
      <c r="C85" s="27" t="s">
        <v>3084</v>
      </c>
      <c r="D85" s="27" t="s">
        <v>3085</v>
      </c>
      <c r="AB85">
        <v>64433</v>
      </c>
      <c r="AC85" t="s">
        <v>838</v>
      </c>
      <c r="AD85" t="s">
        <v>2373</v>
      </c>
      <c r="AE85" t="s">
        <v>1093</v>
      </c>
      <c r="AF85" t="s">
        <v>2373</v>
      </c>
      <c r="AG85" t="s">
        <v>719</v>
      </c>
      <c r="AI85" t="s">
        <v>841</v>
      </c>
    </row>
    <row r="86" spans="1:35">
      <c r="A86" t="s">
        <v>2287</v>
      </c>
      <c r="C86" s="27" t="s">
        <v>3086</v>
      </c>
      <c r="D86" s="27" t="s">
        <v>3087</v>
      </c>
      <c r="AB86">
        <v>64434</v>
      </c>
      <c r="AC86" t="s">
        <v>839</v>
      </c>
      <c r="AD86" t="s">
        <v>2373</v>
      </c>
      <c r="AE86" t="s">
        <v>1093</v>
      </c>
      <c r="AF86" t="s">
        <v>2373</v>
      </c>
      <c r="AG86" t="s">
        <v>719</v>
      </c>
      <c r="AI86" t="s">
        <v>843</v>
      </c>
    </row>
    <row r="87" spans="1:35">
      <c r="A87" t="s">
        <v>2288</v>
      </c>
      <c r="C87" s="27" t="s">
        <v>3088</v>
      </c>
      <c r="D87" s="27" t="s">
        <v>3089</v>
      </c>
      <c r="AB87">
        <v>64020</v>
      </c>
      <c r="AC87" t="s">
        <v>841</v>
      </c>
      <c r="AD87" t="s">
        <v>2373</v>
      </c>
      <c r="AE87" t="s">
        <v>1081</v>
      </c>
      <c r="AF87" t="s">
        <v>2373</v>
      </c>
      <c r="AG87" t="s">
        <v>719</v>
      </c>
      <c r="AI87" t="s">
        <v>845</v>
      </c>
    </row>
    <row r="88" spans="1:35">
      <c r="C88" s="27" t="s">
        <v>3090</v>
      </c>
      <c r="D88" s="27" t="s">
        <v>3091</v>
      </c>
      <c r="AB88">
        <v>64021</v>
      </c>
      <c r="AC88" t="s">
        <v>843</v>
      </c>
      <c r="AD88" t="s">
        <v>2373</v>
      </c>
      <c r="AE88" t="s">
        <v>1081</v>
      </c>
      <c r="AF88" t="s">
        <v>2373</v>
      </c>
      <c r="AG88" t="s">
        <v>719</v>
      </c>
      <c r="AI88" t="s">
        <v>723</v>
      </c>
    </row>
    <row r="89" spans="1:35">
      <c r="A89" t="s">
        <v>2307</v>
      </c>
      <c r="AB89">
        <v>64437</v>
      </c>
      <c r="AC89" t="s">
        <v>845</v>
      </c>
      <c r="AD89" t="s">
        <v>2373</v>
      </c>
      <c r="AE89" t="s">
        <v>911</v>
      </c>
      <c r="AF89" t="s">
        <v>2373</v>
      </c>
      <c r="AG89" t="s">
        <v>719</v>
      </c>
      <c r="AI89" t="s">
        <v>2829</v>
      </c>
    </row>
    <row r="90" spans="1:35">
      <c r="A90" t="s">
        <v>2309</v>
      </c>
      <c r="C90" t="s">
        <v>573</v>
      </c>
      <c r="D90" t="s">
        <v>574</v>
      </c>
      <c r="AB90">
        <v>64436</v>
      </c>
      <c r="AC90" t="s">
        <v>723</v>
      </c>
      <c r="AD90" t="s">
        <v>2373</v>
      </c>
      <c r="AE90" t="s">
        <v>718</v>
      </c>
      <c r="AF90" t="s">
        <v>2373</v>
      </c>
      <c r="AG90" t="s">
        <v>719</v>
      </c>
      <c r="AI90" t="s">
        <v>848</v>
      </c>
    </row>
    <row r="91" spans="1:35">
      <c r="A91" t="s">
        <v>2308</v>
      </c>
      <c r="C91" t="s">
        <v>583</v>
      </c>
      <c r="D91" t="s">
        <v>586</v>
      </c>
      <c r="AB91">
        <v>64058</v>
      </c>
      <c r="AC91" t="s">
        <v>2829</v>
      </c>
      <c r="AD91" t="s">
        <v>2373</v>
      </c>
      <c r="AE91" t="s">
        <v>1036</v>
      </c>
      <c r="AF91" t="s">
        <v>688</v>
      </c>
      <c r="AG91" t="s">
        <v>719</v>
      </c>
      <c r="AI91" t="s">
        <v>850</v>
      </c>
    </row>
    <row r="92" spans="1:35">
      <c r="A92" t="s">
        <v>2303</v>
      </c>
      <c r="C92" t="s">
        <v>576</v>
      </c>
      <c r="D92" t="s">
        <v>586</v>
      </c>
      <c r="AB92">
        <v>64437</v>
      </c>
      <c r="AC92" t="s">
        <v>848</v>
      </c>
      <c r="AD92" t="s">
        <v>2373</v>
      </c>
      <c r="AE92" t="s">
        <v>911</v>
      </c>
      <c r="AF92" t="s">
        <v>2373</v>
      </c>
      <c r="AG92" t="s">
        <v>719</v>
      </c>
      <c r="AI92" t="s">
        <v>852</v>
      </c>
    </row>
    <row r="93" spans="1:35">
      <c r="A93" t="s">
        <v>2305</v>
      </c>
      <c r="C93" t="s">
        <v>577</v>
      </c>
      <c r="D93" t="s">
        <v>585</v>
      </c>
      <c r="AB93">
        <v>64739</v>
      </c>
      <c r="AC93" t="s">
        <v>850</v>
      </c>
      <c r="AD93" t="s">
        <v>2373</v>
      </c>
      <c r="AE93" t="s">
        <v>1008</v>
      </c>
      <c r="AF93" t="s">
        <v>2373</v>
      </c>
      <c r="AG93" t="s">
        <v>719</v>
      </c>
      <c r="AI93" t="s">
        <v>853</v>
      </c>
    </row>
    <row r="94" spans="1:35">
      <c r="A94" t="s">
        <v>2302</v>
      </c>
      <c r="C94" t="s">
        <v>578</v>
      </c>
      <c r="D94" t="s">
        <v>584</v>
      </c>
      <c r="AB94">
        <v>65351</v>
      </c>
      <c r="AC94" t="s">
        <v>852</v>
      </c>
      <c r="AD94" t="s">
        <v>2373</v>
      </c>
      <c r="AE94" t="s">
        <v>1098</v>
      </c>
      <c r="AF94" t="s">
        <v>2373</v>
      </c>
      <c r="AG94" t="s">
        <v>719</v>
      </c>
      <c r="AI94" t="s">
        <v>854</v>
      </c>
    </row>
    <row r="95" spans="1:35">
      <c r="A95" t="s">
        <v>2306</v>
      </c>
      <c r="C95" t="s">
        <v>579</v>
      </c>
      <c r="D95" t="s">
        <v>586</v>
      </c>
      <c r="AB95">
        <v>64024</v>
      </c>
      <c r="AC95" t="s">
        <v>853</v>
      </c>
      <c r="AD95" t="s">
        <v>2373</v>
      </c>
      <c r="AE95" t="s">
        <v>906</v>
      </c>
      <c r="AF95" t="s">
        <v>2373</v>
      </c>
      <c r="AG95" t="s">
        <v>719</v>
      </c>
      <c r="AI95" t="s">
        <v>856</v>
      </c>
    </row>
    <row r="96" spans="1:35">
      <c r="A96" t="s">
        <v>2304</v>
      </c>
      <c r="C96" t="s">
        <v>1314</v>
      </c>
      <c r="D96" t="s">
        <v>586</v>
      </c>
      <c r="AB96">
        <v>65635</v>
      </c>
      <c r="AC96" t="s">
        <v>854</v>
      </c>
      <c r="AD96" t="s">
        <v>2373</v>
      </c>
      <c r="AE96" t="s">
        <v>958</v>
      </c>
      <c r="AF96" t="s">
        <v>2373</v>
      </c>
      <c r="AG96" t="s">
        <v>719</v>
      </c>
      <c r="AI96" t="s">
        <v>858</v>
      </c>
    </row>
    <row r="97" spans="1:35">
      <c r="A97" t="s">
        <v>542</v>
      </c>
      <c r="C97" t="s">
        <v>614</v>
      </c>
      <c r="D97" t="s">
        <v>586</v>
      </c>
      <c r="AB97">
        <v>65246</v>
      </c>
      <c r="AC97" t="s">
        <v>856</v>
      </c>
      <c r="AD97" t="s">
        <v>2373</v>
      </c>
      <c r="AE97" t="s">
        <v>884</v>
      </c>
      <c r="AF97" t="s">
        <v>2373</v>
      </c>
      <c r="AG97" t="s">
        <v>719</v>
      </c>
      <c r="AI97" t="s">
        <v>860</v>
      </c>
    </row>
    <row r="98" spans="1:35">
      <c r="C98" t="s">
        <v>615</v>
      </c>
      <c r="D98" t="s">
        <v>586</v>
      </c>
      <c r="AB98">
        <v>64776</v>
      </c>
      <c r="AC98" t="s">
        <v>858</v>
      </c>
      <c r="AD98" t="s">
        <v>2373</v>
      </c>
      <c r="AE98" t="s">
        <v>1097</v>
      </c>
      <c r="AF98" t="s">
        <v>2373</v>
      </c>
      <c r="AG98" t="s">
        <v>719</v>
      </c>
      <c r="AI98" t="s">
        <v>862</v>
      </c>
    </row>
    <row r="99" spans="1:35">
      <c r="A99" t="s">
        <v>531</v>
      </c>
      <c r="C99" t="s">
        <v>616</v>
      </c>
      <c r="D99" t="s">
        <v>586</v>
      </c>
      <c r="AB99">
        <v>65259</v>
      </c>
      <c r="AC99" t="s">
        <v>860</v>
      </c>
      <c r="AD99" t="s">
        <v>2373</v>
      </c>
      <c r="AE99" t="s">
        <v>925</v>
      </c>
      <c r="AF99" t="s">
        <v>2373</v>
      </c>
      <c r="AG99" t="s">
        <v>719</v>
      </c>
      <c r="AI99" t="s">
        <v>864</v>
      </c>
    </row>
    <row r="100" spans="1:35">
      <c r="A100" t="s">
        <v>2845</v>
      </c>
      <c r="C100" t="s">
        <v>1533</v>
      </c>
      <c r="D100" t="s">
        <v>586</v>
      </c>
      <c r="AB100">
        <v>64438</v>
      </c>
      <c r="AC100" t="s">
        <v>862</v>
      </c>
      <c r="AD100" t="s">
        <v>2373</v>
      </c>
      <c r="AE100" t="s">
        <v>926</v>
      </c>
      <c r="AF100" t="s">
        <v>2373</v>
      </c>
      <c r="AG100" t="s">
        <v>719</v>
      </c>
      <c r="AI100" t="s">
        <v>816</v>
      </c>
    </row>
    <row r="101" spans="1:35">
      <c r="A101" t="s">
        <v>2846</v>
      </c>
      <c r="C101" t="s">
        <v>1660</v>
      </c>
      <c r="D101" t="s">
        <v>586</v>
      </c>
      <c r="AB101">
        <v>64638</v>
      </c>
      <c r="AC101" t="s">
        <v>864</v>
      </c>
      <c r="AD101" t="s">
        <v>2373</v>
      </c>
      <c r="AE101" t="s">
        <v>1089</v>
      </c>
      <c r="AF101" t="s">
        <v>2373</v>
      </c>
      <c r="AG101" t="s">
        <v>719</v>
      </c>
      <c r="AI101" t="s">
        <v>840</v>
      </c>
    </row>
    <row r="102" spans="1:35">
      <c r="A102" t="s">
        <v>2847</v>
      </c>
      <c r="C102" t="s">
        <v>1662</v>
      </c>
      <c r="D102" t="s">
        <v>586</v>
      </c>
      <c r="AB102">
        <v>64440</v>
      </c>
      <c r="AC102" t="s">
        <v>816</v>
      </c>
      <c r="AD102" t="s">
        <v>2373</v>
      </c>
      <c r="AE102" t="s">
        <v>814</v>
      </c>
      <c r="AF102" t="s">
        <v>2373</v>
      </c>
      <c r="AG102" t="s">
        <v>719</v>
      </c>
      <c r="AI102" t="s">
        <v>868</v>
      </c>
    </row>
    <row r="103" spans="1:35">
      <c r="A103" t="s">
        <v>2848</v>
      </c>
      <c r="C103" t="s">
        <v>2294</v>
      </c>
      <c r="D103" t="s">
        <v>586</v>
      </c>
      <c r="AB103">
        <v>64639</v>
      </c>
      <c r="AC103" t="s">
        <v>840</v>
      </c>
      <c r="AD103" t="s">
        <v>2373</v>
      </c>
      <c r="AE103" t="s">
        <v>836</v>
      </c>
      <c r="AF103" t="s">
        <v>2373</v>
      </c>
      <c r="AG103" t="s">
        <v>719</v>
      </c>
      <c r="AI103" t="s">
        <v>870</v>
      </c>
    </row>
    <row r="104" spans="1:35">
      <c r="C104" t="s">
        <v>2311</v>
      </c>
      <c r="D104" t="s">
        <v>586</v>
      </c>
      <c r="AB104">
        <v>64439</v>
      </c>
      <c r="AC104" t="s">
        <v>868</v>
      </c>
      <c r="AD104" t="s">
        <v>2373</v>
      </c>
      <c r="AE104" t="s">
        <v>1095</v>
      </c>
      <c r="AF104" t="s">
        <v>1661</v>
      </c>
      <c r="AG104" t="s">
        <v>2373</v>
      </c>
      <c r="AI104" t="s">
        <v>872</v>
      </c>
    </row>
    <row r="105" spans="1:35">
      <c r="A105" t="s">
        <v>1311</v>
      </c>
      <c r="C105" t="s">
        <v>2312</v>
      </c>
      <c r="D105" t="s">
        <v>2313</v>
      </c>
      <c r="AB105">
        <v>64740</v>
      </c>
      <c r="AC105" t="s">
        <v>870</v>
      </c>
      <c r="AD105" t="s">
        <v>2373</v>
      </c>
      <c r="AE105" t="s">
        <v>1008</v>
      </c>
      <c r="AF105" t="s">
        <v>2373</v>
      </c>
      <c r="AG105" t="s">
        <v>719</v>
      </c>
      <c r="AI105" t="s">
        <v>975</v>
      </c>
    </row>
    <row r="106" spans="1:35">
      <c r="A106" t="s">
        <v>84</v>
      </c>
      <c r="C106" t="s">
        <v>2314</v>
      </c>
      <c r="D106" t="s">
        <v>585</v>
      </c>
      <c r="AB106">
        <v>64741</v>
      </c>
      <c r="AC106" t="s">
        <v>872</v>
      </c>
      <c r="AD106" t="s">
        <v>2373</v>
      </c>
      <c r="AE106" t="s">
        <v>1099</v>
      </c>
      <c r="AF106" t="s">
        <v>2373</v>
      </c>
      <c r="AG106" t="s">
        <v>719</v>
      </c>
      <c r="AI106" t="s">
        <v>873</v>
      </c>
    </row>
    <row r="107" spans="1:35">
      <c r="A107" t="s">
        <v>523</v>
      </c>
      <c r="AB107">
        <v>64440</v>
      </c>
      <c r="AC107" t="s">
        <v>975</v>
      </c>
      <c r="AD107" t="s">
        <v>2373</v>
      </c>
      <c r="AE107" t="s">
        <v>814</v>
      </c>
      <c r="AF107" t="s">
        <v>2373</v>
      </c>
      <c r="AG107" t="s">
        <v>719</v>
      </c>
      <c r="AI107" t="s">
        <v>875</v>
      </c>
    </row>
    <row r="108" spans="1:35">
      <c r="C108" t="s">
        <v>2297</v>
      </c>
      <c r="D108" s="18" t="s">
        <v>1316</v>
      </c>
      <c r="AB108">
        <v>64441</v>
      </c>
      <c r="AC108" t="s">
        <v>873</v>
      </c>
      <c r="AD108" t="s">
        <v>2373</v>
      </c>
      <c r="AE108" t="s">
        <v>1091</v>
      </c>
      <c r="AF108" t="s">
        <v>2373</v>
      </c>
      <c r="AG108" t="s">
        <v>719</v>
      </c>
      <c r="AI108" t="s">
        <v>877</v>
      </c>
    </row>
    <row r="109" spans="1:35">
      <c r="A109" s="387" t="s">
        <v>1526</v>
      </c>
      <c r="C109" t="s">
        <v>1315</v>
      </c>
      <c r="D109" s="18">
        <v>1</v>
      </c>
      <c r="AB109">
        <v>64022</v>
      </c>
      <c r="AC109" t="s">
        <v>875</v>
      </c>
      <c r="AD109" t="s">
        <v>2373</v>
      </c>
      <c r="AE109" t="s">
        <v>1081</v>
      </c>
      <c r="AF109" t="s">
        <v>2373</v>
      </c>
      <c r="AG109" t="s">
        <v>719</v>
      </c>
      <c r="AI109" t="s">
        <v>768</v>
      </c>
    </row>
    <row r="110" spans="1:35">
      <c r="A110" s="386" t="s">
        <v>1527</v>
      </c>
      <c r="C110" t="s">
        <v>1317</v>
      </c>
      <c r="D110" s="18">
        <v>1</v>
      </c>
      <c r="AB110">
        <v>65301</v>
      </c>
      <c r="AC110" t="s">
        <v>877</v>
      </c>
      <c r="AD110" t="s">
        <v>2373</v>
      </c>
      <c r="AE110" t="s">
        <v>1094</v>
      </c>
      <c r="AF110" t="s">
        <v>2373</v>
      </c>
      <c r="AG110" t="s">
        <v>719</v>
      </c>
      <c r="AI110" t="s">
        <v>880</v>
      </c>
    </row>
    <row r="111" spans="1:35">
      <c r="C111" t="s">
        <v>1318</v>
      </c>
      <c r="D111" s="309">
        <v>0.04</v>
      </c>
      <c r="AB111">
        <v>64742</v>
      </c>
      <c r="AC111" t="s">
        <v>768</v>
      </c>
      <c r="AD111" t="s">
        <v>2373</v>
      </c>
      <c r="AE111" t="s">
        <v>763</v>
      </c>
      <c r="AF111" t="s">
        <v>2373</v>
      </c>
      <c r="AG111" t="s">
        <v>719</v>
      </c>
      <c r="AI111" t="s">
        <v>882</v>
      </c>
    </row>
    <row r="112" spans="1:35">
      <c r="A112" t="s">
        <v>2321</v>
      </c>
      <c r="C112" t="s">
        <v>1319</v>
      </c>
      <c r="D112" s="309">
        <v>0.45</v>
      </c>
      <c r="AB112">
        <v>65351</v>
      </c>
      <c r="AC112" t="s">
        <v>880</v>
      </c>
      <c r="AD112" t="s">
        <v>2373</v>
      </c>
      <c r="AE112" t="s">
        <v>1098</v>
      </c>
      <c r="AF112" t="s">
        <v>2373</v>
      </c>
      <c r="AG112" t="s">
        <v>719</v>
      </c>
      <c r="AI112" t="s">
        <v>855</v>
      </c>
    </row>
    <row r="113" spans="1:35">
      <c r="A113" t="s">
        <v>2318</v>
      </c>
      <c r="C113" t="s">
        <v>2126</v>
      </c>
      <c r="D113" s="311">
        <v>0.75</v>
      </c>
      <c r="AB113">
        <v>64442</v>
      </c>
      <c r="AC113" t="s">
        <v>882</v>
      </c>
      <c r="AD113" t="s">
        <v>2373</v>
      </c>
      <c r="AE113" t="s">
        <v>997</v>
      </c>
      <c r="AF113" t="s">
        <v>2373</v>
      </c>
      <c r="AG113" t="s">
        <v>719</v>
      </c>
      <c r="AI113" t="s">
        <v>818</v>
      </c>
    </row>
    <row r="114" spans="1:35">
      <c r="A114" t="s">
        <v>2279</v>
      </c>
      <c r="C114" t="s">
        <v>2127</v>
      </c>
      <c r="D114" s="310">
        <v>1</v>
      </c>
      <c r="AB114">
        <v>64743</v>
      </c>
      <c r="AC114" t="s">
        <v>855</v>
      </c>
      <c r="AD114" t="s">
        <v>2373</v>
      </c>
      <c r="AE114" t="s">
        <v>851</v>
      </c>
      <c r="AF114" t="s">
        <v>2373</v>
      </c>
      <c r="AG114" t="s">
        <v>719</v>
      </c>
      <c r="AI114" t="s">
        <v>885</v>
      </c>
    </row>
    <row r="115" spans="1:35">
      <c r="A115" t="s">
        <v>2278</v>
      </c>
      <c r="C115" t="s">
        <v>1530</v>
      </c>
      <c r="D115" s="312">
        <v>0.04</v>
      </c>
      <c r="AB115">
        <v>64443</v>
      </c>
      <c r="AC115" t="s">
        <v>818</v>
      </c>
      <c r="AD115" t="s">
        <v>2373</v>
      </c>
      <c r="AE115" t="s">
        <v>814</v>
      </c>
      <c r="AF115" t="s">
        <v>2373</v>
      </c>
      <c r="AG115" t="s">
        <v>719</v>
      </c>
      <c r="AI115" t="s">
        <v>788</v>
      </c>
    </row>
    <row r="116" spans="1:35">
      <c r="A116" t="s">
        <v>2277</v>
      </c>
      <c r="C116" t="s">
        <v>1532</v>
      </c>
      <c r="D116" s="313">
        <v>550</v>
      </c>
      <c r="AB116">
        <v>64444</v>
      </c>
      <c r="AC116" t="s">
        <v>885</v>
      </c>
      <c r="AD116" t="s">
        <v>688</v>
      </c>
      <c r="AE116" t="s">
        <v>1095</v>
      </c>
      <c r="AF116" t="s">
        <v>1661</v>
      </c>
      <c r="AG116" t="s">
        <v>2373</v>
      </c>
      <c r="AI116" t="s">
        <v>879</v>
      </c>
    </row>
    <row r="117" spans="1:35">
      <c r="A117" t="s">
        <v>2319</v>
      </c>
      <c r="C117" t="s">
        <v>2273</v>
      </c>
      <c r="D117" s="314">
        <v>500000</v>
      </c>
      <c r="AB117">
        <v>65326</v>
      </c>
      <c r="AC117" t="s">
        <v>788</v>
      </c>
      <c r="AD117" t="s">
        <v>2373</v>
      </c>
      <c r="AE117" t="s">
        <v>786</v>
      </c>
      <c r="AF117" t="s">
        <v>2373</v>
      </c>
      <c r="AG117" t="s">
        <v>719</v>
      </c>
      <c r="AI117" t="s">
        <v>888</v>
      </c>
    </row>
    <row r="118" spans="1:35">
      <c r="A118" t="s">
        <v>2320</v>
      </c>
      <c r="C118" t="s">
        <v>2295</v>
      </c>
      <c r="D118" s="517">
        <v>0.2</v>
      </c>
      <c r="AB118">
        <v>64744</v>
      </c>
      <c r="AC118" t="s">
        <v>879</v>
      </c>
      <c r="AD118" t="s">
        <v>692</v>
      </c>
      <c r="AE118" t="s">
        <v>878</v>
      </c>
      <c r="AF118" t="s">
        <v>2373</v>
      </c>
      <c r="AG118" t="s">
        <v>2373</v>
      </c>
      <c r="AI118" t="s">
        <v>890</v>
      </c>
    </row>
    <row r="119" spans="1:35">
      <c r="C119" t="s">
        <v>2296</v>
      </c>
      <c r="D119" s="310">
        <v>0.5</v>
      </c>
      <c r="AB119">
        <v>64062</v>
      </c>
      <c r="AC119" t="s">
        <v>888</v>
      </c>
      <c r="AD119" t="s">
        <v>2373</v>
      </c>
      <c r="AE119" t="s">
        <v>1096</v>
      </c>
      <c r="AF119" t="s">
        <v>2373</v>
      </c>
      <c r="AG119" t="s">
        <v>719</v>
      </c>
      <c r="AI119" t="s">
        <v>892</v>
      </c>
    </row>
    <row r="120" spans="1:35">
      <c r="A120" t="s">
        <v>2767</v>
      </c>
      <c r="C120" t="s">
        <v>2310</v>
      </c>
      <c r="D120" s="309">
        <v>50000</v>
      </c>
      <c r="AB120">
        <v>64445</v>
      </c>
      <c r="AC120" t="s">
        <v>890</v>
      </c>
      <c r="AD120" t="s">
        <v>2373</v>
      </c>
      <c r="AE120" t="s">
        <v>1093</v>
      </c>
      <c r="AF120" t="s">
        <v>2373</v>
      </c>
      <c r="AG120" t="s">
        <v>719</v>
      </c>
      <c r="AI120" t="s">
        <v>894</v>
      </c>
    </row>
    <row r="121" spans="1:35">
      <c r="A121" t="s">
        <v>2265</v>
      </c>
      <c r="C121" t="s">
        <v>2936</v>
      </c>
      <c r="D121" s="309">
        <v>15000</v>
      </c>
      <c r="AB121">
        <v>65321</v>
      </c>
      <c r="AC121" t="s">
        <v>892</v>
      </c>
      <c r="AD121" t="s">
        <v>2373</v>
      </c>
      <c r="AE121" t="s">
        <v>1098</v>
      </c>
      <c r="AF121" t="s">
        <v>2373</v>
      </c>
      <c r="AG121" t="s">
        <v>719</v>
      </c>
      <c r="AI121" t="s">
        <v>896</v>
      </c>
    </row>
    <row r="122" spans="1:35">
      <c r="A122" t="e">
        <f>X02S02F12</f>
        <v>#REF!</v>
      </c>
      <c r="D122" s="18"/>
      <c r="AB122">
        <v>65327</v>
      </c>
      <c r="AC122" t="s">
        <v>894</v>
      </c>
      <c r="AD122" t="s">
        <v>2373</v>
      </c>
      <c r="AE122" t="s">
        <v>1081</v>
      </c>
      <c r="AF122" t="s">
        <v>2373</v>
      </c>
      <c r="AG122" t="s">
        <v>719</v>
      </c>
      <c r="AI122" t="s">
        <v>898</v>
      </c>
    </row>
    <row r="123" spans="1:35">
      <c r="A123" t="e">
        <f>X02S02F23</f>
        <v>#REF!</v>
      </c>
      <c r="C123" s="18" t="s">
        <v>2298</v>
      </c>
      <c r="D123" s="18" t="s">
        <v>2299</v>
      </c>
      <c r="AB123">
        <v>64020</v>
      </c>
      <c r="AC123" t="s">
        <v>896</v>
      </c>
      <c r="AD123" t="s">
        <v>2373</v>
      </c>
      <c r="AE123" t="s">
        <v>1081</v>
      </c>
      <c r="AF123" t="s">
        <v>2373</v>
      </c>
      <c r="AG123" t="s">
        <v>719</v>
      </c>
      <c r="AI123" t="s">
        <v>900</v>
      </c>
    </row>
    <row r="124" spans="1:35">
      <c r="C124" s="18" t="s">
        <v>2300</v>
      </c>
      <c r="D124" s="309">
        <v>0.03</v>
      </c>
      <c r="AB124">
        <v>65274</v>
      </c>
      <c r="AC124" t="s">
        <v>898</v>
      </c>
      <c r="AD124" t="s">
        <v>2373</v>
      </c>
      <c r="AE124" t="s">
        <v>1027</v>
      </c>
      <c r="AF124" t="s">
        <v>2373</v>
      </c>
      <c r="AG124" t="s">
        <v>719</v>
      </c>
      <c r="AI124" t="s">
        <v>902</v>
      </c>
    </row>
    <row r="125" spans="1:35">
      <c r="A125" t="s">
        <v>2803</v>
      </c>
      <c r="C125" s="18" t="s">
        <v>2301</v>
      </c>
      <c r="D125" s="309">
        <v>0.04</v>
      </c>
      <c r="AB125">
        <v>65646</v>
      </c>
      <c r="AC125" t="s">
        <v>900</v>
      </c>
      <c r="AD125" t="s">
        <v>2373</v>
      </c>
      <c r="AE125" t="s">
        <v>958</v>
      </c>
      <c r="AF125" t="s">
        <v>2373</v>
      </c>
      <c r="AG125" t="s">
        <v>719</v>
      </c>
      <c r="AI125" t="s">
        <v>904</v>
      </c>
    </row>
    <row r="126" spans="1:35">
      <c r="A126" t="s">
        <v>2797</v>
      </c>
      <c r="AB126">
        <v>64024</v>
      </c>
      <c r="AC126" t="s">
        <v>902</v>
      </c>
      <c r="AD126" t="s">
        <v>2373</v>
      </c>
      <c r="AE126" t="s">
        <v>906</v>
      </c>
      <c r="AF126" t="s">
        <v>2373</v>
      </c>
      <c r="AG126" t="s">
        <v>719</v>
      </c>
      <c r="AI126" t="s">
        <v>734</v>
      </c>
    </row>
    <row r="127" spans="1:35">
      <c r="A127" t="s">
        <v>2794</v>
      </c>
      <c r="C127" s="315" t="s">
        <v>2324</v>
      </c>
      <c r="D127" t="s">
        <v>2326</v>
      </c>
      <c r="AB127">
        <v>64024</v>
      </c>
      <c r="AC127" t="s">
        <v>904</v>
      </c>
      <c r="AD127" t="s">
        <v>2373</v>
      </c>
      <c r="AE127" t="s">
        <v>906</v>
      </c>
      <c r="AF127" t="s">
        <v>2373</v>
      </c>
      <c r="AG127" t="s">
        <v>719</v>
      </c>
      <c r="AI127" t="s">
        <v>907</v>
      </c>
    </row>
    <row r="128" spans="1:35">
      <c r="C128" t="s">
        <v>2325</v>
      </c>
      <c r="D128">
        <v>10.3</v>
      </c>
      <c r="AB128">
        <v>64446</v>
      </c>
      <c r="AC128" t="s">
        <v>734</v>
      </c>
      <c r="AD128" t="s">
        <v>2373</v>
      </c>
      <c r="AE128" t="s">
        <v>735</v>
      </c>
      <c r="AF128" t="s">
        <v>2373</v>
      </c>
      <c r="AG128" t="s">
        <v>719</v>
      </c>
      <c r="AI128" t="s">
        <v>908</v>
      </c>
    </row>
    <row r="129" spans="3:35">
      <c r="C129" t="s">
        <v>2337</v>
      </c>
      <c r="D129">
        <v>50.5</v>
      </c>
      <c r="AB129">
        <v>64447</v>
      </c>
      <c r="AC129" t="s">
        <v>907</v>
      </c>
      <c r="AD129" t="s">
        <v>2373</v>
      </c>
      <c r="AE129" t="s">
        <v>975</v>
      </c>
      <c r="AF129" t="s">
        <v>2373</v>
      </c>
      <c r="AG129" t="s">
        <v>719</v>
      </c>
      <c r="AI129" t="s">
        <v>820</v>
      </c>
    </row>
    <row r="130" spans="3:35">
      <c r="C130" t="s">
        <v>2336</v>
      </c>
      <c r="D130">
        <v>43.1</v>
      </c>
      <c r="AB130">
        <v>64028</v>
      </c>
      <c r="AC130" t="s">
        <v>908</v>
      </c>
      <c r="AD130" t="s">
        <v>2373</v>
      </c>
      <c r="AE130" t="s">
        <v>1095</v>
      </c>
      <c r="AF130" t="s">
        <v>1661</v>
      </c>
      <c r="AG130" t="s">
        <v>2373</v>
      </c>
      <c r="AI130" t="s">
        <v>909</v>
      </c>
    </row>
    <row r="131" spans="3:35">
      <c r="C131" t="s">
        <v>2335</v>
      </c>
      <c r="D131">
        <v>25.1</v>
      </c>
      <c r="AB131">
        <v>64448</v>
      </c>
      <c r="AC131" t="s">
        <v>820</v>
      </c>
      <c r="AD131" t="s">
        <v>2373</v>
      </c>
      <c r="AE131" t="s">
        <v>814</v>
      </c>
      <c r="AF131" t="s">
        <v>2373</v>
      </c>
      <c r="AG131" t="s">
        <v>719</v>
      </c>
      <c r="AI131" t="s">
        <v>910</v>
      </c>
    </row>
    <row r="132" spans="3:35">
      <c r="C132" t="s">
        <v>2334</v>
      </c>
      <c r="D132">
        <v>28.9</v>
      </c>
      <c r="AB132">
        <v>65248</v>
      </c>
      <c r="AC132" t="s">
        <v>909</v>
      </c>
      <c r="AD132" t="s">
        <v>688</v>
      </c>
      <c r="AE132" t="s">
        <v>1027</v>
      </c>
      <c r="AF132" t="s">
        <v>2373</v>
      </c>
      <c r="AG132" t="s">
        <v>2373</v>
      </c>
      <c r="AI132" t="s">
        <v>725</v>
      </c>
    </row>
    <row r="133" spans="3:35">
      <c r="C133" t="s">
        <v>2333</v>
      </c>
      <c r="D133">
        <v>20.100000000000001</v>
      </c>
      <c r="AB133">
        <v>64163</v>
      </c>
      <c r="AC133" t="s">
        <v>910</v>
      </c>
      <c r="AD133" t="s">
        <v>2373</v>
      </c>
      <c r="AE133" t="s">
        <v>1095</v>
      </c>
      <c r="AF133" t="s">
        <v>1661</v>
      </c>
      <c r="AG133" t="s">
        <v>2373</v>
      </c>
      <c r="AI133" t="s">
        <v>2830</v>
      </c>
    </row>
    <row r="134" spans="3:35">
      <c r="C134" t="s">
        <v>2332</v>
      </c>
      <c r="D134">
        <v>15.4</v>
      </c>
      <c r="AB134">
        <v>64449</v>
      </c>
      <c r="AC134" t="s">
        <v>725</v>
      </c>
      <c r="AD134" t="s">
        <v>2373</v>
      </c>
      <c r="AE134" t="s">
        <v>718</v>
      </c>
      <c r="AF134" t="s">
        <v>2373</v>
      </c>
      <c r="AG134" t="s">
        <v>719</v>
      </c>
      <c r="AI134" t="s">
        <v>912</v>
      </c>
    </row>
    <row r="135" spans="3:35">
      <c r="C135" t="s">
        <v>2331</v>
      </c>
      <c r="D135">
        <v>17.5</v>
      </c>
      <c r="AB135">
        <v>64077</v>
      </c>
      <c r="AC135" t="s">
        <v>2830</v>
      </c>
      <c r="AD135" t="s">
        <v>2373</v>
      </c>
      <c r="AE135" t="s">
        <v>1096</v>
      </c>
      <c r="AF135" t="s">
        <v>2373</v>
      </c>
      <c r="AG135" t="s">
        <v>719</v>
      </c>
      <c r="AI135" t="s">
        <v>886</v>
      </c>
    </row>
    <row r="136" spans="3:35">
      <c r="C136" t="s">
        <v>2330</v>
      </c>
      <c r="D136">
        <v>14.1</v>
      </c>
      <c r="AB136">
        <v>64451</v>
      </c>
      <c r="AC136" t="s">
        <v>912</v>
      </c>
      <c r="AD136" t="s">
        <v>2373</v>
      </c>
      <c r="AE136" t="s">
        <v>911</v>
      </c>
      <c r="AF136" t="s">
        <v>2373</v>
      </c>
      <c r="AG136" t="s">
        <v>719</v>
      </c>
      <c r="AI136" t="s">
        <v>915</v>
      </c>
    </row>
    <row r="137" spans="3:35">
      <c r="C137" t="s">
        <v>2329</v>
      </c>
      <c r="D137">
        <v>21.4</v>
      </c>
      <c r="AB137">
        <v>65281</v>
      </c>
      <c r="AC137" t="s">
        <v>886</v>
      </c>
      <c r="AD137" t="s">
        <v>2373</v>
      </c>
      <c r="AE137" t="s">
        <v>884</v>
      </c>
      <c r="AF137" t="s">
        <v>2373</v>
      </c>
      <c r="AG137" t="s">
        <v>719</v>
      </c>
      <c r="AI137" t="s">
        <v>917</v>
      </c>
    </row>
    <row r="138" spans="3:35">
      <c r="C138" t="s">
        <v>1388</v>
      </c>
      <c r="D138">
        <v>15.3</v>
      </c>
      <c r="AB138">
        <v>64088</v>
      </c>
      <c r="AC138" t="s">
        <v>915</v>
      </c>
      <c r="AD138" t="s">
        <v>2373</v>
      </c>
      <c r="AE138" t="s">
        <v>1036</v>
      </c>
      <c r="AF138" t="s">
        <v>688</v>
      </c>
      <c r="AG138" t="s">
        <v>719</v>
      </c>
      <c r="AI138" t="s">
        <v>770</v>
      </c>
    </row>
    <row r="139" spans="3:35">
      <c r="C139" t="s">
        <v>2328</v>
      </c>
      <c r="D139">
        <v>13.2</v>
      </c>
      <c r="AB139">
        <v>64437</v>
      </c>
      <c r="AC139" t="s">
        <v>917</v>
      </c>
      <c r="AD139" t="s">
        <v>2373</v>
      </c>
      <c r="AE139" t="s">
        <v>911</v>
      </c>
      <c r="AF139" t="s">
        <v>2373</v>
      </c>
      <c r="AG139" t="s">
        <v>719</v>
      </c>
      <c r="AI139" t="s">
        <v>919</v>
      </c>
    </row>
    <row r="140" spans="3:35">
      <c r="C140" t="s">
        <v>2341</v>
      </c>
      <c r="D140">
        <v>10.3</v>
      </c>
      <c r="AB140">
        <v>64745</v>
      </c>
      <c r="AC140" t="s">
        <v>770</v>
      </c>
      <c r="AD140" t="s">
        <v>2373</v>
      </c>
      <c r="AE140" t="s">
        <v>763</v>
      </c>
      <c r="AF140" t="s">
        <v>2373</v>
      </c>
      <c r="AG140" t="s">
        <v>719</v>
      </c>
      <c r="AI140" t="s">
        <v>857</v>
      </c>
    </row>
    <row r="141" spans="3:35">
      <c r="C141" t="s">
        <v>2340</v>
      </c>
      <c r="D141">
        <v>4.5</v>
      </c>
      <c r="AB141">
        <v>65250</v>
      </c>
      <c r="AC141" t="s">
        <v>919</v>
      </c>
      <c r="AD141" t="s">
        <v>2373</v>
      </c>
      <c r="AE141" t="s">
        <v>1027</v>
      </c>
      <c r="AF141" t="s">
        <v>2373</v>
      </c>
      <c r="AG141" t="s">
        <v>719</v>
      </c>
      <c r="AI141" t="s">
        <v>790</v>
      </c>
    </row>
    <row r="142" spans="3:35">
      <c r="C142" t="s">
        <v>2339</v>
      </c>
      <c r="D142">
        <v>7.3</v>
      </c>
      <c r="AB142">
        <v>64746</v>
      </c>
      <c r="AC142" t="s">
        <v>857</v>
      </c>
      <c r="AD142" t="s">
        <v>2373</v>
      </c>
      <c r="AE142" t="s">
        <v>851</v>
      </c>
      <c r="AF142" t="s">
        <v>2373</v>
      </c>
      <c r="AG142" t="s">
        <v>719</v>
      </c>
      <c r="AI142" t="s">
        <v>923</v>
      </c>
    </row>
    <row r="143" spans="3:35">
      <c r="C143" t="s">
        <v>2338</v>
      </c>
      <c r="D143">
        <v>6.6</v>
      </c>
      <c r="AB143">
        <v>65355</v>
      </c>
      <c r="AC143" t="s">
        <v>790</v>
      </c>
      <c r="AD143" t="s">
        <v>2373</v>
      </c>
      <c r="AE143" t="s">
        <v>786</v>
      </c>
      <c r="AF143" t="s">
        <v>2373</v>
      </c>
      <c r="AG143" t="s">
        <v>719</v>
      </c>
      <c r="AI143" t="s">
        <v>859</v>
      </c>
    </row>
    <row r="144" spans="3:35">
      <c r="C144" t="s">
        <v>97</v>
      </c>
      <c r="D144">
        <v>20.2</v>
      </c>
      <c r="AB144">
        <v>64640</v>
      </c>
      <c r="AC144" t="s">
        <v>923</v>
      </c>
      <c r="AD144" t="s">
        <v>2373</v>
      </c>
      <c r="AE144" t="s">
        <v>966</v>
      </c>
      <c r="AF144" t="s">
        <v>2373</v>
      </c>
      <c r="AG144" t="s">
        <v>719</v>
      </c>
      <c r="AI144" t="s">
        <v>926</v>
      </c>
    </row>
    <row r="145" spans="3:35">
      <c r="C145" t="s">
        <v>2327</v>
      </c>
      <c r="D145">
        <v>5.3</v>
      </c>
      <c r="AB145">
        <v>64747</v>
      </c>
      <c r="AC145" t="s">
        <v>859</v>
      </c>
      <c r="AD145" t="s">
        <v>2373</v>
      </c>
      <c r="AE145" t="s">
        <v>851</v>
      </c>
      <c r="AF145" t="s">
        <v>2373</v>
      </c>
      <c r="AG145" t="s">
        <v>719</v>
      </c>
      <c r="AI145" t="s">
        <v>927</v>
      </c>
    </row>
    <row r="146" spans="3:35">
      <c r="AB146">
        <v>64453</v>
      </c>
      <c r="AC146" t="s">
        <v>926</v>
      </c>
      <c r="AD146" t="s">
        <v>2373</v>
      </c>
      <c r="AE146" t="s">
        <v>926</v>
      </c>
      <c r="AF146" t="s">
        <v>2373</v>
      </c>
      <c r="AG146" t="s">
        <v>719</v>
      </c>
      <c r="AI146" t="s">
        <v>928</v>
      </c>
    </row>
    <row r="147" spans="3:35">
      <c r="C147" t="s">
        <v>281</v>
      </c>
      <c r="D147" t="s">
        <v>2587</v>
      </c>
      <c r="AB147">
        <v>64402</v>
      </c>
      <c r="AC147" t="s">
        <v>927</v>
      </c>
      <c r="AD147" t="s">
        <v>2373</v>
      </c>
      <c r="AE147" t="s">
        <v>926</v>
      </c>
      <c r="AF147" t="s">
        <v>2373</v>
      </c>
      <c r="AG147" t="s">
        <v>719</v>
      </c>
      <c r="AI147" t="s">
        <v>929</v>
      </c>
    </row>
    <row r="148" spans="3:35">
      <c r="C148" t="s">
        <v>282</v>
      </c>
      <c r="D148">
        <v>0</v>
      </c>
      <c r="AB148">
        <v>65301</v>
      </c>
      <c r="AC148" t="s">
        <v>928</v>
      </c>
      <c r="AD148" t="s">
        <v>2373</v>
      </c>
      <c r="AE148" t="s">
        <v>1094</v>
      </c>
      <c r="AF148" t="s">
        <v>2373</v>
      </c>
      <c r="AG148" t="s">
        <v>719</v>
      </c>
      <c r="AI148" t="s">
        <v>930</v>
      </c>
    </row>
    <row r="149" spans="3:35">
      <c r="C149" t="s">
        <v>283</v>
      </c>
      <c r="D149">
        <v>1</v>
      </c>
      <c r="AB149">
        <v>65330</v>
      </c>
      <c r="AC149" t="s">
        <v>929</v>
      </c>
      <c r="AD149" t="s">
        <v>2373</v>
      </c>
      <c r="AE149" t="s">
        <v>1098</v>
      </c>
      <c r="AF149" t="s">
        <v>2373</v>
      </c>
      <c r="AG149" t="s">
        <v>719</v>
      </c>
      <c r="AI149" t="s">
        <v>701</v>
      </c>
    </row>
    <row r="150" spans="3:35">
      <c r="C150" t="s">
        <v>95</v>
      </c>
      <c r="D150">
        <v>1</v>
      </c>
      <c r="AB150">
        <v>64642</v>
      </c>
      <c r="AC150" t="s">
        <v>930</v>
      </c>
      <c r="AD150" t="s">
        <v>2373</v>
      </c>
      <c r="AE150" t="s">
        <v>997</v>
      </c>
      <c r="AF150" t="s">
        <v>2373</v>
      </c>
      <c r="AG150" t="s">
        <v>719</v>
      </c>
      <c r="AI150" t="s">
        <v>931</v>
      </c>
    </row>
    <row r="151" spans="3:35">
      <c r="C151" t="s">
        <v>284</v>
      </c>
      <c r="D151">
        <v>1</v>
      </c>
      <c r="AB151">
        <v>64116</v>
      </c>
      <c r="AC151" t="s">
        <v>701</v>
      </c>
      <c r="AD151" t="s">
        <v>1661</v>
      </c>
      <c r="AE151" t="s">
        <v>906</v>
      </c>
      <c r="AF151" t="s">
        <v>2373</v>
      </c>
      <c r="AG151" t="s">
        <v>2373</v>
      </c>
      <c r="AI151" t="s">
        <v>2831</v>
      </c>
    </row>
    <row r="152" spans="3:35">
      <c r="C152" t="s">
        <v>285</v>
      </c>
      <c r="D152">
        <v>0</v>
      </c>
      <c r="AB152">
        <v>64118</v>
      </c>
      <c r="AC152" t="s">
        <v>701</v>
      </c>
      <c r="AD152" t="s">
        <v>1661</v>
      </c>
      <c r="AE152" t="s">
        <v>906</v>
      </c>
      <c r="AF152" t="s">
        <v>2373</v>
      </c>
      <c r="AG152" t="s">
        <v>2373</v>
      </c>
      <c r="AI152" t="s">
        <v>750</v>
      </c>
    </row>
    <row r="153" spans="3:35">
      <c r="C153" t="s">
        <v>627</v>
      </c>
      <c r="D153">
        <v>0</v>
      </c>
      <c r="AB153">
        <v>64119</v>
      </c>
      <c r="AC153" t="s">
        <v>701</v>
      </c>
      <c r="AD153" t="s">
        <v>1661</v>
      </c>
      <c r="AE153" t="s">
        <v>906</v>
      </c>
      <c r="AF153" t="s">
        <v>2373</v>
      </c>
      <c r="AG153" t="s">
        <v>2373</v>
      </c>
      <c r="AI153" t="s">
        <v>932</v>
      </c>
    </row>
    <row r="154" spans="3:35">
      <c r="AB154">
        <v>64155</v>
      </c>
      <c r="AC154" t="s">
        <v>701</v>
      </c>
      <c r="AD154" t="s">
        <v>1661</v>
      </c>
      <c r="AE154" t="s">
        <v>906</v>
      </c>
      <c r="AF154" t="s">
        <v>2373</v>
      </c>
      <c r="AG154" t="s">
        <v>2373</v>
      </c>
      <c r="AI154" t="s">
        <v>934</v>
      </c>
    </row>
    <row r="155" spans="3:35">
      <c r="AB155">
        <v>64156</v>
      </c>
      <c r="AC155" t="s">
        <v>701</v>
      </c>
      <c r="AD155" t="s">
        <v>1661</v>
      </c>
      <c r="AE155" t="s">
        <v>906</v>
      </c>
      <c r="AF155" t="s">
        <v>2373</v>
      </c>
      <c r="AG155" t="s">
        <v>2373</v>
      </c>
      <c r="AI155" t="s">
        <v>935</v>
      </c>
    </row>
    <row r="156" spans="3:35">
      <c r="AB156">
        <v>64165</v>
      </c>
      <c r="AC156" t="s">
        <v>701</v>
      </c>
      <c r="AD156" t="s">
        <v>1661</v>
      </c>
      <c r="AE156" t="s">
        <v>906</v>
      </c>
      <c r="AF156" t="s">
        <v>2373</v>
      </c>
      <c r="AG156" t="s">
        <v>2373</v>
      </c>
      <c r="AI156" t="s">
        <v>936</v>
      </c>
    </row>
    <row r="157" spans="3:35">
      <c r="AB157">
        <v>64166</v>
      </c>
      <c r="AC157" t="s">
        <v>701</v>
      </c>
      <c r="AD157" t="s">
        <v>1661</v>
      </c>
      <c r="AE157" t="s">
        <v>906</v>
      </c>
      <c r="AF157" t="s">
        <v>2373</v>
      </c>
      <c r="AG157" t="s">
        <v>2373</v>
      </c>
      <c r="AI157" t="s">
        <v>702</v>
      </c>
    </row>
    <row r="158" spans="3:35">
      <c r="AB158">
        <v>65254</v>
      </c>
      <c r="AC158" t="s">
        <v>931</v>
      </c>
      <c r="AD158" t="s">
        <v>2373</v>
      </c>
      <c r="AE158" t="s">
        <v>1027</v>
      </c>
      <c r="AF158" t="s">
        <v>2373</v>
      </c>
      <c r="AG158" t="s">
        <v>719</v>
      </c>
      <c r="AI158" t="s">
        <v>937</v>
      </c>
    </row>
    <row r="159" spans="3:35">
      <c r="AB159">
        <v>64068</v>
      </c>
      <c r="AC159" t="s">
        <v>2831</v>
      </c>
      <c r="AD159" t="s">
        <v>2373</v>
      </c>
      <c r="AE159" t="s">
        <v>906</v>
      </c>
      <c r="AF159" t="s">
        <v>2373</v>
      </c>
      <c r="AG159" t="s">
        <v>719</v>
      </c>
      <c r="AI159" t="s">
        <v>938</v>
      </c>
    </row>
    <row r="160" spans="3:35">
      <c r="AB160">
        <v>64748</v>
      </c>
      <c r="AC160" t="s">
        <v>750</v>
      </c>
      <c r="AD160" t="s">
        <v>2373</v>
      </c>
      <c r="AE160" t="s">
        <v>748</v>
      </c>
      <c r="AF160" t="s">
        <v>2373</v>
      </c>
      <c r="AG160" t="s">
        <v>719</v>
      </c>
      <c r="AI160" t="s">
        <v>939</v>
      </c>
    </row>
    <row r="161" spans="28:35">
      <c r="AB161">
        <v>64454</v>
      </c>
      <c r="AC161" t="s">
        <v>932</v>
      </c>
      <c r="AD161" t="s">
        <v>2373</v>
      </c>
      <c r="AE161" t="s">
        <v>831</v>
      </c>
      <c r="AF161" t="s">
        <v>2373</v>
      </c>
      <c r="AG161" t="s">
        <v>719</v>
      </c>
      <c r="AI161" t="s">
        <v>940</v>
      </c>
    </row>
    <row r="162" spans="28:35">
      <c r="AB162">
        <v>64455</v>
      </c>
      <c r="AC162" t="s">
        <v>934</v>
      </c>
      <c r="AD162" t="s">
        <v>2373</v>
      </c>
      <c r="AE162" t="s">
        <v>1093</v>
      </c>
      <c r="AF162" t="s">
        <v>2373</v>
      </c>
      <c r="AG162" t="s">
        <v>719</v>
      </c>
      <c r="AI162" t="s">
        <v>941</v>
      </c>
    </row>
    <row r="163" spans="28:35">
      <c r="AB163">
        <v>64029</v>
      </c>
      <c r="AC163" t="s">
        <v>935</v>
      </c>
      <c r="AD163" t="s">
        <v>692</v>
      </c>
      <c r="AE163" t="s">
        <v>1036</v>
      </c>
      <c r="AF163" t="s">
        <v>688</v>
      </c>
      <c r="AG163" t="s">
        <v>2373</v>
      </c>
      <c r="AI163" t="s">
        <v>861</v>
      </c>
    </row>
    <row r="164" spans="28:35">
      <c r="AB164">
        <v>65339</v>
      </c>
      <c r="AC164" t="s">
        <v>936</v>
      </c>
      <c r="AD164" t="s">
        <v>2373</v>
      </c>
      <c r="AE164" t="s">
        <v>1098</v>
      </c>
      <c r="AF164" t="s">
        <v>2373</v>
      </c>
      <c r="AG164" t="s">
        <v>719</v>
      </c>
      <c r="AI164" t="s">
        <v>842</v>
      </c>
    </row>
    <row r="165" spans="28:35">
      <c r="AB165">
        <v>64030</v>
      </c>
      <c r="AC165" t="s">
        <v>702</v>
      </c>
      <c r="AD165" t="s">
        <v>1661</v>
      </c>
      <c r="AE165" t="s">
        <v>1036</v>
      </c>
      <c r="AF165" t="s">
        <v>688</v>
      </c>
      <c r="AG165" t="s">
        <v>2373</v>
      </c>
      <c r="AI165" t="s">
        <v>942</v>
      </c>
    </row>
    <row r="166" spans="28:35">
      <c r="AB166">
        <v>64456</v>
      </c>
      <c r="AC166" t="s">
        <v>937</v>
      </c>
      <c r="AD166" t="s">
        <v>2373</v>
      </c>
      <c r="AE166" t="s">
        <v>1091</v>
      </c>
      <c r="AF166" t="s">
        <v>2373</v>
      </c>
      <c r="AG166" t="s">
        <v>719</v>
      </c>
      <c r="AI166" t="s">
        <v>863</v>
      </c>
    </row>
    <row r="167" spans="28:35">
      <c r="AB167">
        <v>65332</v>
      </c>
      <c r="AC167" t="s">
        <v>938</v>
      </c>
      <c r="AD167" t="s">
        <v>2373</v>
      </c>
      <c r="AE167" t="s">
        <v>1094</v>
      </c>
      <c r="AF167" t="s">
        <v>2373</v>
      </c>
      <c r="AG167" t="s">
        <v>719</v>
      </c>
      <c r="AI167" t="s">
        <v>943</v>
      </c>
    </row>
    <row r="168" spans="28:35">
      <c r="AB168">
        <v>65661</v>
      </c>
      <c r="AC168" t="s">
        <v>939</v>
      </c>
      <c r="AD168" t="s">
        <v>2373</v>
      </c>
      <c r="AE168" t="s">
        <v>958</v>
      </c>
      <c r="AF168" t="s">
        <v>2373</v>
      </c>
      <c r="AG168" t="s">
        <v>719</v>
      </c>
      <c r="AI168" t="s">
        <v>944</v>
      </c>
    </row>
    <row r="169" spans="28:35">
      <c r="AB169">
        <v>64034</v>
      </c>
      <c r="AC169" t="s">
        <v>940</v>
      </c>
      <c r="AD169" t="s">
        <v>2373</v>
      </c>
      <c r="AE169" t="s">
        <v>1036</v>
      </c>
      <c r="AF169" t="s">
        <v>688</v>
      </c>
      <c r="AG169" t="s">
        <v>719</v>
      </c>
      <c r="AI169" t="s">
        <v>792</v>
      </c>
    </row>
    <row r="170" spans="28:35">
      <c r="AB170">
        <v>64457</v>
      </c>
      <c r="AC170" t="s">
        <v>941</v>
      </c>
      <c r="AD170" t="s">
        <v>2373</v>
      </c>
      <c r="AE170" t="s">
        <v>1093</v>
      </c>
      <c r="AF170" t="s">
        <v>2373</v>
      </c>
      <c r="AG170" t="s">
        <v>719</v>
      </c>
      <c r="AI170" t="s">
        <v>946</v>
      </c>
    </row>
    <row r="171" spans="28:35">
      <c r="AB171">
        <v>64747</v>
      </c>
      <c r="AC171" t="s">
        <v>861</v>
      </c>
      <c r="AD171" t="s">
        <v>2373</v>
      </c>
      <c r="AE171" t="s">
        <v>851</v>
      </c>
      <c r="AF171" t="s">
        <v>2373</v>
      </c>
      <c r="AG171" t="s">
        <v>719</v>
      </c>
      <c r="AI171" t="s">
        <v>727</v>
      </c>
    </row>
    <row r="172" spans="28:35">
      <c r="AB172">
        <v>64643</v>
      </c>
      <c r="AC172" t="s">
        <v>842</v>
      </c>
      <c r="AD172" t="s">
        <v>2373</v>
      </c>
      <c r="AE172" t="s">
        <v>836</v>
      </c>
      <c r="AF172" t="s">
        <v>2373</v>
      </c>
      <c r="AG172" t="s">
        <v>719</v>
      </c>
      <c r="AI172" t="s">
        <v>947</v>
      </c>
    </row>
    <row r="173" spans="28:35">
      <c r="AB173">
        <v>64035</v>
      </c>
      <c r="AC173" t="s">
        <v>942</v>
      </c>
      <c r="AD173" t="s">
        <v>2373</v>
      </c>
      <c r="AE173" t="s">
        <v>1096</v>
      </c>
      <c r="AF173" t="s">
        <v>2373</v>
      </c>
      <c r="AG173" t="s">
        <v>719</v>
      </c>
      <c r="AI173" t="s">
        <v>949</v>
      </c>
    </row>
    <row r="174" spans="28:35">
      <c r="AB174">
        <v>64701</v>
      </c>
      <c r="AC174" t="s">
        <v>863</v>
      </c>
      <c r="AD174" t="s">
        <v>2373</v>
      </c>
      <c r="AE174" t="s">
        <v>851</v>
      </c>
      <c r="AF174" t="s">
        <v>2373</v>
      </c>
      <c r="AG174" t="s">
        <v>719</v>
      </c>
      <c r="AI174" t="s">
        <v>950</v>
      </c>
    </row>
    <row r="175" spans="28:35">
      <c r="AB175">
        <v>64788</v>
      </c>
      <c r="AC175" t="s">
        <v>943</v>
      </c>
      <c r="AD175" t="s">
        <v>2373</v>
      </c>
      <c r="AE175" t="s">
        <v>1008</v>
      </c>
      <c r="AF175" t="s">
        <v>2373</v>
      </c>
      <c r="AG175" t="s">
        <v>719</v>
      </c>
      <c r="AI175" t="s">
        <v>951</v>
      </c>
    </row>
    <row r="176" spans="28:35">
      <c r="AB176">
        <v>64750</v>
      </c>
      <c r="AC176" t="s">
        <v>944</v>
      </c>
      <c r="AD176" t="s">
        <v>2373</v>
      </c>
      <c r="AE176" t="s">
        <v>1099</v>
      </c>
      <c r="AF176" t="s">
        <v>2373</v>
      </c>
      <c r="AG176" t="s">
        <v>719</v>
      </c>
      <c r="AI176" t="s">
        <v>953</v>
      </c>
    </row>
    <row r="177" spans="28:35">
      <c r="AB177">
        <v>65326</v>
      </c>
      <c r="AC177" t="s">
        <v>792</v>
      </c>
      <c r="AD177" t="s">
        <v>2373</v>
      </c>
      <c r="AE177" t="s">
        <v>786</v>
      </c>
      <c r="AF177" t="s">
        <v>2373</v>
      </c>
      <c r="AG177" t="s">
        <v>719</v>
      </c>
      <c r="AI177" t="s">
        <v>911</v>
      </c>
    </row>
    <row r="178" spans="28:35">
      <c r="AB178">
        <v>64458</v>
      </c>
      <c r="AC178" t="s">
        <v>946</v>
      </c>
      <c r="AD178" t="s">
        <v>2373</v>
      </c>
      <c r="AE178" t="s">
        <v>997</v>
      </c>
      <c r="AF178" t="s">
        <v>2373</v>
      </c>
      <c r="AG178" t="s">
        <v>719</v>
      </c>
      <c r="AI178" t="s">
        <v>913</v>
      </c>
    </row>
    <row r="179" spans="28:35">
      <c r="AB179">
        <v>64459</v>
      </c>
      <c r="AC179" t="s">
        <v>727</v>
      </c>
      <c r="AD179" t="s">
        <v>2373</v>
      </c>
      <c r="AE179" t="s">
        <v>718</v>
      </c>
      <c r="AF179" t="s">
        <v>2373</v>
      </c>
      <c r="AG179" t="s">
        <v>719</v>
      </c>
      <c r="AI179" t="s">
        <v>957</v>
      </c>
    </row>
    <row r="180" spans="28:35">
      <c r="AB180">
        <v>64490</v>
      </c>
      <c r="AC180" t="s">
        <v>947</v>
      </c>
      <c r="AD180" t="s">
        <v>2373</v>
      </c>
      <c r="AE180" t="s">
        <v>975</v>
      </c>
      <c r="AF180" t="s">
        <v>2373</v>
      </c>
      <c r="AG180" t="s">
        <v>719</v>
      </c>
      <c r="AI180" t="s">
        <v>959</v>
      </c>
    </row>
    <row r="181" spans="28:35">
      <c r="AB181">
        <v>64036</v>
      </c>
      <c r="AC181" t="s">
        <v>949</v>
      </c>
      <c r="AD181" t="s">
        <v>2373</v>
      </c>
      <c r="AE181" t="s">
        <v>1096</v>
      </c>
      <c r="AF181" t="s">
        <v>2373</v>
      </c>
      <c r="AG181" t="s">
        <v>719</v>
      </c>
      <c r="AI181" t="s">
        <v>960</v>
      </c>
    </row>
    <row r="182" spans="28:35">
      <c r="AB182">
        <v>65257</v>
      </c>
      <c r="AC182" t="s">
        <v>950</v>
      </c>
      <c r="AD182" t="s">
        <v>2373</v>
      </c>
      <c r="AE182" t="s">
        <v>925</v>
      </c>
      <c r="AF182" t="s">
        <v>2373</v>
      </c>
      <c r="AG182" t="s">
        <v>719</v>
      </c>
      <c r="AI182" t="s">
        <v>961</v>
      </c>
    </row>
    <row r="183" spans="28:35">
      <c r="AB183">
        <v>64037</v>
      </c>
      <c r="AC183" t="s">
        <v>951</v>
      </c>
      <c r="AD183" t="s">
        <v>688</v>
      </c>
      <c r="AE183" t="s">
        <v>1081</v>
      </c>
      <c r="AF183" t="s">
        <v>2373</v>
      </c>
      <c r="AG183" t="s">
        <v>2373</v>
      </c>
      <c r="AI183" t="s">
        <v>962</v>
      </c>
    </row>
    <row r="184" spans="28:35">
      <c r="AB184">
        <v>64040</v>
      </c>
      <c r="AC184" t="s">
        <v>953</v>
      </c>
      <c r="AD184" t="s">
        <v>688</v>
      </c>
      <c r="AE184" t="s">
        <v>1075</v>
      </c>
      <c r="AF184" t="s">
        <v>2373</v>
      </c>
      <c r="AG184" t="s">
        <v>2373</v>
      </c>
      <c r="AI184" t="s">
        <v>772</v>
      </c>
    </row>
    <row r="185" spans="28:35">
      <c r="AB185">
        <v>64048</v>
      </c>
      <c r="AC185" t="s">
        <v>911</v>
      </c>
      <c r="AD185" t="s">
        <v>2373</v>
      </c>
      <c r="AE185" t="s">
        <v>906</v>
      </c>
      <c r="AF185" t="s">
        <v>2373</v>
      </c>
      <c r="AG185" t="s">
        <v>719</v>
      </c>
      <c r="AI185" t="s">
        <v>965</v>
      </c>
    </row>
    <row r="186" spans="28:35">
      <c r="AB186">
        <v>64024</v>
      </c>
      <c r="AC186" t="s">
        <v>913</v>
      </c>
      <c r="AD186" t="s">
        <v>2373</v>
      </c>
      <c r="AE186" t="s">
        <v>906</v>
      </c>
      <c r="AF186" t="s">
        <v>2373</v>
      </c>
      <c r="AG186" t="s">
        <v>719</v>
      </c>
      <c r="AI186" t="s">
        <v>751</v>
      </c>
    </row>
    <row r="187" spans="28:35">
      <c r="AB187">
        <v>64461</v>
      </c>
      <c r="AC187" t="s">
        <v>957</v>
      </c>
      <c r="AD187" t="s">
        <v>2373</v>
      </c>
      <c r="AE187" t="s">
        <v>1093</v>
      </c>
      <c r="AF187" t="s">
        <v>2373</v>
      </c>
      <c r="AG187" t="s">
        <v>719</v>
      </c>
      <c r="AI187" t="s">
        <v>967</v>
      </c>
    </row>
    <row r="188" spans="28:35">
      <c r="AB188">
        <v>64751</v>
      </c>
      <c r="AC188" t="s">
        <v>959</v>
      </c>
      <c r="AD188" t="s">
        <v>2373</v>
      </c>
      <c r="AE188" t="s">
        <v>1099</v>
      </c>
      <c r="AF188" t="s">
        <v>2373</v>
      </c>
      <c r="AG188" t="s">
        <v>719</v>
      </c>
      <c r="AI188" t="s">
        <v>887</v>
      </c>
    </row>
    <row r="189" spans="28:35">
      <c r="AB189">
        <v>64151</v>
      </c>
      <c r="AC189" t="s">
        <v>960</v>
      </c>
      <c r="AD189" t="s">
        <v>2373</v>
      </c>
      <c r="AE189" t="s">
        <v>1095</v>
      </c>
      <c r="AF189" t="s">
        <v>1661</v>
      </c>
      <c r="AG189" t="s">
        <v>2373</v>
      </c>
      <c r="AI189" t="s">
        <v>793</v>
      </c>
    </row>
    <row r="190" spans="28:35">
      <c r="AB190">
        <v>65333</v>
      </c>
      <c r="AC190" t="s">
        <v>961</v>
      </c>
      <c r="AD190" t="s">
        <v>2373</v>
      </c>
      <c r="AE190" t="s">
        <v>1094</v>
      </c>
      <c r="AF190" t="s">
        <v>2373</v>
      </c>
      <c r="AG190" t="s">
        <v>719</v>
      </c>
      <c r="AI190" t="s">
        <v>753</v>
      </c>
    </row>
    <row r="191" spans="28:35">
      <c r="AB191">
        <v>65334</v>
      </c>
      <c r="AC191" t="s">
        <v>962</v>
      </c>
      <c r="AD191" t="s">
        <v>2373</v>
      </c>
      <c r="AE191" t="s">
        <v>1094</v>
      </c>
      <c r="AF191" t="s">
        <v>2373</v>
      </c>
      <c r="AG191" t="s">
        <v>719</v>
      </c>
      <c r="AI191" t="s">
        <v>971</v>
      </c>
    </row>
    <row r="192" spans="28:35">
      <c r="AB192">
        <v>64752</v>
      </c>
      <c r="AC192" t="s">
        <v>772</v>
      </c>
      <c r="AD192" t="s">
        <v>2373</v>
      </c>
      <c r="AE192" t="s">
        <v>763</v>
      </c>
      <c r="AF192" t="s">
        <v>2373</v>
      </c>
      <c r="AG192" t="s">
        <v>719</v>
      </c>
      <c r="AI192" t="s">
        <v>968</v>
      </c>
    </row>
    <row r="193" spans="28:35">
      <c r="AB193">
        <v>65259</v>
      </c>
      <c r="AC193" t="s">
        <v>965</v>
      </c>
      <c r="AD193" t="s">
        <v>2373</v>
      </c>
      <c r="AE193" t="s">
        <v>925</v>
      </c>
      <c r="AF193" t="s">
        <v>2373</v>
      </c>
      <c r="AG193" t="s">
        <v>719</v>
      </c>
      <c r="AI193" t="s">
        <v>969</v>
      </c>
    </row>
    <row r="194" spans="28:35">
      <c r="AB194">
        <v>64759</v>
      </c>
      <c r="AC194" t="s">
        <v>751</v>
      </c>
      <c r="AD194" t="s">
        <v>2373</v>
      </c>
      <c r="AE194" t="s">
        <v>748</v>
      </c>
      <c r="AF194" t="s">
        <v>2373</v>
      </c>
      <c r="AG194" t="s">
        <v>719</v>
      </c>
      <c r="AI194" t="s">
        <v>881</v>
      </c>
    </row>
    <row r="195" spans="28:35">
      <c r="AB195">
        <v>64050</v>
      </c>
      <c r="AC195" t="s">
        <v>967</v>
      </c>
      <c r="AD195" t="s">
        <v>2373</v>
      </c>
      <c r="AE195" t="s">
        <v>1036</v>
      </c>
      <c r="AF195" t="s">
        <v>688</v>
      </c>
      <c r="AG195" t="s">
        <v>719</v>
      </c>
      <c r="AI195" t="s">
        <v>933</v>
      </c>
    </row>
    <row r="196" spans="28:35">
      <c r="AB196">
        <v>64051</v>
      </c>
      <c r="AC196" t="s">
        <v>967</v>
      </c>
      <c r="AD196" t="s">
        <v>2373</v>
      </c>
      <c r="AE196" t="s">
        <v>1036</v>
      </c>
      <c r="AF196" t="s">
        <v>688</v>
      </c>
      <c r="AG196" t="s">
        <v>719</v>
      </c>
      <c r="AI196" t="s">
        <v>914</v>
      </c>
    </row>
    <row r="197" spans="28:35">
      <c r="AB197">
        <v>64052</v>
      </c>
      <c r="AC197" t="s">
        <v>967</v>
      </c>
      <c r="AD197" t="s">
        <v>2373</v>
      </c>
      <c r="AE197" t="s">
        <v>1036</v>
      </c>
      <c r="AF197" t="s">
        <v>688</v>
      </c>
      <c r="AG197" t="s">
        <v>719</v>
      </c>
      <c r="AI197" t="s">
        <v>889</v>
      </c>
    </row>
    <row r="198" spans="28:35">
      <c r="AB198">
        <v>64053</v>
      </c>
      <c r="AC198" t="s">
        <v>967</v>
      </c>
      <c r="AD198" t="s">
        <v>2373</v>
      </c>
      <c r="AE198" t="s">
        <v>1036</v>
      </c>
      <c r="AF198" t="s">
        <v>688</v>
      </c>
      <c r="AG198" t="s">
        <v>719</v>
      </c>
      <c r="AI198" t="s">
        <v>977</v>
      </c>
    </row>
    <row r="199" spans="28:35">
      <c r="AB199">
        <v>64054</v>
      </c>
      <c r="AC199" t="s">
        <v>967</v>
      </c>
      <c r="AD199" t="s">
        <v>2373</v>
      </c>
      <c r="AE199" t="s">
        <v>1036</v>
      </c>
      <c r="AF199" t="s">
        <v>688</v>
      </c>
      <c r="AG199" t="s">
        <v>719</v>
      </c>
      <c r="AI199" t="s">
        <v>979</v>
      </c>
    </row>
    <row r="200" spans="28:35">
      <c r="AB200">
        <v>64055</v>
      </c>
      <c r="AC200" t="s">
        <v>967</v>
      </c>
      <c r="AD200" t="s">
        <v>2373</v>
      </c>
      <c r="AE200" t="s">
        <v>1036</v>
      </c>
      <c r="AF200" t="s">
        <v>688</v>
      </c>
      <c r="AG200" t="s">
        <v>719</v>
      </c>
      <c r="AI200" t="s">
        <v>981</v>
      </c>
    </row>
    <row r="201" spans="28:35">
      <c r="AB201">
        <v>64056</v>
      </c>
      <c r="AC201" t="s">
        <v>967</v>
      </c>
      <c r="AD201" t="s">
        <v>2373</v>
      </c>
      <c r="AE201" t="s">
        <v>1036</v>
      </c>
      <c r="AF201" t="s">
        <v>688</v>
      </c>
      <c r="AG201" t="s">
        <v>719</v>
      </c>
      <c r="AI201" t="s">
        <v>983</v>
      </c>
    </row>
    <row r="202" spans="28:35">
      <c r="AB202">
        <v>64057</v>
      </c>
      <c r="AC202" t="s">
        <v>967</v>
      </c>
      <c r="AD202" t="s">
        <v>2373</v>
      </c>
      <c r="AE202" t="s">
        <v>1036</v>
      </c>
      <c r="AF202" t="s">
        <v>688</v>
      </c>
      <c r="AG202" t="s">
        <v>719</v>
      </c>
      <c r="AI202" t="s">
        <v>865</v>
      </c>
    </row>
    <row r="203" spans="28:35">
      <c r="AB203">
        <v>64058</v>
      </c>
      <c r="AC203" t="s">
        <v>967</v>
      </c>
      <c r="AD203" t="s">
        <v>2373</v>
      </c>
      <c r="AE203" t="s">
        <v>1036</v>
      </c>
      <c r="AF203" t="s">
        <v>688</v>
      </c>
      <c r="AG203" t="s">
        <v>719</v>
      </c>
      <c r="AI203" t="s">
        <v>985</v>
      </c>
    </row>
    <row r="204" spans="28:35">
      <c r="AB204">
        <v>65236</v>
      </c>
      <c r="AC204" t="s">
        <v>887</v>
      </c>
      <c r="AD204" t="s">
        <v>2373</v>
      </c>
      <c r="AE204" t="s">
        <v>884</v>
      </c>
      <c r="AF204" t="s">
        <v>2373</v>
      </c>
      <c r="AG204" t="s">
        <v>719</v>
      </c>
      <c r="AI204" t="s">
        <v>986</v>
      </c>
    </row>
    <row r="205" spans="28:35">
      <c r="AB205">
        <v>65335</v>
      </c>
      <c r="AC205" t="s">
        <v>793</v>
      </c>
      <c r="AD205" t="s">
        <v>2373</v>
      </c>
      <c r="AE205" t="s">
        <v>786</v>
      </c>
      <c r="AF205" t="s">
        <v>2373</v>
      </c>
      <c r="AG205" t="s">
        <v>719</v>
      </c>
      <c r="AI205" t="s">
        <v>987</v>
      </c>
    </row>
    <row r="206" spans="28:35">
      <c r="AB206">
        <v>64759</v>
      </c>
      <c r="AC206" t="s">
        <v>753</v>
      </c>
      <c r="AD206" t="s">
        <v>2373</v>
      </c>
      <c r="AE206" t="s">
        <v>748</v>
      </c>
      <c r="AF206" t="s">
        <v>2373</v>
      </c>
      <c r="AG206" t="s">
        <v>719</v>
      </c>
      <c r="AI206" t="s">
        <v>970</v>
      </c>
    </row>
    <row r="207" spans="28:35">
      <c r="AB207">
        <v>65260</v>
      </c>
      <c r="AC207" t="s">
        <v>971</v>
      </c>
      <c r="AD207" t="s">
        <v>2373</v>
      </c>
      <c r="AE207" t="s">
        <v>925</v>
      </c>
      <c r="AF207" t="s">
        <v>2373</v>
      </c>
      <c r="AG207" t="s">
        <v>719</v>
      </c>
      <c r="AI207" t="s">
        <v>988</v>
      </c>
    </row>
    <row r="208" spans="28:35">
      <c r="AB208">
        <v>64647</v>
      </c>
      <c r="AC208" t="s">
        <v>968</v>
      </c>
      <c r="AD208" t="s">
        <v>2373</v>
      </c>
      <c r="AE208" t="s">
        <v>966</v>
      </c>
      <c r="AF208" t="s">
        <v>2373</v>
      </c>
      <c r="AG208" t="s">
        <v>719</v>
      </c>
      <c r="AI208" t="s">
        <v>990</v>
      </c>
    </row>
    <row r="209" spans="28:35">
      <c r="AB209">
        <v>64648</v>
      </c>
      <c r="AC209" t="s">
        <v>969</v>
      </c>
      <c r="AD209" t="s">
        <v>2373</v>
      </c>
      <c r="AE209" t="s">
        <v>966</v>
      </c>
      <c r="AF209" t="s">
        <v>2373</v>
      </c>
      <c r="AG209" t="s">
        <v>719</v>
      </c>
      <c r="AI209" t="s">
        <v>795</v>
      </c>
    </row>
    <row r="210" spans="28:35">
      <c r="AB210">
        <v>64756</v>
      </c>
      <c r="AC210" t="s">
        <v>881</v>
      </c>
      <c r="AD210" t="s">
        <v>2373</v>
      </c>
      <c r="AE210" t="s">
        <v>878</v>
      </c>
      <c r="AF210" t="s">
        <v>2373</v>
      </c>
      <c r="AG210" t="s">
        <v>719</v>
      </c>
      <c r="AI210" t="s">
        <v>755</v>
      </c>
    </row>
    <row r="211" spans="28:35">
      <c r="AB211">
        <v>64101</v>
      </c>
      <c r="AC211" t="s">
        <v>933</v>
      </c>
      <c r="AD211" s="58" t="s">
        <v>2918</v>
      </c>
      <c r="AE211" t="s">
        <v>1036</v>
      </c>
      <c r="AF211" t="s">
        <v>688</v>
      </c>
      <c r="AG211" t="s">
        <v>2373</v>
      </c>
      <c r="AI211" t="s">
        <v>2832</v>
      </c>
    </row>
    <row r="212" spans="28:35">
      <c r="AB212">
        <v>64102</v>
      </c>
      <c r="AC212" t="s">
        <v>933</v>
      </c>
      <c r="AD212" s="58" t="s">
        <v>2918</v>
      </c>
      <c r="AE212" t="s">
        <v>1036</v>
      </c>
      <c r="AF212" t="s">
        <v>688</v>
      </c>
      <c r="AG212" t="s">
        <v>2373</v>
      </c>
      <c r="AI212" t="s">
        <v>737</v>
      </c>
    </row>
    <row r="213" spans="28:35">
      <c r="AB213">
        <v>64105</v>
      </c>
      <c r="AC213" t="s">
        <v>933</v>
      </c>
      <c r="AD213" s="58" t="s">
        <v>2918</v>
      </c>
      <c r="AE213" t="s">
        <v>1036</v>
      </c>
      <c r="AF213" t="s">
        <v>688</v>
      </c>
      <c r="AG213" t="s">
        <v>2373</v>
      </c>
      <c r="AI213" t="s">
        <v>993</v>
      </c>
    </row>
    <row r="214" spans="28:35">
      <c r="AB214">
        <v>64106</v>
      </c>
      <c r="AC214" t="s">
        <v>933</v>
      </c>
      <c r="AD214" s="58" t="s">
        <v>2918</v>
      </c>
      <c r="AE214" t="s">
        <v>1036</v>
      </c>
      <c r="AF214" t="s">
        <v>688</v>
      </c>
      <c r="AG214" t="s">
        <v>2373</v>
      </c>
      <c r="AI214" t="s">
        <v>952</v>
      </c>
    </row>
    <row r="215" spans="28:35">
      <c r="AB215">
        <v>64108</v>
      </c>
      <c r="AC215" t="s">
        <v>933</v>
      </c>
      <c r="AD215" s="58" t="s">
        <v>2918</v>
      </c>
      <c r="AE215" t="s">
        <v>1036</v>
      </c>
      <c r="AF215" t="s">
        <v>688</v>
      </c>
      <c r="AG215" t="s">
        <v>2373</v>
      </c>
      <c r="AI215" t="s">
        <v>866</v>
      </c>
    </row>
    <row r="216" spans="28:35">
      <c r="AB216">
        <v>64109</v>
      </c>
      <c r="AC216" t="s">
        <v>933</v>
      </c>
      <c r="AD216" s="58" t="s">
        <v>2918</v>
      </c>
      <c r="AE216" t="s">
        <v>1036</v>
      </c>
      <c r="AF216" t="s">
        <v>688</v>
      </c>
      <c r="AG216" t="s">
        <v>2373</v>
      </c>
      <c r="AI216" t="s">
        <v>998</v>
      </c>
    </row>
    <row r="217" spans="28:35">
      <c r="AB217">
        <v>64110</v>
      </c>
      <c r="AC217" t="s">
        <v>933</v>
      </c>
      <c r="AD217" s="58" t="s">
        <v>2918</v>
      </c>
      <c r="AE217" t="s">
        <v>1036</v>
      </c>
      <c r="AF217" t="s">
        <v>688</v>
      </c>
      <c r="AG217" t="s">
        <v>2373</v>
      </c>
      <c r="AI217" t="s">
        <v>999</v>
      </c>
    </row>
    <row r="218" spans="28:35">
      <c r="AB218">
        <v>64111</v>
      </c>
      <c r="AC218" t="s">
        <v>933</v>
      </c>
      <c r="AD218" s="58" t="s">
        <v>2918</v>
      </c>
      <c r="AE218" t="s">
        <v>1036</v>
      </c>
      <c r="AF218" t="s">
        <v>688</v>
      </c>
      <c r="AG218" t="s">
        <v>2373</v>
      </c>
      <c r="AI218" t="s">
        <v>1000</v>
      </c>
    </row>
    <row r="219" spans="28:35">
      <c r="AB219">
        <v>64112</v>
      </c>
      <c r="AC219" t="s">
        <v>933</v>
      </c>
      <c r="AD219" s="58" t="s">
        <v>2918</v>
      </c>
      <c r="AE219" t="s">
        <v>1036</v>
      </c>
      <c r="AF219" t="s">
        <v>688</v>
      </c>
      <c r="AG219" t="s">
        <v>2373</v>
      </c>
      <c r="AI219" t="s">
        <v>1001</v>
      </c>
    </row>
    <row r="220" spans="28:35">
      <c r="AB220">
        <v>64113</v>
      </c>
      <c r="AC220" t="s">
        <v>933</v>
      </c>
      <c r="AD220" s="58" t="s">
        <v>2918</v>
      </c>
      <c r="AE220" t="s">
        <v>1036</v>
      </c>
      <c r="AF220" t="s">
        <v>688</v>
      </c>
      <c r="AG220" t="s">
        <v>2373</v>
      </c>
      <c r="AI220" t="s">
        <v>2833</v>
      </c>
    </row>
    <row r="221" spans="28:35">
      <c r="AB221">
        <v>64114</v>
      </c>
      <c r="AC221" t="s">
        <v>933</v>
      </c>
      <c r="AD221" s="58" t="s">
        <v>2918</v>
      </c>
      <c r="AE221" t="s">
        <v>1036</v>
      </c>
      <c r="AF221" t="s">
        <v>688</v>
      </c>
      <c r="AG221" t="s">
        <v>2373</v>
      </c>
      <c r="AI221" t="s">
        <v>1002</v>
      </c>
    </row>
    <row r="222" spans="28:35">
      <c r="AB222">
        <v>64116</v>
      </c>
      <c r="AC222" t="s">
        <v>933</v>
      </c>
      <c r="AD222" s="58" t="s">
        <v>2918</v>
      </c>
      <c r="AE222" t="s">
        <v>906</v>
      </c>
      <c r="AF222" t="s">
        <v>2373</v>
      </c>
      <c r="AG222" t="s">
        <v>2373</v>
      </c>
      <c r="AI222" t="s">
        <v>1003</v>
      </c>
    </row>
    <row r="223" spans="28:35">
      <c r="AB223">
        <v>64117</v>
      </c>
      <c r="AC223" t="s">
        <v>933</v>
      </c>
      <c r="AD223" s="58" t="s">
        <v>2918</v>
      </c>
      <c r="AE223" t="s">
        <v>906</v>
      </c>
      <c r="AF223" t="s">
        <v>2373</v>
      </c>
      <c r="AG223" t="s">
        <v>2373</v>
      </c>
      <c r="AI223" t="s">
        <v>757</v>
      </c>
    </row>
    <row r="224" spans="28:35">
      <c r="AB224">
        <v>64118</v>
      </c>
      <c r="AC224" t="s">
        <v>933</v>
      </c>
      <c r="AD224" s="58" t="s">
        <v>2918</v>
      </c>
      <c r="AE224" t="s">
        <v>906</v>
      </c>
      <c r="AF224" t="s">
        <v>2373</v>
      </c>
      <c r="AG224" t="s">
        <v>2373</v>
      </c>
      <c r="AI224" t="s">
        <v>916</v>
      </c>
    </row>
    <row r="225" spans="28:35">
      <c r="AB225">
        <v>64119</v>
      </c>
      <c r="AC225" t="s">
        <v>933</v>
      </c>
      <c r="AD225" s="58" t="s">
        <v>2918</v>
      </c>
      <c r="AE225" t="s">
        <v>906</v>
      </c>
      <c r="AF225" t="s">
        <v>2373</v>
      </c>
      <c r="AG225" t="s">
        <v>2373</v>
      </c>
      <c r="AI225" t="s">
        <v>796</v>
      </c>
    </row>
    <row r="226" spans="28:35">
      <c r="AB226">
        <v>64120</v>
      </c>
      <c r="AC226" t="s">
        <v>933</v>
      </c>
      <c r="AD226" s="58" t="s">
        <v>2918</v>
      </c>
      <c r="AE226" t="s">
        <v>1036</v>
      </c>
      <c r="AF226" t="s">
        <v>688</v>
      </c>
      <c r="AG226" t="s">
        <v>2373</v>
      </c>
      <c r="AI226" t="s">
        <v>972</v>
      </c>
    </row>
    <row r="227" spans="28:35">
      <c r="AB227">
        <v>64121</v>
      </c>
      <c r="AC227" t="s">
        <v>933</v>
      </c>
      <c r="AD227" s="58" t="s">
        <v>2918</v>
      </c>
      <c r="AE227" t="s">
        <v>1036</v>
      </c>
      <c r="AF227" t="s">
        <v>688</v>
      </c>
      <c r="AG227" t="s">
        <v>2373</v>
      </c>
      <c r="AI227" t="s">
        <v>963</v>
      </c>
    </row>
    <row r="228" spans="28:35">
      <c r="AB228">
        <v>64123</v>
      </c>
      <c r="AC228" t="s">
        <v>933</v>
      </c>
      <c r="AD228" s="58" t="s">
        <v>2918</v>
      </c>
      <c r="AE228" t="s">
        <v>1036</v>
      </c>
      <c r="AF228" t="s">
        <v>688</v>
      </c>
      <c r="AG228" t="s">
        <v>2373</v>
      </c>
      <c r="AI228" t="s">
        <v>1009</v>
      </c>
    </row>
    <row r="229" spans="28:35">
      <c r="AB229">
        <v>64124</v>
      </c>
      <c r="AC229" t="s">
        <v>933</v>
      </c>
      <c r="AD229" s="58" t="s">
        <v>2918</v>
      </c>
      <c r="AE229" t="s">
        <v>1036</v>
      </c>
      <c r="AF229" t="s">
        <v>688</v>
      </c>
      <c r="AG229" t="s">
        <v>2373</v>
      </c>
      <c r="AI229" t="s">
        <v>1010</v>
      </c>
    </row>
    <row r="230" spans="28:35">
      <c r="AB230">
        <v>64125</v>
      </c>
      <c r="AC230" t="s">
        <v>933</v>
      </c>
      <c r="AD230" s="58" t="s">
        <v>2918</v>
      </c>
      <c r="AE230" t="s">
        <v>1036</v>
      </c>
      <c r="AF230" t="s">
        <v>688</v>
      </c>
      <c r="AG230" t="s">
        <v>2373</v>
      </c>
      <c r="AI230" t="s">
        <v>1011</v>
      </c>
    </row>
    <row r="231" spans="28:35">
      <c r="AB231">
        <v>64126</v>
      </c>
      <c r="AC231" t="s">
        <v>933</v>
      </c>
      <c r="AD231" s="58" t="s">
        <v>2918</v>
      </c>
      <c r="AE231" t="s">
        <v>1036</v>
      </c>
      <c r="AF231" t="s">
        <v>688</v>
      </c>
      <c r="AG231" t="s">
        <v>2373</v>
      </c>
      <c r="AI231" t="s">
        <v>1012</v>
      </c>
    </row>
    <row r="232" spans="28:35">
      <c r="AB232">
        <v>64127</v>
      </c>
      <c r="AC232" t="s">
        <v>933</v>
      </c>
      <c r="AD232" s="58" t="s">
        <v>2918</v>
      </c>
      <c r="AE232" t="s">
        <v>1036</v>
      </c>
      <c r="AF232" t="s">
        <v>688</v>
      </c>
      <c r="AG232" t="s">
        <v>2373</v>
      </c>
      <c r="AI232" t="s">
        <v>1013</v>
      </c>
    </row>
    <row r="233" spans="28:35">
      <c r="AB233">
        <v>64128</v>
      </c>
      <c r="AC233" t="s">
        <v>933</v>
      </c>
      <c r="AD233" s="58" t="s">
        <v>2918</v>
      </c>
      <c r="AE233" t="s">
        <v>1036</v>
      </c>
      <c r="AF233" t="s">
        <v>688</v>
      </c>
      <c r="AG233" t="s">
        <v>2373</v>
      </c>
      <c r="AI233" t="s">
        <v>1014</v>
      </c>
    </row>
    <row r="234" spans="28:35">
      <c r="AB234">
        <v>64129</v>
      </c>
      <c r="AC234" t="s">
        <v>933</v>
      </c>
      <c r="AD234" s="58" t="s">
        <v>2918</v>
      </c>
      <c r="AE234" t="s">
        <v>1036</v>
      </c>
      <c r="AF234" t="s">
        <v>688</v>
      </c>
      <c r="AG234" t="s">
        <v>2373</v>
      </c>
      <c r="AI234" t="s">
        <v>1016</v>
      </c>
    </row>
    <row r="235" spans="28:35">
      <c r="AB235">
        <v>64130</v>
      </c>
      <c r="AC235" t="s">
        <v>933</v>
      </c>
      <c r="AD235" s="58" t="s">
        <v>2918</v>
      </c>
      <c r="AE235" t="s">
        <v>1036</v>
      </c>
      <c r="AF235" t="s">
        <v>688</v>
      </c>
      <c r="AG235" t="s">
        <v>2373</v>
      </c>
      <c r="AI235" t="s">
        <v>1018</v>
      </c>
    </row>
    <row r="236" spans="28:35">
      <c r="AB236">
        <v>64131</v>
      </c>
      <c r="AC236" t="s">
        <v>933</v>
      </c>
      <c r="AD236" s="58" t="s">
        <v>2918</v>
      </c>
      <c r="AE236" t="s">
        <v>1036</v>
      </c>
      <c r="AF236" t="s">
        <v>688</v>
      </c>
      <c r="AG236" t="s">
        <v>2373</v>
      </c>
      <c r="AI236" t="s">
        <v>1020</v>
      </c>
    </row>
    <row r="237" spans="28:35">
      <c r="AB237">
        <v>64132</v>
      </c>
      <c r="AC237" t="s">
        <v>933</v>
      </c>
      <c r="AD237" s="58" t="s">
        <v>2918</v>
      </c>
      <c r="AE237" t="s">
        <v>1036</v>
      </c>
      <c r="AF237" t="s">
        <v>688</v>
      </c>
      <c r="AG237" t="s">
        <v>2373</v>
      </c>
      <c r="AI237" t="s">
        <v>1004</v>
      </c>
    </row>
    <row r="238" spans="28:35">
      <c r="AB238">
        <v>64133</v>
      </c>
      <c r="AC238" t="s">
        <v>933</v>
      </c>
      <c r="AD238" s="58" t="s">
        <v>2918</v>
      </c>
      <c r="AE238" t="s">
        <v>1036</v>
      </c>
      <c r="AF238" t="s">
        <v>688</v>
      </c>
      <c r="AG238" t="s">
        <v>2373</v>
      </c>
      <c r="AI238" t="s">
        <v>1022</v>
      </c>
    </row>
    <row r="239" spans="28:35">
      <c r="AB239">
        <v>64134</v>
      </c>
      <c r="AC239" t="s">
        <v>933</v>
      </c>
      <c r="AD239" s="58" t="s">
        <v>2918</v>
      </c>
      <c r="AE239" t="s">
        <v>1036</v>
      </c>
      <c r="AF239" t="s">
        <v>688</v>
      </c>
      <c r="AG239" t="s">
        <v>2373</v>
      </c>
      <c r="AI239" t="s">
        <v>976</v>
      </c>
    </row>
    <row r="240" spans="28:35">
      <c r="AB240">
        <v>64136</v>
      </c>
      <c r="AC240" t="s">
        <v>933</v>
      </c>
      <c r="AD240" s="58" t="s">
        <v>2918</v>
      </c>
      <c r="AE240" t="s">
        <v>1036</v>
      </c>
      <c r="AF240" t="s">
        <v>688</v>
      </c>
      <c r="AG240" t="s">
        <v>2373</v>
      </c>
      <c r="AI240" t="s">
        <v>1023</v>
      </c>
    </row>
    <row r="241" spans="28:35">
      <c r="AB241">
        <v>64137</v>
      </c>
      <c r="AC241" t="s">
        <v>933</v>
      </c>
      <c r="AD241" s="58" t="s">
        <v>2918</v>
      </c>
      <c r="AE241" t="s">
        <v>1036</v>
      </c>
      <c r="AF241" t="s">
        <v>688</v>
      </c>
      <c r="AG241" t="s">
        <v>2373</v>
      </c>
      <c r="AI241" t="s">
        <v>989</v>
      </c>
    </row>
    <row r="242" spans="28:35">
      <c r="AB242">
        <v>64138</v>
      </c>
      <c r="AC242" t="s">
        <v>933</v>
      </c>
      <c r="AD242" s="58" t="s">
        <v>2918</v>
      </c>
      <c r="AE242" t="s">
        <v>1036</v>
      </c>
      <c r="AF242" t="s">
        <v>688</v>
      </c>
      <c r="AG242" t="s">
        <v>2373</v>
      </c>
      <c r="AI242" t="s">
        <v>991</v>
      </c>
    </row>
    <row r="243" spans="28:35">
      <c r="AB243">
        <v>64139</v>
      </c>
      <c r="AC243" t="s">
        <v>933</v>
      </c>
      <c r="AD243" s="58" t="s">
        <v>2918</v>
      </c>
      <c r="AE243" t="s">
        <v>1036</v>
      </c>
      <c r="AF243" t="s">
        <v>688</v>
      </c>
      <c r="AG243" t="s">
        <v>2373</v>
      </c>
      <c r="AI243" t="s">
        <v>891</v>
      </c>
    </row>
    <row r="244" spans="28:35">
      <c r="AB244">
        <v>64141</v>
      </c>
      <c r="AC244" t="s">
        <v>933</v>
      </c>
      <c r="AD244" s="58" t="s">
        <v>2918</v>
      </c>
      <c r="AE244" t="s">
        <v>1036</v>
      </c>
      <c r="AF244" t="s">
        <v>688</v>
      </c>
      <c r="AG244" t="s">
        <v>2373</v>
      </c>
      <c r="AI244" t="s">
        <v>1025</v>
      </c>
    </row>
    <row r="245" spans="28:35">
      <c r="AB245">
        <v>64142</v>
      </c>
      <c r="AC245" t="s">
        <v>933</v>
      </c>
      <c r="AD245" s="58" t="s">
        <v>2918</v>
      </c>
      <c r="AE245" t="s">
        <v>1036</v>
      </c>
      <c r="AF245" t="s">
        <v>688</v>
      </c>
      <c r="AG245" t="s">
        <v>2373</v>
      </c>
      <c r="AI245" t="s">
        <v>1026</v>
      </c>
    </row>
    <row r="246" spans="28:35">
      <c r="AB246">
        <v>64144</v>
      </c>
      <c r="AC246" t="s">
        <v>933</v>
      </c>
      <c r="AD246" s="58" t="s">
        <v>2918</v>
      </c>
      <c r="AE246" t="s">
        <v>906</v>
      </c>
      <c r="AF246" t="s">
        <v>2373</v>
      </c>
      <c r="AG246" t="s">
        <v>2373</v>
      </c>
      <c r="AI246" t="s">
        <v>1028</v>
      </c>
    </row>
    <row r="247" spans="28:35">
      <c r="AB247">
        <v>64145</v>
      </c>
      <c r="AC247" t="s">
        <v>933</v>
      </c>
      <c r="AD247" s="58" t="s">
        <v>2918</v>
      </c>
      <c r="AE247" t="s">
        <v>1036</v>
      </c>
      <c r="AF247" t="s">
        <v>688</v>
      </c>
      <c r="AG247" t="s">
        <v>2373</v>
      </c>
      <c r="AI247" t="s">
        <v>759</v>
      </c>
    </row>
    <row r="248" spans="28:35">
      <c r="AB248">
        <v>64146</v>
      </c>
      <c r="AC248" t="s">
        <v>933</v>
      </c>
      <c r="AD248" s="58" t="s">
        <v>2918</v>
      </c>
      <c r="AE248" t="s">
        <v>1036</v>
      </c>
      <c r="AF248" t="s">
        <v>688</v>
      </c>
      <c r="AG248" t="s">
        <v>2373</v>
      </c>
      <c r="AI248" t="s">
        <v>1029</v>
      </c>
    </row>
    <row r="249" spans="28:35">
      <c r="AB249">
        <v>64147</v>
      </c>
      <c r="AC249" t="s">
        <v>933</v>
      </c>
      <c r="AD249" s="58" t="s">
        <v>2918</v>
      </c>
      <c r="AE249" t="s">
        <v>1036</v>
      </c>
      <c r="AF249" t="s">
        <v>688</v>
      </c>
      <c r="AG249" t="s">
        <v>2373</v>
      </c>
      <c r="AI249" t="s">
        <v>761</v>
      </c>
    </row>
    <row r="250" spans="28:35">
      <c r="AB250">
        <v>64148</v>
      </c>
      <c r="AC250" t="s">
        <v>933</v>
      </c>
      <c r="AD250" s="58" t="s">
        <v>2918</v>
      </c>
      <c r="AE250" t="s">
        <v>1036</v>
      </c>
      <c r="AF250" t="s">
        <v>688</v>
      </c>
      <c r="AG250" t="s">
        <v>2373</v>
      </c>
      <c r="AI250" t="s">
        <v>918</v>
      </c>
    </row>
    <row r="251" spans="28:35">
      <c r="AB251">
        <v>64149</v>
      </c>
      <c r="AC251" t="s">
        <v>933</v>
      </c>
      <c r="AD251" s="58" t="s">
        <v>2918</v>
      </c>
      <c r="AE251" t="s">
        <v>1036</v>
      </c>
      <c r="AF251" t="s">
        <v>688</v>
      </c>
      <c r="AG251" t="s">
        <v>2373</v>
      </c>
      <c r="AI251" t="s">
        <v>1030</v>
      </c>
    </row>
    <row r="252" spans="28:35">
      <c r="AB252">
        <v>64150</v>
      </c>
      <c r="AC252" t="s">
        <v>933</v>
      </c>
      <c r="AD252" s="58" t="s">
        <v>2918</v>
      </c>
      <c r="AE252" t="s">
        <v>1095</v>
      </c>
      <c r="AF252" t="s">
        <v>1661</v>
      </c>
      <c r="AG252" t="s">
        <v>2373</v>
      </c>
      <c r="AI252" t="s">
        <v>1015</v>
      </c>
    </row>
    <row r="253" spans="28:35">
      <c r="AB253">
        <v>64151</v>
      </c>
      <c r="AC253" t="s">
        <v>933</v>
      </c>
      <c r="AD253" s="58" t="s">
        <v>2918</v>
      </c>
      <c r="AE253" t="s">
        <v>1095</v>
      </c>
      <c r="AF253" t="s">
        <v>1661</v>
      </c>
      <c r="AG253" t="s">
        <v>2373</v>
      </c>
      <c r="AI253" t="s">
        <v>1033</v>
      </c>
    </row>
    <row r="254" spans="28:35">
      <c r="AB254">
        <v>64152</v>
      </c>
      <c r="AC254" t="s">
        <v>933</v>
      </c>
      <c r="AD254" s="58" t="s">
        <v>2918</v>
      </c>
      <c r="AE254" t="s">
        <v>1095</v>
      </c>
      <c r="AF254" t="s">
        <v>1661</v>
      </c>
      <c r="AG254" t="s">
        <v>2373</v>
      </c>
      <c r="AI254" t="s">
        <v>1035</v>
      </c>
    </row>
    <row r="255" spans="28:35">
      <c r="AB255">
        <v>64153</v>
      </c>
      <c r="AC255" t="s">
        <v>933</v>
      </c>
      <c r="AD255" s="58" t="s">
        <v>2918</v>
      </c>
      <c r="AE255" t="s">
        <v>1095</v>
      </c>
      <c r="AF255" t="s">
        <v>1661</v>
      </c>
      <c r="AG255" t="s">
        <v>2373</v>
      </c>
      <c r="AI255" t="s">
        <v>1037</v>
      </c>
    </row>
    <row r="256" spans="28:35">
      <c r="AB256">
        <v>64154</v>
      </c>
      <c r="AC256" t="s">
        <v>933</v>
      </c>
      <c r="AD256" s="58" t="s">
        <v>2918</v>
      </c>
      <c r="AE256" t="s">
        <v>1095</v>
      </c>
      <c r="AF256" t="s">
        <v>1661</v>
      </c>
      <c r="AG256" t="s">
        <v>2373</v>
      </c>
      <c r="AI256" t="s">
        <v>920</v>
      </c>
    </row>
    <row r="257" spans="28:35">
      <c r="AB257">
        <v>64155</v>
      </c>
      <c r="AC257" t="s">
        <v>933</v>
      </c>
      <c r="AD257" s="58" t="s">
        <v>2918</v>
      </c>
      <c r="AE257" t="s">
        <v>906</v>
      </c>
      <c r="AF257" t="s">
        <v>2373</v>
      </c>
      <c r="AG257" t="s">
        <v>2373</v>
      </c>
      <c r="AI257" t="s">
        <v>1024</v>
      </c>
    </row>
    <row r="258" spans="28:35">
      <c r="AB258">
        <v>64156</v>
      </c>
      <c r="AC258" t="s">
        <v>933</v>
      </c>
      <c r="AD258" s="58" t="s">
        <v>2918</v>
      </c>
      <c r="AE258" t="s">
        <v>906</v>
      </c>
      <c r="AF258" t="s">
        <v>2373</v>
      </c>
      <c r="AG258" t="s">
        <v>2373</v>
      </c>
      <c r="AI258" t="s">
        <v>1038</v>
      </c>
    </row>
    <row r="259" spans="28:35">
      <c r="AB259">
        <v>64157</v>
      </c>
      <c r="AC259" t="s">
        <v>933</v>
      </c>
      <c r="AD259" s="58" t="s">
        <v>2918</v>
      </c>
      <c r="AE259" t="s">
        <v>906</v>
      </c>
      <c r="AF259" t="s">
        <v>2373</v>
      </c>
      <c r="AG259" t="s">
        <v>2373</v>
      </c>
      <c r="AI259" t="s">
        <v>798</v>
      </c>
    </row>
    <row r="260" spans="28:35">
      <c r="AB260">
        <v>64158</v>
      </c>
      <c r="AC260" t="s">
        <v>933</v>
      </c>
      <c r="AD260" s="58" t="s">
        <v>2918</v>
      </c>
      <c r="AE260" t="s">
        <v>906</v>
      </c>
      <c r="AF260" t="s">
        <v>2373</v>
      </c>
      <c r="AG260" t="s">
        <v>2373</v>
      </c>
      <c r="AI260" t="s">
        <v>1005</v>
      </c>
    </row>
    <row r="261" spans="28:35">
      <c r="AB261">
        <v>64160</v>
      </c>
      <c r="AC261" t="s">
        <v>933</v>
      </c>
      <c r="AD261" s="58" t="s">
        <v>2918</v>
      </c>
      <c r="AE261" t="s">
        <v>906</v>
      </c>
      <c r="AF261" t="s">
        <v>2373</v>
      </c>
      <c r="AG261" t="s">
        <v>2373</v>
      </c>
      <c r="AI261" t="s">
        <v>893</v>
      </c>
    </row>
    <row r="262" spans="28:35">
      <c r="AB262">
        <v>64161</v>
      </c>
      <c r="AC262" t="s">
        <v>933</v>
      </c>
      <c r="AD262" s="58" t="s">
        <v>2918</v>
      </c>
      <c r="AE262" t="s">
        <v>906</v>
      </c>
      <c r="AF262" t="s">
        <v>2373</v>
      </c>
      <c r="AG262" t="s">
        <v>2373</v>
      </c>
      <c r="AI262" t="s">
        <v>2834</v>
      </c>
    </row>
    <row r="263" spans="28:35">
      <c r="AB263">
        <v>64163</v>
      </c>
      <c r="AC263" t="s">
        <v>933</v>
      </c>
      <c r="AD263" s="58" t="s">
        <v>2918</v>
      </c>
      <c r="AE263" t="s">
        <v>1095</v>
      </c>
      <c r="AF263" t="s">
        <v>1661</v>
      </c>
      <c r="AG263" t="s">
        <v>2373</v>
      </c>
      <c r="AI263" t="s">
        <v>1039</v>
      </c>
    </row>
    <row r="264" spans="28:35">
      <c r="AB264">
        <v>64164</v>
      </c>
      <c r="AC264" t="s">
        <v>933</v>
      </c>
      <c r="AD264" s="58" t="s">
        <v>2918</v>
      </c>
      <c r="AE264" t="s">
        <v>1095</v>
      </c>
      <c r="AF264" t="s">
        <v>1661</v>
      </c>
      <c r="AG264" t="s">
        <v>2373</v>
      </c>
      <c r="AI264" t="s">
        <v>1040</v>
      </c>
    </row>
    <row r="265" spans="28:35">
      <c r="AB265">
        <v>64165</v>
      </c>
      <c r="AC265" t="s">
        <v>933</v>
      </c>
      <c r="AD265" s="58" t="s">
        <v>2918</v>
      </c>
      <c r="AE265" t="s">
        <v>906</v>
      </c>
      <c r="AF265" t="s">
        <v>2373</v>
      </c>
      <c r="AG265" t="s">
        <v>2373</v>
      </c>
      <c r="AI265" t="s">
        <v>1041</v>
      </c>
    </row>
    <row r="266" spans="28:35">
      <c r="AB266">
        <v>64166</v>
      </c>
      <c r="AC266" t="s">
        <v>933</v>
      </c>
      <c r="AD266" s="58" t="s">
        <v>2918</v>
      </c>
      <c r="AE266" t="s">
        <v>906</v>
      </c>
      <c r="AF266" t="s">
        <v>2373</v>
      </c>
      <c r="AG266" t="s">
        <v>2373</v>
      </c>
      <c r="AI266" t="s">
        <v>190</v>
      </c>
    </row>
    <row r="267" spans="28:35">
      <c r="AB267">
        <v>64167</v>
      </c>
      <c r="AC267" t="s">
        <v>933</v>
      </c>
      <c r="AD267" s="58" t="s">
        <v>2918</v>
      </c>
      <c r="AE267" t="s">
        <v>906</v>
      </c>
      <c r="AF267" t="s">
        <v>2373</v>
      </c>
      <c r="AG267" t="s">
        <v>2373</v>
      </c>
      <c r="AI267" t="s">
        <v>1031</v>
      </c>
    </row>
    <row r="268" spans="28:35">
      <c r="AB268">
        <v>64168</v>
      </c>
      <c r="AC268" t="s">
        <v>933</v>
      </c>
      <c r="AD268" s="58" t="s">
        <v>2918</v>
      </c>
      <c r="AE268" t="s">
        <v>1095</v>
      </c>
      <c r="AF268" t="s">
        <v>1661</v>
      </c>
      <c r="AG268" t="s">
        <v>2373</v>
      </c>
      <c r="AI268" t="s">
        <v>1006</v>
      </c>
    </row>
    <row r="269" spans="28:35">
      <c r="AB269">
        <v>64170</v>
      </c>
      <c r="AC269" t="s">
        <v>933</v>
      </c>
      <c r="AD269" s="58" t="s">
        <v>2918</v>
      </c>
      <c r="AE269" t="s">
        <v>1036</v>
      </c>
      <c r="AF269" t="s">
        <v>688</v>
      </c>
      <c r="AG269" t="s">
        <v>2373</v>
      </c>
      <c r="AI269" t="s">
        <v>844</v>
      </c>
    </row>
    <row r="270" spans="28:35">
      <c r="AB270">
        <v>64171</v>
      </c>
      <c r="AC270" t="s">
        <v>933</v>
      </c>
      <c r="AD270" s="58" t="s">
        <v>2918</v>
      </c>
      <c r="AE270" t="s">
        <v>1036</v>
      </c>
      <c r="AF270" t="s">
        <v>688</v>
      </c>
      <c r="AG270" t="s">
        <v>2373</v>
      </c>
      <c r="AI270" t="s">
        <v>693</v>
      </c>
    </row>
    <row r="271" spans="28:35">
      <c r="AB271">
        <v>64172</v>
      </c>
      <c r="AC271" t="s">
        <v>933</v>
      </c>
      <c r="AD271" s="58" t="s">
        <v>2918</v>
      </c>
      <c r="AE271" t="s">
        <v>1036</v>
      </c>
      <c r="AF271" t="s">
        <v>688</v>
      </c>
      <c r="AG271" t="s">
        <v>2373</v>
      </c>
      <c r="AI271" t="s">
        <v>2835</v>
      </c>
    </row>
    <row r="272" spans="28:35">
      <c r="AB272">
        <v>64173</v>
      </c>
      <c r="AC272" t="s">
        <v>933</v>
      </c>
      <c r="AD272" s="58" t="s">
        <v>2918</v>
      </c>
      <c r="AE272" t="s">
        <v>1036</v>
      </c>
      <c r="AF272" t="s">
        <v>688</v>
      </c>
      <c r="AG272" t="s">
        <v>2373</v>
      </c>
      <c r="AI272" t="s">
        <v>1042</v>
      </c>
    </row>
    <row r="273" spans="28:35">
      <c r="AB273">
        <v>64179</v>
      </c>
      <c r="AC273" t="s">
        <v>933</v>
      </c>
      <c r="AD273" s="58" t="s">
        <v>2918</v>
      </c>
      <c r="AE273" t="s">
        <v>1036</v>
      </c>
      <c r="AF273" t="s">
        <v>688</v>
      </c>
      <c r="AG273" t="s">
        <v>2373</v>
      </c>
      <c r="AI273" t="s">
        <v>2836</v>
      </c>
    </row>
    <row r="274" spans="28:35">
      <c r="AB274">
        <v>64180</v>
      </c>
      <c r="AC274" t="s">
        <v>933</v>
      </c>
      <c r="AD274" s="58" t="s">
        <v>2918</v>
      </c>
      <c r="AE274" t="s">
        <v>1036</v>
      </c>
      <c r="AF274" t="s">
        <v>688</v>
      </c>
      <c r="AG274" t="s">
        <v>2373</v>
      </c>
      <c r="AI274" t="s">
        <v>921</v>
      </c>
    </row>
    <row r="275" spans="28:35">
      <c r="AB275">
        <v>64183</v>
      </c>
      <c r="AC275" t="s">
        <v>933</v>
      </c>
      <c r="AD275" s="58" t="s">
        <v>2918</v>
      </c>
      <c r="AE275" t="s">
        <v>1036</v>
      </c>
      <c r="AF275" t="s">
        <v>688</v>
      </c>
      <c r="AG275" t="s">
        <v>2373</v>
      </c>
      <c r="AI275" t="s">
        <v>2837</v>
      </c>
    </row>
    <row r="276" spans="28:35">
      <c r="AB276">
        <v>64184</v>
      </c>
      <c r="AC276" t="s">
        <v>933</v>
      </c>
      <c r="AD276" s="58" t="s">
        <v>2918</v>
      </c>
      <c r="AE276" t="s">
        <v>1036</v>
      </c>
      <c r="AF276" t="s">
        <v>688</v>
      </c>
      <c r="AG276" t="s">
        <v>2373</v>
      </c>
      <c r="AI276" t="s">
        <v>1043</v>
      </c>
    </row>
    <row r="277" spans="28:35">
      <c r="AB277">
        <v>64185</v>
      </c>
      <c r="AC277" t="s">
        <v>933</v>
      </c>
      <c r="AD277" s="58" t="s">
        <v>2918</v>
      </c>
      <c r="AE277" t="s">
        <v>1036</v>
      </c>
      <c r="AF277" t="s">
        <v>688</v>
      </c>
      <c r="AG277" t="s">
        <v>2373</v>
      </c>
      <c r="AI277" t="s">
        <v>800</v>
      </c>
    </row>
    <row r="278" spans="28:35">
      <c r="AB278">
        <v>64187</v>
      </c>
      <c r="AC278" t="s">
        <v>933</v>
      </c>
      <c r="AD278" s="58" t="s">
        <v>2918</v>
      </c>
      <c r="AE278" t="s">
        <v>1036</v>
      </c>
      <c r="AF278" t="s">
        <v>688</v>
      </c>
      <c r="AG278" t="s">
        <v>2373</v>
      </c>
      <c r="AI278" t="s">
        <v>226</v>
      </c>
    </row>
    <row r="279" spans="28:35">
      <c r="AB279">
        <v>64188</v>
      </c>
      <c r="AC279" t="s">
        <v>933</v>
      </c>
      <c r="AD279" s="58" t="s">
        <v>2918</v>
      </c>
      <c r="AE279" t="s">
        <v>906</v>
      </c>
      <c r="AF279" t="s">
        <v>2373</v>
      </c>
      <c r="AG279" t="s">
        <v>2373</v>
      </c>
      <c r="AI279" t="s">
        <v>1044</v>
      </c>
    </row>
    <row r="280" spans="28:35">
      <c r="AB280">
        <v>64189</v>
      </c>
      <c r="AC280" t="s">
        <v>933</v>
      </c>
      <c r="AD280" s="58" t="s">
        <v>2918</v>
      </c>
      <c r="AE280" t="s">
        <v>1036</v>
      </c>
      <c r="AF280" t="s">
        <v>688</v>
      </c>
      <c r="AG280" t="s">
        <v>2373</v>
      </c>
      <c r="AI280" t="s">
        <v>978</v>
      </c>
    </row>
    <row r="281" spans="28:35">
      <c r="AB281">
        <v>64190</v>
      </c>
      <c r="AC281" t="s">
        <v>933</v>
      </c>
      <c r="AD281" s="58" t="s">
        <v>2918</v>
      </c>
      <c r="AE281" t="s">
        <v>1095</v>
      </c>
      <c r="AF281" t="s">
        <v>1661</v>
      </c>
      <c r="AG281" t="s">
        <v>2373</v>
      </c>
      <c r="AI281" t="s">
        <v>1045</v>
      </c>
    </row>
    <row r="282" spans="28:35">
      <c r="AB282">
        <v>64191</v>
      </c>
      <c r="AC282" t="s">
        <v>933</v>
      </c>
      <c r="AD282" s="58" t="s">
        <v>2918</v>
      </c>
      <c r="AE282" t="s">
        <v>1036</v>
      </c>
      <c r="AF282" t="s">
        <v>688</v>
      </c>
      <c r="AG282" t="s">
        <v>2373</v>
      </c>
      <c r="AI282" t="s">
        <v>802</v>
      </c>
    </row>
    <row r="283" spans="28:35">
      <c r="AB283">
        <v>64192</v>
      </c>
      <c r="AC283" t="s">
        <v>933</v>
      </c>
      <c r="AD283" s="58" t="s">
        <v>2918</v>
      </c>
      <c r="AE283" t="s">
        <v>1036</v>
      </c>
      <c r="AF283" t="s">
        <v>688</v>
      </c>
      <c r="AG283" t="s">
        <v>2373</v>
      </c>
      <c r="AI283" t="s">
        <v>922</v>
      </c>
    </row>
    <row r="284" spans="28:35">
      <c r="AB284">
        <v>64193</v>
      </c>
      <c r="AC284" t="s">
        <v>933</v>
      </c>
      <c r="AD284" s="58" t="s">
        <v>2918</v>
      </c>
      <c r="AE284" t="s">
        <v>1036</v>
      </c>
      <c r="AF284" t="s">
        <v>688</v>
      </c>
      <c r="AG284" t="s">
        <v>2373</v>
      </c>
      <c r="AI284" t="s">
        <v>1046</v>
      </c>
    </row>
    <row r="285" spans="28:35">
      <c r="AB285">
        <v>64194</v>
      </c>
      <c r="AC285" t="s">
        <v>933</v>
      </c>
      <c r="AD285" s="58" t="s">
        <v>2918</v>
      </c>
      <c r="AE285" t="s">
        <v>1036</v>
      </c>
      <c r="AF285" t="s">
        <v>688</v>
      </c>
      <c r="AG285" t="s">
        <v>2373</v>
      </c>
      <c r="AI285" t="s">
        <v>1047</v>
      </c>
    </row>
    <row r="286" spans="28:35">
      <c r="AB286">
        <v>64195</v>
      </c>
      <c r="AC286" t="s">
        <v>933</v>
      </c>
      <c r="AD286" s="58" t="s">
        <v>2918</v>
      </c>
      <c r="AE286" t="s">
        <v>1095</v>
      </c>
      <c r="AF286" t="s">
        <v>1661</v>
      </c>
      <c r="AG286" t="s">
        <v>2373</v>
      </c>
      <c r="AI286" t="s">
        <v>774</v>
      </c>
    </row>
    <row r="287" spans="28:35">
      <c r="AB287">
        <v>64196</v>
      </c>
      <c r="AC287" t="s">
        <v>933</v>
      </c>
      <c r="AD287" s="58" t="s">
        <v>2918</v>
      </c>
      <c r="AE287" t="s">
        <v>1036</v>
      </c>
      <c r="AF287" t="s">
        <v>688</v>
      </c>
      <c r="AG287" t="s">
        <v>2373</v>
      </c>
      <c r="AI287" t="s">
        <v>973</v>
      </c>
    </row>
    <row r="288" spans="28:35">
      <c r="AB288">
        <v>64197</v>
      </c>
      <c r="AC288" t="s">
        <v>933</v>
      </c>
      <c r="AD288" s="58" t="s">
        <v>2918</v>
      </c>
      <c r="AE288" t="s">
        <v>1036</v>
      </c>
      <c r="AF288" t="s">
        <v>688</v>
      </c>
      <c r="AG288" t="s">
        <v>2373</v>
      </c>
      <c r="AI288" t="s">
        <v>867</v>
      </c>
    </row>
    <row r="289" spans="28:35">
      <c r="AB289">
        <v>64198</v>
      </c>
      <c r="AC289" t="s">
        <v>933</v>
      </c>
      <c r="AD289" s="58" t="s">
        <v>2918</v>
      </c>
      <c r="AE289" t="s">
        <v>1036</v>
      </c>
      <c r="AF289" t="s">
        <v>688</v>
      </c>
      <c r="AG289" t="s">
        <v>2373</v>
      </c>
      <c r="AI289" t="s">
        <v>1032</v>
      </c>
    </row>
    <row r="290" spans="28:35">
      <c r="AB290">
        <v>64199</v>
      </c>
      <c r="AC290" t="s">
        <v>933</v>
      </c>
      <c r="AD290" s="58" t="s">
        <v>2918</v>
      </c>
      <c r="AE290" t="s">
        <v>1036</v>
      </c>
      <c r="AF290" t="s">
        <v>688</v>
      </c>
      <c r="AG290" t="s">
        <v>2373</v>
      </c>
      <c r="AI290" t="s">
        <v>1050</v>
      </c>
    </row>
    <row r="291" spans="28:35">
      <c r="AB291">
        <v>64944</v>
      </c>
      <c r="AC291" t="s">
        <v>933</v>
      </c>
      <c r="AD291" s="58" t="s">
        <v>2918</v>
      </c>
      <c r="AE291" t="s">
        <v>1036</v>
      </c>
      <c r="AF291" t="s">
        <v>688</v>
      </c>
      <c r="AG291" t="s">
        <v>2373</v>
      </c>
      <c r="AI291" t="s">
        <v>1051</v>
      </c>
    </row>
    <row r="292" spans="28:35">
      <c r="AB292">
        <v>64999</v>
      </c>
      <c r="AC292" t="s">
        <v>933</v>
      </c>
      <c r="AD292" s="58" t="s">
        <v>2918</v>
      </c>
      <c r="AE292" t="s">
        <v>1036</v>
      </c>
      <c r="AF292" t="s">
        <v>688</v>
      </c>
      <c r="AG292" t="s">
        <v>2373</v>
      </c>
      <c r="AI292" t="s">
        <v>1053</v>
      </c>
    </row>
    <row r="293" spans="28:35">
      <c r="AB293">
        <v>64060</v>
      </c>
      <c r="AC293" t="s">
        <v>914</v>
      </c>
      <c r="AD293" t="s">
        <v>2373</v>
      </c>
      <c r="AE293" t="s">
        <v>906</v>
      </c>
      <c r="AF293" t="s">
        <v>2373</v>
      </c>
      <c r="AG293" t="s">
        <v>719</v>
      </c>
      <c r="AI293" t="s">
        <v>954</v>
      </c>
    </row>
    <row r="294" spans="28:35">
      <c r="AB294">
        <v>65261</v>
      </c>
      <c r="AC294" t="s">
        <v>889</v>
      </c>
      <c r="AD294" t="s">
        <v>2373</v>
      </c>
      <c r="AE294" t="s">
        <v>884</v>
      </c>
      <c r="AF294" t="s">
        <v>2373</v>
      </c>
      <c r="AG294" t="s">
        <v>719</v>
      </c>
      <c r="AI294" t="s">
        <v>869</v>
      </c>
    </row>
    <row r="295" spans="28:35">
      <c r="AB295">
        <v>64463</v>
      </c>
      <c r="AC295" t="s">
        <v>977</v>
      </c>
      <c r="AD295" t="s">
        <v>2373</v>
      </c>
      <c r="AE295" t="s">
        <v>926</v>
      </c>
      <c r="AF295" t="s">
        <v>2373</v>
      </c>
      <c r="AG295" t="s">
        <v>719</v>
      </c>
      <c r="AI295" t="s">
        <v>924</v>
      </c>
    </row>
    <row r="296" spans="28:35">
      <c r="AB296">
        <v>64061</v>
      </c>
      <c r="AC296" t="s">
        <v>979</v>
      </c>
      <c r="AD296" t="s">
        <v>2373</v>
      </c>
      <c r="AE296" t="s">
        <v>1075</v>
      </c>
      <c r="AF296" t="s">
        <v>2373</v>
      </c>
      <c r="AG296" t="s">
        <v>719</v>
      </c>
      <c r="AI296" t="s">
        <v>776</v>
      </c>
    </row>
    <row r="297" spans="28:35">
      <c r="AB297">
        <v>65305</v>
      </c>
      <c r="AC297" t="s">
        <v>981</v>
      </c>
      <c r="AD297" t="s">
        <v>691</v>
      </c>
      <c r="AE297" t="s">
        <v>1075</v>
      </c>
      <c r="AF297" t="s">
        <v>2373</v>
      </c>
      <c r="AG297" t="s">
        <v>2373</v>
      </c>
      <c r="AI297" t="s">
        <v>895</v>
      </c>
    </row>
    <row r="298" spans="28:35">
      <c r="AB298">
        <v>65336</v>
      </c>
      <c r="AC298" t="s">
        <v>981</v>
      </c>
      <c r="AD298" t="s">
        <v>691</v>
      </c>
      <c r="AE298" t="s">
        <v>1075</v>
      </c>
      <c r="AF298" t="s">
        <v>2373</v>
      </c>
      <c r="AG298" t="s">
        <v>2373</v>
      </c>
      <c r="AI298" t="s">
        <v>2840</v>
      </c>
    </row>
    <row r="299" spans="28:35">
      <c r="AB299">
        <v>65337</v>
      </c>
      <c r="AC299" t="s">
        <v>983</v>
      </c>
      <c r="AD299" t="s">
        <v>2373</v>
      </c>
      <c r="AE299" t="s">
        <v>1094</v>
      </c>
      <c r="AF299" t="s">
        <v>2373</v>
      </c>
      <c r="AG299" t="s">
        <v>719</v>
      </c>
      <c r="AI299" t="s">
        <v>1054</v>
      </c>
    </row>
    <row r="300" spans="28:35">
      <c r="AB300">
        <v>64746</v>
      </c>
      <c r="AC300" t="s">
        <v>865</v>
      </c>
      <c r="AD300" t="s">
        <v>2373</v>
      </c>
      <c r="AE300" t="s">
        <v>851</v>
      </c>
      <c r="AF300" t="s">
        <v>2373</v>
      </c>
      <c r="AG300" t="s">
        <v>719</v>
      </c>
      <c r="AI300" t="s">
        <v>1055</v>
      </c>
    </row>
    <row r="301" spans="28:35">
      <c r="AB301">
        <v>64076</v>
      </c>
      <c r="AC301" t="s">
        <v>985</v>
      </c>
      <c r="AD301" t="s">
        <v>2373</v>
      </c>
      <c r="AE301" t="s">
        <v>1081</v>
      </c>
      <c r="AF301" t="s">
        <v>2373</v>
      </c>
      <c r="AG301" t="s">
        <v>719</v>
      </c>
      <c r="AI301" t="s">
        <v>804</v>
      </c>
    </row>
    <row r="302" spans="28:35">
      <c r="AB302">
        <v>64063</v>
      </c>
      <c r="AC302" t="s">
        <v>986</v>
      </c>
      <c r="AD302" t="s">
        <v>2373</v>
      </c>
      <c r="AE302" t="s">
        <v>1036</v>
      </c>
      <c r="AF302" t="s">
        <v>688</v>
      </c>
      <c r="AG302" t="s">
        <v>719</v>
      </c>
      <c r="AI302" t="s">
        <v>925</v>
      </c>
    </row>
    <row r="303" spans="28:35">
      <c r="AB303">
        <v>64086</v>
      </c>
      <c r="AC303" t="s">
        <v>986</v>
      </c>
      <c r="AD303" t="s">
        <v>2373</v>
      </c>
      <c r="AE303" t="s">
        <v>1036</v>
      </c>
      <c r="AF303" t="s">
        <v>688</v>
      </c>
      <c r="AG303" t="s">
        <v>719</v>
      </c>
      <c r="AI303" t="s">
        <v>1056</v>
      </c>
    </row>
    <row r="304" spans="28:35">
      <c r="AB304">
        <v>64015</v>
      </c>
      <c r="AC304" t="s">
        <v>987</v>
      </c>
      <c r="AD304" t="s">
        <v>2843</v>
      </c>
      <c r="AE304" t="s">
        <v>1036</v>
      </c>
      <c r="AF304" t="s">
        <v>688</v>
      </c>
      <c r="AG304" t="s">
        <v>2373</v>
      </c>
      <c r="AI304" t="s">
        <v>871</v>
      </c>
    </row>
    <row r="305" spans="28:35">
      <c r="AB305">
        <v>64640</v>
      </c>
      <c r="AC305" t="s">
        <v>970</v>
      </c>
      <c r="AD305" t="s">
        <v>2373</v>
      </c>
      <c r="AE305" t="s">
        <v>966</v>
      </c>
      <c r="AF305" t="s">
        <v>2373</v>
      </c>
      <c r="AG305" t="s">
        <v>719</v>
      </c>
      <c r="AI305" t="s">
        <v>695</v>
      </c>
    </row>
    <row r="306" spans="28:35">
      <c r="AB306">
        <v>64151</v>
      </c>
      <c r="AC306" t="s">
        <v>988</v>
      </c>
      <c r="AD306" t="s">
        <v>2373</v>
      </c>
      <c r="AE306" t="s">
        <v>1095</v>
      </c>
      <c r="AF306" t="s">
        <v>1661</v>
      </c>
      <c r="AG306" t="s">
        <v>2373</v>
      </c>
      <c r="AI306" t="s">
        <v>1057</v>
      </c>
    </row>
    <row r="307" spans="28:35">
      <c r="AB307">
        <v>64034</v>
      </c>
      <c r="AC307" t="s">
        <v>990</v>
      </c>
      <c r="AD307" t="s">
        <v>2373</v>
      </c>
      <c r="AE307" t="s">
        <v>1036</v>
      </c>
      <c r="AF307" t="s">
        <v>688</v>
      </c>
      <c r="AG307" t="s">
        <v>719</v>
      </c>
      <c r="AI307" t="s">
        <v>729</v>
      </c>
    </row>
    <row r="308" spans="28:35">
      <c r="AB308">
        <v>65338</v>
      </c>
      <c r="AC308" t="s">
        <v>795</v>
      </c>
      <c r="AD308" t="s">
        <v>2373</v>
      </c>
      <c r="AE308" t="s">
        <v>786</v>
      </c>
      <c r="AF308" t="s">
        <v>2373</v>
      </c>
      <c r="AG308" t="s">
        <v>719</v>
      </c>
      <c r="AI308" t="s">
        <v>1058</v>
      </c>
    </row>
    <row r="309" spans="28:35">
      <c r="AB309">
        <v>64759</v>
      </c>
      <c r="AC309" t="s">
        <v>755</v>
      </c>
      <c r="AD309" t="s">
        <v>2373</v>
      </c>
      <c r="AE309" t="s">
        <v>748</v>
      </c>
      <c r="AF309" t="s">
        <v>2373</v>
      </c>
      <c r="AG309" t="s">
        <v>719</v>
      </c>
      <c r="AI309" t="s">
        <v>778</v>
      </c>
    </row>
    <row r="310" spans="28:35">
      <c r="AB310">
        <v>64759</v>
      </c>
      <c r="AC310" t="s">
        <v>2832</v>
      </c>
      <c r="AD310" t="s">
        <v>2373</v>
      </c>
      <c r="AE310" t="s">
        <v>748</v>
      </c>
      <c r="AF310" t="s">
        <v>2373</v>
      </c>
      <c r="AG310" t="s">
        <v>719</v>
      </c>
      <c r="AI310" t="s">
        <v>1059</v>
      </c>
    </row>
    <row r="311" spans="28:35">
      <c r="AB311">
        <v>64446</v>
      </c>
      <c r="AC311" t="s">
        <v>737</v>
      </c>
      <c r="AD311" t="s">
        <v>2373</v>
      </c>
      <c r="AE311" t="s">
        <v>735</v>
      </c>
      <c r="AF311" t="s">
        <v>2373</v>
      </c>
      <c r="AG311" t="s">
        <v>719</v>
      </c>
      <c r="AI311" t="s">
        <v>1060</v>
      </c>
    </row>
    <row r="312" spans="28:35">
      <c r="AB312">
        <v>64652</v>
      </c>
      <c r="AC312" t="s">
        <v>993</v>
      </c>
      <c r="AD312" t="s">
        <v>2373</v>
      </c>
      <c r="AE312" t="s">
        <v>994</v>
      </c>
      <c r="AF312" t="s">
        <v>2373</v>
      </c>
      <c r="AG312" t="s">
        <v>719</v>
      </c>
      <c r="AI312" t="s">
        <v>1007</v>
      </c>
    </row>
    <row r="313" spans="28:35">
      <c r="AB313">
        <v>64465</v>
      </c>
      <c r="AC313" t="s">
        <v>952</v>
      </c>
      <c r="AD313" t="s">
        <v>689</v>
      </c>
      <c r="AE313" t="s">
        <v>831</v>
      </c>
      <c r="AF313" t="s">
        <v>2373</v>
      </c>
      <c r="AG313" t="s">
        <v>2373</v>
      </c>
      <c r="AI313" t="s">
        <v>2838</v>
      </c>
    </row>
    <row r="314" spans="28:35">
      <c r="AB314">
        <v>64747</v>
      </c>
      <c r="AC314" t="s">
        <v>866</v>
      </c>
      <c r="AD314" t="s">
        <v>2373</v>
      </c>
      <c r="AE314" t="s">
        <v>851</v>
      </c>
      <c r="AF314" t="s">
        <v>2373</v>
      </c>
      <c r="AG314" t="s">
        <v>719</v>
      </c>
      <c r="AI314" t="s">
        <v>696</v>
      </c>
    </row>
    <row r="315" spans="28:35">
      <c r="AB315">
        <v>64062</v>
      </c>
      <c r="AC315" t="s">
        <v>998</v>
      </c>
      <c r="AD315" t="s">
        <v>2373</v>
      </c>
      <c r="AE315" t="s">
        <v>1096</v>
      </c>
      <c r="AF315" t="s">
        <v>2373</v>
      </c>
      <c r="AG315" t="s">
        <v>719</v>
      </c>
      <c r="AI315" t="s">
        <v>1034</v>
      </c>
    </row>
    <row r="316" spans="28:35">
      <c r="AB316">
        <v>64063</v>
      </c>
      <c r="AC316" t="s">
        <v>999</v>
      </c>
      <c r="AD316" t="s">
        <v>2373</v>
      </c>
      <c r="AE316" t="s">
        <v>1036</v>
      </c>
      <c r="AF316" t="s">
        <v>688</v>
      </c>
      <c r="AG316" t="s">
        <v>719</v>
      </c>
      <c r="AI316" t="s">
        <v>2839</v>
      </c>
    </row>
    <row r="317" spans="28:35">
      <c r="AB317">
        <v>64064</v>
      </c>
      <c r="AC317" t="s">
        <v>999</v>
      </c>
      <c r="AD317" t="s">
        <v>2373</v>
      </c>
      <c r="AE317" t="s">
        <v>1036</v>
      </c>
      <c r="AF317" t="s">
        <v>688</v>
      </c>
      <c r="AG317" t="s">
        <v>719</v>
      </c>
      <c r="AI317" t="s">
        <v>739</v>
      </c>
    </row>
    <row r="318" spans="28:35">
      <c r="AB318">
        <v>64065</v>
      </c>
      <c r="AC318" t="s">
        <v>999</v>
      </c>
      <c r="AD318" t="s">
        <v>2373</v>
      </c>
      <c r="AE318" t="s">
        <v>1036</v>
      </c>
      <c r="AF318" t="s">
        <v>688</v>
      </c>
      <c r="AG318" t="s">
        <v>719</v>
      </c>
      <c r="AI318" t="s">
        <v>780</v>
      </c>
    </row>
    <row r="319" spans="28:35">
      <c r="AB319">
        <v>64081</v>
      </c>
      <c r="AC319" t="s">
        <v>999</v>
      </c>
      <c r="AD319" t="s">
        <v>2373</v>
      </c>
      <c r="AE319" t="s">
        <v>1036</v>
      </c>
      <c r="AF319" t="s">
        <v>688</v>
      </c>
      <c r="AG319" t="s">
        <v>719</v>
      </c>
      <c r="AI319" t="s">
        <v>1061</v>
      </c>
    </row>
    <row r="320" spans="28:35">
      <c r="AB320">
        <v>64082</v>
      </c>
      <c r="AC320" t="s">
        <v>999</v>
      </c>
      <c r="AD320" t="s">
        <v>2373</v>
      </c>
      <c r="AE320" t="s">
        <v>1036</v>
      </c>
      <c r="AF320" t="s">
        <v>688</v>
      </c>
      <c r="AG320" t="s">
        <v>719</v>
      </c>
      <c r="AI320" t="s">
        <v>731</v>
      </c>
    </row>
    <row r="321" spans="28:35">
      <c r="AB321">
        <v>64086</v>
      </c>
      <c r="AC321" t="s">
        <v>999</v>
      </c>
      <c r="AD321" t="s">
        <v>2373</v>
      </c>
      <c r="AE321" t="s">
        <v>1036</v>
      </c>
      <c r="AF321" t="s">
        <v>688</v>
      </c>
      <c r="AG321" t="s">
        <v>719</v>
      </c>
      <c r="AI321" t="s">
        <v>897</v>
      </c>
    </row>
    <row r="322" spans="28:35">
      <c r="AB322">
        <v>64761</v>
      </c>
      <c r="AC322" t="s">
        <v>1000</v>
      </c>
      <c r="AD322" t="s">
        <v>2373</v>
      </c>
      <c r="AE322" t="s">
        <v>1075</v>
      </c>
      <c r="AF322" t="s">
        <v>2373</v>
      </c>
      <c r="AG322" t="s">
        <v>719</v>
      </c>
      <c r="AI322" t="s">
        <v>1062</v>
      </c>
    </row>
    <row r="323" spans="28:35">
      <c r="AB323">
        <v>64066</v>
      </c>
      <c r="AC323" t="s">
        <v>1001</v>
      </c>
      <c r="AD323" t="s">
        <v>2373</v>
      </c>
      <c r="AE323" t="s">
        <v>1036</v>
      </c>
      <c r="AF323" t="s">
        <v>688</v>
      </c>
      <c r="AG323" t="s">
        <v>719</v>
      </c>
      <c r="AI323" t="s">
        <v>822</v>
      </c>
    </row>
    <row r="324" spans="28:35">
      <c r="AB324">
        <v>64484</v>
      </c>
      <c r="AC324" t="s">
        <v>2833</v>
      </c>
      <c r="AD324" t="s">
        <v>2373</v>
      </c>
      <c r="AE324" t="s">
        <v>814</v>
      </c>
      <c r="AF324" t="s">
        <v>2373</v>
      </c>
      <c r="AG324" t="s">
        <v>719</v>
      </c>
      <c r="AI324" t="s">
        <v>806</v>
      </c>
    </row>
    <row r="325" spans="28:35">
      <c r="AB325">
        <v>65323</v>
      </c>
      <c r="AC325" t="s">
        <v>1002</v>
      </c>
      <c r="AD325" t="s">
        <v>2373</v>
      </c>
      <c r="AE325" t="s">
        <v>1008</v>
      </c>
      <c r="AF325" t="s">
        <v>2373</v>
      </c>
      <c r="AG325" t="s">
        <v>719</v>
      </c>
      <c r="AI325" t="s">
        <v>824</v>
      </c>
    </row>
    <row r="326" spans="28:35">
      <c r="AB326">
        <v>64067</v>
      </c>
      <c r="AC326" t="s">
        <v>1003</v>
      </c>
      <c r="AD326" t="s">
        <v>1661</v>
      </c>
      <c r="AE326" t="s">
        <v>1081</v>
      </c>
      <c r="AF326" t="s">
        <v>2373</v>
      </c>
      <c r="AG326" t="s">
        <v>2373</v>
      </c>
      <c r="AI326" t="s">
        <v>1063</v>
      </c>
    </row>
    <row r="327" spans="28:35">
      <c r="AB327">
        <v>64762</v>
      </c>
      <c r="AC327" t="s">
        <v>757</v>
      </c>
      <c r="AD327" t="s">
        <v>2373</v>
      </c>
      <c r="AE327" t="s">
        <v>748</v>
      </c>
      <c r="AF327" t="s">
        <v>2373</v>
      </c>
      <c r="AG327" t="s">
        <v>719</v>
      </c>
      <c r="AI327" t="s">
        <v>899</v>
      </c>
    </row>
    <row r="328" spans="28:35">
      <c r="AB328">
        <v>64068</v>
      </c>
      <c r="AC328" t="s">
        <v>916</v>
      </c>
      <c r="AD328" t="s">
        <v>2373</v>
      </c>
      <c r="AE328" t="s">
        <v>906</v>
      </c>
      <c r="AF328" t="s">
        <v>2373</v>
      </c>
      <c r="AG328" t="s">
        <v>719</v>
      </c>
      <c r="AI328" t="s">
        <v>1064</v>
      </c>
    </row>
    <row r="329" spans="28:35">
      <c r="AB329">
        <v>64069</v>
      </c>
      <c r="AC329" t="s">
        <v>916</v>
      </c>
      <c r="AD329" t="s">
        <v>2373</v>
      </c>
      <c r="AE329" t="s">
        <v>906</v>
      </c>
      <c r="AF329" t="s">
        <v>2373</v>
      </c>
      <c r="AG329" t="s">
        <v>719</v>
      </c>
      <c r="AI329" t="s">
        <v>732</v>
      </c>
    </row>
    <row r="330" spans="28:35">
      <c r="AB330">
        <v>65338</v>
      </c>
      <c r="AC330" t="s">
        <v>796</v>
      </c>
      <c r="AD330" t="s">
        <v>2373</v>
      </c>
      <c r="AE330" t="s">
        <v>786</v>
      </c>
      <c r="AF330" t="s">
        <v>2373</v>
      </c>
      <c r="AG330" t="s">
        <v>719</v>
      </c>
      <c r="AI330" t="s">
        <v>1065</v>
      </c>
    </row>
    <row r="331" spans="28:35">
      <c r="AB331">
        <v>64654</v>
      </c>
      <c r="AC331" t="s">
        <v>972</v>
      </c>
      <c r="AD331" t="s">
        <v>2373</v>
      </c>
      <c r="AE331" t="s">
        <v>966</v>
      </c>
      <c r="AF331" t="s">
        <v>2373</v>
      </c>
      <c r="AG331" t="s">
        <v>719</v>
      </c>
      <c r="AI331" t="s">
        <v>694</v>
      </c>
    </row>
    <row r="332" spans="28:35">
      <c r="AB332">
        <v>65682</v>
      </c>
      <c r="AC332" t="s">
        <v>963</v>
      </c>
      <c r="AD332" t="s">
        <v>2373</v>
      </c>
      <c r="AE332" t="s">
        <v>958</v>
      </c>
      <c r="AF332" t="s">
        <v>2373</v>
      </c>
      <c r="AG332" t="s">
        <v>719</v>
      </c>
      <c r="AI332" t="s">
        <v>1066</v>
      </c>
    </row>
    <row r="333" spans="28:35">
      <c r="AB333">
        <v>64070</v>
      </c>
      <c r="AC333" t="s">
        <v>1009</v>
      </c>
      <c r="AD333" t="s">
        <v>2373</v>
      </c>
      <c r="AE333" t="s">
        <v>1036</v>
      </c>
      <c r="AF333" t="s">
        <v>688</v>
      </c>
      <c r="AG333" t="s">
        <v>719</v>
      </c>
      <c r="AI333" t="s">
        <v>1067</v>
      </c>
    </row>
    <row r="334" spans="28:35">
      <c r="AB334">
        <v>65301</v>
      </c>
      <c r="AC334" t="s">
        <v>1010</v>
      </c>
      <c r="AD334" t="s">
        <v>2373</v>
      </c>
      <c r="AE334" t="s">
        <v>1094</v>
      </c>
      <c r="AF334" t="s">
        <v>2373</v>
      </c>
      <c r="AG334" t="s">
        <v>719</v>
      </c>
      <c r="AI334" t="s">
        <v>1068</v>
      </c>
    </row>
    <row r="335" spans="28:35">
      <c r="AB335">
        <v>65334</v>
      </c>
      <c r="AC335" t="s">
        <v>1010</v>
      </c>
      <c r="AD335" t="s">
        <v>2373</v>
      </c>
      <c r="AE335" t="s">
        <v>1094</v>
      </c>
      <c r="AF335" t="s">
        <v>2373</v>
      </c>
      <c r="AG335" t="s">
        <v>719</v>
      </c>
      <c r="AI335" t="s">
        <v>1048</v>
      </c>
    </row>
    <row r="336" spans="28:35">
      <c r="AB336">
        <v>64763</v>
      </c>
      <c r="AC336" t="s">
        <v>1011</v>
      </c>
      <c r="AD336" t="s">
        <v>2373</v>
      </c>
      <c r="AE336" t="s">
        <v>1097</v>
      </c>
      <c r="AF336" t="s">
        <v>2373</v>
      </c>
      <c r="AG336" t="s">
        <v>719</v>
      </c>
      <c r="AI336" t="s">
        <v>1069</v>
      </c>
    </row>
    <row r="337" spans="28:35">
      <c r="AB337">
        <v>64656</v>
      </c>
      <c r="AC337" t="s">
        <v>1012</v>
      </c>
      <c r="AD337" t="s">
        <v>2373</v>
      </c>
      <c r="AE337" t="s">
        <v>1089</v>
      </c>
      <c r="AF337" t="s">
        <v>2373</v>
      </c>
      <c r="AG337" t="s">
        <v>719</v>
      </c>
      <c r="AI337" t="s">
        <v>1070</v>
      </c>
    </row>
    <row r="338" spans="28:35">
      <c r="AB338">
        <v>64466</v>
      </c>
      <c r="AC338" t="s">
        <v>1013</v>
      </c>
      <c r="AD338" t="s">
        <v>2373</v>
      </c>
      <c r="AE338" t="s">
        <v>911</v>
      </c>
      <c r="AF338" t="s">
        <v>2373</v>
      </c>
      <c r="AG338" t="s">
        <v>719</v>
      </c>
      <c r="AI338" t="s">
        <v>1071</v>
      </c>
    </row>
    <row r="339" spans="28:35">
      <c r="AB339">
        <v>65339</v>
      </c>
      <c r="AC339" t="s">
        <v>1014</v>
      </c>
      <c r="AD339" t="s">
        <v>2373</v>
      </c>
      <c r="AE339" t="s">
        <v>1098</v>
      </c>
      <c r="AF339" t="s">
        <v>2373</v>
      </c>
      <c r="AG339" t="s">
        <v>719</v>
      </c>
      <c r="AI339" t="s">
        <v>699</v>
      </c>
    </row>
    <row r="340" spans="28:35">
      <c r="AB340">
        <v>65340</v>
      </c>
      <c r="AC340" t="s">
        <v>1016</v>
      </c>
      <c r="AD340" t="s">
        <v>690</v>
      </c>
      <c r="AE340" t="s">
        <v>1098</v>
      </c>
      <c r="AF340" t="s">
        <v>2373</v>
      </c>
      <c r="AG340" t="s">
        <v>2373</v>
      </c>
      <c r="AI340" t="s">
        <v>901</v>
      </c>
    </row>
    <row r="341" spans="28:35">
      <c r="AB341">
        <v>65340</v>
      </c>
      <c r="AC341" t="s">
        <v>1018</v>
      </c>
      <c r="AD341" t="s">
        <v>2373</v>
      </c>
      <c r="AE341" t="s">
        <v>1098</v>
      </c>
      <c r="AF341" t="s">
        <v>2373</v>
      </c>
      <c r="AG341" t="s">
        <v>719</v>
      </c>
      <c r="AI341" t="s">
        <v>964</v>
      </c>
    </row>
    <row r="342" spans="28:35">
      <c r="AB342">
        <v>64147</v>
      </c>
      <c r="AC342" t="s">
        <v>1020</v>
      </c>
      <c r="AD342" t="s">
        <v>2373</v>
      </c>
      <c r="AE342" t="s">
        <v>1036</v>
      </c>
      <c r="AF342" t="s">
        <v>688</v>
      </c>
      <c r="AG342" t="s">
        <v>719</v>
      </c>
      <c r="AI342" t="s">
        <v>995</v>
      </c>
    </row>
    <row r="343" spans="28:35">
      <c r="AB343">
        <v>64467</v>
      </c>
      <c r="AC343" t="s">
        <v>1004</v>
      </c>
      <c r="AD343" t="s">
        <v>2373</v>
      </c>
      <c r="AE343" t="s">
        <v>997</v>
      </c>
      <c r="AF343" t="s">
        <v>2373</v>
      </c>
      <c r="AG343" t="s">
        <v>719</v>
      </c>
      <c r="AI343" t="s">
        <v>1072</v>
      </c>
    </row>
    <row r="344" spans="28:35">
      <c r="AB344">
        <v>64468</v>
      </c>
      <c r="AC344" t="s">
        <v>1022</v>
      </c>
      <c r="AD344" t="s">
        <v>2373</v>
      </c>
      <c r="AE344" t="s">
        <v>1093</v>
      </c>
      <c r="AF344" t="s">
        <v>2373</v>
      </c>
      <c r="AG344" t="s">
        <v>719</v>
      </c>
      <c r="AI344" t="s">
        <v>992</v>
      </c>
    </row>
    <row r="345" spans="28:35">
      <c r="AB345">
        <v>64469</v>
      </c>
      <c r="AC345" t="s">
        <v>976</v>
      </c>
      <c r="AD345" t="s">
        <v>2373</v>
      </c>
      <c r="AE345" t="s">
        <v>975</v>
      </c>
      <c r="AF345" t="s">
        <v>2373</v>
      </c>
      <c r="AG345" t="s">
        <v>719</v>
      </c>
      <c r="AI345" t="s">
        <v>846</v>
      </c>
    </row>
    <row r="346" spans="28:35">
      <c r="AB346">
        <v>64071</v>
      </c>
      <c r="AC346" t="s">
        <v>1023</v>
      </c>
      <c r="AD346" t="s">
        <v>2373</v>
      </c>
      <c r="AE346" t="s">
        <v>1081</v>
      </c>
      <c r="AF346" t="s">
        <v>2373</v>
      </c>
      <c r="AG346" t="s">
        <v>719</v>
      </c>
      <c r="AI346" t="s">
        <v>980</v>
      </c>
    </row>
    <row r="347" spans="28:35">
      <c r="AB347">
        <v>64657</v>
      </c>
      <c r="AC347" t="s">
        <v>989</v>
      </c>
      <c r="AD347" t="s">
        <v>2373</v>
      </c>
      <c r="AE347" t="s">
        <v>926</v>
      </c>
      <c r="AF347" t="s">
        <v>2373</v>
      </c>
      <c r="AG347" t="s">
        <v>719</v>
      </c>
      <c r="AI347" t="s">
        <v>883</v>
      </c>
    </row>
    <row r="348" spans="28:35">
      <c r="AB348">
        <v>64657</v>
      </c>
      <c r="AC348" t="s">
        <v>991</v>
      </c>
      <c r="AD348" t="s">
        <v>2373</v>
      </c>
      <c r="AE348" t="s">
        <v>926</v>
      </c>
      <c r="AF348" t="s">
        <v>2373</v>
      </c>
      <c r="AG348" t="s">
        <v>719</v>
      </c>
      <c r="AI348" t="s">
        <v>782</v>
      </c>
    </row>
    <row r="349" spans="28:35">
      <c r="AB349">
        <v>64660</v>
      </c>
      <c r="AC349" t="s">
        <v>891</v>
      </c>
      <c r="AD349" t="s">
        <v>2373</v>
      </c>
      <c r="AE349" t="s">
        <v>884</v>
      </c>
      <c r="AF349" t="s">
        <v>2373</v>
      </c>
      <c r="AG349" t="s">
        <v>719</v>
      </c>
      <c r="AI349" t="s">
        <v>874</v>
      </c>
    </row>
    <row r="350" spans="28:35">
      <c r="AB350">
        <v>64661</v>
      </c>
      <c r="AC350" t="s">
        <v>1025</v>
      </c>
      <c r="AD350" t="s">
        <v>2373</v>
      </c>
      <c r="AE350" t="s">
        <v>1025</v>
      </c>
      <c r="AF350" t="s">
        <v>2373</v>
      </c>
      <c r="AG350" t="s">
        <v>719</v>
      </c>
      <c r="AI350" t="s">
        <v>1049</v>
      </c>
    </row>
    <row r="351" spans="28:35">
      <c r="AB351">
        <v>64765</v>
      </c>
      <c r="AC351" t="s">
        <v>1026</v>
      </c>
      <c r="AD351" t="s">
        <v>2373</v>
      </c>
      <c r="AE351" t="s">
        <v>1099</v>
      </c>
      <c r="AF351" t="s">
        <v>2373</v>
      </c>
      <c r="AG351" t="s">
        <v>719</v>
      </c>
      <c r="AI351" t="s">
        <v>903</v>
      </c>
    </row>
    <row r="352" spans="28:35">
      <c r="AB352">
        <v>65344</v>
      </c>
      <c r="AC352" t="s">
        <v>1028</v>
      </c>
      <c r="AD352" t="s">
        <v>2373</v>
      </c>
      <c r="AE352" t="s">
        <v>1098</v>
      </c>
      <c r="AF352" t="s">
        <v>2373</v>
      </c>
      <c r="AG352" t="s">
        <v>719</v>
      </c>
      <c r="AI352" t="s">
        <v>1073</v>
      </c>
    </row>
    <row r="353" spans="28:35">
      <c r="AB353">
        <v>64766</v>
      </c>
      <c r="AC353" t="s">
        <v>759</v>
      </c>
      <c r="AD353" t="s">
        <v>2373</v>
      </c>
      <c r="AE353" t="s">
        <v>748</v>
      </c>
      <c r="AF353" t="s">
        <v>2373</v>
      </c>
      <c r="AG353" t="s">
        <v>719</v>
      </c>
      <c r="AI353" t="s">
        <v>783</v>
      </c>
    </row>
    <row r="354" spans="28:35">
      <c r="AB354">
        <v>64767</v>
      </c>
      <c r="AC354" t="s">
        <v>1029</v>
      </c>
      <c r="AD354" t="s">
        <v>2373</v>
      </c>
      <c r="AE354" t="s">
        <v>1099</v>
      </c>
      <c r="AF354" t="s">
        <v>2373</v>
      </c>
      <c r="AG354" t="s">
        <v>719</v>
      </c>
      <c r="AI354" t="s">
        <v>833</v>
      </c>
    </row>
    <row r="355" spans="28:35">
      <c r="AB355">
        <v>64769</v>
      </c>
      <c r="AC355" t="s">
        <v>761</v>
      </c>
      <c r="AD355" t="s">
        <v>2373</v>
      </c>
      <c r="AE355" t="s">
        <v>748</v>
      </c>
      <c r="AF355" t="s">
        <v>2373</v>
      </c>
      <c r="AG355" t="s">
        <v>719</v>
      </c>
      <c r="AI355" t="s">
        <v>741</v>
      </c>
    </row>
    <row r="356" spans="28:35">
      <c r="AB356">
        <v>64072</v>
      </c>
      <c r="AC356" t="s">
        <v>918</v>
      </c>
      <c r="AD356" t="s">
        <v>2373</v>
      </c>
      <c r="AE356" t="s">
        <v>906</v>
      </c>
      <c r="AF356" t="s">
        <v>2373</v>
      </c>
      <c r="AG356" t="s">
        <v>719</v>
      </c>
      <c r="AI356" t="s">
        <v>1074</v>
      </c>
    </row>
    <row r="357" spans="28:35">
      <c r="AB357">
        <v>65270</v>
      </c>
      <c r="AC357" t="s">
        <v>1030</v>
      </c>
      <c r="AD357" t="s">
        <v>689</v>
      </c>
      <c r="AE357" t="s">
        <v>925</v>
      </c>
      <c r="AF357" t="s">
        <v>2373</v>
      </c>
      <c r="AG357" t="s">
        <v>2373</v>
      </c>
      <c r="AI357" t="s">
        <v>1017</v>
      </c>
    </row>
    <row r="358" spans="28:35">
      <c r="AB358">
        <v>64770</v>
      </c>
      <c r="AC358" t="s">
        <v>1015</v>
      </c>
      <c r="AD358" t="s">
        <v>2373</v>
      </c>
      <c r="AE358" t="s">
        <v>1008</v>
      </c>
      <c r="AF358" t="s">
        <v>2373</v>
      </c>
      <c r="AG358" t="s">
        <v>719</v>
      </c>
      <c r="AI358" t="s">
        <v>847</v>
      </c>
    </row>
    <row r="359" spans="28:35">
      <c r="AB359">
        <v>65336</v>
      </c>
      <c r="AC359" t="s">
        <v>1033</v>
      </c>
      <c r="AD359" t="s">
        <v>2373</v>
      </c>
      <c r="AE359" t="s">
        <v>1075</v>
      </c>
      <c r="AF359" t="s">
        <v>2373</v>
      </c>
      <c r="AG359" t="s">
        <v>719</v>
      </c>
      <c r="AI359" t="s">
        <v>1076</v>
      </c>
    </row>
    <row r="360" spans="28:35">
      <c r="AB360">
        <v>64664</v>
      </c>
      <c r="AC360" t="s">
        <v>1035</v>
      </c>
      <c r="AD360" t="s">
        <v>2373</v>
      </c>
      <c r="AE360" t="s">
        <v>1089</v>
      </c>
      <c r="AF360" t="s">
        <v>2373</v>
      </c>
      <c r="AG360" t="s">
        <v>719</v>
      </c>
      <c r="AI360" t="s">
        <v>996</v>
      </c>
    </row>
    <row r="361" spans="28:35">
      <c r="AB361">
        <v>65345</v>
      </c>
      <c r="AC361" t="s">
        <v>1037</v>
      </c>
      <c r="AD361" t="s">
        <v>2373</v>
      </c>
      <c r="AE361" t="s">
        <v>1094</v>
      </c>
      <c r="AF361" t="s">
        <v>2373</v>
      </c>
      <c r="AG361" t="s">
        <v>719</v>
      </c>
      <c r="AI361" t="s">
        <v>955</v>
      </c>
    </row>
    <row r="362" spans="28:35">
      <c r="AB362">
        <v>64073</v>
      </c>
      <c r="AC362" t="s">
        <v>920</v>
      </c>
      <c r="AD362" t="s">
        <v>2373</v>
      </c>
      <c r="AE362" t="s">
        <v>906</v>
      </c>
      <c r="AF362" t="s">
        <v>2373</v>
      </c>
      <c r="AG362" t="s">
        <v>719</v>
      </c>
      <c r="AI362" t="s">
        <v>905</v>
      </c>
    </row>
    <row r="363" spans="28:35">
      <c r="AB363">
        <v>64470</v>
      </c>
      <c r="AC363" t="s">
        <v>1024</v>
      </c>
      <c r="AD363" t="s">
        <v>2373</v>
      </c>
      <c r="AE363" t="s">
        <v>911</v>
      </c>
      <c r="AF363" t="s">
        <v>2373</v>
      </c>
      <c r="AG363" t="s">
        <v>719</v>
      </c>
      <c r="AI363" t="s">
        <v>956</v>
      </c>
    </row>
    <row r="364" spans="28:35">
      <c r="AB364">
        <v>64771</v>
      </c>
      <c r="AC364" t="s">
        <v>1038</v>
      </c>
      <c r="AD364" t="s">
        <v>2373</v>
      </c>
      <c r="AE364" t="s">
        <v>1099</v>
      </c>
      <c r="AF364" t="s">
        <v>2373</v>
      </c>
      <c r="AG364" t="s">
        <v>719</v>
      </c>
      <c r="AI364" t="s">
        <v>982</v>
      </c>
    </row>
    <row r="365" spans="28:35">
      <c r="AB365">
        <v>65325</v>
      </c>
      <c r="AC365" t="s">
        <v>798</v>
      </c>
      <c r="AD365" t="s">
        <v>2373</v>
      </c>
      <c r="AE365" t="s">
        <v>786</v>
      </c>
      <c r="AF365" t="s">
        <v>2373</v>
      </c>
      <c r="AG365" t="s">
        <v>719</v>
      </c>
      <c r="AI365" t="s">
        <v>1052</v>
      </c>
    </row>
    <row r="366" spans="28:35">
      <c r="AB366">
        <v>64481</v>
      </c>
      <c r="AC366" t="s">
        <v>1005</v>
      </c>
      <c r="AD366" t="s">
        <v>2373</v>
      </c>
      <c r="AE366" t="s">
        <v>997</v>
      </c>
      <c r="AF366" t="s">
        <v>2373</v>
      </c>
      <c r="AG366" t="s">
        <v>719</v>
      </c>
      <c r="AI366" t="s">
        <v>1078</v>
      </c>
    </row>
    <row r="367" spans="28:35">
      <c r="AB367">
        <v>65261</v>
      </c>
      <c r="AC367" t="s">
        <v>893</v>
      </c>
      <c r="AD367" t="s">
        <v>2373</v>
      </c>
      <c r="AE367" t="s">
        <v>884</v>
      </c>
      <c r="AF367" t="s">
        <v>2373</v>
      </c>
      <c r="AG367" t="s">
        <v>719</v>
      </c>
      <c r="AI367" t="s">
        <v>1019</v>
      </c>
    </row>
    <row r="368" spans="28:35">
      <c r="AB368">
        <v>64067</v>
      </c>
      <c r="AC368" t="s">
        <v>2834</v>
      </c>
      <c r="AD368" t="s">
        <v>2373</v>
      </c>
      <c r="AE368" t="s">
        <v>1081</v>
      </c>
      <c r="AF368" t="s">
        <v>2373</v>
      </c>
      <c r="AG368" t="s">
        <v>719</v>
      </c>
      <c r="AI368" t="s">
        <v>1080</v>
      </c>
    </row>
    <row r="369" spans="28:35">
      <c r="AB369">
        <v>64074</v>
      </c>
      <c r="AC369" t="s">
        <v>1039</v>
      </c>
      <c r="AD369" t="s">
        <v>2373</v>
      </c>
      <c r="AE369" t="s">
        <v>1081</v>
      </c>
      <c r="AF369" t="s">
        <v>2373</v>
      </c>
      <c r="AG369" t="s">
        <v>719</v>
      </c>
      <c r="AI369" t="s">
        <v>1077</v>
      </c>
    </row>
    <row r="370" spans="28:35">
      <c r="AB370">
        <v>65340</v>
      </c>
      <c r="AC370" t="s">
        <v>1040</v>
      </c>
      <c r="AD370" t="s">
        <v>2373</v>
      </c>
      <c r="AE370" t="s">
        <v>1098</v>
      </c>
      <c r="AF370" t="s">
        <v>2373</v>
      </c>
      <c r="AG370" t="s">
        <v>719</v>
      </c>
      <c r="AI370" t="s">
        <v>945</v>
      </c>
    </row>
    <row r="371" spans="28:35">
      <c r="AB371">
        <v>65347</v>
      </c>
      <c r="AC371" t="s">
        <v>1041</v>
      </c>
      <c r="AD371" t="s">
        <v>2373</v>
      </c>
      <c r="AE371" t="s">
        <v>1098</v>
      </c>
      <c r="AF371" t="s">
        <v>2373</v>
      </c>
      <c r="AG371" t="s">
        <v>719</v>
      </c>
      <c r="AI371" t="s">
        <v>1082</v>
      </c>
    </row>
    <row r="372" spans="28:35">
      <c r="AB372">
        <v>64772</v>
      </c>
      <c r="AC372" t="s">
        <v>190</v>
      </c>
      <c r="AD372" t="s">
        <v>2373</v>
      </c>
      <c r="AE372" t="s">
        <v>1099</v>
      </c>
      <c r="AF372" t="s">
        <v>2373</v>
      </c>
      <c r="AG372" t="s">
        <v>719</v>
      </c>
      <c r="AI372" t="s">
        <v>849</v>
      </c>
    </row>
    <row r="373" spans="28:35">
      <c r="AB373">
        <v>65274</v>
      </c>
      <c r="AC373" t="s">
        <v>1031</v>
      </c>
      <c r="AD373" t="s">
        <v>2373</v>
      </c>
      <c r="AE373" t="s">
        <v>1027</v>
      </c>
      <c r="AF373" t="s">
        <v>2373</v>
      </c>
      <c r="AG373" t="s">
        <v>719</v>
      </c>
      <c r="AI373" t="s">
        <v>1083</v>
      </c>
    </row>
    <row r="374" spans="28:35">
      <c r="AB374">
        <v>64471</v>
      </c>
      <c r="AC374" t="s">
        <v>1006</v>
      </c>
      <c r="AD374" t="s">
        <v>2373</v>
      </c>
      <c r="AE374" t="s">
        <v>997</v>
      </c>
      <c r="AF374" t="s">
        <v>2373</v>
      </c>
      <c r="AG374" t="s">
        <v>719</v>
      </c>
      <c r="AI374" t="s">
        <v>1084</v>
      </c>
    </row>
    <row r="375" spans="28:35">
      <c r="AB375">
        <v>64668</v>
      </c>
      <c r="AC375" t="s">
        <v>844</v>
      </c>
      <c r="AD375" t="s">
        <v>2373</v>
      </c>
      <c r="AE375" t="s">
        <v>836</v>
      </c>
      <c r="AF375" t="s">
        <v>2373</v>
      </c>
      <c r="AG375" t="s">
        <v>719</v>
      </c>
      <c r="AI375" t="s">
        <v>700</v>
      </c>
    </row>
    <row r="376" spans="28:35">
      <c r="AB376">
        <v>64116</v>
      </c>
      <c r="AC376" t="s">
        <v>693</v>
      </c>
      <c r="AD376" t="s">
        <v>1661</v>
      </c>
      <c r="AE376" t="s">
        <v>906</v>
      </c>
      <c r="AF376" t="s">
        <v>2373</v>
      </c>
      <c r="AG376" t="s">
        <v>2373</v>
      </c>
      <c r="AI376" t="s">
        <v>808</v>
      </c>
    </row>
    <row r="377" spans="28:35">
      <c r="AB377">
        <v>64117</v>
      </c>
      <c r="AC377" t="s">
        <v>693</v>
      </c>
      <c r="AD377" t="s">
        <v>1661</v>
      </c>
      <c r="AE377" t="s">
        <v>906</v>
      </c>
      <c r="AF377" t="s">
        <v>2373</v>
      </c>
      <c r="AG377" t="s">
        <v>2373</v>
      </c>
      <c r="AI377" t="s">
        <v>743</v>
      </c>
    </row>
    <row r="378" spans="28:35">
      <c r="AB378">
        <v>64151</v>
      </c>
      <c r="AC378" t="s">
        <v>2835</v>
      </c>
      <c r="AD378" t="s">
        <v>2373</v>
      </c>
      <c r="AE378" t="s">
        <v>1095</v>
      </c>
      <c r="AF378" t="s">
        <v>1661</v>
      </c>
      <c r="AG378" t="s">
        <v>2373</v>
      </c>
      <c r="AI378" t="s">
        <v>1085</v>
      </c>
    </row>
    <row r="379" spans="28:35">
      <c r="AB379">
        <v>64075</v>
      </c>
      <c r="AC379" t="s">
        <v>1042</v>
      </c>
      <c r="AD379" t="s">
        <v>2373</v>
      </c>
      <c r="AE379" t="s">
        <v>1036</v>
      </c>
      <c r="AF379" t="s">
        <v>688</v>
      </c>
      <c r="AG379" t="s">
        <v>719</v>
      </c>
      <c r="AI379" t="s">
        <v>984</v>
      </c>
    </row>
    <row r="380" spans="28:35">
      <c r="AB380">
        <v>64118</v>
      </c>
      <c r="AC380" t="s">
        <v>2836</v>
      </c>
      <c r="AD380" t="s">
        <v>2373</v>
      </c>
      <c r="AE380" t="s">
        <v>906</v>
      </c>
      <c r="AF380" t="s">
        <v>2373</v>
      </c>
      <c r="AG380" t="s">
        <v>719</v>
      </c>
      <c r="AI380" t="s">
        <v>1086</v>
      </c>
    </row>
    <row r="381" spans="28:35">
      <c r="AB381">
        <v>64118</v>
      </c>
      <c r="AC381" t="s">
        <v>921</v>
      </c>
      <c r="AD381" t="s">
        <v>2373</v>
      </c>
      <c r="AE381" t="s">
        <v>906</v>
      </c>
      <c r="AF381" t="s">
        <v>2373</v>
      </c>
      <c r="AG381" t="s">
        <v>719</v>
      </c>
      <c r="AI381" t="s">
        <v>1087</v>
      </c>
    </row>
    <row r="382" spans="28:35">
      <c r="AB382">
        <v>64118</v>
      </c>
      <c r="AC382" t="s">
        <v>2837</v>
      </c>
      <c r="AD382" t="s">
        <v>2373</v>
      </c>
      <c r="AE382" t="s">
        <v>906</v>
      </c>
      <c r="AF382" t="s">
        <v>2373</v>
      </c>
      <c r="AG382" t="s">
        <v>719</v>
      </c>
      <c r="AI382" t="s">
        <v>876</v>
      </c>
    </row>
    <row r="383" spans="28:35">
      <c r="AB383">
        <v>64076</v>
      </c>
      <c r="AC383" t="s">
        <v>1043</v>
      </c>
      <c r="AD383" t="s">
        <v>2373</v>
      </c>
      <c r="AE383" t="s">
        <v>1081</v>
      </c>
      <c r="AF383" t="s">
        <v>2373</v>
      </c>
      <c r="AG383" t="s">
        <v>719</v>
      </c>
      <c r="AI383" t="s">
        <v>745</v>
      </c>
    </row>
    <row r="384" spans="28:35">
      <c r="AB384">
        <v>65355</v>
      </c>
      <c r="AC384" t="s">
        <v>800</v>
      </c>
      <c r="AD384" t="s">
        <v>2373</v>
      </c>
      <c r="AE384" t="s">
        <v>786</v>
      </c>
      <c r="AF384" t="s">
        <v>2373</v>
      </c>
      <c r="AG384" t="s">
        <v>719</v>
      </c>
      <c r="AI384" t="s">
        <v>1088</v>
      </c>
    </row>
    <row r="385" spans="28:35">
      <c r="AB385">
        <v>64473</v>
      </c>
      <c r="AC385" t="s">
        <v>226</v>
      </c>
      <c r="AD385" t="s">
        <v>2373</v>
      </c>
      <c r="AE385" t="s">
        <v>911</v>
      </c>
      <c r="AF385" t="s">
        <v>2373</v>
      </c>
      <c r="AG385" t="s">
        <v>719</v>
      </c>
      <c r="AI385" t="s">
        <v>1090</v>
      </c>
    </row>
    <row r="386" spans="28:35">
      <c r="AB386">
        <v>64077</v>
      </c>
      <c r="AC386" t="s">
        <v>1044</v>
      </c>
      <c r="AD386" t="s">
        <v>2373</v>
      </c>
      <c r="AE386" t="s">
        <v>1096</v>
      </c>
      <c r="AF386" t="s">
        <v>2373</v>
      </c>
      <c r="AG386" t="s">
        <v>719</v>
      </c>
      <c r="AI386" t="s">
        <v>810</v>
      </c>
    </row>
    <row r="387" spans="28:35">
      <c r="AB387">
        <v>64474</v>
      </c>
      <c r="AC387" t="s">
        <v>978</v>
      </c>
      <c r="AD387" t="s">
        <v>2373</v>
      </c>
      <c r="AE387" t="s">
        <v>975</v>
      </c>
      <c r="AF387" t="s">
        <v>2373</v>
      </c>
      <c r="AG387" t="s">
        <v>719</v>
      </c>
      <c r="AI387" t="s">
        <v>1079</v>
      </c>
    </row>
    <row r="388" spans="28:35">
      <c r="AB388">
        <v>64776</v>
      </c>
      <c r="AC388" t="s">
        <v>1045</v>
      </c>
      <c r="AD388" t="s">
        <v>2373</v>
      </c>
      <c r="AE388" t="s">
        <v>1097</v>
      </c>
      <c r="AF388" t="s">
        <v>2373</v>
      </c>
      <c r="AG388" t="s">
        <v>719</v>
      </c>
      <c r="AI388" t="s">
        <v>1021</v>
      </c>
    </row>
    <row r="389" spans="28:35">
      <c r="AB389">
        <v>65338</v>
      </c>
      <c r="AC389" t="s">
        <v>802</v>
      </c>
      <c r="AD389" t="s">
        <v>2373</v>
      </c>
      <c r="AE389" t="s">
        <v>786</v>
      </c>
      <c r="AF389" t="s">
        <v>2373</v>
      </c>
      <c r="AG389" t="s">
        <v>719</v>
      </c>
      <c r="AI389" t="s">
        <v>974</v>
      </c>
    </row>
    <row r="390" spans="28:35">
      <c r="AB390">
        <v>64089</v>
      </c>
      <c r="AC390" t="s">
        <v>922</v>
      </c>
      <c r="AD390" t="s">
        <v>2373</v>
      </c>
      <c r="AE390" t="s">
        <v>906</v>
      </c>
      <c r="AF390" t="s">
        <v>2373</v>
      </c>
      <c r="AG390" t="s">
        <v>719</v>
      </c>
      <c r="AI390" t="s">
        <v>835</v>
      </c>
    </row>
    <row r="391" spans="28:35">
      <c r="AB391">
        <v>64151</v>
      </c>
      <c r="AC391" t="s">
        <v>1046</v>
      </c>
      <c r="AD391" t="s">
        <v>2373</v>
      </c>
      <c r="AE391" t="s">
        <v>1095</v>
      </c>
      <c r="AF391" t="s">
        <v>1661</v>
      </c>
      <c r="AG391" t="s">
        <v>2373</v>
      </c>
      <c r="AI391" t="s">
        <v>812</v>
      </c>
    </row>
    <row r="392" spans="28:35">
      <c r="AB392">
        <v>64152</v>
      </c>
      <c r="AC392" t="s">
        <v>1046</v>
      </c>
      <c r="AD392" t="s">
        <v>2373</v>
      </c>
      <c r="AE392" t="s">
        <v>1095</v>
      </c>
      <c r="AF392" t="s">
        <v>1661</v>
      </c>
      <c r="AG392" t="s">
        <v>2373</v>
      </c>
      <c r="AI392" t="s">
        <v>948</v>
      </c>
    </row>
    <row r="393" spans="28:35">
      <c r="AB393">
        <v>64475</v>
      </c>
      <c r="AC393" t="s">
        <v>1047</v>
      </c>
      <c r="AD393" t="s">
        <v>2373</v>
      </c>
      <c r="AE393" t="s">
        <v>1093</v>
      </c>
      <c r="AF393" t="s">
        <v>2373</v>
      </c>
      <c r="AG393" t="s">
        <v>719</v>
      </c>
      <c r="AI393" t="s">
        <v>1091</v>
      </c>
    </row>
    <row r="394" spans="28:35">
      <c r="AB394">
        <v>64777</v>
      </c>
      <c r="AC394" t="s">
        <v>774</v>
      </c>
      <c r="AD394" t="s">
        <v>2373</v>
      </c>
      <c r="AE394" t="s">
        <v>763</v>
      </c>
      <c r="AF394" t="s">
        <v>2373</v>
      </c>
      <c r="AG394" t="s">
        <v>719</v>
      </c>
      <c r="AI394" t="s">
        <v>1092</v>
      </c>
    </row>
    <row r="395" spans="28:35">
      <c r="AB395">
        <v>64670</v>
      </c>
      <c r="AC395" t="s">
        <v>973</v>
      </c>
      <c r="AD395" t="s">
        <v>2373</v>
      </c>
      <c r="AE395" t="s">
        <v>966</v>
      </c>
      <c r="AF395" t="s">
        <v>2373</v>
      </c>
      <c r="AG395" t="s">
        <v>719</v>
      </c>
    </row>
    <row r="396" spans="28:35">
      <c r="AB396">
        <v>64078</v>
      </c>
      <c r="AC396" t="s">
        <v>867</v>
      </c>
      <c r="AD396" t="s">
        <v>2373</v>
      </c>
      <c r="AE396" t="s">
        <v>851</v>
      </c>
      <c r="AF396" t="s">
        <v>2373</v>
      </c>
      <c r="AG396" t="s">
        <v>719</v>
      </c>
    </row>
    <row r="397" spans="28:35">
      <c r="AB397">
        <v>65250</v>
      </c>
      <c r="AC397" t="s">
        <v>1032</v>
      </c>
      <c r="AD397" t="s">
        <v>2373</v>
      </c>
      <c r="AE397" t="s">
        <v>1027</v>
      </c>
      <c r="AF397" t="s">
        <v>2373</v>
      </c>
      <c r="AG397" t="s">
        <v>719</v>
      </c>
    </row>
    <row r="398" spans="28:35">
      <c r="AB398">
        <v>64476</v>
      </c>
      <c r="AC398" t="s">
        <v>1050</v>
      </c>
      <c r="AD398" t="s">
        <v>2373</v>
      </c>
      <c r="AE398" t="s">
        <v>1093</v>
      </c>
      <c r="AF398" t="s">
        <v>2373</v>
      </c>
      <c r="AG398" t="s">
        <v>719</v>
      </c>
    </row>
    <row r="399" spans="28:35">
      <c r="AB399">
        <v>64079</v>
      </c>
      <c r="AC399" t="s">
        <v>1051</v>
      </c>
      <c r="AD399" t="s">
        <v>688</v>
      </c>
      <c r="AE399" t="s">
        <v>1095</v>
      </c>
      <c r="AF399" t="s">
        <v>1661</v>
      </c>
      <c r="AG399" t="s">
        <v>2373</v>
      </c>
    </row>
    <row r="400" spans="28:35">
      <c r="AB400">
        <v>64151</v>
      </c>
      <c r="AC400" t="s">
        <v>1053</v>
      </c>
      <c r="AD400" t="s">
        <v>2373</v>
      </c>
      <c r="AE400" t="s">
        <v>1095</v>
      </c>
      <c r="AF400" t="s">
        <v>1661</v>
      </c>
      <c r="AG400" t="s">
        <v>2373</v>
      </c>
    </row>
    <row r="401" spans="28:33">
      <c r="AB401">
        <v>64477</v>
      </c>
      <c r="AC401" t="s">
        <v>954</v>
      </c>
      <c r="AD401" t="s">
        <v>690</v>
      </c>
      <c r="AE401" t="s">
        <v>831</v>
      </c>
      <c r="AF401" t="s">
        <v>2373</v>
      </c>
      <c r="AG401" t="s">
        <v>2373</v>
      </c>
    </row>
    <row r="402" spans="28:33">
      <c r="AB402">
        <v>64080</v>
      </c>
      <c r="AC402" t="s">
        <v>869</v>
      </c>
      <c r="AD402" t="s">
        <v>2373</v>
      </c>
      <c r="AE402" t="s">
        <v>851</v>
      </c>
      <c r="AF402" t="s">
        <v>2373</v>
      </c>
      <c r="AG402" t="s">
        <v>719</v>
      </c>
    </row>
    <row r="403" spans="28:33">
      <c r="AB403">
        <v>64068</v>
      </c>
      <c r="AC403" t="s">
        <v>924</v>
      </c>
      <c r="AD403" t="s">
        <v>689</v>
      </c>
      <c r="AE403" t="s">
        <v>906</v>
      </c>
      <c r="AF403" t="s">
        <v>2373</v>
      </c>
      <c r="AG403" t="s">
        <v>2373</v>
      </c>
    </row>
    <row r="404" spans="28:33">
      <c r="AB404">
        <v>64780</v>
      </c>
      <c r="AC404" t="s">
        <v>776</v>
      </c>
      <c r="AD404" t="s">
        <v>2373</v>
      </c>
      <c r="AE404" t="s">
        <v>763</v>
      </c>
      <c r="AF404" t="s">
        <v>2373</v>
      </c>
      <c r="AG404" t="s">
        <v>719</v>
      </c>
    </row>
    <row r="405" spans="28:33">
      <c r="AB405">
        <v>65281</v>
      </c>
      <c r="AC405" t="s">
        <v>895</v>
      </c>
      <c r="AD405" t="s">
        <v>2373</v>
      </c>
      <c r="AE405" t="s">
        <v>884</v>
      </c>
      <c r="AF405" t="s">
        <v>2373</v>
      </c>
      <c r="AG405" t="s">
        <v>719</v>
      </c>
    </row>
    <row r="406" spans="28:33">
      <c r="AB406">
        <v>65230</v>
      </c>
      <c r="AC406" t="s">
        <v>2840</v>
      </c>
      <c r="AD406" t="s">
        <v>2373</v>
      </c>
      <c r="AE406" t="s">
        <v>1027</v>
      </c>
      <c r="AF406" t="s">
        <v>2373</v>
      </c>
      <c r="AG406" t="s">
        <v>719</v>
      </c>
    </row>
    <row r="407" spans="28:33">
      <c r="AB407">
        <v>64673</v>
      </c>
      <c r="AC407" t="s">
        <v>1054</v>
      </c>
      <c r="AD407" t="s">
        <v>2373</v>
      </c>
      <c r="AE407" t="s">
        <v>1025</v>
      </c>
      <c r="AF407" t="s">
        <v>2373</v>
      </c>
      <c r="AG407" t="s">
        <v>719</v>
      </c>
    </row>
    <row r="408" spans="28:33">
      <c r="AB408">
        <v>64478</v>
      </c>
      <c r="AC408" t="s">
        <v>1055</v>
      </c>
      <c r="AD408" t="s">
        <v>2373</v>
      </c>
      <c r="AE408" t="s">
        <v>1093</v>
      </c>
      <c r="AF408" t="s">
        <v>2373</v>
      </c>
      <c r="AG408" t="s">
        <v>719</v>
      </c>
    </row>
    <row r="409" spans="28:33">
      <c r="AB409">
        <v>65355</v>
      </c>
      <c r="AC409" t="s">
        <v>804</v>
      </c>
      <c r="AD409" t="s">
        <v>2373</v>
      </c>
      <c r="AE409" t="s">
        <v>786</v>
      </c>
      <c r="AF409" t="s">
        <v>2373</v>
      </c>
      <c r="AG409" t="s">
        <v>719</v>
      </c>
    </row>
    <row r="410" spans="28:33">
      <c r="AB410">
        <v>64117</v>
      </c>
      <c r="AC410" t="s">
        <v>925</v>
      </c>
      <c r="AD410" t="s">
        <v>2373</v>
      </c>
      <c r="AE410" t="s">
        <v>906</v>
      </c>
      <c r="AF410" t="s">
        <v>2373</v>
      </c>
      <c r="AG410" t="s">
        <v>719</v>
      </c>
    </row>
    <row r="411" spans="28:33">
      <c r="AB411">
        <v>64161</v>
      </c>
      <c r="AC411" t="s">
        <v>925</v>
      </c>
      <c r="AD411" t="s">
        <v>2373</v>
      </c>
      <c r="AE411" t="s">
        <v>906</v>
      </c>
      <c r="AF411" t="s">
        <v>2373</v>
      </c>
      <c r="AG411" t="s">
        <v>719</v>
      </c>
    </row>
    <row r="412" spans="28:33">
      <c r="AB412">
        <v>64479</v>
      </c>
      <c r="AC412" t="s">
        <v>1056</v>
      </c>
      <c r="AD412" t="s">
        <v>2373</v>
      </c>
      <c r="AE412" t="s">
        <v>1093</v>
      </c>
      <c r="AF412" t="s">
        <v>2373</v>
      </c>
      <c r="AG412" t="s">
        <v>719</v>
      </c>
    </row>
    <row r="413" spans="28:33">
      <c r="AB413">
        <v>64083</v>
      </c>
      <c r="AC413" t="s">
        <v>871</v>
      </c>
      <c r="AD413" t="s">
        <v>1661</v>
      </c>
      <c r="AE413" t="s">
        <v>851</v>
      </c>
      <c r="AF413" t="s">
        <v>2373</v>
      </c>
      <c r="AG413" t="s">
        <v>2373</v>
      </c>
    </row>
    <row r="414" spans="28:33">
      <c r="AB414">
        <v>64129</v>
      </c>
      <c r="AC414" t="s">
        <v>695</v>
      </c>
      <c r="AD414" t="s">
        <v>1661</v>
      </c>
      <c r="AE414" t="s">
        <v>1036</v>
      </c>
      <c r="AF414" t="s">
        <v>688</v>
      </c>
      <c r="AG414" t="s">
        <v>2373</v>
      </c>
    </row>
    <row r="415" spans="28:33">
      <c r="AB415">
        <v>64133</v>
      </c>
      <c r="AC415" t="s">
        <v>695</v>
      </c>
      <c r="AD415" t="s">
        <v>1661</v>
      </c>
      <c r="AE415" t="s">
        <v>1036</v>
      </c>
      <c r="AF415" t="s">
        <v>688</v>
      </c>
      <c r="AG415" t="s">
        <v>2373</v>
      </c>
    </row>
    <row r="416" spans="28:33">
      <c r="AB416">
        <v>64138</v>
      </c>
      <c r="AC416" t="s">
        <v>695</v>
      </c>
      <c r="AD416" t="s">
        <v>1661</v>
      </c>
      <c r="AE416" t="s">
        <v>1036</v>
      </c>
      <c r="AF416" t="s">
        <v>688</v>
      </c>
      <c r="AG416" t="s">
        <v>2373</v>
      </c>
    </row>
    <row r="417" spans="28:33">
      <c r="AB417">
        <v>64084</v>
      </c>
      <c r="AC417" t="s">
        <v>1057</v>
      </c>
      <c r="AD417" t="s">
        <v>2373</v>
      </c>
      <c r="AE417" t="s">
        <v>1096</v>
      </c>
      <c r="AF417" t="s">
        <v>2373</v>
      </c>
      <c r="AG417" t="s">
        <v>719</v>
      </c>
    </row>
    <row r="418" spans="28:33">
      <c r="AB418">
        <v>64480</v>
      </c>
      <c r="AC418" t="s">
        <v>729</v>
      </c>
      <c r="AD418" t="s">
        <v>2373</v>
      </c>
      <c r="AE418" t="s">
        <v>718</v>
      </c>
      <c r="AF418" t="s">
        <v>2373</v>
      </c>
      <c r="AG418" t="s">
        <v>719</v>
      </c>
    </row>
    <row r="419" spans="28:33">
      <c r="AB419">
        <v>65278</v>
      </c>
      <c r="AC419" t="s">
        <v>1058</v>
      </c>
      <c r="AD419" t="s">
        <v>2373</v>
      </c>
      <c r="AE419" t="s">
        <v>925</v>
      </c>
      <c r="AF419" t="s">
        <v>2373</v>
      </c>
      <c r="AG419" t="s">
        <v>719</v>
      </c>
    </row>
    <row r="420" spans="28:33">
      <c r="AB420">
        <v>64779</v>
      </c>
      <c r="AC420" t="s">
        <v>778</v>
      </c>
      <c r="AD420" t="s">
        <v>2373</v>
      </c>
      <c r="AE420" t="s">
        <v>763</v>
      </c>
      <c r="AF420" t="s">
        <v>2373</v>
      </c>
      <c r="AG420" t="s">
        <v>719</v>
      </c>
    </row>
    <row r="421" spans="28:33">
      <c r="AB421">
        <v>64778</v>
      </c>
      <c r="AC421" t="s">
        <v>1059</v>
      </c>
      <c r="AD421" t="s">
        <v>2373</v>
      </c>
      <c r="AE421" t="s">
        <v>1099</v>
      </c>
      <c r="AF421" t="s">
        <v>2373</v>
      </c>
      <c r="AG421" t="s">
        <v>719</v>
      </c>
    </row>
    <row r="422" spans="28:33">
      <c r="AB422">
        <v>64085</v>
      </c>
      <c r="AC422" t="s">
        <v>1060</v>
      </c>
      <c r="AD422" t="s">
        <v>2373</v>
      </c>
      <c r="AE422" t="s">
        <v>1096</v>
      </c>
      <c r="AF422" t="s">
        <v>2373</v>
      </c>
      <c r="AG422" t="s">
        <v>719</v>
      </c>
    </row>
    <row r="423" spans="28:33">
      <c r="AB423">
        <v>64481</v>
      </c>
      <c r="AC423" t="s">
        <v>1007</v>
      </c>
      <c r="AD423" t="s">
        <v>2373</v>
      </c>
      <c r="AE423" t="s">
        <v>997</v>
      </c>
      <c r="AF423" t="s">
        <v>2373</v>
      </c>
      <c r="AG423" t="s">
        <v>719</v>
      </c>
    </row>
    <row r="424" spans="28:33">
      <c r="AB424">
        <v>64058</v>
      </c>
      <c r="AC424" t="s">
        <v>2838</v>
      </c>
      <c r="AD424" t="s">
        <v>2373</v>
      </c>
      <c r="AE424" t="s">
        <v>1036</v>
      </c>
      <c r="AF424" t="s">
        <v>688</v>
      </c>
      <c r="AG424" t="s">
        <v>719</v>
      </c>
    </row>
    <row r="425" spans="28:33">
      <c r="AB425">
        <v>64150</v>
      </c>
      <c r="AC425" t="s">
        <v>696</v>
      </c>
      <c r="AD425" t="s">
        <v>1661</v>
      </c>
      <c r="AE425" t="s">
        <v>1095</v>
      </c>
      <c r="AF425" t="s">
        <v>1661</v>
      </c>
      <c r="AG425" t="s">
        <v>2373</v>
      </c>
    </row>
    <row r="426" spans="28:33">
      <c r="AB426">
        <v>64151</v>
      </c>
      <c r="AC426" t="s">
        <v>696</v>
      </c>
      <c r="AD426" t="s">
        <v>1661</v>
      </c>
      <c r="AE426" t="s">
        <v>1095</v>
      </c>
      <c r="AF426" t="s">
        <v>1661</v>
      </c>
      <c r="AG426" t="s">
        <v>2373</v>
      </c>
    </row>
    <row r="427" spans="28:33">
      <c r="AB427">
        <v>64168</v>
      </c>
      <c r="AC427" t="s">
        <v>696</v>
      </c>
      <c r="AD427" t="s">
        <v>1661</v>
      </c>
      <c r="AE427" t="s">
        <v>1095</v>
      </c>
      <c r="AF427" t="s">
        <v>1661</v>
      </c>
      <c r="AG427" t="s">
        <v>2373</v>
      </c>
    </row>
    <row r="428" spans="28:33">
      <c r="AB428">
        <v>65230</v>
      </c>
      <c r="AC428" t="s">
        <v>1034</v>
      </c>
      <c r="AD428" t="s">
        <v>2373</v>
      </c>
      <c r="AE428" t="s">
        <v>1027</v>
      </c>
      <c r="AF428" t="s">
        <v>2373</v>
      </c>
      <c r="AG428" t="s">
        <v>719</v>
      </c>
    </row>
    <row r="429" spans="28:33">
      <c r="AB429">
        <v>64459</v>
      </c>
      <c r="AC429" t="s">
        <v>2839</v>
      </c>
      <c r="AD429" t="s">
        <v>2373</v>
      </c>
      <c r="AE429" t="s">
        <v>718</v>
      </c>
      <c r="AF429" t="s">
        <v>2373</v>
      </c>
      <c r="AG429" t="s">
        <v>719</v>
      </c>
    </row>
    <row r="430" spans="28:33">
      <c r="AB430">
        <v>64482</v>
      </c>
      <c r="AC430" t="s">
        <v>739</v>
      </c>
      <c r="AD430" t="s">
        <v>2373</v>
      </c>
      <c r="AE430" t="s">
        <v>735</v>
      </c>
      <c r="AF430" t="s">
        <v>2373</v>
      </c>
      <c r="AG430" t="s">
        <v>719</v>
      </c>
    </row>
    <row r="431" spans="28:33">
      <c r="AB431">
        <v>64780</v>
      </c>
      <c r="AC431" t="s">
        <v>780</v>
      </c>
      <c r="AD431" t="s">
        <v>2373</v>
      </c>
      <c r="AE431" t="s">
        <v>763</v>
      </c>
      <c r="AF431" t="s">
        <v>2373</v>
      </c>
      <c r="AG431" t="s">
        <v>719</v>
      </c>
    </row>
    <row r="432" spans="28:33">
      <c r="AB432">
        <v>64781</v>
      </c>
      <c r="AC432" t="s">
        <v>1061</v>
      </c>
      <c r="AD432" t="s">
        <v>2373</v>
      </c>
      <c r="AE432" t="s">
        <v>1097</v>
      </c>
      <c r="AF432" t="s">
        <v>2373</v>
      </c>
      <c r="AG432" t="s">
        <v>719</v>
      </c>
    </row>
    <row r="433" spans="28:33">
      <c r="AB433">
        <v>64483</v>
      </c>
      <c r="AC433" t="s">
        <v>731</v>
      </c>
      <c r="AD433" t="s">
        <v>2373</v>
      </c>
      <c r="AE433" t="s">
        <v>718</v>
      </c>
      <c r="AF433" t="s">
        <v>2373</v>
      </c>
      <c r="AG433" t="s">
        <v>719</v>
      </c>
    </row>
    <row r="434" spans="28:33">
      <c r="AB434">
        <v>64676</v>
      </c>
      <c r="AC434" t="s">
        <v>897</v>
      </c>
      <c r="AD434" t="s">
        <v>2373</v>
      </c>
      <c r="AE434" t="s">
        <v>884</v>
      </c>
      <c r="AF434" t="s">
        <v>2373</v>
      </c>
      <c r="AG434" t="s">
        <v>719</v>
      </c>
    </row>
    <row r="435" spans="28:33">
      <c r="AB435">
        <v>65243</v>
      </c>
      <c r="AC435" t="s">
        <v>1062</v>
      </c>
      <c r="AD435" t="s">
        <v>2373</v>
      </c>
      <c r="AE435" t="s">
        <v>925</v>
      </c>
      <c r="AF435" t="s">
        <v>2373</v>
      </c>
      <c r="AG435" t="s">
        <v>719</v>
      </c>
    </row>
    <row r="436" spans="28:33">
      <c r="AB436">
        <v>64484</v>
      </c>
      <c r="AC436" t="s">
        <v>822</v>
      </c>
      <c r="AD436" t="s">
        <v>2373</v>
      </c>
      <c r="AE436" t="s">
        <v>814</v>
      </c>
      <c r="AF436" t="s">
        <v>2373</v>
      </c>
      <c r="AG436" t="s">
        <v>719</v>
      </c>
    </row>
    <row r="437" spans="28:33">
      <c r="AB437">
        <v>65326</v>
      </c>
      <c r="AC437" t="s">
        <v>806</v>
      </c>
      <c r="AD437" t="s">
        <v>2373</v>
      </c>
      <c r="AE437" t="s">
        <v>786</v>
      </c>
      <c r="AF437" t="s">
        <v>2373</v>
      </c>
      <c r="AG437" t="s">
        <v>719</v>
      </c>
    </row>
    <row r="438" spans="28:33">
      <c r="AB438">
        <v>64501</v>
      </c>
      <c r="AC438" t="s">
        <v>824</v>
      </c>
      <c r="AD438" t="s">
        <v>2373</v>
      </c>
      <c r="AE438" t="s">
        <v>814</v>
      </c>
      <c r="AF438" t="s">
        <v>2373</v>
      </c>
      <c r="AG438" t="s">
        <v>719</v>
      </c>
    </row>
    <row r="439" spans="28:33">
      <c r="AB439">
        <v>64502</v>
      </c>
      <c r="AC439" t="s">
        <v>824</v>
      </c>
      <c r="AD439" t="s">
        <v>2373</v>
      </c>
      <c r="AE439" t="s">
        <v>814</v>
      </c>
      <c r="AF439" t="s">
        <v>2373</v>
      </c>
      <c r="AG439" t="s">
        <v>719</v>
      </c>
    </row>
    <row r="440" spans="28:33">
      <c r="AB440">
        <v>64503</v>
      </c>
      <c r="AC440" t="s">
        <v>824</v>
      </c>
      <c r="AD440" t="s">
        <v>2373</v>
      </c>
      <c r="AE440" t="s">
        <v>814</v>
      </c>
      <c r="AF440" t="s">
        <v>2373</v>
      </c>
      <c r="AG440" t="s">
        <v>719</v>
      </c>
    </row>
    <row r="441" spans="28:33">
      <c r="AB441">
        <v>64504</v>
      </c>
      <c r="AC441" t="s">
        <v>824</v>
      </c>
      <c r="AD441" t="s">
        <v>2373</v>
      </c>
      <c r="AE441" t="s">
        <v>814</v>
      </c>
      <c r="AF441" t="s">
        <v>2373</v>
      </c>
      <c r="AG441" t="s">
        <v>719</v>
      </c>
    </row>
    <row r="442" spans="28:33">
      <c r="AB442">
        <v>64505</v>
      </c>
      <c r="AC442" t="s">
        <v>824</v>
      </c>
      <c r="AD442" t="s">
        <v>2373</v>
      </c>
      <c r="AE442" t="s">
        <v>814</v>
      </c>
      <c r="AF442" t="s">
        <v>2373</v>
      </c>
      <c r="AG442" t="s">
        <v>719</v>
      </c>
    </row>
    <row r="443" spans="28:33">
      <c r="AB443">
        <v>64506</v>
      </c>
      <c r="AC443" t="s">
        <v>824</v>
      </c>
      <c r="AD443" t="s">
        <v>2373</v>
      </c>
      <c r="AE443" t="s">
        <v>814</v>
      </c>
      <c r="AF443" t="s">
        <v>2373</v>
      </c>
      <c r="AG443" t="s">
        <v>719</v>
      </c>
    </row>
    <row r="444" spans="28:33">
      <c r="AB444">
        <v>64507</v>
      </c>
      <c r="AC444" t="s">
        <v>824</v>
      </c>
      <c r="AD444" t="s">
        <v>2373</v>
      </c>
      <c r="AE444" t="s">
        <v>814</v>
      </c>
      <c r="AF444" t="s">
        <v>2373</v>
      </c>
      <c r="AG444" t="s">
        <v>719</v>
      </c>
    </row>
    <row r="445" spans="28:33">
      <c r="AB445">
        <v>64508</v>
      </c>
      <c r="AC445" t="s">
        <v>824</v>
      </c>
      <c r="AD445" t="s">
        <v>2373</v>
      </c>
      <c r="AE445" t="s">
        <v>814</v>
      </c>
      <c r="AF445" t="s">
        <v>2373</v>
      </c>
      <c r="AG445" t="s">
        <v>719</v>
      </c>
    </row>
    <row r="446" spans="28:33">
      <c r="AB446">
        <v>65349</v>
      </c>
      <c r="AC446" t="s">
        <v>1063</v>
      </c>
      <c r="AD446" t="s">
        <v>2373</v>
      </c>
      <c r="AE446" t="s">
        <v>1098</v>
      </c>
      <c r="AF446" t="s">
        <v>2373</v>
      </c>
      <c r="AG446" t="s">
        <v>719</v>
      </c>
    </row>
    <row r="447" spans="28:33">
      <c r="AB447">
        <v>65281</v>
      </c>
      <c r="AC447" t="s">
        <v>899</v>
      </c>
      <c r="AD447" t="s">
        <v>2373</v>
      </c>
      <c r="AE447" t="s">
        <v>884</v>
      </c>
      <c r="AF447" t="s">
        <v>2373</v>
      </c>
      <c r="AG447" t="s">
        <v>719</v>
      </c>
    </row>
    <row r="448" spans="28:33">
      <c r="AB448">
        <v>65351</v>
      </c>
      <c r="AC448" t="s">
        <v>1064</v>
      </c>
      <c r="AD448" t="s">
        <v>2373</v>
      </c>
      <c r="AE448" t="s">
        <v>1098</v>
      </c>
      <c r="AF448" t="s">
        <v>2373</v>
      </c>
      <c r="AG448" t="s">
        <v>719</v>
      </c>
    </row>
    <row r="449" spans="28:33">
      <c r="AB449">
        <v>64485</v>
      </c>
      <c r="AC449" t="s">
        <v>732</v>
      </c>
      <c r="AD449" t="s">
        <v>2373</v>
      </c>
      <c r="AE449" t="s">
        <v>718</v>
      </c>
      <c r="AF449" t="s">
        <v>2373</v>
      </c>
      <c r="AG449" t="s">
        <v>719</v>
      </c>
    </row>
    <row r="450" spans="28:33">
      <c r="AB450">
        <v>64783</v>
      </c>
      <c r="AC450" t="s">
        <v>1065</v>
      </c>
      <c r="AD450" t="s">
        <v>2373</v>
      </c>
      <c r="AE450" t="s">
        <v>1099</v>
      </c>
      <c r="AF450" t="s">
        <v>2373</v>
      </c>
      <c r="AG450" t="s">
        <v>719</v>
      </c>
    </row>
    <row r="451" spans="28:33">
      <c r="AB451">
        <v>65301</v>
      </c>
      <c r="AC451" t="s">
        <v>694</v>
      </c>
      <c r="AD451" t="s">
        <v>2373</v>
      </c>
      <c r="AE451" t="s">
        <v>1094</v>
      </c>
      <c r="AF451" t="s">
        <v>2373</v>
      </c>
      <c r="AG451" t="s">
        <v>719</v>
      </c>
    </row>
    <row r="452" spans="28:33">
      <c r="AB452">
        <v>65302</v>
      </c>
      <c r="AC452" t="s">
        <v>694</v>
      </c>
      <c r="AD452" t="s">
        <v>2373</v>
      </c>
      <c r="AE452" t="s">
        <v>1094</v>
      </c>
      <c r="AF452" t="s">
        <v>2373</v>
      </c>
      <c r="AG452" t="s">
        <v>719</v>
      </c>
    </row>
    <row r="453" spans="28:33">
      <c r="AB453">
        <v>65349</v>
      </c>
      <c r="AC453" t="s">
        <v>1066</v>
      </c>
      <c r="AD453" t="s">
        <v>2373</v>
      </c>
      <c r="AE453" t="s">
        <v>1098</v>
      </c>
      <c r="AF453" t="s">
        <v>2373</v>
      </c>
      <c r="AG453" t="s">
        <v>719</v>
      </c>
    </row>
    <row r="454" spans="28:33">
      <c r="AB454">
        <v>64784</v>
      </c>
      <c r="AC454" t="s">
        <v>1067</v>
      </c>
      <c r="AD454" t="s">
        <v>2373</v>
      </c>
      <c r="AE454" t="s">
        <v>1099</v>
      </c>
      <c r="AF454" t="s">
        <v>2373</v>
      </c>
      <c r="AG454" t="s">
        <v>719</v>
      </c>
    </row>
    <row r="455" spans="28:33">
      <c r="AB455">
        <v>64486</v>
      </c>
      <c r="AC455" t="s">
        <v>1068</v>
      </c>
      <c r="AD455" t="s">
        <v>2373</v>
      </c>
      <c r="AE455" t="s">
        <v>1091</v>
      </c>
      <c r="AF455" t="s">
        <v>2373</v>
      </c>
      <c r="AG455" t="s">
        <v>719</v>
      </c>
    </row>
    <row r="456" spans="28:33">
      <c r="AB456">
        <v>64088</v>
      </c>
      <c r="AC456" t="s">
        <v>1048</v>
      </c>
      <c r="AD456" t="s">
        <v>2373</v>
      </c>
      <c r="AE456" t="s">
        <v>1036</v>
      </c>
      <c r="AF456" t="s">
        <v>688</v>
      </c>
      <c r="AG456" t="s">
        <v>719</v>
      </c>
    </row>
    <row r="457" spans="28:33">
      <c r="AB457">
        <v>64487</v>
      </c>
      <c r="AC457" t="s">
        <v>1069</v>
      </c>
      <c r="AD457" t="s">
        <v>2373</v>
      </c>
      <c r="AE457" t="s">
        <v>1093</v>
      </c>
      <c r="AF457" t="s">
        <v>2373</v>
      </c>
      <c r="AG457" t="s">
        <v>719</v>
      </c>
    </row>
    <row r="458" spans="28:33">
      <c r="AB458">
        <v>65349</v>
      </c>
      <c r="AC458" t="s">
        <v>1070</v>
      </c>
      <c r="AD458" t="s">
        <v>2373</v>
      </c>
      <c r="AE458" t="s">
        <v>1098</v>
      </c>
      <c r="AF458" t="s">
        <v>2373</v>
      </c>
      <c r="AG458" t="s">
        <v>719</v>
      </c>
    </row>
    <row r="459" spans="28:33">
      <c r="AB459">
        <v>65350</v>
      </c>
      <c r="AC459" t="s">
        <v>1071</v>
      </c>
      <c r="AD459" t="s">
        <v>2373</v>
      </c>
      <c r="AE459" t="s">
        <v>1094</v>
      </c>
      <c r="AF459" t="s">
        <v>2373</v>
      </c>
      <c r="AG459" t="s">
        <v>719</v>
      </c>
    </row>
    <row r="460" spans="28:33">
      <c r="AB460">
        <v>64089</v>
      </c>
      <c r="AC460" t="s">
        <v>699</v>
      </c>
      <c r="AD460" t="s">
        <v>1661</v>
      </c>
      <c r="AE460" t="s">
        <v>906</v>
      </c>
      <c r="AF460" t="s">
        <v>2373</v>
      </c>
      <c r="AG460" t="s">
        <v>2373</v>
      </c>
    </row>
    <row r="461" spans="28:33">
      <c r="AB461">
        <v>65286</v>
      </c>
      <c r="AC461" t="s">
        <v>901</v>
      </c>
      <c r="AD461" t="s">
        <v>2373</v>
      </c>
      <c r="AE461" t="s">
        <v>884</v>
      </c>
      <c r="AF461" t="s">
        <v>2373</v>
      </c>
      <c r="AG461" t="s">
        <v>719</v>
      </c>
    </row>
    <row r="462" spans="28:33">
      <c r="AB462">
        <v>65752</v>
      </c>
      <c r="AC462" t="s">
        <v>964</v>
      </c>
      <c r="AD462" t="s">
        <v>2373</v>
      </c>
      <c r="AE462" t="s">
        <v>958</v>
      </c>
      <c r="AF462" t="s">
        <v>2373</v>
      </c>
      <c r="AG462" t="s">
        <v>719</v>
      </c>
    </row>
    <row r="463" spans="28:33">
      <c r="AB463">
        <v>64679</v>
      </c>
      <c r="AC463" t="s">
        <v>995</v>
      </c>
      <c r="AD463" t="s">
        <v>2373</v>
      </c>
      <c r="AE463" t="s">
        <v>994</v>
      </c>
      <c r="AF463" t="s">
        <v>2373</v>
      </c>
      <c r="AG463" t="s">
        <v>719</v>
      </c>
    </row>
    <row r="464" spans="28:33">
      <c r="AB464">
        <v>65301</v>
      </c>
      <c r="AC464" t="s">
        <v>1072</v>
      </c>
      <c r="AD464" t="s">
        <v>2373</v>
      </c>
      <c r="AE464" t="s">
        <v>1094</v>
      </c>
      <c r="AF464" t="s">
        <v>2373</v>
      </c>
      <c r="AG464" t="s">
        <v>719</v>
      </c>
    </row>
    <row r="465" spans="28:33">
      <c r="AB465">
        <v>64489</v>
      </c>
      <c r="AC465" t="s">
        <v>992</v>
      </c>
      <c r="AD465" t="s">
        <v>2373</v>
      </c>
      <c r="AE465" t="s">
        <v>926</v>
      </c>
      <c r="AF465" t="s">
        <v>2373</v>
      </c>
      <c r="AG465" t="s">
        <v>719</v>
      </c>
    </row>
    <row r="466" spans="28:33">
      <c r="AB466">
        <v>64680</v>
      </c>
      <c r="AC466" t="s">
        <v>846</v>
      </c>
      <c r="AD466" t="s">
        <v>2373</v>
      </c>
      <c r="AE466" t="s">
        <v>836</v>
      </c>
      <c r="AF466" t="s">
        <v>2373</v>
      </c>
      <c r="AG466" t="s">
        <v>719</v>
      </c>
    </row>
    <row r="467" spans="28:33">
      <c r="AB467">
        <v>64490</v>
      </c>
      <c r="AC467" t="s">
        <v>980</v>
      </c>
      <c r="AD467" t="s">
        <v>2373</v>
      </c>
      <c r="AE467" t="s">
        <v>975</v>
      </c>
      <c r="AF467" t="s">
        <v>2373</v>
      </c>
      <c r="AG467" t="s">
        <v>719</v>
      </c>
    </row>
    <row r="468" spans="28:33">
      <c r="AB468">
        <v>65785</v>
      </c>
      <c r="AC468" t="s">
        <v>883</v>
      </c>
      <c r="AD468" t="s">
        <v>2373</v>
      </c>
      <c r="AE468" t="s">
        <v>878</v>
      </c>
      <c r="AF468" t="s">
        <v>2373</v>
      </c>
      <c r="AG468" t="s">
        <v>719</v>
      </c>
    </row>
    <row r="469" spans="28:33">
      <c r="AB469">
        <v>64752</v>
      </c>
      <c r="AC469" t="s">
        <v>782</v>
      </c>
      <c r="AD469" t="s">
        <v>2373</v>
      </c>
      <c r="AE469" t="s">
        <v>763</v>
      </c>
      <c r="AF469" t="s">
        <v>2373</v>
      </c>
      <c r="AG469" t="s">
        <v>719</v>
      </c>
    </row>
    <row r="470" spans="28:33">
      <c r="AB470">
        <v>64090</v>
      </c>
      <c r="AC470" t="s">
        <v>874</v>
      </c>
      <c r="AD470" t="s">
        <v>2373</v>
      </c>
      <c r="AE470" t="s">
        <v>851</v>
      </c>
      <c r="AF470" t="s">
        <v>2373</v>
      </c>
      <c r="AG470" t="s">
        <v>719</v>
      </c>
    </row>
    <row r="471" spans="28:33">
      <c r="AB471">
        <v>64054</v>
      </c>
      <c r="AC471" t="s">
        <v>1049</v>
      </c>
      <c r="AD471" t="s">
        <v>690</v>
      </c>
      <c r="AE471" t="s">
        <v>1036</v>
      </c>
      <c r="AF471" t="s">
        <v>688</v>
      </c>
      <c r="AG471" t="s">
        <v>2373</v>
      </c>
    </row>
    <row r="472" spans="28:33">
      <c r="AB472">
        <v>64681</v>
      </c>
      <c r="AC472" t="s">
        <v>903</v>
      </c>
      <c r="AD472" t="s">
        <v>2373</v>
      </c>
      <c r="AE472" t="s">
        <v>884</v>
      </c>
      <c r="AF472" t="s">
        <v>2373</v>
      </c>
      <c r="AG472" t="s">
        <v>719</v>
      </c>
    </row>
    <row r="473" spans="28:33">
      <c r="AB473">
        <v>65351</v>
      </c>
      <c r="AC473" t="s">
        <v>1073</v>
      </c>
      <c r="AD473" t="s">
        <v>2373</v>
      </c>
      <c r="AE473" t="s">
        <v>1098</v>
      </c>
      <c r="AF473" t="s">
        <v>2373</v>
      </c>
      <c r="AG473" t="s">
        <v>719</v>
      </c>
    </row>
    <row r="474" spans="28:33">
      <c r="AB474">
        <v>64780</v>
      </c>
      <c r="AC474" t="s">
        <v>783</v>
      </c>
      <c r="AD474" t="s">
        <v>2373</v>
      </c>
      <c r="AE474" t="s">
        <v>763</v>
      </c>
      <c r="AF474" t="s">
        <v>2373</v>
      </c>
      <c r="AG474" t="s">
        <v>719</v>
      </c>
    </row>
    <row r="475" spans="28:33">
      <c r="AB475">
        <v>64448</v>
      </c>
      <c r="AC475" t="s">
        <v>833</v>
      </c>
      <c r="AD475" t="s">
        <v>2373</v>
      </c>
      <c r="AE475" t="s">
        <v>814</v>
      </c>
      <c r="AF475" t="s">
        <v>2373</v>
      </c>
      <c r="AG475" t="s">
        <v>719</v>
      </c>
    </row>
    <row r="476" spans="28:33">
      <c r="AB476">
        <v>64491</v>
      </c>
      <c r="AC476" t="s">
        <v>741</v>
      </c>
      <c r="AD476" t="s">
        <v>2373</v>
      </c>
      <c r="AE476" t="s">
        <v>735</v>
      </c>
      <c r="AF476" t="s">
        <v>2373</v>
      </c>
      <c r="AG476" t="s">
        <v>719</v>
      </c>
    </row>
    <row r="477" spans="28:33">
      <c r="AB477">
        <v>65244</v>
      </c>
      <c r="AC477" t="s">
        <v>1074</v>
      </c>
      <c r="AD477" t="s">
        <v>2373</v>
      </c>
      <c r="AE477" t="s">
        <v>925</v>
      </c>
      <c r="AF477" t="s">
        <v>2373</v>
      </c>
      <c r="AG477" t="s">
        <v>719</v>
      </c>
    </row>
    <row r="478" spans="28:33">
      <c r="AB478">
        <v>64735</v>
      </c>
      <c r="AC478" t="s">
        <v>1017</v>
      </c>
      <c r="AD478" t="s">
        <v>2373</v>
      </c>
      <c r="AE478" t="s">
        <v>1008</v>
      </c>
      <c r="AF478" t="s">
        <v>2373</v>
      </c>
      <c r="AG478" t="s">
        <v>719</v>
      </c>
    </row>
    <row r="479" spans="28:33">
      <c r="AB479">
        <v>64682</v>
      </c>
      <c r="AC479" t="s">
        <v>847</v>
      </c>
      <c r="AD479" t="s">
        <v>2373</v>
      </c>
      <c r="AE479" t="s">
        <v>836</v>
      </c>
      <c r="AF479" t="s">
        <v>2373</v>
      </c>
      <c r="AG479" t="s">
        <v>719</v>
      </c>
    </row>
    <row r="480" spans="28:33">
      <c r="AB480">
        <v>64079</v>
      </c>
      <c r="AC480" t="s">
        <v>1076</v>
      </c>
      <c r="AD480" t="s">
        <v>2373</v>
      </c>
      <c r="AE480" t="s">
        <v>1095</v>
      </c>
      <c r="AF480" t="s">
        <v>1661</v>
      </c>
      <c r="AG480" t="s">
        <v>2373</v>
      </c>
    </row>
    <row r="481" spans="28:33">
      <c r="AB481">
        <v>64683</v>
      </c>
      <c r="AC481" t="s">
        <v>996</v>
      </c>
      <c r="AD481" t="s">
        <v>2373</v>
      </c>
      <c r="AE481" t="s">
        <v>994</v>
      </c>
      <c r="AF481" t="s">
        <v>2373</v>
      </c>
      <c r="AG481" t="s">
        <v>719</v>
      </c>
    </row>
    <row r="482" spans="28:33">
      <c r="AB482">
        <v>64492</v>
      </c>
      <c r="AC482" t="s">
        <v>955</v>
      </c>
      <c r="AD482" t="s">
        <v>2373</v>
      </c>
      <c r="AE482" t="s">
        <v>831</v>
      </c>
      <c r="AF482" t="s">
        <v>2373</v>
      </c>
      <c r="AG482" t="s">
        <v>719</v>
      </c>
    </row>
    <row r="483" spans="28:33">
      <c r="AB483">
        <v>65286</v>
      </c>
      <c r="AC483" t="s">
        <v>905</v>
      </c>
      <c r="AD483" t="s">
        <v>2373</v>
      </c>
      <c r="AE483" t="s">
        <v>884</v>
      </c>
      <c r="AF483" t="s">
        <v>2373</v>
      </c>
      <c r="AG483" t="s">
        <v>719</v>
      </c>
    </row>
    <row r="484" spans="28:33">
      <c r="AB484">
        <v>64493</v>
      </c>
      <c r="AC484" t="s">
        <v>956</v>
      </c>
      <c r="AD484" t="s">
        <v>2373</v>
      </c>
      <c r="AE484" t="s">
        <v>831</v>
      </c>
      <c r="AF484" t="s">
        <v>2373</v>
      </c>
      <c r="AG484" t="s">
        <v>719</v>
      </c>
    </row>
    <row r="485" spans="28:33">
      <c r="AB485">
        <v>64494</v>
      </c>
      <c r="AC485" t="s">
        <v>982</v>
      </c>
      <c r="AD485" t="s">
        <v>2373</v>
      </c>
      <c r="AE485" t="s">
        <v>975</v>
      </c>
      <c r="AF485" t="s">
        <v>2373</v>
      </c>
      <c r="AG485" t="s">
        <v>719</v>
      </c>
    </row>
    <row r="486" spans="28:33">
      <c r="AB486">
        <v>64063</v>
      </c>
      <c r="AC486" t="s">
        <v>1052</v>
      </c>
      <c r="AD486" t="s">
        <v>2373</v>
      </c>
      <c r="AE486" t="s">
        <v>1036</v>
      </c>
      <c r="AF486" t="s">
        <v>688</v>
      </c>
      <c r="AG486" t="s">
        <v>719</v>
      </c>
    </row>
    <row r="487" spans="28:33">
      <c r="AB487">
        <v>64064</v>
      </c>
      <c r="AC487" t="s">
        <v>1052</v>
      </c>
      <c r="AD487" t="s">
        <v>2373</v>
      </c>
      <c r="AE487" t="s">
        <v>1036</v>
      </c>
      <c r="AF487" t="s">
        <v>688</v>
      </c>
      <c r="AG487" t="s">
        <v>719</v>
      </c>
    </row>
    <row r="488" spans="28:33">
      <c r="AB488">
        <v>64065</v>
      </c>
      <c r="AC488" t="s">
        <v>1052</v>
      </c>
      <c r="AD488" t="s">
        <v>2373</v>
      </c>
      <c r="AE488" t="s">
        <v>1036</v>
      </c>
      <c r="AF488" t="s">
        <v>688</v>
      </c>
      <c r="AG488" t="s">
        <v>719</v>
      </c>
    </row>
    <row r="489" spans="28:33">
      <c r="AB489">
        <v>65270</v>
      </c>
      <c r="AC489" t="s">
        <v>1078</v>
      </c>
      <c r="AD489" t="s">
        <v>2373</v>
      </c>
      <c r="AE489" t="s">
        <v>925</v>
      </c>
      <c r="AF489" t="s">
        <v>2373</v>
      </c>
      <c r="AG489" t="s">
        <v>719</v>
      </c>
    </row>
    <row r="490" spans="28:33">
      <c r="AB490">
        <v>64788</v>
      </c>
      <c r="AC490" t="s">
        <v>1019</v>
      </c>
      <c r="AD490" t="s">
        <v>2373</v>
      </c>
      <c r="AE490" t="s">
        <v>1008</v>
      </c>
      <c r="AF490" t="s">
        <v>2373</v>
      </c>
      <c r="AG490" t="s">
        <v>719</v>
      </c>
    </row>
    <row r="491" spans="28:33">
      <c r="AB491">
        <v>64686</v>
      </c>
      <c r="AC491" t="s">
        <v>1080</v>
      </c>
      <c r="AD491" t="s">
        <v>2373</v>
      </c>
      <c r="AE491" t="s">
        <v>1089</v>
      </c>
      <c r="AF491" t="s">
        <v>2373</v>
      </c>
      <c r="AG491" t="s">
        <v>719</v>
      </c>
    </row>
    <row r="492" spans="28:33">
      <c r="AB492">
        <v>65336</v>
      </c>
      <c r="AC492" t="s">
        <v>1077</v>
      </c>
      <c r="AD492" t="s">
        <v>2373</v>
      </c>
      <c r="AE492" t="s">
        <v>1075</v>
      </c>
      <c r="AF492" t="s">
        <v>2373</v>
      </c>
      <c r="AG492" t="s">
        <v>719</v>
      </c>
    </row>
    <row r="493" spans="28:33">
      <c r="AB493">
        <v>64118</v>
      </c>
      <c r="AC493" t="s">
        <v>945</v>
      </c>
      <c r="AD493" t="s">
        <v>2373</v>
      </c>
      <c r="AE493" t="s">
        <v>906</v>
      </c>
      <c r="AF493" t="s">
        <v>2373</v>
      </c>
      <c r="AG493" t="s">
        <v>719</v>
      </c>
    </row>
    <row r="494" spans="28:33">
      <c r="AB494">
        <v>64789</v>
      </c>
      <c r="AC494" t="s">
        <v>1082</v>
      </c>
      <c r="AD494" t="s">
        <v>2373</v>
      </c>
      <c r="AE494" t="s">
        <v>1097</v>
      </c>
      <c r="AF494" t="s">
        <v>2373</v>
      </c>
      <c r="AG494" t="s">
        <v>719</v>
      </c>
    </row>
    <row r="495" spans="28:33">
      <c r="AB495">
        <v>64687</v>
      </c>
      <c r="AC495" t="s">
        <v>849</v>
      </c>
      <c r="AD495" t="s">
        <v>2373</v>
      </c>
      <c r="AE495" t="s">
        <v>836</v>
      </c>
      <c r="AF495" t="s">
        <v>2373</v>
      </c>
      <c r="AG495" t="s">
        <v>719</v>
      </c>
    </row>
    <row r="496" spans="28:33">
      <c r="AB496">
        <v>64092</v>
      </c>
      <c r="AC496" t="s">
        <v>1083</v>
      </c>
      <c r="AD496" t="s">
        <v>2373</v>
      </c>
      <c r="AE496" t="s">
        <v>1095</v>
      </c>
      <c r="AF496" t="s">
        <v>1661</v>
      </c>
      <c r="AG496" t="s">
        <v>2373</v>
      </c>
    </row>
    <row r="497" spans="28:33">
      <c r="AB497">
        <v>64790</v>
      </c>
      <c r="AC497" t="s">
        <v>1084</v>
      </c>
      <c r="AD497" t="s">
        <v>2373</v>
      </c>
      <c r="AE497" t="s">
        <v>1099</v>
      </c>
      <c r="AF497" t="s">
        <v>2373</v>
      </c>
      <c r="AG497" t="s">
        <v>719</v>
      </c>
    </row>
    <row r="498" spans="28:33">
      <c r="AB498">
        <v>64093</v>
      </c>
      <c r="AC498" t="s">
        <v>700</v>
      </c>
      <c r="AD498" t="s">
        <v>1661</v>
      </c>
      <c r="AE498" t="s">
        <v>1075</v>
      </c>
      <c r="AF498" t="s">
        <v>2373</v>
      </c>
      <c r="AG498" t="s">
        <v>2373</v>
      </c>
    </row>
    <row r="499" spans="28:33">
      <c r="AB499">
        <v>65355</v>
      </c>
      <c r="AC499" t="s">
        <v>808</v>
      </c>
      <c r="AD499" t="s">
        <v>2373</v>
      </c>
      <c r="AE499" t="s">
        <v>786</v>
      </c>
      <c r="AF499" t="s">
        <v>2373</v>
      </c>
      <c r="AG499" t="s">
        <v>719</v>
      </c>
    </row>
    <row r="500" spans="28:33">
      <c r="AB500">
        <v>64496</v>
      </c>
      <c r="AC500" t="s">
        <v>743</v>
      </c>
      <c r="AD500" t="s">
        <v>2373</v>
      </c>
      <c r="AE500" t="s">
        <v>735</v>
      </c>
      <c r="AF500" t="s">
        <v>2373</v>
      </c>
      <c r="AG500" t="s">
        <v>719</v>
      </c>
    </row>
    <row r="501" spans="28:33">
      <c r="AB501">
        <v>64096</v>
      </c>
      <c r="AC501" t="s">
        <v>1085</v>
      </c>
      <c r="AD501" t="s">
        <v>2373</v>
      </c>
      <c r="AE501" t="s">
        <v>1081</v>
      </c>
      <c r="AF501" t="s">
        <v>2373</v>
      </c>
      <c r="AG501" t="s">
        <v>719</v>
      </c>
    </row>
    <row r="502" spans="28:33">
      <c r="AB502">
        <v>64497</v>
      </c>
      <c r="AC502" t="s">
        <v>984</v>
      </c>
      <c r="AD502" t="s">
        <v>688</v>
      </c>
      <c r="AE502" t="s">
        <v>975</v>
      </c>
      <c r="AF502" t="s">
        <v>2373</v>
      </c>
      <c r="AG502" t="s">
        <v>2373</v>
      </c>
    </row>
    <row r="503" spans="28:33">
      <c r="AB503">
        <v>64152</v>
      </c>
      <c r="AC503" t="s">
        <v>1086</v>
      </c>
      <c r="AD503" t="s">
        <v>2373</v>
      </c>
      <c r="AE503" t="s">
        <v>1095</v>
      </c>
      <c r="AF503" t="s">
        <v>1661</v>
      </c>
      <c r="AG503" t="s">
        <v>2373</v>
      </c>
    </row>
    <row r="504" spans="28:33">
      <c r="AB504">
        <v>64153</v>
      </c>
      <c r="AC504" t="s">
        <v>1086</v>
      </c>
      <c r="AD504" t="s">
        <v>2373</v>
      </c>
      <c r="AE504" t="s">
        <v>1095</v>
      </c>
      <c r="AF504" t="s">
        <v>1661</v>
      </c>
      <c r="AG504" t="s">
        <v>2373</v>
      </c>
    </row>
    <row r="505" spans="28:33">
      <c r="AB505">
        <v>64097</v>
      </c>
      <c r="AC505" t="s">
        <v>1087</v>
      </c>
      <c r="AD505" t="s">
        <v>2373</v>
      </c>
      <c r="AE505" t="s">
        <v>1081</v>
      </c>
      <c r="AF505" t="s">
        <v>2373</v>
      </c>
      <c r="AG505" t="s">
        <v>719</v>
      </c>
    </row>
    <row r="506" spans="28:33">
      <c r="AB506">
        <v>64734</v>
      </c>
      <c r="AC506" t="s">
        <v>876</v>
      </c>
      <c r="AD506" t="s">
        <v>2373</v>
      </c>
      <c r="AE506" t="s">
        <v>851</v>
      </c>
      <c r="AF506" t="s">
        <v>2373</v>
      </c>
      <c r="AG506" t="s">
        <v>719</v>
      </c>
    </row>
    <row r="507" spans="28:33">
      <c r="AB507">
        <v>64498</v>
      </c>
      <c r="AC507" t="s">
        <v>745</v>
      </c>
      <c r="AD507" t="s">
        <v>2373</v>
      </c>
      <c r="AE507" t="s">
        <v>735</v>
      </c>
      <c r="AF507" t="s">
        <v>2373</v>
      </c>
      <c r="AG507" t="s">
        <v>719</v>
      </c>
    </row>
    <row r="508" spans="28:33">
      <c r="AB508">
        <v>64098</v>
      </c>
      <c r="AC508" t="s">
        <v>1088</v>
      </c>
      <c r="AD508" t="s">
        <v>688</v>
      </c>
      <c r="AE508" t="s">
        <v>1095</v>
      </c>
      <c r="AF508" t="s">
        <v>1661</v>
      </c>
      <c r="AG508" t="s">
        <v>2373</v>
      </c>
    </row>
    <row r="509" spans="28:33">
      <c r="AB509">
        <v>64688</v>
      </c>
      <c r="AC509" t="s">
        <v>1090</v>
      </c>
      <c r="AD509" t="s">
        <v>2373</v>
      </c>
      <c r="AE509" t="s">
        <v>1089</v>
      </c>
      <c r="AF509" t="s">
        <v>2373</v>
      </c>
      <c r="AG509" t="s">
        <v>719</v>
      </c>
    </row>
    <row r="510" spans="28:33">
      <c r="AB510">
        <v>65355</v>
      </c>
      <c r="AC510" t="s">
        <v>810</v>
      </c>
      <c r="AD510" t="s">
        <v>2373</v>
      </c>
      <c r="AE510" t="s">
        <v>786</v>
      </c>
      <c r="AF510" t="s">
        <v>2373</v>
      </c>
      <c r="AG510" t="s">
        <v>719</v>
      </c>
    </row>
    <row r="511" spans="28:33">
      <c r="AB511">
        <v>65305</v>
      </c>
      <c r="AC511" t="s">
        <v>1079</v>
      </c>
      <c r="AD511" t="s">
        <v>2373</v>
      </c>
      <c r="AE511" t="s">
        <v>1075</v>
      </c>
      <c r="AF511" t="s">
        <v>2373</v>
      </c>
      <c r="AG511" t="s">
        <v>719</v>
      </c>
    </row>
    <row r="512" spans="28:33">
      <c r="AB512">
        <v>65360</v>
      </c>
      <c r="AC512" t="s">
        <v>1021</v>
      </c>
      <c r="AD512" t="s">
        <v>2373</v>
      </c>
      <c r="AE512" t="s">
        <v>1008</v>
      </c>
      <c r="AF512" t="s">
        <v>2373</v>
      </c>
      <c r="AG512" t="s">
        <v>719</v>
      </c>
    </row>
    <row r="513" spans="28:33">
      <c r="AB513">
        <v>64689</v>
      </c>
      <c r="AC513" t="s">
        <v>974</v>
      </c>
      <c r="AD513" t="s">
        <v>2373</v>
      </c>
      <c r="AE513" t="s">
        <v>966</v>
      </c>
      <c r="AF513" t="s">
        <v>2373</v>
      </c>
      <c r="AG513" t="s">
        <v>719</v>
      </c>
    </row>
    <row r="514" spans="28:33">
      <c r="AB514">
        <v>64484</v>
      </c>
      <c r="AC514" t="s">
        <v>835</v>
      </c>
      <c r="AD514" t="s">
        <v>2373</v>
      </c>
      <c r="AE514" t="s">
        <v>814</v>
      </c>
      <c r="AF514" t="s">
        <v>2373</v>
      </c>
      <c r="AG514" t="s">
        <v>719</v>
      </c>
    </row>
    <row r="515" spans="28:33">
      <c r="AB515">
        <v>65355</v>
      </c>
      <c r="AC515" t="s">
        <v>812</v>
      </c>
      <c r="AD515" t="s">
        <v>2373</v>
      </c>
      <c r="AE515" t="s">
        <v>786</v>
      </c>
      <c r="AF515" t="s">
        <v>2373</v>
      </c>
      <c r="AG515" t="s">
        <v>719</v>
      </c>
    </row>
    <row r="516" spans="28:33">
      <c r="AB516">
        <v>64024</v>
      </c>
      <c r="AC516" t="s">
        <v>948</v>
      </c>
      <c r="AD516" t="s">
        <v>2373</v>
      </c>
      <c r="AE516" t="s">
        <v>906</v>
      </c>
      <c r="AF516" t="s">
        <v>2373</v>
      </c>
      <c r="AG516" t="s">
        <v>719</v>
      </c>
    </row>
    <row r="517" spans="28:33">
      <c r="AB517">
        <v>64499</v>
      </c>
      <c r="AC517" t="s">
        <v>1091</v>
      </c>
      <c r="AD517" t="s">
        <v>2373</v>
      </c>
      <c r="AE517" t="s">
        <v>1091</v>
      </c>
      <c r="AF517" t="s">
        <v>2373</v>
      </c>
      <c r="AG517" t="s">
        <v>719</v>
      </c>
    </row>
    <row r="518" spans="28:33">
      <c r="AB518">
        <v>65257</v>
      </c>
      <c r="AC518" t="s">
        <v>1092</v>
      </c>
      <c r="AD518" t="s">
        <v>2373</v>
      </c>
      <c r="AE518" t="s">
        <v>925</v>
      </c>
      <c r="AF518" t="s">
        <v>2373</v>
      </c>
      <c r="AG518" t="s">
        <v>719</v>
      </c>
    </row>
  </sheetData>
  <sheetProtection algorithmName="SHA-512" hashValue="wK2yCtEnGewY8gP+yjuJ7TIcKXVCpY2CM2xrZJqCw1mVL9JoMZUk8TnrlRaWexh8eUYHao0rUskfNIuzVjIfzA==" saltValue="hQc/QyfBzg9D5xqNOtXFnA==" spinCount="100000" sheet="1" objects="1" scenarios="1"/>
  <mergeCells count="10">
    <mergeCell ref="AK11:AS11"/>
    <mergeCell ref="AL12:AO12"/>
    <mergeCell ref="AP12:AS12"/>
    <mergeCell ref="AK40:AM40"/>
    <mergeCell ref="AO40:AQ40"/>
    <mergeCell ref="J10:M10"/>
    <mergeCell ref="J14:M14"/>
    <mergeCell ref="J18:M18"/>
    <mergeCell ref="J22:M22"/>
    <mergeCell ref="AB10:AG10"/>
  </mergeCells>
  <phoneticPr fontId="149" type="noConversion"/>
  <conditionalFormatting sqref="U12:V28 X12:Z28">
    <cfRule type="containsBlanks" dxfId="160" priority="6">
      <formula>LEN(TRIM(U12))=0</formula>
    </cfRule>
  </conditionalFormatting>
  <hyperlinks>
    <hyperlink ref="H12" r:id="rId1" xr:uid="{58700C06-1EFC-4DB7-933E-1770DD401DA9}"/>
    <hyperlink ref="H13" r:id="rId2" xr:uid="{7528B5E4-6A64-4CAC-A515-13F65E028FBF}"/>
  </hyperlinks>
  <pageMargins left="0" right="0" top="0" bottom="0" header="0" footer="0"/>
  <pageSetup orientation="portrait" r:id="rId3"/>
  <tableParts count="39">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9229E-A5F8-4076-94AE-B5FCBDF4B5D5}">
  <sheetPr codeName="Sheet30">
    <tabColor theme="8" tint="0.59999389629810485"/>
    <pageSetUpPr fitToPage="1"/>
  </sheetPr>
  <dimension ref="A1:BW210"/>
  <sheetViews>
    <sheetView showGridLines="0" showRowColHeaders="0" zoomScale="85" zoomScaleNormal="85" workbookViewId="0">
      <selection activeCell="C18" sqref="C18:G19"/>
    </sheetView>
  </sheetViews>
  <sheetFormatPr defaultColWidth="0" defaultRowHeight="0" customHeight="1" zeroHeight="1"/>
  <cols>
    <col min="1" max="49" width="4.7109375" customWidth="1"/>
    <col min="50" max="51" width="9.42578125" hidden="1"/>
    <col min="52" max="52" width="15.7109375" hidden="1"/>
    <col min="53" max="59" width="9.42578125" hidden="1"/>
    <col min="60" max="60" width="14.7109375" hidden="1"/>
    <col min="61" max="67" width="9.42578125" hidden="1"/>
    <col min="68" max="68" width="10.42578125" hidden="1"/>
    <col min="69" max="75" width="8.85546875" hidden="1"/>
    <col min="76" max="16384" width="4.7109375" hidden="1"/>
  </cols>
  <sheetData>
    <row r="1" spans="1:68"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8"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8"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68" ht="15.95" customHeight="1">
      <c r="A4" s="666">
        <f>INCENTOTAL</f>
        <v>0</v>
      </c>
      <c r="B4" s="666"/>
      <c r="C4" s="666"/>
      <c r="D4" s="666"/>
      <c r="E4" s="666"/>
      <c r="F4" s="203"/>
      <c r="G4" s="203"/>
      <c r="H4" s="203"/>
      <c r="I4" s="203"/>
    </row>
    <row r="5" spans="1:68" ht="15.95" customHeight="1">
      <c r="A5" s="667"/>
      <c r="B5" s="667"/>
      <c r="C5" s="667"/>
      <c r="D5" s="667"/>
      <c r="E5" s="667"/>
      <c r="F5" s="432"/>
      <c r="G5" s="432"/>
      <c r="H5" s="432"/>
      <c r="I5" s="432"/>
      <c r="AS5" s="1059">
        <f ca="1">PROGRESSSTATUS</f>
        <v>0</v>
      </c>
      <c r="AT5" s="1059"/>
      <c r="AU5" s="1059"/>
      <c r="AV5" s="1059"/>
      <c r="AW5" s="1059"/>
      <c r="AX5" s="22"/>
      <c r="AY5" s="119" t="s">
        <v>1315</v>
      </c>
      <c r="AZ5" s="119" t="s">
        <v>325</v>
      </c>
      <c r="BA5" s="52"/>
      <c r="BB5" s="52"/>
    </row>
    <row r="6" spans="1:68" ht="15.95" customHeight="1">
      <c r="A6" s="667"/>
      <c r="B6" s="667"/>
      <c r="C6" s="667"/>
      <c r="D6" s="667"/>
      <c r="E6" s="667"/>
      <c r="F6" s="432"/>
      <c r="G6" s="432"/>
      <c r="H6" s="432"/>
      <c r="I6" s="432"/>
      <c r="AS6" s="1059"/>
      <c r="AT6" s="1059"/>
      <c r="AU6" s="1059"/>
      <c r="AV6" s="1059"/>
      <c r="AW6" s="1059"/>
      <c r="AX6" s="118" t="s">
        <v>1320</v>
      </c>
      <c r="AY6" s="117" t="str">
        <f>CBPRESE</f>
        <v>NA</v>
      </c>
      <c r="AZ6" s="181" t="str">
        <f>PAYPRESE</f>
        <v>NA</v>
      </c>
      <c r="BA6" s="52"/>
      <c r="BB6" s="52"/>
    </row>
    <row r="7" spans="1:68" ht="15.95" customHeight="1">
      <c r="A7" s="629" t="s">
        <v>83</v>
      </c>
      <c r="B7" s="629"/>
      <c r="C7" s="629"/>
      <c r="D7" s="629"/>
      <c r="E7" s="629"/>
      <c r="F7" s="85"/>
      <c r="G7" s="85"/>
      <c r="H7" s="85"/>
      <c r="I7" s="85"/>
      <c r="AS7" s="629" t="s">
        <v>299</v>
      </c>
      <c r="AT7" s="629"/>
      <c r="AU7" s="629"/>
      <c r="AV7" s="629"/>
      <c r="AW7" s="629"/>
      <c r="AX7" s="118" t="s">
        <v>135</v>
      </c>
      <c r="AY7" s="117" t="str">
        <f>CBCUSE</f>
        <v>NA</v>
      </c>
      <c r="AZ7" s="181" t="str">
        <f>PAYCUSE</f>
        <v>NA</v>
      </c>
      <c r="BA7" s="52"/>
      <c r="BB7" s="52"/>
    </row>
    <row r="8" spans="1:68" ht="15.95" customHeight="1" thickBot="1">
      <c r="A8" s="632"/>
      <c r="B8" s="632"/>
      <c r="C8" s="632"/>
      <c r="D8" s="632"/>
      <c r="E8" s="632"/>
      <c r="F8" s="429"/>
      <c r="G8" s="429"/>
      <c r="H8" s="429"/>
      <c r="I8" s="429"/>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28" t="str">
        <f ca="1">PROJSTATUS</f>
        <v>Enter Measures</v>
      </c>
      <c r="AT8" s="628"/>
      <c r="AU8" s="628"/>
      <c r="AV8" s="628"/>
      <c r="AW8" s="628"/>
      <c r="AX8" s="118" t="s">
        <v>596</v>
      </c>
      <c r="AY8" s="117" t="str">
        <f>CBALL</f>
        <v>NA</v>
      </c>
      <c r="AZ8" s="181" t="str">
        <f>PAYALL</f>
        <v>NA</v>
      </c>
      <c r="BA8" s="52"/>
      <c r="BB8" s="52"/>
    </row>
    <row r="9" spans="1:68" s="88" customFormat="1" ht="15.95" customHeight="1">
      <c r="B9" s="89"/>
      <c r="C9" s="89"/>
      <c r="D9" s="89"/>
      <c r="E9" s="89"/>
      <c r="F9" s="89"/>
      <c r="G9" s="89"/>
      <c r="J9" s="877"/>
      <c r="K9" s="878"/>
      <c r="L9" s="878"/>
      <c r="M9" s="878"/>
      <c r="N9" s="876" t="str">
        <f>M3S3</f>
        <v>Lighting Controls</v>
      </c>
      <c r="O9" s="817"/>
      <c r="P9" s="817"/>
      <c r="Q9" s="817"/>
      <c r="R9" s="876" t="str">
        <f>M3S4</f>
        <v>Refrigeration</v>
      </c>
      <c r="S9" s="817"/>
      <c r="T9" s="817"/>
      <c r="U9" s="817"/>
      <c r="V9" s="876" t="str">
        <f>M3S5</f>
        <v>HVAC</v>
      </c>
      <c r="W9" s="817"/>
      <c r="X9" s="817"/>
      <c r="Y9" s="817"/>
      <c r="Z9" s="876" t="str">
        <f>M4S8</f>
        <v>Motors and Drives</v>
      </c>
      <c r="AA9" s="817"/>
      <c r="AB9" s="817"/>
      <c r="AC9" s="817"/>
      <c r="AD9" s="819" t="str">
        <f>M3S6</f>
        <v>Compressed Air / Process</v>
      </c>
      <c r="AE9" s="819"/>
      <c r="AF9" s="819"/>
      <c r="AG9" s="819"/>
      <c r="AH9" s="876" t="str">
        <f>M3S7</f>
        <v>Water Heating / Food Services</v>
      </c>
      <c r="AI9" s="817"/>
      <c r="AJ9" s="817"/>
      <c r="AK9" s="817"/>
      <c r="AL9" s="876" t="str">
        <f>M4S9</f>
        <v>Miscellaneous</v>
      </c>
      <c r="AM9" s="817"/>
      <c r="AN9" s="817"/>
      <c r="AO9" s="817"/>
      <c r="AP9" s="89"/>
      <c r="AQ9" s="89"/>
      <c r="AR9" s="89"/>
      <c r="AS9"/>
      <c r="AT9"/>
      <c r="AU9" s="89"/>
      <c r="AV9" s="89"/>
    </row>
    <row r="10" spans="1:68" s="88" customFormat="1" ht="15.95" customHeight="1">
      <c r="B10" s="89"/>
      <c r="C10" s="89"/>
      <c r="D10" s="89"/>
      <c r="E10" s="89"/>
      <c r="F10" s="89"/>
      <c r="G10" s="89"/>
      <c r="J10" s="878"/>
      <c r="K10" s="878"/>
      <c r="L10" s="878"/>
      <c r="M10" s="878"/>
      <c r="N10" s="817"/>
      <c r="O10" s="817"/>
      <c r="P10" s="817"/>
      <c r="Q10" s="817"/>
      <c r="R10" s="817"/>
      <c r="S10" s="817"/>
      <c r="T10" s="817"/>
      <c r="U10" s="817"/>
      <c r="V10" s="817"/>
      <c r="W10" s="817"/>
      <c r="X10" s="817"/>
      <c r="Y10" s="817"/>
      <c r="Z10" s="817"/>
      <c r="AA10" s="817"/>
      <c r="AB10" s="817"/>
      <c r="AC10" s="817"/>
      <c r="AD10" s="819"/>
      <c r="AE10" s="819"/>
      <c r="AF10" s="819"/>
      <c r="AG10" s="819"/>
      <c r="AH10" s="817"/>
      <c r="AI10" s="817"/>
      <c r="AJ10" s="817"/>
      <c r="AK10" s="817"/>
      <c r="AL10" s="817"/>
      <c r="AM10" s="817"/>
      <c r="AN10" s="817"/>
      <c r="AO10" s="817"/>
      <c r="AP10" s="89"/>
      <c r="AQ10" s="89"/>
      <c r="AR10" s="89"/>
      <c r="AS10"/>
      <c r="AT10"/>
      <c r="AU10" s="89"/>
      <c r="AV10" s="89"/>
    </row>
    <row r="11" spans="1:68" ht="15.95" customHeight="1">
      <c r="B11" s="106"/>
      <c r="C11" s="106"/>
      <c r="D11" s="106"/>
      <c r="E11" s="106"/>
      <c r="F11" s="106"/>
      <c r="G11" s="106"/>
      <c r="J11" s="878"/>
      <c r="K11" s="878"/>
      <c r="L11" s="878"/>
      <c r="M11" s="878"/>
      <c r="N11" s="817"/>
      <c r="O11" s="817"/>
      <c r="P11" s="817"/>
      <c r="Q11" s="817"/>
      <c r="R11" s="817"/>
      <c r="S11" s="817"/>
      <c r="T11" s="817"/>
      <c r="U11" s="817"/>
      <c r="V11" s="817"/>
      <c r="W11" s="817"/>
      <c r="X11" s="817"/>
      <c r="Y11" s="817"/>
      <c r="Z11" s="817"/>
      <c r="AA11" s="817"/>
      <c r="AB11" s="817"/>
      <c r="AC11" s="817"/>
      <c r="AD11" s="819"/>
      <c r="AE11" s="819"/>
      <c r="AF11" s="819"/>
      <c r="AG11" s="819"/>
      <c r="AH11" s="817"/>
      <c r="AI11" s="817"/>
      <c r="AJ11" s="817"/>
      <c r="AK11" s="817"/>
      <c r="AL11" s="817"/>
      <c r="AM11" s="817"/>
      <c r="AN11" s="817"/>
      <c r="AO11" s="817"/>
      <c r="AP11" s="106"/>
      <c r="AQ11" s="106"/>
      <c r="AR11" s="106"/>
      <c r="AU11" s="106"/>
      <c r="AV11" s="106"/>
    </row>
    <row r="12" spans="1:68" ht="15.95" customHeight="1">
      <c r="A12" s="86"/>
      <c r="B12" s="86"/>
      <c r="C12" s="86"/>
      <c r="D12" s="86"/>
      <c r="E12" s="86"/>
      <c r="F12" s="86"/>
      <c r="G12" s="86"/>
      <c r="T12" s="821">
        <f>SUM(AR18:AU184)</f>
        <v>0</v>
      </c>
      <c r="U12" s="821"/>
      <c r="V12" s="821"/>
      <c r="W12" s="821"/>
      <c r="X12" s="821">
        <f ca="1">SUMIF(AR18:AU184,"&gt;0",AL18:AN184)</f>
        <v>0</v>
      </c>
      <c r="Y12" s="821"/>
      <c r="Z12" s="821"/>
      <c r="AA12" s="821"/>
      <c r="AB12" s="820">
        <f ca="1">SUMIF(AR18:AU184,"&gt;0",AO18:AQ184)</f>
        <v>0</v>
      </c>
      <c r="AC12" s="820"/>
      <c r="AD12" s="820"/>
      <c r="AE12" s="820"/>
    </row>
    <row r="13" spans="1:68" ht="15.95" customHeight="1">
      <c r="A13" s="86"/>
      <c r="B13" s="86"/>
      <c r="C13" s="86"/>
      <c r="D13" s="86"/>
      <c r="E13" s="1035" t="s">
        <v>3058</v>
      </c>
      <c r="F13" s="1035"/>
      <c r="G13" s="1035"/>
      <c r="H13" s="1035"/>
      <c r="I13" s="1035"/>
      <c r="J13" s="1035"/>
      <c r="K13" s="1035"/>
      <c r="L13" s="1035"/>
      <c r="M13" s="1035"/>
      <c r="N13" s="1035"/>
      <c r="O13" s="1035"/>
      <c r="P13" s="1035"/>
      <c r="Q13" s="1035"/>
      <c r="R13" s="1035"/>
      <c r="T13" s="821"/>
      <c r="U13" s="821"/>
      <c r="V13" s="821"/>
      <c r="W13" s="821"/>
      <c r="X13" s="821"/>
      <c r="Y13" s="821"/>
      <c r="Z13" s="821"/>
      <c r="AA13" s="821"/>
      <c r="AB13" s="820"/>
      <c r="AC13" s="820"/>
      <c r="AD13" s="820"/>
      <c r="AE13" s="820"/>
      <c r="AM13" s="840" t="str">
        <f>IF(OR(IFERROR(MATCH("75% Total Cost",BM:BM, 0), FALSE), IFERROR(MATCH("100% Incremental Cost",BM:BM, 0), FALSE)), "The incentive for one or more measures is capped due to measure cost.", "")</f>
        <v/>
      </c>
      <c r="AN13" s="840"/>
      <c r="AO13" s="840"/>
      <c r="AP13" s="840"/>
      <c r="AQ13" s="840"/>
      <c r="AR13" s="840"/>
      <c r="AS13" s="840"/>
      <c r="AT13" s="840"/>
      <c r="AU13" s="840"/>
    </row>
    <row r="14" spans="1:68" ht="15.95" customHeight="1">
      <c r="T14" s="758" t="s">
        <v>1717</v>
      </c>
      <c r="U14" s="758"/>
      <c r="V14" s="758"/>
      <c r="W14" s="758"/>
      <c r="X14" s="758" t="s">
        <v>67</v>
      </c>
      <c r="Y14" s="758"/>
      <c r="Z14" s="758"/>
      <c r="AA14" s="758"/>
      <c r="AB14" s="758" t="s">
        <v>1161</v>
      </c>
      <c r="AC14" s="758"/>
      <c r="AD14" s="758"/>
      <c r="AE14" s="758"/>
      <c r="AM14" s="840"/>
      <c r="AN14" s="840"/>
      <c r="AO14" s="840"/>
      <c r="AP14" s="840"/>
      <c r="AQ14" s="840"/>
      <c r="AR14" s="840"/>
      <c r="AS14" s="840"/>
      <c r="AT14" s="840"/>
      <c r="AU14" s="840"/>
    </row>
    <row r="15" spans="1:68" ht="15.95" customHeight="1"/>
    <row r="16" spans="1:68" ht="15.95" customHeight="1">
      <c r="C16" s="723" t="s">
        <v>1308</v>
      </c>
      <c r="D16" s="723"/>
      <c r="E16" s="723"/>
      <c r="F16" s="723"/>
      <c r="G16" s="723"/>
      <c r="H16" s="723" t="s">
        <v>1238</v>
      </c>
      <c r="I16" s="723"/>
      <c r="J16" s="723"/>
      <c r="K16" s="723"/>
      <c r="L16" s="723"/>
      <c r="M16" s="723"/>
      <c r="N16" s="723" t="s">
        <v>1309</v>
      </c>
      <c r="O16" s="723"/>
      <c r="P16" s="723"/>
      <c r="Q16" s="723"/>
      <c r="R16" s="723"/>
      <c r="S16" s="723"/>
      <c r="T16" s="723" t="s">
        <v>2426</v>
      </c>
      <c r="U16" s="723"/>
      <c r="V16" s="723"/>
      <c r="W16" s="723" t="s">
        <v>1310</v>
      </c>
      <c r="X16" s="723"/>
      <c r="Y16" s="723"/>
      <c r="Z16" s="723"/>
      <c r="AA16" s="723"/>
      <c r="AB16" s="723"/>
      <c r="AC16" s="723" t="s">
        <v>2427</v>
      </c>
      <c r="AD16" s="723"/>
      <c r="AE16" s="723"/>
      <c r="AF16" s="723" t="s">
        <v>1311</v>
      </c>
      <c r="AG16" s="723"/>
      <c r="AH16" s="814" t="s">
        <v>1257</v>
      </c>
      <c r="AI16" s="814"/>
      <c r="AJ16" s="814"/>
      <c r="AK16" s="814"/>
      <c r="AL16" s="723" t="s">
        <v>1304</v>
      </c>
      <c r="AM16" s="723"/>
      <c r="AN16" s="723"/>
      <c r="AO16" s="723" t="s">
        <v>1108</v>
      </c>
      <c r="AP16" s="723"/>
      <c r="AQ16" s="723"/>
      <c r="AR16" s="723" t="s">
        <v>83</v>
      </c>
      <c r="AS16" s="723"/>
      <c r="AT16" s="723"/>
      <c r="AU16" s="723"/>
      <c r="AV16" s="66"/>
      <c r="AW16" s="66"/>
      <c r="AX16" s="756" t="s">
        <v>132</v>
      </c>
      <c r="AY16" s="756" t="s">
        <v>325</v>
      </c>
      <c r="AZ16" s="756" t="s">
        <v>1116</v>
      </c>
      <c r="BA16" s="756" t="s">
        <v>2595</v>
      </c>
      <c r="BB16" s="756" t="s">
        <v>1324</v>
      </c>
      <c r="BC16" s="756" t="s">
        <v>635</v>
      </c>
      <c r="BD16" s="756" t="s">
        <v>1256</v>
      </c>
      <c r="BE16" s="756" t="s">
        <v>88</v>
      </c>
      <c r="BF16" s="756" t="s">
        <v>1305</v>
      </c>
      <c r="BG16" s="756" t="s">
        <v>1307</v>
      </c>
      <c r="BH16" s="756" t="s">
        <v>1466</v>
      </c>
      <c r="BI16" s="736" t="s">
        <v>2125</v>
      </c>
      <c r="BJ16" s="736" t="s">
        <v>703</v>
      </c>
      <c r="BK16" s="756" t="s">
        <v>1765</v>
      </c>
      <c r="BL16" s="756" t="s">
        <v>85</v>
      </c>
      <c r="BM16" s="756" t="s">
        <v>1306</v>
      </c>
      <c r="BN16" s="756" t="s">
        <v>309</v>
      </c>
      <c r="BO16" s="736" t="s">
        <v>2130</v>
      </c>
      <c r="BP16" s="736" t="s">
        <v>2401</v>
      </c>
    </row>
    <row r="17" spans="1:68" ht="15.95" customHeight="1" thickBot="1">
      <c r="B17" s="22"/>
      <c r="C17" s="724"/>
      <c r="D17" s="724"/>
      <c r="E17" s="724"/>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t="s">
        <v>1241</v>
      </c>
      <c r="AI17" s="724"/>
      <c r="AJ17" s="724" t="s">
        <v>1242</v>
      </c>
      <c r="AK17" s="724"/>
      <c r="AL17" s="724"/>
      <c r="AM17" s="724"/>
      <c r="AN17" s="724"/>
      <c r="AO17" s="724"/>
      <c r="AP17" s="724"/>
      <c r="AQ17" s="724"/>
      <c r="AR17" s="724"/>
      <c r="AS17" s="724"/>
      <c r="AT17" s="724"/>
      <c r="AU17" s="724"/>
      <c r="AV17" s="44"/>
      <c r="AW17" s="44"/>
      <c r="AX17" s="757"/>
      <c r="AY17" s="757"/>
      <c r="AZ17" s="757"/>
      <c r="BA17" s="757"/>
      <c r="BB17" s="757"/>
      <c r="BC17" s="757"/>
      <c r="BD17" s="757"/>
      <c r="BE17" s="757"/>
      <c r="BF17" s="757"/>
      <c r="BG17" s="757"/>
      <c r="BH17" s="757"/>
      <c r="BI17" s="737"/>
      <c r="BJ17" s="737"/>
      <c r="BK17" s="757"/>
      <c r="BL17" s="757"/>
      <c r="BM17" s="757"/>
      <c r="BN17" s="757"/>
      <c r="BO17" s="737"/>
      <c r="BP17" s="737"/>
    </row>
    <row r="18" spans="1:68" ht="15.95" customHeight="1">
      <c r="B18" s="806">
        <v>1</v>
      </c>
      <c r="C18" s="994"/>
      <c r="D18" s="726"/>
      <c r="E18" s="726"/>
      <c r="F18" s="726"/>
      <c r="G18" s="995"/>
      <c r="H18" s="1013"/>
      <c r="I18" s="1013"/>
      <c r="J18" s="1013"/>
      <c r="K18" s="1013"/>
      <c r="L18" s="1013"/>
      <c r="M18" s="991"/>
      <c r="N18" s="1116"/>
      <c r="O18" s="726"/>
      <c r="P18" s="726"/>
      <c r="Q18" s="726"/>
      <c r="R18" s="726"/>
      <c r="S18" s="995"/>
      <c r="T18" s="1129"/>
      <c r="U18" s="1130"/>
      <c r="V18" s="1131"/>
      <c r="W18" s="1116"/>
      <c r="X18" s="726"/>
      <c r="Y18" s="726"/>
      <c r="Z18" s="726"/>
      <c r="AA18" s="726"/>
      <c r="AB18" s="995"/>
      <c r="AC18" s="1129"/>
      <c r="AD18" s="1130"/>
      <c r="AE18" s="1131"/>
      <c r="AF18" s="1121" t="str">
        <f>IFERROR(IF($C18="", "", IF(OR($C18 = "Retrofit existing", $C18 = "Replace in-life equip."), "Total", "Incremental")), "")</f>
        <v/>
      </c>
      <c r="AG18" s="1122"/>
      <c r="AH18" s="999"/>
      <c r="AI18" s="999"/>
      <c r="AJ18" s="1062" t="str">
        <f>IF(AF18="Incremental",0,"")</f>
        <v/>
      </c>
      <c r="AK18" s="1063"/>
      <c r="AL18" s="1057" t="str">
        <f>IF(OR(C18="",H18="",N18="",T18="",W18="",AC18="",AF18="",AH18="",AJ18=""),"",ROUND(AH18+AJ18,2))</f>
        <v/>
      </c>
      <c r="AM18" s="1058"/>
      <c r="AN18" s="1058"/>
      <c r="AO18" s="1033" t="str">
        <f>IF(OR(C18="",H18="",N18="",T18="",W18="",AC18="",AF18="",AH18="",AJ18=""),"",IF(BC18-BD18&lt;=0,0,ROUND(BC18-BD18,4)))</f>
        <v/>
      </c>
      <c r="AP18" s="1033"/>
      <c r="AQ18" s="1033"/>
      <c r="AR18" s="996" t="str">
        <f>IF(OR(C18="",H18="",N18="",T18="",W18="",AC18="",AF18="",AH18="",AJ18=""),"",
IF(BN18&lt;&gt;"",BN18,IF(BP18&gt;0,BP18,
IF(AF18="Incremental",
IF(ACTIVEBLOCK="Yes",ROUND(MIN(AL18*INCCOSTCAP,AO18*BLOCKBIDRATE),2),
ROUND(MIN(AL18*INCCOSTCAP,BI18),2)),
IF(ACTIVEBLOCK="Yes",ROUND(MIN(AL18*TOTCOSTCAP,AO18*BLOCKBIDRATE),2),
ROUND(MIN(AL18*TOTCOSTCAP,BI18),2))))))</f>
        <v/>
      </c>
      <c r="AS18" s="996"/>
      <c r="AT18" s="996"/>
      <c r="AU18" s="996"/>
      <c r="AV18" s="44"/>
      <c r="AW18" s="44"/>
      <c r="AX18" s="974" t="str">
        <f>IFERROR(IF(OR(C18="",H18="",N18="",T18="",W18="",AC18="",AF18="",AH18="",AJ18=""),"",
ROUND(((1+ELOSS)*((AO18*INDEX(ELECCB[NPV AEC $/kWh],MATCH(BE18,ELECCB[Year Number],1)))+(BG18*INDEX(ELECCB[NPV ACC $/kW],MATCH(BE18,ELECCB[Year Number],1))))/AL18),2)),0)</f>
        <v/>
      </c>
      <c r="AY18" s="974" t="str">
        <f>IFERROR(AL18/M02S04F06/AO18,"")</f>
        <v/>
      </c>
      <c r="AZ18" s="967" t="str">
        <f>IF(OR(C18="",H18=""),"",INDEX(CMECOMPAIR[Unit of Measure],MATCH(H18,CMECOMPAIR[Proj Desc 1],0)))</f>
        <v/>
      </c>
      <c r="BA18" s="980" t="str">
        <f>IF(AO18&lt;&gt;"","Missing!","")</f>
        <v/>
      </c>
      <c r="BB18" s="980" t="str">
        <f>IF(AO18&lt;&gt;"","Missing!","")</f>
        <v/>
      </c>
      <c r="BC18" s="976" t="str">
        <f>IF(OR(C18="",H18="",N18="",T18="",W18="",AC18="",AF18="",AH18="",AJ18=""),"",ROUND(T18,4))</f>
        <v/>
      </c>
      <c r="BD18" s="976" t="str">
        <f>IF(OR(C18="",H18="",N18="",T18="",W18="",AC18="",AF18="",AH18="",AJ18=""),"",ROUND(AC18,4))</f>
        <v/>
      </c>
      <c r="BE18" s="978" t="str">
        <f>IF(OR(C18="",H18=""),"",IF(INDEX(CMECOMPAIR[EUL],MATCH(H18,CMECOMPAIR[Proj Desc 1],0))="","",INDEX(CMECOMPAIR[EUL],MATCH(H18,CMECOMPAIR[Proj Desc 1],0))))</f>
        <v/>
      </c>
      <c r="BF18" s="980" t="str">
        <f>IF(OR(C18="",H18=""),"",IF(INDEX(CMECOMPAIR[End Use Category],MATCH(H18,CMECOMPAIR[Proj Desc 1],0))="","",INDEX(CMECOMPAIR[End Use Category],MATCH(H18,CMECOMPAIR[Proj Desc 1],0))))</f>
        <v/>
      </c>
      <c r="BG18" s="972" t="str">
        <f>IFERROR(IF(OR(C18="",H18="",N18="",T18="",W18="",AC18="",AF18="",AH18="",AJ18=""),"",ROUND(AO18*INDEX(ENDUSEALL[Factor],MATCH(BF18,ENDUSEALL[End Use to Coincident Peak Demand Factors],0)),4)),"")</f>
        <v/>
      </c>
      <c r="BH18" s="1076"/>
      <c r="BI18" s="830" t="str">
        <f>IFERROR(ROUND(AO18*BJ18,2),"")</f>
        <v/>
      </c>
      <c r="BJ18" s="830" t="str">
        <f>_xlfn.LET(_xlpm.ROWS,MATCH(BF18,ENDUSEALL[End Use to Coincident Peak Demand Factors],0),IFERROR(INDEX(IF(AND(ACTIVEBONUS = TRUE,INDEX(ENDUSEALL[Bonus Rate ($/kWh)],_xlpm.ROWS)&lt;&gt;""),ENDUSEALL[Bonus Rate ($/kWh)],ENDUSEALL[Rate ($/kWh)]),_xlpm.ROWS),""))</f>
        <v/>
      </c>
      <c r="BK18" s="830"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965" t="str">
        <f>IF(OR(C18="",H18="",N18="",T18="",W18="",AC18="",AF18="",AH18="",AJ18=""),"",IF(BN18&lt;&gt;"",SPILLOVERNUMBER,INDEX(CMECOMPAIR[Measure Number],MATCH(H18,CMECOMPAIR[Proj Desc 1],0))))</f>
        <v/>
      </c>
      <c r="BM18" s="967"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967"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830" t="str">
        <f>IFERROR(IF(OR(C18="",H18="",N18="",T18="",W18="",AC18="",AF18="",AH18="",AJ18=""),"",
ROUND(((1+ELOSS)*((AO18*INDEX(ELECCB[NPV AEC $/kWh],MATCH(BE18,ELECCB[Year Number],1)))+(BG18*INDEX(ELECCB[NPV ACC $/kW],MATCH(BE18,ELECCB[Year Number],1))))),2)),0)</f>
        <v/>
      </c>
      <c r="BP18" s="969"/>
    </row>
    <row r="19" spans="1:68" ht="15.95" customHeight="1">
      <c r="B19" s="806"/>
      <c r="C19" s="991"/>
      <c r="D19" s="992"/>
      <c r="E19" s="992"/>
      <c r="F19" s="992"/>
      <c r="G19" s="993"/>
      <c r="H19" s="1015"/>
      <c r="I19" s="1015"/>
      <c r="J19" s="1015"/>
      <c r="K19" s="1015"/>
      <c r="L19" s="1015"/>
      <c r="M19" s="1020"/>
      <c r="N19" s="1026"/>
      <c r="O19" s="992"/>
      <c r="P19" s="992"/>
      <c r="Q19" s="992"/>
      <c r="R19" s="992"/>
      <c r="S19" s="993"/>
      <c r="T19" s="1031"/>
      <c r="U19" s="1125"/>
      <c r="V19" s="1126"/>
      <c r="W19" s="1026"/>
      <c r="X19" s="992"/>
      <c r="Y19" s="992"/>
      <c r="Z19" s="992"/>
      <c r="AA19" s="992"/>
      <c r="AB19" s="993"/>
      <c r="AC19" s="1031"/>
      <c r="AD19" s="1125"/>
      <c r="AE19" s="1126"/>
      <c r="AF19" s="1121"/>
      <c r="AG19" s="1122"/>
      <c r="AH19" s="999"/>
      <c r="AI19" s="999"/>
      <c r="AJ19" s="1062"/>
      <c r="AK19" s="1063"/>
      <c r="AL19" s="1001"/>
      <c r="AM19" s="1002"/>
      <c r="AN19" s="1002"/>
      <c r="AO19" s="1034"/>
      <c r="AP19" s="1034"/>
      <c r="AQ19" s="1034"/>
      <c r="AR19" s="997"/>
      <c r="AS19" s="997"/>
      <c r="AT19" s="997"/>
      <c r="AU19" s="997"/>
      <c r="AV19" s="44"/>
      <c r="AW19" s="44"/>
      <c r="AX19" s="982"/>
      <c r="AY19" s="982"/>
      <c r="AZ19" s="983"/>
      <c r="BA19" s="986"/>
      <c r="BB19" s="986"/>
      <c r="BC19" s="984"/>
      <c r="BD19" s="984"/>
      <c r="BE19" s="985"/>
      <c r="BF19" s="986"/>
      <c r="BG19" s="970"/>
      <c r="BH19" s="1077"/>
      <c r="BI19" s="831"/>
      <c r="BJ19" s="831"/>
      <c r="BK19" s="831"/>
      <c r="BL19" s="987"/>
      <c r="BM19" s="983"/>
      <c r="BN19" s="983"/>
      <c r="BO19" s="831"/>
      <c r="BP19" s="981"/>
    </row>
    <row r="20" spans="1:68" ht="15.95" customHeight="1">
      <c r="A20" s="85"/>
      <c r="B20" s="806">
        <v>2</v>
      </c>
      <c r="C20" s="988"/>
      <c r="D20" s="989"/>
      <c r="E20" s="989"/>
      <c r="F20" s="989"/>
      <c r="G20" s="990"/>
      <c r="H20" s="1015"/>
      <c r="I20" s="1015"/>
      <c r="J20" s="1015"/>
      <c r="K20" s="1015"/>
      <c r="L20" s="1015"/>
      <c r="M20" s="1020"/>
      <c r="N20" s="1025"/>
      <c r="O20" s="989"/>
      <c r="P20" s="989"/>
      <c r="Q20" s="989"/>
      <c r="R20" s="989"/>
      <c r="S20" s="990"/>
      <c r="T20" s="1029"/>
      <c r="U20" s="1123"/>
      <c r="V20" s="1124"/>
      <c r="W20" s="1025"/>
      <c r="X20" s="989"/>
      <c r="Y20" s="989"/>
      <c r="Z20" s="989"/>
      <c r="AA20" s="989"/>
      <c r="AB20" s="990"/>
      <c r="AC20" s="1029"/>
      <c r="AD20" s="1123"/>
      <c r="AE20" s="1124"/>
      <c r="AF20" s="1121" t="str">
        <f>IFERROR(IF($C20="", "", IF(OR($C20 = "Retrofit existing", $C20 = "Replace in-life equip."), "Total", "Incremental")), "")</f>
        <v/>
      </c>
      <c r="AG20" s="1122"/>
      <c r="AH20" s="999"/>
      <c r="AI20" s="999"/>
      <c r="AJ20" s="1062" t="str">
        <f>IF(AF20="Incremental",0,"")</f>
        <v/>
      </c>
      <c r="AK20" s="1063"/>
      <c r="AL20" s="1057" t="str">
        <f>IF(OR(C20="",H20="",N20="",T20="",W20="",AC20="",AF20="",AH20="",AJ20=""),"",ROUND(AH20+AJ20,2))</f>
        <v/>
      </c>
      <c r="AM20" s="1058"/>
      <c r="AN20" s="1058"/>
      <c r="AO20" s="1033" t="str">
        <f t="shared" ref="AO20" si="0">IF(OR(C20="",H20="",N20="",T20="",W20="",AC20="",AF20="",AH20="",AJ20=""),"",IF(BC20-BD20&lt;=0,0,ROUND(BC20-BD20,4)))</f>
        <v/>
      </c>
      <c r="AP20" s="1033"/>
      <c r="AQ20" s="1033"/>
      <c r="AR20" s="1064" t="str">
        <f>IF(OR(C20="",H20="",N20="",T20="",W20="",AC20="",AF20="",AH20="",AJ20=""),"",
IF(BN20&lt;&gt;"",BN20,IF(BP20&gt;0,BP20,
IF(AF20="Incremental",
IF(ACTIVEBLOCK="Yes",ROUND(MIN(AL20*INCCOSTCAP,AO20*BLOCKBIDRATE),2),
ROUND(MIN(AL20*INCCOSTCAP,BI20),2)),
IF(ACTIVEBLOCK="Yes",ROUND(MIN(AL20*TOTCOSTCAP,AO20*BLOCKBIDRATE),2),
ROUND(MIN(AL20*TOTCOSTCAP,BI20),2))))))</f>
        <v/>
      </c>
      <c r="AS20" s="1065"/>
      <c r="AT20" s="1065"/>
      <c r="AU20" s="1066"/>
      <c r="AV20" s="44"/>
      <c r="AW20" s="44"/>
      <c r="AX20" s="974" t="str">
        <f>IFERROR(IF(OR(C20="",H20="",N20="",T20="",W20="",AC20="",AF20="",AH20="",AJ20=""),"",
ROUND(((1+ELOSS)*((AO20*INDEX(ELECCB[NPV AEC $/kWh],MATCH(BE20,ELECCB[Year Number],1)))+(BG20*INDEX(ELECCB[NPV ACC $/kW],MATCH(BE20,ELECCB[Year Number],1))))/AL20),2)),0)</f>
        <v/>
      </c>
      <c r="AY20" s="974" t="str">
        <f>IFERROR(AL20/M02S04F06/AO20,"")</f>
        <v/>
      </c>
      <c r="AZ20" s="967" t="str">
        <f>IF(OR(C20="",H20=""),"",INDEX(CMECOMPAIR[Unit of Measure],MATCH(H20,CMECOMPAIR[Proj Desc 1],0)))</f>
        <v/>
      </c>
      <c r="BA20" s="980" t="str">
        <f t="shared" ref="BA20" si="1">IF(AO20&lt;&gt;"","Missing!","")</f>
        <v/>
      </c>
      <c r="BB20" s="980" t="str">
        <f t="shared" ref="BB20" si="2">IF(AO20&lt;&gt;"","Missing!","")</f>
        <v/>
      </c>
      <c r="BC20" s="976" t="str">
        <f t="shared" ref="BC20" si="3">IF(OR(C20="",H20="",N20="",T20="",W20="",AC20="",AF20="",AH20="",AJ20=""),"",ROUND(T20,4))</f>
        <v/>
      </c>
      <c r="BD20" s="976" t="str">
        <f t="shared" ref="BD20" si="4">IF(OR(C20="",H20="",N20="",T20="",W20="",AC20="",AF20="",AH20="",AJ20=""),"",ROUND(AC20,4))</f>
        <v/>
      </c>
      <c r="BE20" s="978" t="str">
        <f>IF(OR(C20="",H20=""),"",IF(INDEX(CMECOMPAIR[EUL],MATCH(H20,CMECOMPAIR[Proj Desc 1],0))="","",INDEX(CMECOMPAIR[EUL],MATCH(H20,CMECOMPAIR[Proj Desc 1],0))))</f>
        <v/>
      </c>
      <c r="BF20" s="980" t="str">
        <f>IF(OR(C20="",H20=""),"",IF(INDEX(CMECOMPAIR[End Use Category],MATCH(H20,CMECOMPAIR[Proj Desc 1],0))="","",INDEX(CMECOMPAIR[End Use Category],MATCH(H20,CMECOMPAIR[Proj Desc 1],0))))</f>
        <v/>
      </c>
      <c r="BG20" s="972" t="str">
        <f>IFERROR(IF(OR(C20="",H20="",N20="",T20="",W20="",AC20="",AF20="",AH20="",AJ20=""),"",ROUND(AO20*INDEX(ENDUSEALL[Factor],MATCH(BF20,ENDUSEALL[End Use to Coincident Peak Demand Factors],0)),4)),"")</f>
        <v/>
      </c>
      <c r="BH20" s="1076"/>
      <c r="BI20" s="830" t="str">
        <f>IFERROR(ROUND(AO20*BJ20,2),"")</f>
        <v/>
      </c>
      <c r="BJ20" s="830" t="str">
        <f>_xlfn.LET(_xlpm.ROWS,MATCH(BF20,ENDUSEALL[End Use to Coincident Peak Demand Factors],0),IFERROR(INDEX(IF(AND(ACTIVEBONUS = TRUE,INDEX(ENDUSEALL[Bonus Rate ($/kWh)],_xlpm.ROWS)&lt;&gt;""),ENDUSEALL[Bonus Rate ($/kWh)],ENDUSEALL[Rate ($/kWh)]),_xlpm.ROWS),""))</f>
        <v/>
      </c>
      <c r="BK20" s="963"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965" t="str">
        <f>IF(OR(C20="",H20="",N20="",T20="",W20="",AC20="",AF20="",AH20="",AJ20=""),"",IF(BN20&lt;&gt;"",SPILLOVERNUMBER,INDEX(CMECOMPAIR[Measure Number],MATCH(H20,CMECOMPAIR[Proj Desc 1],0))))</f>
        <v/>
      </c>
      <c r="BM20" s="966"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967"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830" t="str">
        <f>IFERROR(IF(OR(G20="",J20="",P20="",U20="",X20="",AC20="",AF20="",AH20="",AJ20=""),"",
ROUND(((1+ELOSS)*((AO20*INDEX(ELECCB[NPV AEC $/kWh],MATCH(BE20,ELECCB[Year Number],1)))+(BG20*INDEX(ELECCB[NPV ACC $/kW],MATCH(BE20,ELECCB[Year Number],1))))),2)),0)</f>
        <v/>
      </c>
      <c r="BP20" s="969"/>
    </row>
    <row r="21" spans="1:68" ht="15.95" customHeight="1">
      <c r="B21" s="806"/>
      <c r="C21" s="991"/>
      <c r="D21" s="992"/>
      <c r="E21" s="992"/>
      <c r="F21" s="992"/>
      <c r="G21" s="993"/>
      <c r="H21" s="1015"/>
      <c r="I21" s="1015"/>
      <c r="J21" s="1015"/>
      <c r="K21" s="1015"/>
      <c r="L21" s="1015"/>
      <c r="M21" s="1020"/>
      <c r="N21" s="1026"/>
      <c r="O21" s="992"/>
      <c r="P21" s="992"/>
      <c r="Q21" s="992"/>
      <c r="R21" s="992"/>
      <c r="S21" s="993"/>
      <c r="T21" s="1031"/>
      <c r="U21" s="1125"/>
      <c r="V21" s="1126"/>
      <c r="W21" s="1026"/>
      <c r="X21" s="992"/>
      <c r="Y21" s="992"/>
      <c r="Z21" s="992"/>
      <c r="AA21" s="992"/>
      <c r="AB21" s="993"/>
      <c r="AC21" s="1031"/>
      <c r="AD21" s="1125"/>
      <c r="AE21" s="1126"/>
      <c r="AF21" s="1121"/>
      <c r="AG21" s="1122"/>
      <c r="AH21" s="999"/>
      <c r="AI21" s="999"/>
      <c r="AJ21" s="1062"/>
      <c r="AK21" s="1063"/>
      <c r="AL21" s="1001"/>
      <c r="AM21" s="1002"/>
      <c r="AN21" s="1002"/>
      <c r="AO21" s="1034"/>
      <c r="AP21" s="1034"/>
      <c r="AQ21" s="1034"/>
      <c r="AR21" s="1067"/>
      <c r="AS21" s="1068"/>
      <c r="AT21" s="1068"/>
      <c r="AU21" s="1069"/>
      <c r="AV21" s="44"/>
      <c r="AW21" s="44"/>
      <c r="AX21" s="982"/>
      <c r="AY21" s="982"/>
      <c r="AZ21" s="983"/>
      <c r="BA21" s="986"/>
      <c r="BB21" s="986"/>
      <c r="BC21" s="984"/>
      <c r="BD21" s="984"/>
      <c r="BE21" s="985"/>
      <c r="BF21" s="986"/>
      <c r="BG21" s="970"/>
      <c r="BH21" s="1077"/>
      <c r="BI21" s="831"/>
      <c r="BJ21" s="831"/>
      <c r="BK21" s="830"/>
      <c r="BL21" s="987"/>
      <c r="BM21" s="967"/>
      <c r="BN21" s="983"/>
      <c r="BO21" s="831"/>
      <c r="BP21" s="981"/>
    </row>
    <row r="22" spans="1:68" s="22" customFormat="1" ht="15.95" customHeight="1">
      <c r="A22" s="120"/>
      <c r="B22" s="806">
        <v>3</v>
      </c>
      <c r="C22" s="988"/>
      <c r="D22" s="989"/>
      <c r="E22" s="989"/>
      <c r="F22" s="989"/>
      <c r="G22" s="990"/>
      <c r="H22" s="1015"/>
      <c r="I22" s="1015"/>
      <c r="J22" s="1015"/>
      <c r="K22" s="1015"/>
      <c r="L22" s="1015"/>
      <c r="M22" s="1020"/>
      <c r="N22" s="1025"/>
      <c r="O22" s="989"/>
      <c r="P22" s="989"/>
      <c r="Q22" s="989"/>
      <c r="R22" s="989"/>
      <c r="S22" s="990"/>
      <c r="T22" s="1029"/>
      <c r="U22" s="1123"/>
      <c r="V22" s="1124"/>
      <c r="W22" s="1025"/>
      <c r="X22" s="989"/>
      <c r="Y22" s="989"/>
      <c r="Z22" s="989"/>
      <c r="AA22" s="989"/>
      <c r="AB22" s="990"/>
      <c r="AC22" s="1029"/>
      <c r="AD22" s="1123"/>
      <c r="AE22" s="1124"/>
      <c r="AF22" s="1121" t="str">
        <f>IFERROR(IF($C22="", "", IF(OR($C22 = "Retrofit existing", $C22 = "Replace in-life equip."), "Total", "Incremental")), "")</f>
        <v/>
      </c>
      <c r="AG22" s="1122"/>
      <c r="AH22" s="999"/>
      <c r="AI22" s="999"/>
      <c r="AJ22" s="1062" t="str">
        <f t="shared" ref="AJ22" si="5">IF(AF22="Incremental",0,"")</f>
        <v/>
      </c>
      <c r="AK22" s="1063"/>
      <c r="AL22" s="1057" t="str">
        <f>IF(OR(C22="",H22="",N22="",T22="",W22="",AC22="",AF22="",AH22="",AJ22=""),"",ROUND(AH22+AJ22,2))</f>
        <v/>
      </c>
      <c r="AM22" s="1058"/>
      <c r="AN22" s="1058"/>
      <c r="AO22" s="1033" t="str">
        <f t="shared" ref="AO22" si="6">IF(OR(C22="",H22="",N22="",T22="",W22="",AC22="",AF22="",AH22="",AJ22=""),"",IF(BC22-BD22&lt;=0,0,ROUND(BC22-BD22,4)))</f>
        <v/>
      </c>
      <c r="AP22" s="1033"/>
      <c r="AQ22" s="1033"/>
      <c r="AR22" s="1064" t="str">
        <f>IF(OR(C22="",H22="",N22="",T22="",W22="",AC22="",AF22="",AH22="",AJ22=""),"",
IF(BN22&lt;&gt;"",BN22,IF(BP22&gt;0,BP22,
IF(AF22="Incremental",
IF(ACTIVEBLOCK="Yes",ROUND(MIN(AL22*INCCOSTCAP,AO22*BLOCKBIDRATE),2),
ROUND(MIN(AL22*INCCOSTCAP,BI22),2)),
IF(ACTIVEBLOCK="Yes",ROUND(MIN(AL22*TOTCOSTCAP,AO22*BLOCKBIDRATE),2),
ROUND(MIN(AL22*TOTCOSTCAP,BI22),2))))))</f>
        <v/>
      </c>
      <c r="AS22" s="1065"/>
      <c r="AT22" s="1065"/>
      <c r="AU22" s="1066"/>
      <c r="AV22" s="66"/>
      <c r="AW22" s="66"/>
      <c r="AX22" s="974" t="str">
        <f>IFERROR(IF(OR(C22="",H22="",N22="",T22="",W22="",AC22="",AF22="",AH22="",AJ22=""),"",
ROUND(((1+ELOSS)*((AO22*INDEX(ELECCB[NPV AEC $/kWh],MATCH(BE22,ELECCB[Year Number],1)))+(BG22*INDEX(ELECCB[NPV ACC $/kW],MATCH(BE22,ELECCB[Year Number],1))))/AL22),2)),0)</f>
        <v/>
      </c>
      <c r="AY22" s="974" t="str">
        <f>IFERROR(AL22/M02S04F06/AO22,"")</f>
        <v/>
      </c>
      <c r="AZ22" s="967" t="str">
        <f>IF(OR(C22="",H22=""),"",INDEX(CMECOMPAIR[Unit of Measure],MATCH(H22,CMECOMPAIR[Proj Desc 1],0)))</f>
        <v/>
      </c>
      <c r="BA22" s="980" t="str">
        <f t="shared" ref="BA22" si="7">IF(AO22&lt;&gt;"","Missing!","")</f>
        <v/>
      </c>
      <c r="BB22" s="980" t="str">
        <f t="shared" ref="BB22" si="8">IF(AO22&lt;&gt;"","Missing!","")</f>
        <v/>
      </c>
      <c r="BC22" s="976" t="str">
        <f t="shared" ref="BC22" si="9">IF(OR(C22="",H22="",N22="",T22="",W22="",AC22="",AF22="",AH22="",AJ22=""),"",ROUND(T22,4))</f>
        <v/>
      </c>
      <c r="BD22" s="976" t="str">
        <f t="shared" ref="BD22" si="10">IF(OR(C22="",H22="",N22="",T22="",W22="",AC22="",AF22="",AH22="",AJ22=""),"",ROUND(AC22,4))</f>
        <v/>
      </c>
      <c r="BE22" s="978" t="str">
        <f>IF(OR(C22="",H22=""),"",IF(INDEX(CMECOMPAIR[EUL],MATCH(H22,CMECOMPAIR[Proj Desc 1],0))="","",INDEX(CMECOMPAIR[EUL],MATCH(H22,CMECOMPAIR[Proj Desc 1],0))))</f>
        <v/>
      </c>
      <c r="BF22" s="980" t="str">
        <f>IF(OR(C22="",H22=""),"",IF(INDEX(CMECOMPAIR[End Use Category],MATCH(H22,CMECOMPAIR[Proj Desc 1],0))="","",INDEX(CMECOMPAIR[End Use Category],MATCH(H22,CMECOMPAIR[Proj Desc 1],0))))</f>
        <v/>
      </c>
      <c r="BG22" s="972" t="str">
        <f>IFERROR(IF(OR(C22="",H22="",N22="",T22="",W22="",AC22="",AF22="",AH22="",AJ22=""),"",ROUND(AO22*INDEX(ENDUSEALL[Factor],MATCH(BF22,ENDUSEALL[End Use to Coincident Peak Demand Factors],0)),4)),"")</f>
        <v/>
      </c>
      <c r="BH22" s="1076"/>
      <c r="BI22" s="830" t="str">
        <f>IFERROR(ROUND(AO22*BJ22,2),"")</f>
        <v/>
      </c>
      <c r="BJ22" s="830" t="str">
        <f>_xlfn.LET(_xlpm.ROWS,MATCH(BF22,ENDUSEALL[End Use to Coincident Peak Demand Factors],0),IFERROR(INDEX(IF(AND(ACTIVEBONUS = TRUE,INDEX(ENDUSEALL[Bonus Rate ($/kWh)],_xlpm.ROWS)&lt;&gt;""),ENDUSEALL[Bonus Rate ($/kWh)],ENDUSEALL[Rate ($/kWh)]),_xlpm.ROWS),""))</f>
        <v/>
      </c>
      <c r="BK22" s="963"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965" t="str">
        <f>IF(OR(C22="",H22="",N22="",T22="",W22="",AC22="",AF22="",AH22="",AJ22=""),"",IF(BN22&lt;&gt;"",SPILLOVERNUMBER,INDEX(CMECOMPAIR[Measure Number],MATCH(H22,CMECOMPAIR[Proj Desc 1],0))))</f>
        <v/>
      </c>
      <c r="BM22" s="966"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967"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830" t="str">
        <f>IFERROR(IF(OR(G22="",J22="",P22="",U22="",X22="",AC22="",AF22="",AH22="",AJ22=""),"",
ROUND(((1+ELOSS)*((AO22*INDEX(ELECCB[NPV AEC $/kWh],MATCH(BE22,ELECCB[Year Number],1)))+(BG22*INDEX(ELECCB[NPV ACC $/kW],MATCH(BE22,ELECCB[Year Number],1))))),2)),0)</f>
        <v/>
      </c>
      <c r="BP22" s="969"/>
    </row>
    <row r="23" spans="1:68" s="22" customFormat="1" ht="15.95" customHeight="1">
      <c r="A23" s="120"/>
      <c r="B23" s="806"/>
      <c r="C23" s="991"/>
      <c r="D23" s="992"/>
      <c r="E23" s="992"/>
      <c r="F23" s="992"/>
      <c r="G23" s="993"/>
      <c r="H23" s="1015"/>
      <c r="I23" s="1015"/>
      <c r="J23" s="1015"/>
      <c r="K23" s="1015"/>
      <c r="L23" s="1015"/>
      <c r="M23" s="1020"/>
      <c r="N23" s="1026"/>
      <c r="O23" s="992"/>
      <c r="P23" s="992"/>
      <c r="Q23" s="992"/>
      <c r="R23" s="992"/>
      <c r="S23" s="993"/>
      <c r="T23" s="1031"/>
      <c r="U23" s="1125"/>
      <c r="V23" s="1126"/>
      <c r="W23" s="1026"/>
      <c r="X23" s="992"/>
      <c r="Y23" s="992"/>
      <c r="Z23" s="992"/>
      <c r="AA23" s="992"/>
      <c r="AB23" s="993"/>
      <c r="AC23" s="1031"/>
      <c r="AD23" s="1125"/>
      <c r="AE23" s="1126"/>
      <c r="AF23" s="1121"/>
      <c r="AG23" s="1122"/>
      <c r="AH23" s="999"/>
      <c r="AI23" s="999"/>
      <c r="AJ23" s="1062"/>
      <c r="AK23" s="1063"/>
      <c r="AL23" s="1001"/>
      <c r="AM23" s="1002"/>
      <c r="AN23" s="1002"/>
      <c r="AO23" s="1034"/>
      <c r="AP23" s="1034"/>
      <c r="AQ23" s="1034"/>
      <c r="AR23" s="1067"/>
      <c r="AS23" s="1068"/>
      <c r="AT23" s="1068"/>
      <c r="AU23" s="1069"/>
      <c r="AV23" s="66"/>
      <c r="AW23" s="66"/>
      <c r="AX23" s="982"/>
      <c r="AY23" s="982"/>
      <c r="AZ23" s="983"/>
      <c r="BA23" s="986"/>
      <c r="BB23" s="986"/>
      <c r="BC23" s="984"/>
      <c r="BD23" s="984"/>
      <c r="BE23" s="985"/>
      <c r="BF23" s="986"/>
      <c r="BG23" s="970"/>
      <c r="BH23" s="1077"/>
      <c r="BI23" s="831"/>
      <c r="BJ23" s="831"/>
      <c r="BK23" s="830"/>
      <c r="BL23" s="987"/>
      <c r="BM23" s="967"/>
      <c r="BN23" s="983"/>
      <c r="BO23" s="831"/>
      <c r="BP23" s="981"/>
    </row>
    <row r="24" spans="1:68" ht="15.95" customHeight="1">
      <c r="B24" s="806">
        <v>4</v>
      </c>
      <c r="C24" s="988"/>
      <c r="D24" s="989"/>
      <c r="E24" s="989"/>
      <c r="F24" s="989"/>
      <c r="G24" s="990"/>
      <c r="H24" s="1015"/>
      <c r="I24" s="1015"/>
      <c r="J24" s="1015"/>
      <c r="K24" s="1015"/>
      <c r="L24" s="1015"/>
      <c r="M24" s="1020"/>
      <c r="N24" s="1025"/>
      <c r="O24" s="989"/>
      <c r="P24" s="989"/>
      <c r="Q24" s="989"/>
      <c r="R24" s="989"/>
      <c r="S24" s="990"/>
      <c r="T24" s="1029"/>
      <c r="U24" s="1123"/>
      <c r="V24" s="1124"/>
      <c r="W24" s="1025"/>
      <c r="X24" s="989"/>
      <c r="Y24" s="989"/>
      <c r="Z24" s="989"/>
      <c r="AA24" s="989"/>
      <c r="AB24" s="990"/>
      <c r="AC24" s="1029"/>
      <c r="AD24" s="1123"/>
      <c r="AE24" s="1124"/>
      <c r="AF24" s="1121" t="str">
        <f>IFERROR(IF($C24="", "", IF(OR($C24 = "Retrofit existing", $C24 = "Replace in-life equip."), "Total", "Incremental")), "")</f>
        <v/>
      </c>
      <c r="AG24" s="1122"/>
      <c r="AH24" s="999"/>
      <c r="AI24" s="999"/>
      <c r="AJ24" s="1062" t="str">
        <f t="shared" ref="AJ24" si="11">IF(AF24="Incremental",0,"")</f>
        <v/>
      </c>
      <c r="AK24" s="1063"/>
      <c r="AL24" s="1057" t="str">
        <f>IF(OR(C24="",H24="",N24="",T24="",W24="",AC24="",AF24="",AH24="",AJ24=""),"",ROUND(AH24+AJ24,2))</f>
        <v/>
      </c>
      <c r="AM24" s="1058"/>
      <c r="AN24" s="1058"/>
      <c r="AO24" s="1033" t="str">
        <f t="shared" ref="AO24" si="12">IF(OR(C24="",H24="",N24="",T24="",W24="",AC24="",AF24="",AH24="",AJ24=""),"",IF(BC24-BD24&lt;=0,0,ROUND(BC24-BD24,4)))</f>
        <v/>
      </c>
      <c r="AP24" s="1033"/>
      <c r="AQ24" s="1033"/>
      <c r="AR24" s="1064" t="str">
        <f>IF(OR(C24="",H24="",N24="",T24="",W24="",AC24="",AF24="",AH24="",AJ24=""),"",
IF(BN24&lt;&gt;"",BN24,IF(BP24&gt;0,BP24,
IF(AF24="Incremental",
IF(ACTIVEBLOCK="Yes",ROUND(MIN(AL24*INCCOSTCAP,AO24*BLOCKBIDRATE),2),
ROUND(MIN(AL24*INCCOSTCAP,BI24),2)),
IF(ACTIVEBLOCK="Yes",ROUND(MIN(AL24*TOTCOSTCAP,AO24*BLOCKBIDRATE),2),
ROUND(MIN(AL24*TOTCOSTCAP,BI24),2))))))</f>
        <v/>
      </c>
      <c r="AS24" s="1065"/>
      <c r="AT24" s="1065"/>
      <c r="AU24" s="1066"/>
      <c r="AV24" s="44"/>
      <c r="AW24" s="44"/>
      <c r="AX24" s="974" t="str">
        <f>IFERROR(IF(OR(C24="",H24="",N24="",T24="",W24="",AC24="",AF24="",AH24="",AJ24=""),"",
ROUND(((1+ELOSS)*((AO24*INDEX(ELECCB[NPV AEC $/kWh],MATCH(BE24,ELECCB[Year Number],1)))+(BG24*INDEX(ELECCB[NPV ACC $/kW],MATCH(BE24,ELECCB[Year Number],1))))/AL24),2)),0)</f>
        <v/>
      </c>
      <c r="AY24" s="974" t="str">
        <f>IFERROR(AL24/M02S04F06/AO24,"")</f>
        <v/>
      </c>
      <c r="AZ24" s="967" t="str">
        <f>IF(OR(C24="",H24=""),"",INDEX(CMECOMPAIR[Unit of Measure],MATCH(H24,CMECOMPAIR[Proj Desc 1],0)))</f>
        <v/>
      </c>
      <c r="BA24" s="980" t="str">
        <f t="shared" ref="BA24" si="13">IF(AO24&lt;&gt;"","Missing!","")</f>
        <v/>
      </c>
      <c r="BB24" s="980" t="str">
        <f t="shared" ref="BB24" si="14">IF(AO24&lt;&gt;"","Missing!","")</f>
        <v/>
      </c>
      <c r="BC24" s="976" t="str">
        <f t="shared" ref="BC24" si="15">IF(OR(C24="",H24="",N24="",T24="",W24="",AC24="",AF24="",AH24="",AJ24=""),"",ROUND(T24,4))</f>
        <v/>
      </c>
      <c r="BD24" s="976" t="str">
        <f t="shared" ref="BD24" si="16">IF(OR(C24="",H24="",N24="",T24="",W24="",AC24="",AF24="",AH24="",AJ24=""),"",ROUND(AC24,4))</f>
        <v/>
      </c>
      <c r="BE24" s="978" t="str">
        <f>IF(OR(C24="",H24=""),"",IF(INDEX(CMECOMPAIR[EUL],MATCH(H24,CMECOMPAIR[Proj Desc 1],0))="","",INDEX(CMECOMPAIR[EUL],MATCH(H24,CMECOMPAIR[Proj Desc 1],0))))</f>
        <v/>
      </c>
      <c r="BF24" s="980" t="str">
        <f>IF(OR(C24="",H24=""),"",IF(INDEX(CMECOMPAIR[End Use Category],MATCH(H24,CMECOMPAIR[Proj Desc 1],0))="","",INDEX(CMECOMPAIR[End Use Category],MATCH(H24,CMECOMPAIR[Proj Desc 1],0))))</f>
        <v/>
      </c>
      <c r="BG24" s="972" t="str">
        <f>IFERROR(IF(OR(C24="",H24="",N24="",T24="",W24="",AC24="",AF24="",AH24="",AJ24=""),"",ROUND(AO24*INDEX(ENDUSEALL[Factor],MATCH(BF24,ENDUSEALL[End Use to Coincident Peak Demand Factors],0)),4)),"")</f>
        <v/>
      </c>
      <c r="BH24" s="1076"/>
      <c r="BI24" s="830" t="str">
        <f>IFERROR(ROUND(AO24*BJ24,2),"")</f>
        <v/>
      </c>
      <c r="BJ24" s="830" t="str">
        <f>_xlfn.LET(_xlpm.ROWS,MATCH(BF24,ENDUSEALL[End Use to Coincident Peak Demand Factors],0),IFERROR(INDEX(IF(AND(ACTIVEBONUS = TRUE,INDEX(ENDUSEALL[Bonus Rate ($/kWh)],_xlpm.ROWS)&lt;&gt;""),ENDUSEALL[Bonus Rate ($/kWh)],ENDUSEALL[Rate ($/kWh)]),_xlpm.ROWS),""))</f>
        <v/>
      </c>
      <c r="BK24" s="963"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965" t="str">
        <f>IF(OR(C24="",H24="",N24="",T24="",W24="",AC24="",AF24="",AH24="",AJ24=""),"",IF(BN24&lt;&gt;"",SPILLOVERNUMBER,INDEX(CMECOMPAIR[Measure Number],MATCH(H24,CMECOMPAIR[Proj Desc 1],0))))</f>
        <v/>
      </c>
      <c r="BM24" s="966"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967"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830" t="str">
        <f>IFERROR(IF(OR(G24="",J24="",P24="",U24="",X24="",AC24="",AF24="",AH24="",AJ24=""),"",
ROUND(((1+ELOSS)*((AO24*INDEX(ELECCB[NPV AEC $/kWh],MATCH(BE24,ELECCB[Year Number],1)))+(BG24*INDEX(ELECCB[NPV ACC $/kW],MATCH(BE24,ELECCB[Year Number],1))))),2)),0)</f>
        <v/>
      </c>
      <c r="BP24" s="969"/>
    </row>
    <row r="25" spans="1:68" ht="15.95" customHeight="1">
      <c r="A25" s="85"/>
      <c r="B25" s="806"/>
      <c r="C25" s="991"/>
      <c r="D25" s="992"/>
      <c r="E25" s="992"/>
      <c r="F25" s="992"/>
      <c r="G25" s="993"/>
      <c r="H25" s="1015"/>
      <c r="I25" s="1015"/>
      <c r="J25" s="1015"/>
      <c r="K25" s="1015"/>
      <c r="L25" s="1015"/>
      <c r="M25" s="1020"/>
      <c r="N25" s="1026"/>
      <c r="O25" s="992"/>
      <c r="P25" s="992"/>
      <c r="Q25" s="992"/>
      <c r="R25" s="992"/>
      <c r="S25" s="993"/>
      <c r="T25" s="1031"/>
      <c r="U25" s="1125"/>
      <c r="V25" s="1126"/>
      <c r="W25" s="1026"/>
      <c r="X25" s="992"/>
      <c r="Y25" s="992"/>
      <c r="Z25" s="992"/>
      <c r="AA25" s="992"/>
      <c r="AB25" s="993"/>
      <c r="AC25" s="1031"/>
      <c r="AD25" s="1125"/>
      <c r="AE25" s="1126"/>
      <c r="AF25" s="1121"/>
      <c r="AG25" s="1122"/>
      <c r="AH25" s="999"/>
      <c r="AI25" s="999"/>
      <c r="AJ25" s="1062"/>
      <c r="AK25" s="1063"/>
      <c r="AL25" s="1001"/>
      <c r="AM25" s="1002"/>
      <c r="AN25" s="1002"/>
      <c r="AO25" s="1034"/>
      <c r="AP25" s="1034"/>
      <c r="AQ25" s="1034"/>
      <c r="AR25" s="1067"/>
      <c r="AS25" s="1068"/>
      <c r="AT25" s="1068"/>
      <c r="AU25" s="1069"/>
      <c r="AV25" s="44"/>
      <c r="AW25" s="44"/>
      <c r="AX25" s="982"/>
      <c r="AY25" s="982"/>
      <c r="AZ25" s="983"/>
      <c r="BA25" s="986"/>
      <c r="BB25" s="986"/>
      <c r="BC25" s="984"/>
      <c r="BD25" s="984"/>
      <c r="BE25" s="985"/>
      <c r="BF25" s="986"/>
      <c r="BG25" s="970"/>
      <c r="BH25" s="1077"/>
      <c r="BI25" s="831"/>
      <c r="BJ25" s="831"/>
      <c r="BK25" s="830"/>
      <c r="BL25" s="987"/>
      <c r="BM25" s="967"/>
      <c r="BN25" s="983"/>
      <c r="BO25" s="831"/>
      <c r="BP25" s="981"/>
    </row>
    <row r="26" spans="1:68" ht="15.95" customHeight="1">
      <c r="B26" s="806">
        <v>5</v>
      </c>
      <c r="C26" s="988"/>
      <c r="D26" s="989"/>
      <c r="E26" s="989"/>
      <c r="F26" s="989"/>
      <c r="G26" s="990"/>
      <c r="H26" s="1015"/>
      <c r="I26" s="1015"/>
      <c r="J26" s="1015"/>
      <c r="K26" s="1015"/>
      <c r="L26" s="1015"/>
      <c r="M26" s="1020"/>
      <c r="N26" s="1025"/>
      <c r="O26" s="989"/>
      <c r="P26" s="989"/>
      <c r="Q26" s="989"/>
      <c r="R26" s="989"/>
      <c r="S26" s="990"/>
      <c r="T26" s="1029"/>
      <c r="U26" s="1123"/>
      <c r="V26" s="1124"/>
      <c r="W26" s="1025"/>
      <c r="X26" s="989"/>
      <c r="Y26" s="989"/>
      <c r="Z26" s="989"/>
      <c r="AA26" s="989"/>
      <c r="AB26" s="990"/>
      <c r="AC26" s="1029"/>
      <c r="AD26" s="1123"/>
      <c r="AE26" s="1124"/>
      <c r="AF26" s="1121" t="str">
        <f>IFERROR(IF($C26="", "", IF(OR($C26 = "Retrofit existing", $C26 = "Replace in-life equip."), "Total", "Incremental")), "")</f>
        <v/>
      </c>
      <c r="AG26" s="1122"/>
      <c r="AH26" s="999"/>
      <c r="AI26" s="999"/>
      <c r="AJ26" s="1062" t="str">
        <f t="shared" ref="AJ26" si="17">IF(AF26="Incremental",0,"")</f>
        <v/>
      </c>
      <c r="AK26" s="1063"/>
      <c r="AL26" s="1057" t="str">
        <f>IF(OR(C26="",H26="",N26="",T26="",W26="",AC26="",AF26="",AH26="",AJ26=""),"",ROUND(AH26+AJ26,2))</f>
        <v/>
      </c>
      <c r="AM26" s="1058"/>
      <c r="AN26" s="1058"/>
      <c r="AO26" s="1033" t="str">
        <f t="shared" ref="AO26" si="18">IF(OR(C26="",H26="",N26="",T26="",W26="",AC26="",AF26="",AH26="",AJ26=""),"",IF(BC26-BD26&lt;=0,0,ROUND(BC26-BD26,4)))</f>
        <v/>
      </c>
      <c r="AP26" s="1033"/>
      <c r="AQ26" s="1033"/>
      <c r="AR26" s="1064" t="str">
        <f>IF(OR(C26="",H26="",N26="",T26="",W26="",AC26="",AF26="",AH26="",AJ26=""),"",
IF(BN26&lt;&gt;"",BN26,IF(BP26&gt;0,BP26,
IF(AF26="Incremental",
IF(ACTIVEBLOCK="Yes",ROUND(MIN(AL26*INCCOSTCAP,AO26*BLOCKBIDRATE),2),
ROUND(MIN(AL26*INCCOSTCAP,BI26),2)),
IF(ACTIVEBLOCK="Yes",ROUND(MIN(AL26*TOTCOSTCAP,AO26*BLOCKBIDRATE),2),
ROUND(MIN(AL26*TOTCOSTCAP,BI26),2))))))</f>
        <v/>
      </c>
      <c r="AS26" s="1065"/>
      <c r="AT26" s="1065"/>
      <c r="AU26" s="1066"/>
      <c r="AV26" s="44"/>
      <c r="AW26" s="44"/>
      <c r="AX26" s="974" t="str">
        <f>IFERROR(IF(OR(C26="",H26="",N26="",T26="",W26="",AC26="",AF26="",AH26="",AJ26=""),"",
ROUND(((1+ELOSS)*((AO26*INDEX(ELECCB[NPV AEC $/kWh],MATCH(BE26,ELECCB[Year Number],1)))+(BG26*INDEX(ELECCB[NPV ACC $/kW],MATCH(BE26,ELECCB[Year Number],1))))/AL26),2)),0)</f>
        <v/>
      </c>
      <c r="AY26" s="974" t="str">
        <f>IFERROR(AL26/M02S04F06/AO26,"")</f>
        <v/>
      </c>
      <c r="AZ26" s="967" t="str">
        <f>IF(OR(C26="",H26=""),"",INDEX(CMECOMPAIR[Unit of Measure],MATCH(H26,CMECOMPAIR[Proj Desc 1],0)))</f>
        <v/>
      </c>
      <c r="BA26" s="980" t="str">
        <f t="shared" ref="BA26" si="19">IF(AO26&lt;&gt;"","Missing!","")</f>
        <v/>
      </c>
      <c r="BB26" s="980" t="str">
        <f t="shared" ref="BB26" si="20">IF(AO26&lt;&gt;"","Missing!","")</f>
        <v/>
      </c>
      <c r="BC26" s="976" t="str">
        <f t="shared" ref="BC26" si="21">IF(OR(C26="",H26="",N26="",T26="",W26="",AC26="",AF26="",AH26="",AJ26=""),"",ROUND(T26,4))</f>
        <v/>
      </c>
      <c r="BD26" s="976" t="str">
        <f t="shared" ref="BD26" si="22">IF(OR(C26="",H26="",N26="",T26="",W26="",AC26="",AF26="",AH26="",AJ26=""),"",ROUND(AC26,4))</f>
        <v/>
      </c>
      <c r="BE26" s="978" t="str">
        <f>IF(OR(C26="",H26=""),"",IF(INDEX(CMECOMPAIR[EUL],MATCH(H26,CMECOMPAIR[Proj Desc 1],0))="","",INDEX(CMECOMPAIR[EUL],MATCH(H26,CMECOMPAIR[Proj Desc 1],0))))</f>
        <v/>
      </c>
      <c r="BF26" s="980" t="str">
        <f>IF(OR(C26="",H26=""),"",IF(INDEX(CMECOMPAIR[End Use Category],MATCH(H26,CMECOMPAIR[Proj Desc 1],0))="","",INDEX(CMECOMPAIR[End Use Category],MATCH(H26,CMECOMPAIR[Proj Desc 1],0))))</f>
        <v/>
      </c>
      <c r="BG26" s="972" t="str">
        <f>IFERROR(IF(OR(C26="",H26="",N26="",T26="",W26="",AC26="",AF26="",AH26="",AJ26=""),"",ROUND(AO26*INDEX(ENDUSEALL[Factor],MATCH(BF26,ENDUSEALL[End Use to Coincident Peak Demand Factors],0)),4)),"")</f>
        <v/>
      </c>
      <c r="BH26" s="1076"/>
      <c r="BI26" s="830" t="str">
        <f>IFERROR(ROUND(AO26*BJ26,2),"")</f>
        <v/>
      </c>
      <c r="BJ26" s="830" t="str">
        <f>_xlfn.LET(_xlpm.ROWS,MATCH(BF26,ENDUSEALL[End Use to Coincident Peak Demand Factors],0),IFERROR(INDEX(IF(AND(ACTIVEBONUS = TRUE,INDEX(ENDUSEALL[Bonus Rate ($/kWh)],_xlpm.ROWS)&lt;&gt;""),ENDUSEALL[Bonus Rate ($/kWh)],ENDUSEALL[Rate ($/kWh)]),_xlpm.ROWS),""))</f>
        <v/>
      </c>
      <c r="BK26" s="963"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965" t="str">
        <f>IF(OR(C26="",H26="",N26="",T26="",W26="",AC26="",AF26="",AH26="",AJ26=""),"",IF(BN26&lt;&gt;"",SPILLOVERNUMBER,INDEX(CMECOMPAIR[Measure Number],MATCH(H26,CMECOMPAIR[Proj Desc 1],0))))</f>
        <v/>
      </c>
      <c r="BM26" s="966"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967" t="str">
        <f ca="1">IFERROR(IF(EXPIRATION&lt;&gt;"",PROJSTATEXP,
IF(BP26&gt;0,"",
IF(BC26-BD26&lt;=0,MEASURESAVE,
IF(OR(M02S04F06="",M02S04F06="Select Rate Code",M02S04F06=0),MEASURERATE,
IF(AND((ISNUMBER(SEARCH("Other",H26))),OR(BE26="",BF26="")),MEASURESUBMIT,
 IF(PAYCUSE&lt;PAYBACKREQ,PROJECTSTATPAYBACK,
IF(CBCUSE&lt;CBREQ,PROJECTSTATCB,""))))))),MEASURESUBMIT)</f>
        <v>Submit for Review</v>
      </c>
      <c r="BO26" s="830" t="str">
        <f>IFERROR(IF(OR(G26="",J26="",P26="",U26="",X26="",AC26="",AF26="",AH26="",AJ26=""),"",
ROUND(((1+ELOSS)*((AO26*INDEX(ELECCB[NPV AEC $/kWh],MATCH(BE26,ELECCB[Year Number],1)))+(BG26*INDEX(ELECCB[NPV ACC $/kW],MATCH(BE26,ELECCB[Year Number],1))))),2)),0)</f>
        <v/>
      </c>
      <c r="BP26" s="969"/>
    </row>
    <row r="27" spans="1:68" ht="15.95" customHeight="1">
      <c r="B27" s="806"/>
      <c r="C27" s="991"/>
      <c r="D27" s="992"/>
      <c r="E27" s="992"/>
      <c r="F27" s="992"/>
      <c r="G27" s="993"/>
      <c r="H27" s="1015"/>
      <c r="I27" s="1015"/>
      <c r="J27" s="1015"/>
      <c r="K27" s="1015"/>
      <c r="L27" s="1015"/>
      <c r="M27" s="1020"/>
      <c r="N27" s="1026"/>
      <c r="O27" s="992"/>
      <c r="P27" s="992"/>
      <c r="Q27" s="992"/>
      <c r="R27" s="992"/>
      <c r="S27" s="993"/>
      <c r="T27" s="1031"/>
      <c r="U27" s="1125"/>
      <c r="V27" s="1126"/>
      <c r="W27" s="1026"/>
      <c r="X27" s="992"/>
      <c r="Y27" s="992"/>
      <c r="Z27" s="992"/>
      <c r="AA27" s="992"/>
      <c r="AB27" s="993"/>
      <c r="AC27" s="1031"/>
      <c r="AD27" s="1125"/>
      <c r="AE27" s="1126"/>
      <c r="AF27" s="1121"/>
      <c r="AG27" s="1122"/>
      <c r="AH27" s="999"/>
      <c r="AI27" s="999"/>
      <c r="AJ27" s="1062"/>
      <c r="AK27" s="1063"/>
      <c r="AL27" s="1001"/>
      <c r="AM27" s="1002"/>
      <c r="AN27" s="1002"/>
      <c r="AO27" s="1034"/>
      <c r="AP27" s="1034"/>
      <c r="AQ27" s="1034"/>
      <c r="AR27" s="1067"/>
      <c r="AS27" s="1068"/>
      <c r="AT27" s="1068"/>
      <c r="AU27" s="1069"/>
      <c r="AV27" s="44"/>
      <c r="AW27" s="44"/>
      <c r="AX27" s="982"/>
      <c r="AY27" s="982"/>
      <c r="AZ27" s="983"/>
      <c r="BA27" s="986"/>
      <c r="BB27" s="986"/>
      <c r="BC27" s="984"/>
      <c r="BD27" s="984"/>
      <c r="BE27" s="985"/>
      <c r="BF27" s="986"/>
      <c r="BG27" s="970"/>
      <c r="BH27" s="1077"/>
      <c r="BI27" s="831"/>
      <c r="BJ27" s="831"/>
      <c r="BK27" s="830"/>
      <c r="BL27" s="987"/>
      <c r="BM27" s="967"/>
      <c r="BN27" s="983"/>
      <c r="BO27" s="831"/>
      <c r="BP27" s="981"/>
    </row>
    <row r="28" spans="1:68" ht="15.95" customHeight="1">
      <c r="B28" s="806">
        <v>6</v>
      </c>
      <c r="C28" s="988"/>
      <c r="D28" s="989"/>
      <c r="E28" s="989"/>
      <c r="F28" s="989"/>
      <c r="G28" s="990"/>
      <c r="H28" s="1015"/>
      <c r="I28" s="1015"/>
      <c r="J28" s="1015"/>
      <c r="K28" s="1015"/>
      <c r="L28" s="1015"/>
      <c r="M28" s="1020"/>
      <c r="N28" s="1025"/>
      <c r="O28" s="989"/>
      <c r="P28" s="989"/>
      <c r="Q28" s="989"/>
      <c r="R28" s="989"/>
      <c r="S28" s="990"/>
      <c r="T28" s="1029"/>
      <c r="U28" s="1123"/>
      <c r="V28" s="1124"/>
      <c r="W28" s="1025"/>
      <c r="X28" s="989"/>
      <c r="Y28" s="989"/>
      <c r="Z28" s="989"/>
      <c r="AA28" s="989"/>
      <c r="AB28" s="990"/>
      <c r="AC28" s="1029"/>
      <c r="AD28" s="1123"/>
      <c r="AE28" s="1124"/>
      <c r="AF28" s="1121" t="str">
        <f>IFERROR(IF($C28="", "", IF(OR($C28 = "Retrofit existing", $C28 = "Replace in-life equip."), "Total", "Incremental")), "")</f>
        <v/>
      </c>
      <c r="AG28" s="1122"/>
      <c r="AH28" s="999"/>
      <c r="AI28" s="999"/>
      <c r="AJ28" s="1062" t="str">
        <f t="shared" ref="AJ28" si="23">IF(AF28="Incremental",0,"")</f>
        <v/>
      </c>
      <c r="AK28" s="1063"/>
      <c r="AL28" s="1057" t="str">
        <f>IF(OR(C28="",H28="",N28="",T28="",W28="",AC28="",AF28="",AH28="",AJ28=""),"",ROUND(AH28+AJ28,2))</f>
        <v/>
      </c>
      <c r="AM28" s="1058"/>
      <c r="AN28" s="1058"/>
      <c r="AO28" s="1033" t="str">
        <f t="shared" ref="AO28" si="24">IF(OR(C28="",H28="",N28="",T28="",W28="",AC28="",AF28="",AH28="",AJ28=""),"",IF(BC28-BD28&lt;=0,0,ROUND(BC28-BD28,4)))</f>
        <v/>
      </c>
      <c r="AP28" s="1033"/>
      <c r="AQ28" s="1033"/>
      <c r="AR28" s="1064" t="str">
        <f>IF(OR(C28="",H28="",N28="",T28="",W28="",AC28="",AF28="",AH28="",AJ28=""),"",
IF(BN28&lt;&gt;"",BN28,IF(BP28&gt;0,BP28,
IF(AF28="Incremental",
IF(ACTIVEBLOCK="Yes",ROUND(MIN(AL28*INCCOSTCAP,AO28*BLOCKBIDRATE),2),
ROUND(MIN(AL28*INCCOSTCAP,BI28),2)),
IF(ACTIVEBLOCK="Yes",ROUND(MIN(AL28*TOTCOSTCAP,AO28*BLOCKBIDRATE),2),
ROUND(MIN(AL28*TOTCOSTCAP,BI28),2))))))</f>
        <v/>
      </c>
      <c r="AS28" s="1065"/>
      <c r="AT28" s="1065"/>
      <c r="AU28" s="1066"/>
      <c r="AV28" s="44"/>
      <c r="AW28" s="44"/>
      <c r="AX28" s="974" t="str">
        <f>IFERROR(IF(OR(C28="",H28="",N28="",T28="",W28="",AC28="",AF28="",AH28="",AJ28=""),"",
ROUND(((1+ELOSS)*((AO28*INDEX(ELECCB[NPV AEC $/kWh],MATCH(BE28,ELECCB[Year Number],1)))+(BG28*INDEX(ELECCB[NPV ACC $/kW],MATCH(BE28,ELECCB[Year Number],1))))/AL28),2)),0)</f>
        <v/>
      </c>
      <c r="AY28" s="974" t="str">
        <f>IFERROR(AL28/M02S04F06/AO28,"")</f>
        <v/>
      </c>
      <c r="AZ28" s="967" t="str">
        <f>IF(OR(C28="",H28=""),"",INDEX(CMECOMPAIR[Unit of Measure],MATCH(H28,CMECOMPAIR[Proj Desc 1],0)))</f>
        <v/>
      </c>
      <c r="BA28" s="980" t="str">
        <f t="shared" ref="BA28" si="25">IF(AO28&lt;&gt;"","Missing!","")</f>
        <v/>
      </c>
      <c r="BB28" s="980" t="str">
        <f t="shared" ref="BB28" si="26">IF(AO28&lt;&gt;"","Missing!","")</f>
        <v/>
      </c>
      <c r="BC28" s="976" t="str">
        <f t="shared" ref="BC28" si="27">IF(OR(C28="",H28="",N28="",T28="",W28="",AC28="",AF28="",AH28="",AJ28=""),"",ROUND(T28,4))</f>
        <v/>
      </c>
      <c r="BD28" s="976" t="str">
        <f t="shared" ref="BD28" si="28">IF(OR(C28="",H28="",N28="",T28="",W28="",AC28="",AF28="",AH28="",AJ28=""),"",ROUND(AC28,4))</f>
        <v/>
      </c>
      <c r="BE28" s="978" t="str">
        <f>IF(OR(C28="",H28=""),"",IF(INDEX(CMECOMPAIR[EUL],MATCH(H28,CMECOMPAIR[Proj Desc 1],0))="","",INDEX(CMECOMPAIR[EUL],MATCH(H28,CMECOMPAIR[Proj Desc 1],0))))</f>
        <v/>
      </c>
      <c r="BF28" s="980" t="str">
        <f>IF(OR(C28="",H28=""),"",IF(INDEX(CMECOMPAIR[End Use Category],MATCH(H28,CMECOMPAIR[Proj Desc 1],0))="","",INDEX(CMECOMPAIR[End Use Category],MATCH(H28,CMECOMPAIR[Proj Desc 1],0))))</f>
        <v/>
      </c>
      <c r="BG28" s="972" t="str">
        <f>IFERROR(IF(OR(C28="",H28="",N28="",T28="",W28="",AC28="",AF28="",AH28="",AJ28=""),"",ROUND(AO28*INDEX(ENDUSEALL[Factor],MATCH(BF28,ENDUSEALL[End Use to Coincident Peak Demand Factors],0)),4)),"")</f>
        <v/>
      </c>
      <c r="BH28" s="1076"/>
      <c r="BI28" s="830" t="str">
        <f>IFERROR(ROUND(AO28*BJ28,2),"")</f>
        <v/>
      </c>
      <c r="BJ28" s="830" t="str">
        <f>_xlfn.LET(_xlpm.ROWS,MATCH(BF28,ENDUSEALL[End Use to Coincident Peak Demand Factors],0),IFERROR(INDEX(IF(AND(ACTIVEBONUS = TRUE,INDEX(ENDUSEALL[Bonus Rate ($/kWh)],_xlpm.ROWS)&lt;&gt;""),ENDUSEALL[Bonus Rate ($/kWh)],ENDUSEALL[Rate ($/kWh)]),_xlpm.ROWS),""))</f>
        <v/>
      </c>
      <c r="BK28" s="963"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965" t="str">
        <f>IF(OR(C28="",H28="",N28="",T28="",W28="",AC28="",AF28="",AH28="",AJ28=""),"",IF(BN28&lt;&gt;"",SPILLOVERNUMBER,INDEX(CMECOMPAIR[Measure Number],MATCH(H28,CMECOMPAIR[Proj Desc 1],0))))</f>
        <v/>
      </c>
      <c r="BM28" s="966"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967" t="str">
        <f ca="1">IFERROR(IF(EXPIRATION&lt;&gt;"",PROJSTATEXP,
IF(BP28&gt;0,"",
IF(BC28-BD28&lt;=0,MEASURESAVE,
IF(OR(M02S04F06="",M02S04F06="Select Rate Code",M02S04F06=0),MEASURERATE,
IF(AND((ISNUMBER(SEARCH("Other",H28))),OR(BE28="",BF28="")),MEASURESUBMIT,
 IF(PAYCUSE&lt;PAYBACKREQ,PROJECTSTATPAYBACK,
IF(CBCUSE&lt;CBREQ,PROJECTSTATCB,""))))))),MEASURESUBMIT)</f>
        <v>Submit for Review</v>
      </c>
      <c r="BO28" s="830" t="str">
        <f>IFERROR(IF(OR(G28="",J28="",P28="",U28="",X28="",AC28="",AF28="",AH28="",AJ28=""),"",
ROUND(((1+ELOSS)*((AO28*INDEX(ELECCB[NPV AEC $/kWh],MATCH(BE28,ELECCB[Year Number],1)))+(BG28*INDEX(ELECCB[NPV ACC $/kW],MATCH(BE28,ELECCB[Year Number],1))))),2)),0)</f>
        <v/>
      </c>
      <c r="BP28" s="969"/>
    </row>
    <row r="29" spans="1:68" ht="15.95" customHeight="1">
      <c r="B29" s="806"/>
      <c r="C29" s="991"/>
      <c r="D29" s="992"/>
      <c r="E29" s="992"/>
      <c r="F29" s="992"/>
      <c r="G29" s="993"/>
      <c r="H29" s="1015"/>
      <c r="I29" s="1015"/>
      <c r="J29" s="1015"/>
      <c r="K29" s="1015"/>
      <c r="L29" s="1015"/>
      <c r="M29" s="1020"/>
      <c r="N29" s="1026"/>
      <c r="O29" s="992"/>
      <c r="P29" s="992"/>
      <c r="Q29" s="992"/>
      <c r="R29" s="992"/>
      <c r="S29" s="993"/>
      <c r="T29" s="1031"/>
      <c r="U29" s="1125"/>
      <c r="V29" s="1126"/>
      <c r="W29" s="1026"/>
      <c r="X29" s="992"/>
      <c r="Y29" s="992"/>
      <c r="Z29" s="992"/>
      <c r="AA29" s="992"/>
      <c r="AB29" s="993"/>
      <c r="AC29" s="1031"/>
      <c r="AD29" s="1125"/>
      <c r="AE29" s="1126"/>
      <c r="AF29" s="1121"/>
      <c r="AG29" s="1122"/>
      <c r="AH29" s="999"/>
      <c r="AI29" s="999"/>
      <c r="AJ29" s="1062"/>
      <c r="AK29" s="1063"/>
      <c r="AL29" s="1001"/>
      <c r="AM29" s="1002"/>
      <c r="AN29" s="1002"/>
      <c r="AO29" s="1034"/>
      <c r="AP29" s="1034"/>
      <c r="AQ29" s="1034"/>
      <c r="AR29" s="1067"/>
      <c r="AS29" s="1068"/>
      <c r="AT29" s="1068"/>
      <c r="AU29" s="1069"/>
      <c r="AV29" s="44"/>
      <c r="AW29" s="44"/>
      <c r="AX29" s="982"/>
      <c r="AY29" s="982"/>
      <c r="AZ29" s="983"/>
      <c r="BA29" s="986"/>
      <c r="BB29" s="986"/>
      <c r="BC29" s="984"/>
      <c r="BD29" s="984"/>
      <c r="BE29" s="985"/>
      <c r="BF29" s="986"/>
      <c r="BG29" s="970"/>
      <c r="BH29" s="1077"/>
      <c r="BI29" s="831"/>
      <c r="BJ29" s="831"/>
      <c r="BK29" s="830"/>
      <c r="BL29" s="987"/>
      <c r="BM29" s="967"/>
      <c r="BN29" s="983"/>
      <c r="BO29" s="831"/>
      <c r="BP29" s="981"/>
    </row>
    <row r="30" spans="1:68" ht="15.95" customHeight="1">
      <c r="B30" s="806">
        <v>7</v>
      </c>
      <c r="C30" s="988"/>
      <c r="D30" s="989"/>
      <c r="E30" s="989"/>
      <c r="F30" s="989"/>
      <c r="G30" s="990"/>
      <c r="H30" s="1015"/>
      <c r="I30" s="1015"/>
      <c r="J30" s="1015"/>
      <c r="K30" s="1015"/>
      <c r="L30" s="1015"/>
      <c r="M30" s="1020"/>
      <c r="N30" s="1025"/>
      <c r="O30" s="989"/>
      <c r="P30" s="989"/>
      <c r="Q30" s="989"/>
      <c r="R30" s="989"/>
      <c r="S30" s="990"/>
      <c r="T30" s="1029"/>
      <c r="U30" s="1123"/>
      <c r="V30" s="1124"/>
      <c r="W30" s="1025"/>
      <c r="X30" s="989"/>
      <c r="Y30" s="989"/>
      <c r="Z30" s="989"/>
      <c r="AA30" s="989"/>
      <c r="AB30" s="990"/>
      <c r="AC30" s="1029"/>
      <c r="AD30" s="1123"/>
      <c r="AE30" s="1124"/>
      <c r="AF30" s="1121" t="str">
        <f>IFERROR(IF($C30="", "", IF(OR($C30 = "Retrofit existing", $C30 = "Replace in-life equip."), "Total", "Incremental")), "")</f>
        <v/>
      </c>
      <c r="AG30" s="1122"/>
      <c r="AH30" s="999"/>
      <c r="AI30" s="999"/>
      <c r="AJ30" s="1062" t="str">
        <f t="shared" ref="AJ30" si="29">IF(AF30="Incremental",0,"")</f>
        <v/>
      </c>
      <c r="AK30" s="1063"/>
      <c r="AL30" s="1057" t="str">
        <f>IF(OR(C30="",H30="",N30="",T30="",W30="",AC30="",AF30="",AH30="",AJ30=""),"",ROUND(AH30+AJ30,2))</f>
        <v/>
      </c>
      <c r="AM30" s="1058"/>
      <c r="AN30" s="1058"/>
      <c r="AO30" s="1033" t="str">
        <f t="shared" ref="AO30" si="30">IF(OR(C30="",H30="",N30="",T30="",W30="",AC30="",AF30="",AH30="",AJ30=""),"",IF(BC30-BD30&lt;=0,0,ROUND(BC30-BD30,4)))</f>
        <v/>
      </c>
      <c r="AP30" s="1033"/>
      <c r="AQ30" s="1033"/>
      <c r="AR30" s="1064" t="str">
        <f>IF(OR(C30="",H30="",N30="",T30="",W30="",AC30="",AF30="",AH30="",AJ30=""),"",
IF(BN30&lt;&gt;"",BN30,IF(BP30&gt;0,BP30,
IF(AF30="Incremental",
IF(ACTIVEBLOCK="Yes",ROUND(MIN(AL30*INCCOSTCAP,AO30*BLOCKBIDRATE),2),
ROUND(MIN(AL30*INCCOSTCAP,BI30),2)),
IF(ACTIVEBLOCK="Yes",ROUND(MIN(AL30*TOTCOSTCAP,AO30*BLOCKBIDRATE),2),
ROUND(MIN(AL30*TOTCOSTCAP,BI30),2))))))</f>
        <v/>
      </c>
      <c r="AS30" s="1065"/>
      <c r="AT30" s="1065"/>
      <c r="AU30" s="1066"/>
      <c r="AV30" s="44"/>
      <c r="AW30" s="44"/>
      <c r="AX30" s="974" t="str">
        <f>IFERROR(IF(OR(C30="",H30="",N30="",T30="",W30="",AC30="",AF30="",AH30="",AJ30=""),"",
ROUND(((1+ELOSS)*((AO30*INDEX(ELECCB[NPV AEC $/kWh],MATCH(BE30,ELECCB[Year Number],1)))+(BG30*INDEX(ELECCB[NPV ACC $/kW],MATCH(BE30,ELECCB[Year Number],1))))/AL30),2)),0)</f>
        <v/>
      </c>
      <c r="AY30" s="974" t="str">
        <f>IFERROR(AL30/M02S04F06/AO30,"")</f>
        <v/>
      </c>
      <c r="AZ30" s="967" t="str">
        <f>IF(OR(C30="",H30=""),"",INDEX(CMECOMPAIR[Unit of Measure],MATCH(H30,CMECOMPAIR[Proj Desc 1],0)))</f>
        <v/>
      </c>
      <c r="BA30" s="980" t="str">
        <f t="shared" ref="BA30" si="31">IF(AO30&lt;&gt;"","Missing!","")</f>
        <v/>
      </c>
      <c r="BB30" s="980" t="str">
        <f t="shared" ref="BB30" si="32">IF(AO30&lt;&gt;"","Missing!","")</f>
        <v/>
      </c>
      <c r="BC30" s="976" t="str">
        <f t="shared" ref="BC30" si="33">IF(OR(C30="",H30="",N30="",T30="",W30="",AC30="",AF30="",AH30="",AJ30=""),"",ROUND(T30,4))</f>
        <v/>
      </c>
      <c r="BD30" s="976" t="str">
        <f t="shared" ref="BD30" si="34">IF(OR(C30="",H30="",N30="",T30="",W30="",AC30="",AF30="",AH30="",AJ30=""),"",ROUND(AC30,4))</f>
        <v/>
      </c>
      <c r="BE30" s="978" t="str">
        <f>IF(OR(C30="",H30=""),"",IF(INDEX(CMECOMPAIR[EUL],MATCH(H30,CMECOMPAIR[Proj Desc 1],0))="","",INDEX(CMECOMPAIR[EUL],MATCH(H30,CMECOMPAIR[Proj Desc 1],0))))</f>
        <v/>
      </c>
      <c r="BF30" s="980" t="str">
        <f>IF(OR(C30="",H30=""),"",IF(INDEX(CMECOMPAIR[End Use Category],MATCH(H30,CMECOMPAIR[Proj Desc 1],0))="","",INDEX(CMECOMPAIR[End Use Category],MATCH(H30,CMECOMPAIR[Proj Desc 1],0))))</f>
        <v/>
      </c>
      <c r="BG30" s="972" t="str">
        <f>IFERROR(IF(OR(C30="",H30="",N30="",T30="",W30="",AC30="",AF30="",AH30="",AJ30=""),"",ROUND(AO30*INDEX(ENDUSEALL[Factor],MATCH(BF30,ENDUSEALL[End Use to Coincident Peak Demand Factors],0)),4)),"")</f>
        <v/>
      </c>
      <c r="BH30" s="1076"/>
      <c r="BI30" s="830" t="str">
        <f>IFERROR(ROUND(AO30*BJ30,2),"")</f>
        <v/>
      </c>
      <c r="BJ30" s="830" t="str">
        <f>_xlfn.LET(_xlpm.ROWS,MATCH(BF30,ENDUSEALL[End Use to Coincident Peak Demand Factors],0),IFERROR(INDEX(IF(AND(ACTIVEBONUS = TRUE,INDEX(ENDUSEALL[Bonus Rate ($/kWh)],_xlpm.ROWS)&lt;&gt;""),ENDUSEALL[Bonus Rate ($/kWh)],ENDUSEALL[Rate ($/kWh)]),_xlpm.ROWS),""))</f>
        <v/>
      </c>
      <c r="BK30" s="963"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965" t="str">
        <f>IF(OR(C30="",H30="",N30="",T30="",W30="",AC30="",AF30="",AH30="",AJ30=""),"",IF(BN30&lt;&gt;"",SPILLOVERNUMBER,INDEX(CMECOMPAIR[Measure Number],MATCH(H30,CMECOMPAIR[Proj Desc 1],0))))</f>
        <v/>
      </c>
      <c r="BM30" s="966"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967" t="str">
        <f ca="1">IFERROR(IF(EXPIRATION&lt;&gt;"",PROJSTATEXP,
IF(BP30&gt;0,"",
IF(BC30-BD30&lt;=0,MEASURESAVE,
IF(OR(M02S04F06="",M02S04F06="Select Rate Code",M02S04F06=0),MEASURERATE,
IF(AND((ISNUMBER(SEARCH("Other",H30))),OR(BE30="",BF30="")),MEASURESUBMIT,
 IF(PAYCUSE&lt;PAYBACKREQ,PROJECTSTATPAYBACK,
IF(CBCUSE&lt;CBREQ,PROJECTSTATCB,""))))))),MEASURESUBMIT)</f>
        <v>Submit for Review</v>
      </c>
      <c r="BO30" s="830" t="str">
        <f>IFERROR(IF(OR(G30="",J30="",P30="",U30="",X30="",AC30="",AF30="",AH30="",AJ30=""),"",
ROUND(((1+ELOSS)*((AO30*INDEX(ELECCB[NPV AEC $/kWh],MATCH(BE30,ELECCB[Year Number],1)))+(BG30*INDEX(ELECCB[NPV ACC $/kW],MATCH(BE30,ELECCB[Year Number],1))))),2)),0)</f>
        <v/>
      </c>
      <c r="BP30" s="969"/>
    </row>
    <row r="31" spans="1:68" ht="15.95" customHeight="1">
      <c r="B31" s="806"/>
      <c r="C31" s="991"/>
      <c r="D31" s="992"/>
      <c r="E31" s="992"/>
      <c r="F31" s="992"/>
      <c r="G31" s="993"/>
      <c r="H31" s="1015"/>
      <c r="I31" s="1015"/>
      <c r="J31" s="1015"/>
      <c r="K31" s="1015"/>
      <c r="L31" s="1015"/>
      <c r="M31" s="1020"/>
      <c r="N31" s="1026"/>
      <c r="O31" s="992"/>
      <c r="P31" s="992"/>
      <c r="Q31" s="992"/>
      <c r="R31" s="992"/>
      <c r="S31" s="993"/>
      <c r="T31" s="1031"/>
      <c r="U31" s="1125"/>
      <c r="V31" s="1126"/>
      <c r="W31" s="1026"/>
      <c r="X31" s="992"/>
      <c r="Y31" s="992"/>
      <c r="Z31" s="992"/>
      <c r="AA31" s="992"/>
      <c r="AB31" s="993"/>
      <c r="AC31" s="1031"/>
      <c r="AD31" s="1125"/>
      <c r="AE31" s="1126"/>
      <c r="AF31" s="1121"/>
      <c r="AG31" s="1122"/>
      <c r="AH31" s="999"/>
      <c r="AI31" s="999"/>
      <c r="AJ31" s="1062"/>
      <c r="AK31" s="1063"/>
      <c r="AL31" s="1001"/>
      <c r="AM31" s="1002"/>
      <c r="AN31" s="1002"/>
      <c r="AO31" s="1034"/>
      <c r="AP31" s="1034"/>
      <c r="AQ31" s="1034"/>
      <c r="AR31" s="1067"/>
      <c r="AS31" s="1068"/>
      <c r="AT31" s="1068"/>
      <c r="AU31" s="1069"/>
      <c r="AV31" s="44"/>
      <c r="AW31" s="44"/>
      <c r="AX31" s="982"/>
      <c r="AY31" s="982"/>
      <c r="AZ31" s="983"/>
      <c r="BA31" s="986"/>
      <c r="BB31" s="986"/>
      <c r="BC31" s="984"/>
      <c r="BD31" s="984"/>
      <c r="BE31" s="985"/>
      <c r="BF31" s="986"/>
      <c r="BG31" s="970"/>
      <c r="BH31" s="1077"/>
      <c r="BI31" s="831"/>
      <c r="BJ31" s="831"/>
      <c r="BK31" s="830"/>
      <c r="BL31" s="987"/>
      <c r="BM31" s="967"/>
      <c r="BN31" s="983"/>
      <c r="BO31" s="831"/>
      <c r="BP31" s="981"/>
    </row>
    <row r="32" spans="1:68" ht="15.95" customHeight="1">
      <c r="B32" s="806">
        <v>8</v>
      </c>
      <c r="C32" s="988"/>
      <c r="D32" s="989"/>
      <c r="E32" s="989"/>
      <c r="F32" s="989"/>
      <c r="G32" s="990"/>
      <c r="H32" s="1015"/>
      <c r="I32" s="1015"/>
      <c r="J32" s="1015"/>
      <c r="K32" s="1015"/>
      <c r="L32" s="1015"/>
      <c r="M32" s="1020"/>
      <c r="N32" s="1025"/>
      <c r="O32" s="989"/>
      <c r="P32" s="989"/>
      <c r="Q32" s="989"/>
      <c r="R32" s="989"/>
      <c r="S32" s="990"/>
      <c r="T32" s="1029"/>
      <c r="U32" s="1123"/>
      <c r="V32" s="1124"/>
      <c r="W32" s="1025"/>
      <c r="X32" s="989"/>
      <c r="Y32" s="989"/>
      <c r="Z32" s="989"/>
      <c r="AA32" s="989"/>
      <c r="AB32" s="990"/>
      <c r="AC32" s="1029"/>
      <c r="AD32" s="1123"/>
      <c r="AE32" s="1124"/>
      <c r="AF32" s="1121" t="str">
        <f>IFERROR(IF($C32="", "", IF(OR($C32 = "Retrofit existing", $C32 = "Replace in-life equip."), "Total", "Incremental")), "")</f>
        <v/>
      </c>
      <c r="AG32" s="1122"/>
      <c r="AH32" s="999"/>
      <c r="AI32" s="999"/>
      <c r="AJ32" s="1062" t="str">
        <f t="shared" ref="AJ32" si="35">IF(AF32="Incremental",0,"")</f>
        <v/>
      </c>
      <c r="AK32" s="1063"/>
      <c r="AL32" s="1057" t="str">
        <f>IF(OR(C32="",H32="",N32="",T32="",W32="",AC32="",AF32="",AH32="",AJ32=""),"",ROUND(AH32+AJ32,2))</f>
        <v/>
      </c>
      <c r="AM32" s="1058"/>
      <c r="AN32" s="1058"/>
      <c r="AO32" s="1033" t="str">
        <f t="shared" ref="AO32" si="36">IF(OR(C32="",H32="",N32="",T32="",W32="",AC32="",AF32="",AH32="",AJ32=""),"",IF(BC32-BD32&lt;=0,0,ROUND(BC32-BD32,4)))</f>
        <v/>
      </c>
      <c r="AP32" s="1033"/>
      <c r="AQ32" s="1033"/>
      <c r="AR32" s="1064" t="str">
        <f>IF(OR(C32="",H32="",N32="",T32="",W32="",AC32="",AF32="",AH32="",AJ32=""),"",
IF(BN32&lt;&gt;"",BN32,IF(BP32&gt;0,BP32,
IF(AF32="Incremental",
IF(ACTIVEBLOCK="Yes",ROUND(MIN(AL32*INCCOSTCAP,AO32*BLOCKBIDRATE),2),
ROUND(MIN(AL32*INCCOSTCAP,BI32),2)),
IF(ACTIVEBLOCK="Yes",ROUND(MIN(AL32*TOTCOSTCAP,AO32*BLOCKBIDRATE),2),
ROUND(MIN(AL32*TOTCOSTCAP,BI32),2))))))</f>
        <v/>
      </c>
      <c r="AS32" s="1065"/>
      <c r="AT32" s="1065"/>
      <c r="AU32" s="1066"/>
      <c r="AV32" s="44"/>
      <c r="AW32" s="44"/>
      <c r="AX32" s="974" t="str">
        <f>IFERROR(IF(OR(C32="",H32="",N32="",T32="",W32="",AC32="",AF32="",AH32="",AJ32=""),"",
ROUND(((1+ELOSS)*((AO32*INDEX(ELECCB[NPV AEC $/kWh],MATCH(BE32,ELECCB[Year Number],1)))+(BG32*INDEX(ELECCB[NPV ACC $/kW],MATCH(BE32,ELECCB[Year Number],1))))/AL32),2)),0)</f>
        <v/>
      </c>
      <c r="AY32" s="974" t="str">
        <f>IFERROR(AL32/M02S04F06/AO32,"")</f>
        <v/>
      </c>
      <c r="AZ32" s="967" t="str">
        <f>IF(OR(C32="",H32=""),"",INDEX(CMECOMPAIR[Unit of Measure],MATCH(H32,CMECOMPAIR[Proj Desc 1],0)))</f>
        <v/>
      </c>
      <c r="BA32" s="980" t="str">
        <f t="shared" ref="BA32" si="37">IF(AO32&lt;&gt;"","Missing!","")</f>
        <v/>
      </c>
      <c r="BB32" s="980" t="str">
        <f t="shared" ref="BB32" si="38">IF(AO32&lt;&gt;"","Missing!","")</f>
        <v/>
      </c>
      <c r="BC32" s="976" t="str">
        <f t="shared" ref="BC32" si="39">IF(OR(C32="",H32="",N32="",T32="",W32="",AC32="",AF32="",AH32="",AJ32=""),"",ROUND(T32,4))</f>
        <v/>
      </c>
      <c r="BD32" s="976" t="str">
        <f t="shared" ref="BD32" si="40">IF(OR(C32="",H32="",N32="",T32="",W32="",AC32="",AF32="",AH32="",AJ32=""),"",ROUND(AC32,4))</f>
        <v/>
      </c>
      <c r="BE32" s="978" t="str">
        <f>IF(OR(C32="",H32=""),"",IF(INDEX(CMECOMPAIR[EUL],MATCH(H32,CMECOMPAIR[Proj Desc 1],0))="","",INDEX(CMECOMPAIR[EUL],MATCH(H32,CMECOMPAIR[Proj Desc 1],0))))</f>
        <v/>
      </c>
      <c r="BF32" s="980" t="str">
        <f>IF(OR(C32="",H32=""),"",IF(INDEX(CMECOMPAIR[End Use Category],MATCH(H32,CMECOMPAIR[Proj Desc 1],0))="","",INDEX(CMECOMPAIR[End Use Category],MATCH(H32,CMECOMPAIR[Proj Desc 1],0))))</f>
        <v/>
      </c>
      <c r="BG32" s="972" t="str">
        <f>IFERROR(IF(OR(C32="",H32="",N32="",T32="",W32="",AC32="",AF32="",AH32="",AJ32=""),"",ROUND(AO32*INDEX(ENDUSEALL[Factor],MATCH(BF32,ENDUSEALL[End Use to Coincident Peak Demand Factors],0)),4)),"")</f>
        <v/>
      </c>
      <c r="BH32" s="1076"/>
      <c r="BI32" s="830" t="str">
        <f>IFERROR(ROUND(AO32*BJ32,2),"")</f>
        <v/>
      </c>
      <c r="BJ32" s="830" t="str">
        <f>_xlfn.LET(_xlpm.ROWS,MATCH(BF32,ENDUSEALL[End Use to Coincident Peak Demand Factors],0),IFERROR(INDEX(IF(AND(ACTIVEBONUS = TRUE,INDEX(ENDUSEALL[Bonus Rate ($/kWh)],_xlpm.ROWS)&lt;&gt;""),ENDUSEALL[Bonus Rate ($/kWh)],ENDUSEALL[Rate ($/kWh)]),_xlpm.ROWS),""))</f>
        <v/>
      </c>
      <c r="BK32" s="963"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965" t="str">
        <f>IF(OR(C32="",H32="",N32="",T32="",W32="",AC32="",AF32="",AH32="",AJ32=""),"",IF(BN32&lt;&gt;"",SPILLOVERNUMBER,INDEX(CMECOMPAIR[Measure Number],MATCH(H32,CMECOMPAIR[Proj Desc 1],0))))</f>
        <v/>
      </c>
      <c r="BM32" s="966"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967" t="str">
        <f ca="1">IFERROR(IF(EXPIRATION&lt;&gt;"",PROJSTATEXP,
IF(BP32&gt;0,"",
IF(BC32-BD32&lt;=0,MEASURESAVE,
IF(OR(M02S04F06="",M02S04F06="Select Rate Code",M02S04F06=0),MEASURERATE,
IF(AND((ISNUMBER(SEARCH("Other",H32))),OR(BE32="",BF32="")),MEASURESUBMIT,
 IF(PAYCUSE&lt;PAYBACKREQ,PROJECTSTATPAYBACK,
IF(CBCUSE&lt;CBREQ,PROJECTSTATCB,""))))))),MEASURESUBMIT)</f>
        <v>Submit for Review</v>
      </c>
      <c r="BO32" s="830" t="str">
        <f>IFERROR(IF(OR(G32="",J32="",P32="",U32="",X32="",AC32="",AF32="",AH32="",AJ32=""),"",
ROUND(((1+ELOSS)*((AO32*INDEX(ELECCB[NPV AEC $/kWh],MATCH(BE32,ELECCB[Year Number],1)))+(BG32*INDEX(ELECCB[NPV ACC $/kW],MATCH(BE32,ELECCB[Year Number],1))))),2)),0)</f>
        <v/>
      </c>
      <c r="BP32" s="969"/>
    </row>
    <row r="33" spans="2:68" ht="15.95" customHeight="1">
      <c r="B33" s="806"/>
      <c r="C33" s="991"/>
      <c r="D33" s="992"/>
      <c r="E33" s="992"/>
      <c r="F33" s="992"/>
      <c r="G33" s="993"/>
      <c r="H33" s="1015"/>
      <c r="I33" s="1015"/>
      <c r="J33" s="1015"/>
      <c r="K33" s="1015"/>
      <c r="L33" s="1015"/>
      <c r="M33" s="1020"/>
      <c r="N33" s="1026"/>
      <c r="O33" s="992"/>
      <c r="P33" s="992"/>
      <c r="Q33" s="992"/>
      <c r="R33" s="992"/>
      <c r="S33" s="993"/>
      <c r="T33" s="1031"/>
      <c r="U33" s="1125"/>
      <c r="V33" s="1126"/>
      <c r="W33" s="1026"/>
      <c r="X33" s="992"/>
      <c r="Y33" s="992"/>
      <c r="Z33" s="992"/>
      <c r="AA33" s="992"/>
      <c r="AB33" s="993"/>
      <c r="AC33" s="1031"/>
      <c r="AD33" s="1125"/>
      <c r="AE33" s="1126"/>
      <c r="AF33" s="1121"/>
      <c r="AG33" s="1122"/>
      <c r="AH33" s="999"/>
      <c r="AI33" s="999"/>
      <c r="AJ33" s="1062"/>
      <c r="AK33" s="1063"/>
      <c r="AL33" s="1001"/>
      <c r="AM33" s="1002"/>
      <c r="AN33" s="1002"/>
      <c r="AO33" s="1034"/>
      <c r="AP33" s="1034"/>
      <c r="AQ33" s="1034"/>
      <c r="AR33" s="1067"/>
      <c r="AS33" s="1068"/>
      <c r="AT33" s="1068"/>
      <c r="AU33" s="1069"/>
      <c r="AV33" s="44"/>
      <c r="AW33" s="44"/>
      <c r="AX33" s="982"/>
      <c r="AY33" s="982"/>
      <c r="AZ33" s="983"/>
      <c r="BA33" s="986"/>
      <c r="BB33" s="986"/>
      <c r="BC33" s="984"/>
      <c r="BD33" s="984"/>
      <c r="BE33" s="985"/>
      <c r="BF33" s="986"/>
      <c r="BG33" s="970"/>
      <c r="BH33" s="1077"/>
      <c r="BI33" s="831"/>
      <c r="BJ33" s="831"/>
      <c r="BK33" s="830"/>
      <c r="BL33" s="987"/>
      <c r="BM33" s="967"/>
      <c r="BN33" s="983"/>
      <c r="BO33" s="831"/>
      <c r="BP33" s="981"/>
    </row>
    <row r="34" spans="2:68" ht="15.95" customHeight="1">
      <c r="B34" s="806">
        <v>9</v>
      </c>
      <c r="C34" s="988"/>
      <c r="D34" s="989"/>
      <c r="E34" s="989"/>
      <c r="F34" s="989"/>
      <c r="G34" s="990"/>
      <c r="H34" s="1015"/>
      <c r="I34" s="1015"/>
      <c r="J34" s="1015"/>
      <c r="K34" s="1015"/>
      <c r="L34" s="1015"/>
      <c r="M34" s="1020"/>
      <c r="N34" s="1025"/>
      <c r="O34" s="989"/>
      <c r="P34" s="989"/>
      <c r="Q34" s="989"/>
      <c r="R34" s="989"/>
      <c r="S34" s="990"/>
      <c r="T34" s="1029"/>
      <c r="U34" s="1123"/>
      <c r="V34" s="1124"/>
      <c r="W34" s="1025"/>
      <c r="X34" s="989"/>
      <c r="Y34" s="989"/>
      <c r="Z34" s="989"/>
      <c r="AA34" s="989"/>
      <c r="AB34" s="990"/>
      <c r="AC34" s="1029"/>
      <c r="AD34" s="1123"/>
      <c r="AE34" s="1124"/>
      <c r="AF34" s="1121" t="str">
        <f>IFERROR(IF($C34="", "", IF(OR($C34 = "Retrofit existing", $C34 = "Replace in-life equip."), "Total", "Incremental")), "")</f>
        <v/>
      </c>
      <c r="AG34" s="1122"/>
      <c r="AH34" s="999"/>
      <c r="AI34" s="999"/>
      <c r="AJ34" s="1062" t="str">
        <f t="shared" ref="AJ34" si="41">IF(AF34="Incremental",0,"")</f>
        <v/>
      </c>
      <c r="AK34" s="1063"/>
      <c r="AL34" s="1057" t="str">
        <f>IF(OR(C34="",H34="",N34="",T34="",W34="",AC34="",AF34="",AH34="",AJ34=""),"",ROUND(AH34+AJ34,2))</f>
        <v/>
      </c>
      <c r="AM34" s="1058"/>
      <c r="AN34" s="1058"/>
      <c r="AO34" s="1033" t="str">
        <f t="shared" ref="AO34" si="42">IF(OR(C34="",H34="",N34="",T34="",W34="",AC34="",AF34="",AH34="",AJ34=""),"",IF(BC34-BD34&lt;=0,0,ROUND(BC34-BD34,4)))</f>
        <v/>
      </c>
      <c r="AP34" s="1033"/>
      <c r="AQ34" s="1033"/>
      <c r="AR34" s="1064" t="str">
        <f>IF(OR(C34="",H34="",N34="",T34="",W34="",AC34="",AF34="",AH34="",AJ34=""),"",
IF(BN34&lt;&gt;"",BN34,IF(BP34&gt;0,BP34,
IF(AF34="Incremental",
IF(ACTIVEBLOCK="Yes",ROUND(MIN(AL34*INCCOSTCAP,AO34*BLOCKBIDRATE),2),
ROUND(MIN(AL34*INCCOSTCAP,BI34),2)),
IF(ACTIVEBLOCK="Yes",ROUND(MIN(AL34*TOTCOSTCAP,AO34*BLOCKBIDRATE),2),
ROUND(MIN(AL34*TOTCOSTCAP,BI34),2))))))</f>
        <v/>
      </c>
      <c r="AS34" s="1065"/>
      <c r="AT34" s="1065"/>
      <c r="AU34" s="1066"/>
      <c r="AV34" s="44"/>
      <c r="AW34" s="44"/>
      <c r="AX34" s="974" t="str">
        <f>IFERROR(IF(OR(C34="",H34="",N34="",T34="",W34="",AC34="",AF34="",AH34="",AJ34=""),"",
ROUND(((1+ELOSS)*((AO34*INDEX(ELECCB[NPV AEC $/kWh],MATCH(BE34,ELECCB[Year Number],1)))+(BG34*INDEX(ELECCB[NPV ACC $/kW],MATCH(BE34,ELECCB[Year Number],1))))/AL34),2)),0)</f>
        <v/>
      </c>
      <c r="AY34" s="974" t="str">
        <f>IFERROR(AL34/M02S04F06/AO34,"")</f>
        <v/>
      </c>
      <c r="AZ34" s="967" t="str">
        <f>IF(OR(C34="",H34=""),"",INDEX(CMECOMPAIR[Unit of Measure],MATCH(H34,CMECOMPAIR[Proj Desc 1],0)))</f>
        <v/>
      </c>
      <c r="BA34" s="980" t="str">
        <f t="shared" ref="BA34" si="43">IF(AO34&lt;&gt;"","Missing!","")</f>
        <v/>
      </c>
      <c r="BB34" s="980" t="str">
        <f t="shared" ref="BB34" si="44">IF(AO34&lt;&gt;"","Missing!","")</f>
        <v/>
      </c>
      <c r="BC34" s="976" t="str">
        <f t="shared" ref="BC34" si="45">IF(OR(C34="",H34="",N34="",T34="",W34="",AC34="",AF34="",AH34="",AJ34=""),"",ROUND(T34,4))</f>
        <v/>
      </c>
      <c r="BD34" s="976" t="str">
        <f t="shared" ref="BD34" si="46">IF(OR(C34="",H34="",N34="",T34="",W34="",AC34="",AF34="",AH34="",AJ34=""),"",ROUND(AC34,4))</f>
        <v/>
      </c>
      <c r="BE34" s="978" t="str">
        <f>IF(OR(C34="",H34=""),"",IF(INDEX(CMECOMPAIR[EUL],MATCH(H34,CMECOMPAIR[Proj Desc 1],0))="","",INDEX(CMECOMPAIR[EUL],MATCH(H34,CMECOMPAIR[Proj Desc 1],0))))</f>
        <v/>
      </c>
      <c r="BF34" s="980" t="str">
        <f>IF(OR(C34="",H34=""),"",IF(INDEX(CMECOMPAIR[End Use Category],MATCH(H34,CMECOMPAIR[Proj Desc 1],0))="","",INDEX(CMECOMPAIR[End Use Category],MATCH(H34,CMECOMPAIR[Proj Desc 1],0))))</f>
        <v/>
      </c>
      <c r="BG34" s="972" t="str">
        <f>IFERROR(IF(OR(C34="",H34="",N34="",T34="",W34="",AC34="",AF34="",AH34="",AJ34=""),"",ROUND(AO34*INDEX(ENDUSEALL[Factor],MATCH(BF34,ENDUSEALL[End Use to Coincident Peak Demand Factors],0)),4)),"")</f>
        <v/>
      </c>
      <c r="BH34" s="1076"/>
      <c r="BI34" s="830" t="str">
        <f>IFERROR(ROUND(AO34*BJ34,2),"")</f>
        <v/>
      </c>
      <c r="BJ34" s="830" t="str">
        <f>_xlfn.LET(_xlpm.ROWS,MATCH(BF34,ENDUSEALL[End Use to Coincident Peak Demand Factors],0),IFERROR(INDEX(IF(AND(ACTIVEBONUS = TRUE,INDEX(ENDUSEALL[Bonus Rate ($/kWh)],_xlpm.ROWS)&lt;&gt;""),ENDUSEALL[Bonus Rate ($/kWh)],ENDUSEALL[Rate ($/kWh)]),_xlpm.ROWS),""))</f>
        <v/>
      </c>
      <c r="BK34" s="963"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965" t="str">
        <f>IF(OR(C34="",H34="",N34="",T34="",W34="",AC34="",AF34="",AH34="",AJ34=""),"",IF(BN34&lt;&gt;"",SPILLOVERNUMBER,INDEX(CMECOMPAIR[Measure Number],MATCH(H34,CMECOMPAIR[Proj Desc 1],0))))</f>
        <v/>
      </c>
      <c r="BM34" s="966"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967" t="str">
        <f ca="1">IFERROR(IF(EXPIRATION&lt;&gt;"",PROJSTATEXP,
IF(BP34&gt;0,"",
IF(BC34-BD34&lt;=0,MEASURESAVE,
IF(OR(M02S04F06="",M02S04F06="Select Rate Code",M02S04F06=0),MEASURERATE,
IF(AND((ISNUMBER(SEARCH("Other",H34))),OR(BE34="",BF34="")),MEASURESUBMIT,
 IF(PAYCUSE&lt;PAYBACKREQ,PROJECTSTATPAYBACK,
IF(CBCUSE&lt;CBREQ,PROJECTSTATCB,""))))))),MEASURESUBMIT)</f>
        <v>Submit for Review</v>
      </c>
      <c r="BO34" s="830" t="str">
        <f>IFERROR(IF(OR(G34="",J34="",P34="",U34="",X34="",AC34="",AF34="",AH34="",AJ34=""),"",
ROUND(((1+ELOSS)*((AO34*INDEX(ELECCB[NPV AEC $/kWh],MATCH(BE34,ELECCB[Year Number],1)))+(BG34*INDEX(ELECCB[NPV ACC $/kW],MATCH(BE34,ELECCB[Year Number],1))))),2)),0)</f>
        <v/>
      </c>
      <c r="BP34" s="969"/>
    </row>
    <row r="35" spans="2:68" ht="15.95" customHeight="1">
      <c r="B35" s="806"/>
      <c r="C35" s="991"/>
      <c r="D35" s="992"/>
      <c r="E35" s="992"/>
      <c r="F35" s="992"/>
      <c r="G35" s="993"/>
      <c r="H35" s="1015"/>
      <c r="I35" s="1015"/>
      <c r="J35" s="1015"/>
      <c r="K35" s="1015"/>
      <c r="L35" s="1015"/>
      <c r="M35" s="1020"/>
      <c r="N35" s="1026"/>
      <c r="O35" s="992"/>
      <c r="P35" s="992"/>
      <c r="Q35" s="992"/>
      <c r="R35" s="992"/>
      <c r="S35" s="993"/>
      <c r="T35" s="1031"/>
      <c r="U35" s="1125"/>
      <c r="V35" s="1126"/>
      <c r="W35" s="1026"/>
      <c r="X35" s="992"/>
      <c r="Y35" s="992"/>
      <c r="Z35" s="992"/>
      <c r="AA35" s="992"/>
      <c r="AB35" s="993"/>
      <c r="AC35" s="1031"/>
      <c r="AD35" s="1125"/>
      <c r="AE35" s="1126"/>
      <c r="AF35" s="1121"/>
      <c r="AG35" s="1122"/>
      <c r="AH35" s="999"/>
      <c r="AI35" s="999"/>
      <c r="AJ35" s="1062"/>
      <c r="AK35" s="1063"/>
      <c r="AL35" s="1001"/>
      <c r="AM35" s="1002"/>
      <c r="AN35" s="1002"/>
      <c r="AO35" s="1034"/>
      <c r="AP35" s="1034"/>
      <c r="AQ35" s="1034"/>
      <c r="AR35" s="1067"/>
      <c r="AS35" s="1068"/>
      <c r="AT35" s="1068"/>
      <c r="AU35" s="1069"/>
      <c r="AV35" s="44"/>
      <c r="AW35" s="44"/>
      <c r="AX35" s="982"/>
      <c r="AY35" s="982"/>
      <c r="AZ35" s="983"/>
      <c r="BA35" s="986"/>
      <c r="BB35" s="986"/>
      <c r="BC35" s="984"/>
      <c r="BD35" s="984"/>
      <c r="BE35" s="985"/>
      <c r="BF35" s="986"/>
      <c r="BG35" s="970"/>
      <c r="BH35" s="1077"/>
      <c r="BI35" s="831"/>
      <c r="BJ35" s="831"/>
      <c r="BK35" s="830"/>
      <c r="BL35" s="987"/>
      <c r="BM35" s="967"/>
      <c r="BN35" s="983"/>
      <c r="BO35" s="831"/>
      <c r="BP35" s="981"/>
    </row>
    <row r="36" spans="2:68" ht="15.95" customHeight="1">
      <c r="B36" s="806">
        <v>10</v>
      </c>
      <c r="C36" s="988"/>
      <c r="D36" s="989"/>
      <c r="E36" s="989"/>
      <c r="F36" s="989"/>
      <c r="G36" s="990"/>
      <c r="H36" s="1015"/>
      <c r="I36" s="1015"/>
      <c r="J36" s="1015"/>
      <c r="K36" s="1015"/>
      <c r="L36" s="1015"/>
      <c r="M36" s="1020"/>
      <c r="N36" s="1025"/>
      <c r="O36" s="989"/>
      <c r="P36" s="989"/>
      <c r="Q36" s="989"/>
      <c r="R36" s="989"/>
      <c r="S36" s="990"/>
      <c r="T36" s="1029"/>
      <c r="U36" s="1123"/>
      <c r="V36" s="1124"/>
      <c r="W36" s="1025"/>
      <c r="X36" s="989"/>
      <c r="Y36" s="989"/>
      <c r="Z36" s="989"/>
      <c r="AA36" s="989"/>
      <c r="AB36" s="990"/>
      <c r="AC36" s="1029"/>
      <c r="AD36" s="1123"/>
      <c r="AE36" s="1124"/>
      <c r="AF36" s="1121" t="str">
        <f>IFERROR(IF($C36="", "", IF(OR($C36 = "Retrofit existing", $C36 = "Replace in-life equip."), "Total", "Incremental")), "")</f>
        <v/>
      </c>
      <c r="AG36" s="1122"/>
      <c r="AH36" s="999"/>
      <c r="AI36" s="999"/>
      <c r="AJ36" s="1062" t="str">
        <f t="shared" ref="AJ36" si="47">IF(AF36="Incremental",0,"")</f>
        <v/>
      </c>
      <c r="AK36" s="1063"/>
      <c r="AL36" s="1057" t="str">
        <f>IF(OR(C36="",H36="",N36="",T36="",W36="",AC36="",AF36="",AH36="",AJ36=""),"",ROUND(AH36+AJ36,2))</f>
        <v/>
      </c>
      <c r="AM36" s="1058"/>
      <c r="AN36" s="1058"/>
      <c r="AO36" s="1033" t="str">
        <f t="shared" ref="AO36" si="48">IF(OR(C36="",H36="",N36="",T36="",W36="",AC36="",AF36="",AH36="",AJ36=""),"",IF(BC36-BD36&lt;=0,0,ROUND(BC36-BD36,4)))</f>
        <v/>
      </c>
      <c r="AP36" s="1033"/>
      <c r="AQ36" s="1033"/>
      <c r="AR36" s="1064" t="str">
        <f>IF(OR(C36="",H36="",N36="",T36="",W36="",AC36="",AF36="",AH36="",AJ36=""),"",
IF(BN36&lt;&gt;"",BN36,IF(BP36&gt;0,BP36,
IF(AF36="Incremental",
IF(ACTIVEBLOCK="Yes",ROUND(MIN(AL36*INCCOSTCAP,AO36*BLOCKBIDRATE),2),
ROUND(MIN(AL36*INCCOSTCAP,BI36),2)),
IF(ACTIVEBLOCK="Yes",ROUND(MIN(AL36*TOTCOSTCAP,AO36*BLOCKBIDRATE),2),
ROUND(MIN(AL36*TOTCOSTCAP,BI36),2))))))</f>
        <v/>
      </c>
      <c r="AS36" s="1065"/>
      <c r="AT36" s="1065"/>
      <c r="AU36" s="1066"/>
      <c r="AV36" s="44"/>
      <c r="AW36" s="44"/>
      <c r="AX36" s="974" t="str">
        <f>IFERROR(IF(OR(C36="",H36="",N36="",T36="",W36="",AC36="",AF36="",AH36="",AJ36=""),"",
ROUND(((1+ELOSS)*((AO36*INDEX(ELECCB[NPV AEC $/kWh],MATCH(BE36,ELECCB[Year Number],1)))+(BG36*INDEX(ELECCB[NPV ACC $/kW],MATCH(BE36,ELECCB[Year Number],1))))/AL36),2)),0)</f>
        <v/>
      </c>
      <c r="AY36" s="974" t="str">
        <f>IFERROR(AL36/M02S04F06/AO36,"")</f>
        <v/>
      </c>
      <c r="AZ36" s="967" t="str">
        <f>IF(OR(C36="",H36=""),"",INDEX(CMECOMPAIR[Unit of Measure],MATCH(H36,CMECOMPAIR[Proj Desc 1],0)))</f>
        <v/>
      </c>
      <c r="BA36" s="980" t="str">
        <f t="shared" ref="BA36" si="49">IF(AO36&lt;&gt;"","Missing!","")</f>
        <v/>
      </c>
      <c r="BB36" s="980" t="str">
        <f t="shared" ref="BB36" si="50">IF(AO36&lt;&gt;"","Missing!","")</f>
        <v/>
      </c>
      <c r="BC36" s="976" t="str">
        <f t="shared" ref="BC36" si="51">IF(OR(C36="",H36="",N36="",T36="",W36="",AC36="",AF36="",AH36="",AJ36=""),"",ROUND(T36,4))</f>
        <v/>
      </c>
      <c r="BD36" s="976" t="str">
        <f t="shared" ref="BD36" si="52">IF(OR(C36="",H36="",N36="",T36="",W36="",AC36="",AF36="",AH36="",AJ36=""),"",ROUND(AC36,4))</f>
        <v/>
      </c>
      <c r="BE36" s="978" t="str">
        <f>IF(OR(C36="",H36=""),"",IF(INDEX(CMECOMPAIR[EUL],MATCH(H36,CMECOMPAIR[Proj Desc 1],0))="","",INDEX(CMECOMPAIR[EUL],MATCH(H36,CMECOMPAIR[Proj Desc 1],0))))</f>
        <v/>
      </c>
      <c r="BF36" s="980" t="str">
        <f>IF(OR(C36="",H36=""),"",IF(INDEX(CMECOMPAIR[End Use Category],MATCH(H36,CMECOMPAIR[Proj Desc 1],0))="","",INDEX(CMECOMPAIR[End Use Category],MATCH(H36,CMECOMPAIR[Proj Desc 1],0))))</f>
        <v/>
      </c>
      <c r="BG36" s="972" t="str">
        <f>IFERROR(IF(OR(C36="",H36="",N36="",T36="",W36="",AC36="",AF36="",AH36="",AJ36=""),"",ROUND(AO36*INDEX(ENDUSEALL[Factor],MATCH(BF36,ENDUSEALL[End Use to Coincident Peak Demand Factors],0)),4)),"")</f>
        <v/>
      </c>
      <c r="BH36" s="1076"/>
      <c r="BI36" s="830" t="str">
        <f>IFERROR(ROUND(AO36*BJ36,2),"")</f>
        <v/>
      </c>
      <c r="BJ36" s="830" t="str">
        <f>_xlfn.LET(_xlpm.ROWS,MATCH(BF36,ENDUSEALL[End Use to Coincident Peak Demand Factors],0),IFERROR(INDEX(IF(AND(ACTIVEBONUS = TRUE,INDEX(ENDUSEALL[Bonus Rate ($/kWh)],_xlpm.ROWS)&lt;&gt;""),ENDUSEALL[Bonus Rate ($/kWh)],ENDUSEALL[Rate ($/kWh)]),_xlpm.ROWS),""))</f>
        <v/>
      </c>
      <c r="BK36" s="963"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965" t="str">
        <f>IF(OR(C36="",H36="",N36="",T36="",W36="",AC36="",AF36="",AH36="",AJ36=""),"",IF(BN36&lt;&gt;"",SPILLOVERNUMBER,INDEX(CMECOMPAIR[Measure Number],MATCH(H36,CMECOMPAIR[Proj Desc 1],0))))</f>
        <v/>
      </c>
      <c r="BM36" s="966"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967" t="str">
        <f ca="1">IFERROR(IF(EXPIRATION&lt;&gt;"",PROJSTATEXP,
IF(BP36&gt;0,"",
IF(BC36-BD36&lt;=0,MEASURESAVE,
IF(OR(M02S04F06="",M02S04F06="Select Rate Code",M02S04F06=0),MEASURERATE,
IF(AND((ISNUMBER(SEARCH("Other",H36))),OR(BE36="",BF36="")),MEASURESUBMIT,
 IF(PAYCUSE&lt;PAYBACKREQ,PROJECTSTATPAYBACK,
IF(CBCUSE&lt;CBREQ,PROJECTSTATCB,""))))))),MEASURESUBMIT)</f>
        <v>Submit for Review</v>
      </c>
      <c r="BO36" s="830" t="str">
        <f>IFERROR(IF(OR(G36="",J36="",P36="",U36="",X36="",AC36="",AF36="",AH36="",AJ36=""),"",
ROUND(((1+ELOSS)*((AO36*INDEX(ELECCB[NPV AEC $/kWh],MATCH(BE36,ELECCB[Year Number],1)))+(BG36*INDEX(ELECCB[NPV ACC $/kW],MATCH(BE36,ELECCB[Year Number],1))))),2)),0)</f>
        <v/>
      </c>
      <c r="BP36" s="969"/>
    </row>
    <row r="37" spans="2:68" ht="15.95" customHeight="1">
      <c r="B37" s="806"/>
      <c r="C37" s="991"/>
      <c r="D37" s="992"/>
      <c r="E37" s="992"/>
      <c r="F37" s="992"/>
      <c r="G37" s="993"/>
      <c r="H37" s="1015"/>
      <c r="I37" s="1015"/>
      <c r="J37" s="1015"/>
      <c r="K37" s="1015"/>
      <c r="L37" s="1015"/>
      <c r="M37" s="1020"/>
      <c r="N37" s="1026"/>
      <c r="O37" s="992"/>
      <c r="P37" s="992"/>
      <c r="Q37" s="992"/>
      <c r="R37" s="992"/>
      <c r="S37" s="993"/>
      <c r="T37" s="1031"/>
      <c r="U37" s="1125"/>
      <c r="V37" s="1126"/>
      <c r="W37" s="1026"/>
      <c r="X37" s="992"/>
      <c r="Y37" s="992"/>
      <c r="Z37" s="992"/>
      <c r="AA37" s="992"/>
      <c r="AB37" s="993"/>
      <c r="AC37" s="1031"/>
      <c r="AD37" s="1125"/>
      <c r="AE37" s="1126"/>
      <c r="AF37" s="1121"/>
      <c r="AG37" s="1122"/>
      <c r="AH37" s="999"/>
      <c r="AI37" s="999"/>
      <c r="AJ37" s="1062"/>
      <c r="AK37" s="1063"/>
      <c r="AL37" s="1001"/>
      <c r="AM37" s="1002"/>
      <c r="AN37" s="1002"/>
      <c r="AO37" s="1034"/>
      <c r="AP37" s="1034"/>
      <c r="AQ37" s="1034"/>
      <c r="AR37" s="1067"/>
      <c r="AS37" s="1068"/>
      <c r="AT37" s="1068"/>
      <c r="AU37" s="1069"/>
      <c r="AV37" s="44"/>
      <c r="AW37" s="44"/>
      <c r="AX37" s="982"/>
      <c r="AY37" s="982"/>
      <c r="AZ37" s="983"/>
      <c r="BA37" s="986"/>
      <c r="BB37" s="986"/>
      <c r="BC37" s="984"/>
      <c r="BD37" s="984"/>
      <c r="BE37" s="985"/>
      <c r="BF37" s="986"/>
      <c r="BG37" s="970"/>
      <c r="BH37" s="1077"/>
      <c r="BI37" s="831"/>
      <c r="BJ37" s="831"/>
      <c r="BK37" s="830"/>
      <c r="BL37" s="987"/>
      <c r="BM37" s="967"/>
      <c r="BN37" s="983"/>
      <c r="BO37" s="831"/>
      <c r="BP37" s="981"/>
    </row>
    <row r="38" spans="2:68" ht="15.95" customHeight="1">
      <c r="B38" s="806"/>
      <c r="C38" s="322"/>
      <c r="D38" s="322"/>
      <c r="E38" s="322"/>
      <c r="F38" s="322"/>
    </row>
    <row r="39" spans="2:68" ht="15.95" hidden="1" customHeight="1">
      <c r="B39" s="806"/>
      <c r="C39" s="322"/>
      <c r="D39" s="322"/>
      <c r="E39" s="322"/>
      <c r="F39" s="322"/>
    </row>
    <row r="40" spans="2:68" ht="15.95" hidden="1" customHeight="1">
      <c r="B40" s="806"/>
      <c r="C40" s="322"/>
      <c r="D40" s="322"/>
      <c r="E40" s="322"/>
      <c r="F40" s="322"/>
    </row>
    <row r="41" spans="2:68" ht="15.95" hidden="1" customHeight="1">
      <c r="B41" s="806"/>
      <c r="C41" s="322"/>
      <c r="D41" s="322"/>
      <c r="E41" s="322"/>
      <c r="F41" s="322"/>
    </row>
    <row r="42" spans="2:68" ht="15.95" hidden="1" customHeight="1">
      <c r="B42" s="806"/>
      <c r="C42" s="322"/>
      <c r="D42" s="322"/>
      <c r="E42" s="322"/>
      <c r="F42" s="322"/>
    </row>
    <row r="43" spans="2:68" ht="15.95" hidden="1" customHeight="1">
      <c r="B43" s="806"/>
      <c r="C43" s="322"/>
      <c r="D43" s="322"/>
      <c r="E43" s="322"/>
      <c r="F43" s="322"/>
    </row>
    <row r="44" spans="2:68" ht="15.95" hidden="1" customHeight="1">
      <c r="B44" s="806"/>
      <c r="C44" s="322"/>
      <c r="D44" s="322"/>
      <c r="E44" s="322"/>
      <c r="F44" s="322"/>
    </row>
    <row r="45" spans="2:68" ht="15.95" hidden="1" customHeight="1">
      <c r="B45" s="806"/>
      <c r="C45" s="322"/>
      <c r="D45" s="322"/>
      <c r="E45" s="322"/>
      <c r="F45" s="322"/>
    </row>
    <row r="46" spans="2:68" ht="15.95" hidden="1" customHeight="1">
      <c r="B46" s="806"/>
      <c r="C46" s="322"/>
      <c r="D46" s="322"/>
      <c r="E46" s="322"/>
      <c r="F46" s="322"/>
    </row>
    <row r="47" spans="2:68" ht="15.95" hidden="1" customHeight="1">
      <c r="B47" s="806"/>
      <c r="C47" s="322"/>
      <c r="D47" s="322"/>
      <c r="E47" s="322"/>
      <c r="F47" s="322"/>
    </row>
    <row r="48" spans="2:68" ht="15.95" hidden="1" customHeight="1">
      <c r="AY48" s="31"/>
      <c r="AZ48" s="37"/>
      <c r="BC48" s="37"/>
      <c r="BD48" s="37"/>
    </row>
    <row r="49" spans="51:56" ht="15.95" hidden="1" customHeight="1">
      <c r="AY49" s="31"/>
      <c r="AZ49" s="37"/>
      <c r="BC49" s="37"/>
      <c r="BD49" s="37"/>
    </row>
    <row r="50" spans="51:56" ht="15.95" hidden="1" customHeight="1">
      <c r="AY50" s="31"/>
      <c r="AZ50" s="37"/>
      <c r="BC50" s="37"/>
      <c r="BD50" s="37"/>
    </row>
    <row r="51" spans="51:56" ht="15.95" hidden="1" customHeight="1">
      <c r="AY51" s="31"/>
      <c r="AZ51" s="37"/>
      <c r="BC51" s="37"/>
      <c r="BD51" s="37"/>
    </row>
    <row r="52" spans="51:56" ht="15.95" hidden="1" customHeight="1">
      <c r="AY52" s="31"/>
      <c r="AZ52" s="37"/>
      <c r="BC52" s="37"/>
      <c r="BD52" s="37"/>
    </row>
    <row r="53" spans="51:56" ht="15.95" hidden="1" customHeight="1">
      <c r="AY53" s="31"/>
      <c r="AZ53" s="37"/>
      <c r="BC53" s="37"/>
      <c r="BD53" s="37"/>
    </row>
    <row r="54" spans="51:56" ht="15.95" hidden="1" customHeight="1">
      <c r="AY54" s="31"/>
      <c r="AZ54" s="37"/>
      <c r="BC54" s="37"/>
      <c r="BD54" s="37"/>
    </row>
    <row r="55" spans="51:56" ht="15.95" hidden="1" customHeight="1">
      <c r="AY55" s="31"/>
      <c r="AZ55" s="37"/>
      <c r="BC55" s="37"/>
      <c r="BD55" s="37"/>
    </row>
    <row r="56" spans="51:56" ht="15.95" hidden="1" customHeight="1">
      <c r="AY56" s="31"/>
      <c r="AZ56" s="37"/>
      <c r="BC56" s="37"/>
      <c r="BD56" s="37"/>
    </row>
    <row r="57" spans="51:56" ht="15.95" hidden="1" customHeight="1">
      <c r="AY57" s="31"/>
      <c r="AZ57" s="37"/>
      <c r="BC57" s="37"/>
      <c r="BD57" s="37"/>
    </row>
    <row r="58" spans="51:56" ht="15.95" hidden="1" customHeight="1">
      <c r="AY58" s="31"/>
      <c r="AZ58" s="37"/>
      <c r="BC58" s="37"/>
      <c r="BD58" s="37"/>
    </row>
    <row r="59" spans="51:56" ht="15.95" hidden="1" customHeight="1">
      <c r="AY59" s="31"/>
      <c r="AZ59" s="37"/>
      <c r="BC59" s="37"/>
      <c r="BD59" s="37"/>
    </row>
    <row r="60" spans="51:56" ht="15.95" hidden="1" customHeight="1">
      <c r="AY60" s="31"/>
      <c r="AZ60" s="37"/>
      <c r="BC60" s="37"/>
      <c r="BD60" s="37"/>
    </row>
    <row r="61" spans="51:56" ht="15.95" hidden="1" customHeight="1">
      <c r="AY61" s="31"/>
      <c r="AZ61" s="37"/>
      <c r="BC61" s="37"/>
      <c r="BD61" s="37"/>
    </row>
    <row r="62" spans="51:56" ht="15.95" hidden="1" customHeight="1">
      <c r="AY62" s="31"/>
      <c r="AZ62" s="37"/>
      <c r="BC62" s="37"/>
      <c r="BD62" s="37"/>
    </row>
    <row r="63" spans="51:56" ht="15.95" hidden="1" customHeight="1">
      <c r="AY63" s="31"/>
      <c r="AZ63" s="37"/>
      <c r="BC63" s="37"/>
      <c r="BD63" s="37"/>
    </row>
    <row r="64" spans="51:56" ht="15.95" hidden="1" customHeight="1">
      <c r="AY64" s="31"/>
      <c r="AZ64" s="37"/>
      <c r="BC64" s="37"/>
      <c r="BD64" s="37"/>
    </row>
    <row r="65" spans="51:56" ht="15.95" hidden="1" customHeight="1">
      <c r="AY65" s="31"/>
      <c r="AZ65" s="37"/>
      <c r="BC65" s="37"/>
      <c r="BD65" s="37"/>
    </row>
    <row r="66" spans="51:56" ht="15.95" hidden="1" customHeight="1">
      <c r="AY66" s="31"/>
      <c r="AZ66" s="37"/>
      <c r="BC66" s="37"/>
      <c r="BD66" s="37"/>
    </row>
    <row r="67" spans="51:56" ht="15.95" hidden="1" customHeight="1">
      <c r="AY67" s="31"/>
      <c r="AZ67" s="37"/>
      <c r="BC67" s="37"/>
      <c r="BD67" s="37"/>
    </row>
    <row r="68" spans="51:56" ht="15.95" hidden="1" customHeight="1">
      <c r="AY68" s="31"/>
      <c r="AZ68" s="37"/>
      <c r="BC68" s="37"/>
      <c r="BD68" s="37"/>
    </row>
    <row r="69" spans="51:56" ht="15.95" hidden="1" customHeight="1">
      <c r="AY69" s="31"/>
      <c r="AZ69" s="37"/>
      <c r="BC69" s="37"/>
      <c r="BD69" s="37"/>
    </row>
    <row r="70" spans="51:56" ht="15.95" hidden="1" customHeight="1">
      <c r="AY70" s="31"/>
      <c r="AZ70" s="37"/>
      <c r="BC70" s="37"/>
      <c r="BD70" s="37"/>
    </row>
    <row r="71" spans="51:56" ht="15.95" hidden="1" customHeight="1">
      <c r="AY71" s="31"/>
      <c r="AZ71" s="37"/>
      <c r="BC71" s="37"/>
      <c r="BD71" s="37"/>
    </row>
    <row r="72" spans="51:56" ht="15.95" hidden="1" customHeight="1">
      <c r="AY72" s="31"/>
      <c r="AZ72" s="37"/>
      <c r="BC72" s="37"/>
      <c r="BD72" s="37"/>
    </row>
    <row r="73" spans="51:56" ht="15.95" hidden="1" customHeight="1">
      <c r="AY73" s="31"/>
      <c r="AZ73" s="37"/>
      <c r="BC73" s="37"/>
      <c r="BD73" s="37"/>
    </row>
    <row r="74" spans="51:56" ht="15.95" hidden="1" customHeight="1">
      <c r="AY74" s="31"/>
      <c r="AZ74" s="37"/>
      <c r="BC74" s="37"/>
      <c r="BD74" s="37"/>
    </row>
    <row r="75" spans="51:56" ht="15.95" hidden="1" customHeight="1">
      <c r="AY75" s="31"/>
      <c r="AZ75" s="37"/>
      <c r="BC75" s="37"/>
      <c r="BD75" s="37"/>
    </row>
    <row r="76" spans="51:56" ht="15.95" hidden="1" customHeight="1">
      <c r="AY76" s="31"/>
      <c r="AZ76" s="37"/>
      <c r="BC76" s="37"/>
      <c r="BD76" s="37"/>
    </row>
    <row r="77" spans="51:56" ht="15.95" hidden="1" customHeight="1">
      <c r="AY77" s="31"/>
      <c r="AZ77" s="37"/>
      <c r="BC77" s="37"/>
      <c r="BD77" s="37"/>
    </row>
    <row r="78" spans="51:56" ht="15.95" hidden="1" customHeight="1">
      <c r="AY78" s="31"/>
      <c r="AZ78" s="37"/>
      <c r="BC78" s="37"/>
      <c r="BD78" s="37"/>
    </row>
    <row r="79" spans="51:56" ht="15.95" hidden="1" customHeight="1">
      <c r="AY79" s="31"/>
      <c r="AZ79" s="37"/>
      <c r="BC79" s="37"/>
      <c r="BD79" s="37"/>
    </row>
    <row r="80" spans="51:56" ht="15.95" hidden="1" customHeight="1">
      <c r="AY80" s="31"/>
      <c r="AZ80" s="37"/>
      <c r="BC80" s="37"/>
      <c r="BD80" s="37"/>
    </row>
    <row r="81" spans="51:56" ht="15.95" hidden="1" customHeight="1">
      <c r="AY81" s="31"/>
      <c r="AZ81" s="37"/>
      <c r="BC81" s="37"/>
      <c r="BD81" s="37"/>
    </row>
    <row r="82" spans="51:56" ht="15.95" hidden="1" customHeight="1">
      <c r="AY82" s="31"/>
      <c r="AZ82" s="37"/>
      <c r="BC82" s="37"/>
      <c r="BD82" s="37"/>
    </row>
    <row r="83" spans="51:56" ht="15.95" hidden="1" customHeight="1">
      <c r="AY83" s="31"/>
      <c r="AZ83" s="37"/>
      <c r="BC83" s="37"/>
      <c r="BD83" s="37"/>
    </row>
    <row r="84" spans="51:56" ht="15.95" hidden="1" customHeight="1">
      <c r="AY84" s="31"/>
      <c r="AZ84" s="37"/>
      <c r="BC84" s="37"/>
      <c r="BD84" s="37"/>
    </row>
    <row r="85" spans="51:56" ht="15.95" hidden="1" customHeight="1">
      <c r="AY85" s="31"/>
      <c r="AZ85" s="37"/>
      <c r="BC85" s="37"/>
      <c r="BD85" s="37"/>
    </row>
    <row r="86" spans="51:56" ht="15.95" hidden="1" customHeight="1">
      <c r="AY86" s="31"/>
      <c r="AZ86" s="37"/>
      <c r="BC86" s="37"/>
      <c r="BD86" s="37"/>
    </row>
    <row r="87" spans="51:56" ht="15.95" hidden="1" customHeight="1">
      <c r="AY87" s="31"/>
      <c r="AZ87" s="37"/>
      <c r="BC87" s="37"/>
      <c r="BD87" s="37"/>
    </row>
    <row r="88" spans="51:56" ht="15.95" hidden="1" customHeight="1">
      <c r="AY88" s="31"/>
      <c r="AZ88" s="37"/>
      <c r="BC88" s="37"/>
      <c r="BD88" s="37"/>
    </row>
    <row r="89" spans="51:56" ht="15.95" hidden="1" customHeight="1">
      <c r="AY89" s="31"/>
      <c r="AZ89" s="37"/>
      <c r="BC89" s="37"/>
      <c r="BD89" s="37"/>
    </row>
    <row r="90" spans="51:56" ht="15.95" hidden="1" customHeight="1">
      <c r="AY90" s="31"/>
      <c r="AZ90" s="37"/>
      <c r="BC90" s="37"/>
      <c r="BD90" s="37"/>
    </row>
    <row r="91" spans="51:56" ht="15.95" hidden="1" customHeight="1">
      <c r="AY91" s="31"/>
      <c r="AZ91" s="37"/>
      <c r="BC91" s="37"/>
      <c r="BD91" s="37"/>
    </row>
    <row r="92" spans="51:56" ht="15.95" hidden="1" customHeight="1">
      <c r="AY92" s="31"/>
      <c r="AZ92" s="37"/>
      <c r="BC92" s="37"/>
      <c r="BD92" s="37"/>
    </row>
    <row r="93" spans="51:56" ht="15.95" hidden="1" customHeight="1">
      <c r="AY93" s="31"/>
      <c r="AZ93" s="37"/>
      <c r="BC93" s="37"/>
      <c r="BD93" s="37"/>
    </row>
    <row r="94" spans="51:56" ht="15.95" hidden="1" customHeight="1">
      <c r="AY94" s="31"/>
      <c r="AZ94" s="37"/>
      <c r="BC94" s="37"/>
      <c r="BD94" s="37"/>
    </row>
    <row r="95" spans="51:56" ht="15.95" hidden="1" customHeight="1">
      <c r="AY95" s="31"/>
      <c r="AZ95" s="37"/>
      <c r="BC95" s="37"/>
      <c r="BD95" s="37"/>
    </row>
    <row r="96" spans="51:56" ht="15.95" hidden="1" customHeight="1">
      <c r="AY96" s="31"/>
      <c r="AZ96" s="37"/>
      <c r="BC96" s="37"/>
      <c r="BD96" s="37"/>
    </row>
    <row r="97" spans="51:56" ht="15.95" hidden="1" customHeight="1">
      <c r="AY97" s="31"/>
      <c r="AZ97" s="37"/>
      <c r="BC97" s="37"/>
      <c r="BD97" s="37"/>
    </row>
    <row r="98" spans="51:56" ht="15.95" hidden="1" customHeight="1">
      <c r="AY98" s="31"/>
      <c r="AZ98" s="37"/>
      <c r="BC98" s="37"/>
      <c r="BD98" s="37"/>
    </row>
    <row r="99" spans="51:56" ht="15.95" hidden="1" customHeight="1">
      <c r="AY99" s="31"/>
      <c r="AZ99" s="37"/>
      <c r="BC99" s="37"/>
      <c r="BD99" s="37"/>
    </row>
    <row r="100" spans="51:56" ht="15.95" hidden="1" customHeight="1">
      <c r="AY100" s="31"/>
      <c r="AZ100" s="37"/>
      <c r="BC100" s="37"/>
      <c r="BD100" s="37"/>
    </row>
    <row r="101" spans="51:56" ht="15.95" hidden="1" customHeight="1">
      <c r="AY101" s="31"/>
      <c r="AZ101" s="37"/>
      <c r="BC101" s="37"/>
      <c r="BD101" s="37"/>
    </row>
    <row r="102" spans="51:56" ht="15.95" hidden="1" customHeight="1">
      <c r="AY102" s="31"/>
      <c r="AZ102" s="37"/>
      <c r="BC102" s="37"/>
      <c r="BD102" s="37"/>
    </row>
    <row r="103" spans="51:56" ht="15.95" hidden="1" customHeight="1">
      <c r="AY103" s="31"/>
      <c r="AZ103" s="37"/>
      <c r="BC103" s="37"/>
      <c r="BD103" s="37"/>
    </row>
    <row r="104" spans="51:56" ht="15.95" hidden="1" customHeight="1">
      <c r="AY104" s="31"/>
      <c r="AZ104" s="37"/>
      <c r="BC104" s="37"/>
      <c r="BD104" s="37"/>
    </row>
    <row r="105" spans="51:56" ht="15.95" hidden="1" customHeight="1">
      <c r="AY105" s="31"/>
      <c r="AZ105" s="37"/>
      <c r="BC105" s="37"/>
      <c r="BD105" s="37"/>
    </row>
    <row r="106" spans="51:56" ht="15.95" hidden="1" customHeight="1">
      <c r="AY106" s="31"/>
      <c r="AZ106" s="37"/>
      <c r="BC106" s="37"/>
      <c r="BD106" s="37"/>
    </row>
    <row r="107" spans="51:56" ht="15.95" hidden="1" customHeight="1">
      <c r="AY107" s="31"/>
      <c r="AZ107" s="37"/>
      <c r="BC107" s="37"/>
      <c r="BD107" s="37"/>
    </row>
    <row r="108" spans="51:56" ht="15.95" hidden="1" customHeight="1">
      <c r="AY108" s="31"/>
      <c r="AZ108" s="37"/>
      <c r="BC108" s="37"/>
      <c r="BD108" s="37"/>
    </row>
    <row r="109" spans="51:56" ht="15.95" hidden="1" customHeight="1">
      <c r="AY109" s="31"/>
      <c r="AZ109" s="37"/>
      <c r="BC109" s="37"/>
      <c r="BD109" s="37"/>
    </row>
    <row r="110" spans="51:56" ht="15.95" hidden="1" customHeight="1">
      <c r="AY110" s="31"/>
      <c r="AZ110" s="37"/>
      <c r="BC110" s="37"/>
      <c r="BD110" s="37"/>
    </row>
    <row r="111" spans="51:56" ht="15.95" hidden="1" customHeight="1">
      <c r="AY111" s="31"/>
      <c r="AZ111" s="37"/>
      <c r="BC111" s="37"/>
      <c r="BD111" s="37"/>
    </row>
    <row r="112" spans="51:56" ht="15.95" hidden="1" customHeight="1">
      <c r="AY112" s="31"/>
      <c r="AZ112" s="37"/>
      <c r="BC112" s="37"/>
      <c r="BD112" s="37"/>
    </row>
    <row r="113" spans="51:56" ht="15.95" hidden="1" customHeight="1">
      <c r="AY113" s="31"/>
      <c r="AZ113" s="37"/>
      <c r="BC113" s="37"/>
      <c r="BD113" s="37"/>
    </row>
    <row r="114" spans="51:56" ht="15.95" hidden="1" customHeight="1">
      <c r="AY114" s="31"/>
      <c r="AZ114" s="37"/>
      <c r="BC114" s="37"/>
      <c r="BD114" s="37"/>
    </row>
    <row r="115" spans="51:56" ht="15.95" hidden="1" customHeight="1">
      <c r="AY115" s="31"/>
      <c r="AZ115" s="37"/>
      <c r="BC115" s="37"/>
      <c r="BD115" s="37"/>
    </row>
    <row r="116" spans="51:56" ht="15.95" hidden="1" customHeight="1">
      <c r="AY116" s="31"/>
      <c r="AZ116" s="37"/>
      <c r="BC116" s="37"/>
      <c r="BD116" s="37"/>
    </row>
    <row r="117" spans="51:56" ht="15.95" hidden="1" customHeight="1">
      <c r="AY117" s="31"/>
      <c r="AZ117" s="37"/>
      <c r="BC117" s="37"/>
      <c r="BD117" s="37"/>
    </row>
    <row r="118" spans="51:56" ht="15.95" hidden="1" customHeight="1">
      <c r="AY118" s="31"/>
      <c r="AZ118" s="37"/>
      <c r="BC118" s="37"/>
      <c r="BD118" s="37"/>
    </row>
    <row r="119" spans="51:56" ht="15.95" hidden="1" customHeight="1">
      <c r="AY119" s="31"/>
      <c r="AZ119" s="37"/>
      <c r="BC119" s="37"/>
      <c r="BD119" s="37"/>
    </row>
    <row r="120" spans="51:56" ht="15.95" hidden="1" customHeight="1">
      <c r="AY120" s="31"/>
      <c r="AZ120" s="37"/>
      <c r="BC120" s="37"/>
      <c r="BD120" s="37"/>
    </row>
    <row r="121" spans="51:56" ht="15.95" hidden="1" customHeight="1">
      <c r="AY121" s="31"/>
      <c r="AZ121" s="37"/>
      <c r="BC121" s="37"/>
      <c r="BD121" s="37"/>
    </row>
    <row r="122" spans="51:56" ht="15.95" hidden="1" customHeight="1">
      <c r="AY122" s="31"/>
      <c r="AZ122" s="37"/>
      <c r="BC122" s="37"/>
      <c r="BD122" s="37"/>
    </row>
    <row r="123" spans="51:56" ht="15.95" hidden="1" customHeight="1">
      <c r="AY123" s="31"/>
      <c r="AZ123" s="37"/>
      <c r="BC123" s="37"/>
      <c r="BD123" s="37"/>
    </row>
    <row r="124" spans="51:56" ht="15.95" hidden="1" customHeight="1">
      <c r="AY124" s="31"/>
      <c r="AZ124" s="37"/>
      <c r="BC124" s="37"/>
      <c r="BD124" s="37"/>
    </row>
    <row r="125" spans="51:56" ht="15.95" hidden="1" customHeight="1">
      <c r="AY125" s="31"/>
      <c r="AZ125" s="37"/>
      <c r="BC125" s="37"/>
      <c r="BD125" s="37"/>
    </row>
    <row r="126" spans="51:56" ht="15.95" hidden="1" customHeight="1">
      <c r="AY126" s="31"/>
      <c r="AZ126" s="37"/>
      <c r="BC126" s="37"/>
      <c r="BD126" s="37"/>
    </row>
    <row r="127" spans="51:56" ht="15.95" hidden="1" customHeight="1">
      <c r="AY127" s="31"/>
      <c r="AZ127" s="37"/>
      <c r="BC127" s="37"/>
      <c r="BD127" s="37"/>
    </row>
    <row r="128" spans="51:56" ht="15.95" hidden="1" customHeight="1">
      <c r="AY128" s="31"/>
      <c r="AZ128" s="37"/>
      <c r="BC128" s="37"/>
      <c r="BD128" s="37"/>
    </row>
    <row r="129" spans="51:56" ht="15.95" hidden="1" customHeight="1">
      <c r="AY129" s="31"/>
      <c r="AZ129" s="37"/>
      <c r="BC129" s="37"/>
      <c r="BD129" s="37"/>
    </row>
    <row r="130" spans="51:56" ht="15.95" hidden="1" customHeight="1">
      <c r="AY130" s="31"/>
      <c r="AZ130" s="37"/>
      <c r="BC130" s="37"/>
      <c r="BD130" s="37"/>
    </row>
    <row r="131" spans="51:56" ht="15.95" hidden="1" customHeight="1">
      <c r="AY131" s="31"/>
      <c r="AZ131" s="37"/>
      <c r="BC131" s="37"/>
      <c r="BD131" s="37"/>
    </row>
    <row r="132" spans="51:56" ht="15.95" hidden="1" customHeight="1">
      <c r="AY132" s="31"/>
      <c r="AZ132" s="37"/>
      <c r="BC132" s="37"/>
      <c r="BD132" s="37"/>
    </row>
    <row r="133" spans="51:56" ht="15.95" hidden="1" customHeight="1">
      <c r="AY133" s="31"/>
      <c r="AZ133" s="37"/>
      <c r="BC133" s="37"/>
      <c r="BD133" s="37"/>
    </row>
    <row r="134" spans="51:56" ht="15.95" hidden="1" customHeight="1">
      <c r="AY134" s="31"/>
      <c r="AZ134" s="37"/>
      <c r="BC134" s="37"/>
      <c r="BD134" s="37"/>
    </row>
    <row r="135" spans="51:56" ht="15.95" hidden="1" customHeight="1">
      <c r="AY135" s="31"/>
      <c r="AZ135" s="37"/>
      <c r="BC135" s="37"/>
      <c r="BD135" s="37"/>
    </row>
    <row r="136" spans="51:56" ht="15.95" hidden="1" customHeight="1">
      <c r="AY136" s="31"/>
      <c r="AZ136" s="37"/>
      <c r="BC136" s="37"/>
      <c r="BD136" s="37"/>
    </row>
    <row r="137" spans="51:56" ht="15.95" hidden="1" customHeight="1">
      <c r="AY137" s="31"/>
      <c r="AZ137" s="37"/>
      <c r="BC137" s="37"/>
      <c r="BD137" s="37"/>
    </row>
    <row r="138" spans="51:56" ht="15.95" hidden="1" customHeight="1">
      <c r="AY138" s="31"/>
      <c r="AZ138" s="37"/>
      <c r="BC138" s="37"/>
      <c r="BD138" s="37"/>
    </row>
    <row r="139" spans="51:56" ht="15.95" hidden="1" customHeight="1">
      <c r="AY139" s="31"/>
      <c r="AZ139" s="37"/>
      <c r="BC139" s="37"/>
      <c r="BD139" s="37"/>
    </row>
    <row r="140" spans="51:56" ht="15.95" hidden="1" customHeight="1">
      <c r="AY140" s="31"/>
      <c r="AZ140" s="37"/>
      <c r="BC140" s="37"/>
      <c r="BD140" s="37"/>
    </row>
    <row r="141" spans="51:56" ht="15.95" hidden="1" customHeight="1">
      <c r="AY141" s="31"/>
      <c r="AZ141" s="37"/>
      <c r="BC141" s="37"/>
      <c r="BD141" s="37"/>
    </row>
    <row r="142" spans="51:56" ht="15.95" hidden="1" customHeight="1">
      <c r="AY142" s="31"/>
      <c r="AZ142" s="37"/>
      <c r="BC142" s="37"/>
      <c r="BD142" s="37"/>
    </row>
    <row r="143" spans="51:56" ht="15.95" hidden="1" customHeight="1">
      <c r="AY143" s="31"/>
      <c r="AZ143" s="37"/>
      <c r="BC143" s="37"/>
      <c r="BD143" s="37"/>
    </row>
    <row r="144" spans="51:56" ht="15.95" hidden="1" customHeight="1">
      <c r="AY144" s="31"/>
      <c r="AZ144" s="37"/>
      <c r="BC144" s="37"/>
      <c r="BD144" s="37"/>
    </row>
    <row r="145" spans="51:56" ht="15.95" hidden="1" customHeight="1">
      <c r="AY145" s="31"/>
      <c r="AZ145" s="37"/>
      <c r="BC145" s="37"/>
      <c r="BD145" s="37"/>
    </row>
    <row r="146" spans="51:56" ht="15.95" hidden="1" customHeight="1">
      <c r="AY146" s="31"/>
      <c r="AZ146" s="37"/>
      <c r="BC146" s="37"/>
      <c r="BD146" s="37"/>
    </row>
    <row r="147" spans="51:56" ht="15.95" hidden="1" customHeight="1">
      <c r="AY147" s="31"/>
      <c r="AZ147" s="37"/>
      <c r="BC147" s="37"/>
      <c r="BD147" s="37"/>
    </row>
    <row r="148" spans="51:56" ht="15.95" hidden="1" customHeight="1">
      <c r="AY148" s="31"/>
      <c r="AZ148" s="37"/>
      <c r="BC148" s="37"/>
      <c r="BD148" s="37"/>
    </row>
    <row r="149" spans="51:56" ht="15.95" hidden="1" customHeight="1">
      <c r="AY149" s="31"/>
      <c r="AZ149" s="37"/>
      <c r="BC149" s="37"/>
      <c r="BD149" s="37"/>
    </row>
    <row r="150" spans="51:56" ht="15.95" hidden="1" customHeight="1">
      <c r="AY150" s="31"/>
      <c r="AZ150" s="37"/>
      <c r="BC150" s="37"/>
      <c r="BD150" s="37"/>
    </row>
    <row r="151" spans="51:56" ht="15.95" hidden="1" customHeight="1">
      <c r="AY151" s="31"/>
      <c r="AZ151" s="37"/>
      <c r="BC151" s="37"/>
      <c r="BD151" s="37"/>
    </row>
    <row r="152" spans="51:56" ht="15.95" hidden="1" customHeight="1">
      <c r="AY152" s="31"/>
      <c r="AZ152" s="37"/>
      <c r="BC152" s="37"/>
      <c r="BD152" s="37"/>
    </row>
    <row r="153" spans="51:56" ht="15.95" hidden="1" customHeight="1">
      <c r="AY153" s="31"/>
      <c r="AZ153" s="37"/>
      <c r="BC153" s="37"/>
      <c r="BD153" s="37"/>
    </row>
    <row r="154" spans="51:56" ht="15.95" hidden="1" customHeight="1">
      <c r="AY154" s="31"/>
      <c r="AZ154" s="37"/>
      <c r="BC154" s="37"/>
      <c r="BD154" s="37"/>
    </row>
    <row r="155" spans="51:56" ht="15.95" hidden="1" customHeight="1">
      <c r="AY155" s="31"/>
      <c r="AZ155" s="37"/>
      <c r="BC155" s="37"/>
      <c r="BD155" s="37"/>
    </row>
    <row r="156" spans="51:56" ht="15.95" hidden="1" customHeight="1">
      <c r="AY156" s="31"/>
      <c r="AZ156" s="37"/>
      <c r="BC156" s="37"/>
      <c r="BD156" s="37"/>
    </row>
    <row r="157" spans="51:56" ht="15.95" hidden="1" customHeight="1">
      <c r="AY157" s="31"/>
      <c r="AZ157" s="37"/>
      <c r="BC157" s="37"/>
      <c r="BD157" s="37"/>
    </row>
    <row r="158" spans="51:56" ht="15.95" hidden="1" customHeight="1">
      <c r="AY158" s="31"/>
      <c r="AZ158" s="37"/>
      <c r="BC158" s="37"/>
      <c r="BD158" s="37"/>
    </row>
    <row r="159" spans="51:56" ht="15.95" hidden="1" customHeight="1">
      <c r="AY159" s="31"/>
      <c r="AZ159" s="37"/>
      <c r="BC159" s="37"/>
      <c r="BD159" s="37"/>
    </row>
    <row r="160" spans="51:56" ht="15.95" hidden="1" customHeight="1">
      <c r="AY160" s="31"/>
      <c r="AZ160" s="37"/>
      <c r="BC160" s="37"/>
      <c r="BD160" s="37"/>
    </row>
    <row r="161" spans="51:56" ht="15.95" hidden="1" customHeight="1">
      <c r="AY161" s="31"/>
      <c r="AZ161" s="37"/>
      <c r="BC161" s="37"/>
      <c r="BD161" s="37"/>
    </row>
    <row r="162" spans="51:56" ht="15.95" hidden="1" customHeight="1">
      <c r="AY162" s="31"/>
      <c r="AZ162" s="37"/>
      <c r="BC162" s="37"/>
      <c r="BD162" s="37"/>
    </row>
    <row r="163" spans="51:56" ht="15.95" hidden="1" customHeight="1">
      <c r="AY163" s="31"/>
      <c r="AZ163" s="37"/>
      <c r="BC163" s="37"/>
      <c r="BD163" s="37"/>
    </row>
    <row r="164" spans="51:56" ht="15.95" hidden="1" customHeight="1">
      <c r="AY164" s="31"/>
      <c r="AZ164" s="37"/>
      <c r="BC164" s="37"/>
      <c r="BD164" s="37"/>
    </row>
    <row r="165" spans="51:56" ht="15.95" hidden="1" customHeight="1">
      <c r="AY165" s="31"/>
      <c r="AZ165" s="37"/>
      <c r="BC165" s="37"/>
      <c r="BD165" s="37"/>
    </row>
    <row r="166" spans="51:56" ht="15.95" hidden="1" customHeight="1">
      <c r="AY166" s="31"/>
      <c r="AZ166" s="37"/>
      <c r="BC166" s="37"/>
      <c r="BD166" s="37"/>
    </row>
    <row r="167" spans="51:56" ht="15.95" hidden="1" customHeight="1">
      <c r="AY167" s="31"/>
      <c r="AZ167" s="37"/>
      <c r="BC167" s="37"/>
      <c r="BD167" s="37"/>
    </row>
    <row r="168" spans="51:56" ht="15.95" hidden="1" customHeight="1">
      <c r="AY168" s="31"/>
      <c r="AZ168" s="37"/>
      <c r="BC168" s="37"/>
      <c r="BD168" s="37"/>
    </row>
    <row r="169" spans="51:56" ht="15.95" hidden="1" customHeight="1">
      <c r="AY169" s="31"/>
      <c r="AZ169" s="37"/>
      <c r="BC169" s="37"/>
      <c r="BD169" s="37"/>
    </row>
    <row r="170" spans="51:56" ht="15.95" hidden="1" customHeight="1">
      <c r="AY170" s="31"/>
      <c r="AZ170" s="37"/>
      <c r="BC170" s="37"/>
      <c r="BD170" s="37"/>
    </row>
    <row r="171" spans="51:56" ht="15.95" hidden="1" customHeight="1">
      <c r="AY171" s="31"/>
      <c r="AZ171" s="37"/>
      <c r="BC171" s="37"/>
      <c r="BD171" s="37"/>
    </row>
    <row r="172" spans="51:56" ht="15.95" hidden="1" customHeight="1">
      <c r="AY172" s="31"/>
      <c r="AZ172" s="37"/>
      <c r="BC172" s="37"/>
      <c r="BD172" s="37"/>
    </row>
    <row r="173" spans="51:56" ht="15.95" hidden="1" customHeight="1">
      <c r="AY173" s="31"/>
      <c r="AZ173" s="37"/>
      <c r="BC173" s="37"/>
      <c r="BD173" s="37"/>
    </row>
    <row r="174" spans="51:56" ht="15.95" hidden="1" customHeight="1">
      <c r="AY174" s="31"/>
      <c r="AZ174" s="37"/>
      <c r="BC174" s="37"/>
      <c r="BD174" s="37"/>
    </row>
    <row r="175" spans="51:56" ht="15.95" hidden="1" customHeight="1">
      <c r="AY175" s="31"/>
      <c r="AZ175" s="37"/>
      <c r="BC175" s="37"/>
      <c r="BD175" s="37"/>
    </row>
    <row r="176" spans="51:56" ht="15.95" hidden="1" customHeight="1">
      <c r="AY176" s="31"/>
      <c r="AZ176" s="37"/>
      <c r="BC176" s="37"/>
      <c r="BD176" s="37"/>
    </row>
    <row r="177" spans="51:56" ht="15.95" hidden="1" customHeight="1">
      <c r="AY177" s="31"/>
      <c r="AZ177" s="37"/>
      <c r="BC177" s="37"/>
      <c r="BD177" s="37"/>
    </row>
    <row r="178" spans="51:56" ht="15.95" hidden="1" customHeight="1">
      <c r="AY178" s="31"/>
      <c r="AZ178" s="37"/>
      <c r="BC178" s="37"/>
      <c r="BD178" s="37"/>
    </row>
    <row r="179" spans="51:56" ht="15.95" hidden="1" customHeight="1">
      <c r="AY179" s="31"/>
      <c r="AZ179" s="37"/>
      <c r="BC179" s="37"/>
      <c r="BD179" s="37"/>
    </row>
    <row r="180" spans="51:56" ht="15.95" hidden="1" customHeight="1">
      <c r="AY180" s="31"/>
      <c r="AZ180" s="37"/>
      <c r="BC180" s="37"/>
      <c r="BD180" s="37"/>
    </row>
    <row r="181" spans="51:56" ht="15.95" hidden="1" customHeight="1">
      <c r="AY181" s="31"/>
      <c r="AZ181" s="37"/>
      <c r="BC181" s="37"/>
      <c r="BD181" s="37"/>
    </row>
    <row r="182" spans="51:56" ht="15.95" hidden="1" customHeight="1">
      <c r="AY182" s="31"/>
      <c r="AZ182" s="37"/>
      <c r="BC182" s="37"/>
      <c r="BD182" s="37"/>
    </row>
    <row r="183" spans="51:56" ht="15.95" hidden="1" customHeight="1">
      <c r="AY183" s="31"/>
      <c r="AZ183" s="37"/>
      <c r="BC183" s="37"/>
      <c r="BD183" s="37"/>
    </row>
    <row r="184" spans="51:56" ht="15.95" hidden="1" customHeight="1">
      <c r="AY184" s="31"/>
      <c r="AZ184" s="37"/>
      <c r="BC184" s="37"/>
      <c r="BD184" s="37"/>
    </row>
    <row r="185" spans="51:56" ht="15.95" hidden="1" customHeight="1">
      <c r="AY185" s="31"/>
      <c r="AZ185" s="37"/>
      <c r="BC185" s="37"/>
      <c r="BD185" s="37"/>
    </row>
    <row r="186" spans="51:56" ht="15.95" hidden="1" customHeight="1">
      <c r="AY186" s="31"/>
      <c r="AZ186" s="37"/>
      <c r="BC186" s="37"/>
      <c r="BD186" s="37"/>
    </row>
    <row r="187" spans="51:56" ht="15.95" hidden="1" customHeight="1">
      <c r="AY187" s="31"/>
      <c r="AZ187" s="37"/>
      <c r="BC187" s="37"/>
      <c r="BD187" s="37"/>
    </row>
    <row r="188" spans="51:56" ht="15.95" hidden="1" customHeight="1">
      <c r="AY188" s="31"/>
      <c r="AZ188" s="37"/>
      <c r="BC188" s="37"/>
      <c r="BD188" s="37"/>
    </row>
    <row r="189" spans="51:56" ht="15.95" hidden="1" customHeight="1">
      <c r="AY189" s="31"/>
      <c r="AZ189" s="37"/>
      <c r="BC189" s="37"/>
      <c r="BD189" s="37"/>
    </row>
    <row r="190" spans="51:56" ht="15.95" hidden="1" customHeight="1">
      <c r="AY190" s="31"/>
      <c r="AZ190" s="37"/>
      <c r="BC190" s="37"/>
      <c r="BD190" s="37"/>
    </row>
    <row r="191" spans="51:56" ht="15.95" hidden="1" customHeight="1">
      <c r="AY191" s="31"/>
      <c r="AZ191" s="37"/>
      <c r="BC191" s="37"/>
      <c r="BD191" s="37"/>
    </row>
    <row r="192" spans="51:56" ht="15.95" hidden="1" customHeight="1">
      <c r="AY192" s="31"/>
      <c r="AZ192" s="37"/>
      <c r="BC192" s="37"/>
      <c r="BD192" s="37"/>
    </row>
    <row r="193" spans="1:60" ht="15.95" hidden="1" customHeight="1">
      <c r="AY193" s="31"/>
      <c r="AZ193" s="37"/>
      <c r="BC193" s="37"/>
      <c r="BD193" s="37"/>
    </row>
    <row r="194" spans="1:60" ht="15.95" hidden="1" customHeight="1">
      <c r="AY194" s="31"/>
      <c r="AZ194" s="37"/>
      <c r="BC194" s="37"/>
      <c r="BD194" s="37"/>
    </row>
    <row r="195" spans="1:60" ht="15.95" hidden="1" customHeight="1">
      <c r="AY195" s="31"/>
      <c r="AZ195" s="37"/>
      <c r="BC195" s="37"/>
      <c r="BD195" s="37"/>
    </row>
    <row r="196" spans="1:60" ht="15.95" hidden="1" customHeight="1">
      <c r="AY196" s="31"/>
      <c r="AZ196" s="37"/>
      <c r="BC196" s="37"/>
      <c r="BD196" s="37"/>
    </row>
    <row r="197" spans="1:60" ht="15.95" hidden="1" customHeight="1">
      <c r="AY197" s="31"/>
      <c r="AZ197" s="37"/>
      <c r="BC197" s="37"/>
      <c r="BD197" s="37"/>
    </row>
    <row r="198" spans="1:60" ht="15.95" hidden="1" customHeight="1">
      <c r="AY198" s="31"/>
      <c r="AZ198" s="37"/>
      <c r="BC198" s="37"/>
      <c r="BD198" s="37"/>
    </row>
    <row r="199" spans="1:60" ht="15.95" hidden="1" customHeight="1">
      <c r="AY199" s="31"/>
      <c r="AZ199" s="37"/>
      <c r="BC199" s="37"/>
      <c r="BD199" s="37"/>
    </row>
    <row r="200" spans="1:60"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c r="BA200" s="966">
        <f>IF(OR(COUNTIF(BA18:BB37,"Missing!")&gt;0,COUNTIF(BA18:BB37,0)&gt;0,COUNTIFS(BA18:BA37,"",BB18:BB37,"",AO18:AO37,"&gt;0")&gt;0),"Missing Units on Custom Compressed Air / Process. ",SUM(BA18:BB37))</f>
        <v>0</v>
      </c>
      <c r="BC200" s="970">
        <f>SUM(BC18:BC37)</f>
        <v>0</v>
      </c>
      <c r="BD200" s="970">
        <f>SUM(BD18:BD37)</f>
        <v>0</v>
      </c>
      <c r="BG200" s="971">
        <f>SUM(BG18:BG37)</f>
        <v>0</v>
      </c>
      <c r="BH200" s="971">
        <f>SUM(BH18:BH37)</f>
        <v>0</v>
      </c>
    </row>
    <row r="201" spans="1:60"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c r="BA201" s="967"/>
      <c r="BC201" s="970"/>
      <c r="BD201" s="970"/>
      <c r="BG201" s="972"/>
      <c r="BH201" s="972"/>
    </row>
    <row r="202" spans="1:60"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5.95" hidden="1" customHeight="1"/>
    <row r="204" spans="1:60" ht="15.95" hidden="1" customHeight="1"/>
    <row r="209" ht="15" hidden="1" customHeight="1"/>
    <row r="210" ht="15" hidden="1" customHeight="1"/>
  </sheetData>
  <sheetProtection algorithmName="SHA-512" hashValue="aCQY6B90e6pvTSmA9ObtDaYMQexgGBhBOMRx7r8pcpWboSph0O1f5/jfUoCEdI62tQXxiRERaIdGXEGnKTA1OA==" saltValue="52ElesiaDBtPcuk8kW72rw==" spinCount="100000" sheet="1" objects="1" scenarios="1" selectLockedCells="1"/>
  <mergeCells count="390">
    <mergeCell ref="AR16:AU17"/>
    <mergeCell ref="AO18:AQ19"/>
    <mergeCell ref="AR18:AU19"/>
    <mergeCell ref="AL16:AN17"/>
    <mergeCell ref="AL20:AN21"/>
    <mergeCell ref="AR30:AU31"/>
    <mergeCell ref="AL32:AN33"/>
    <mergeCell ref="AO32:AQ33"/>
    <mergeCell ref="AO34:AQ35"/>
    <mergeCell ref="AR28:AU29"/>
    <mergeCell ref="AR20:AU21"/>
    <mergeCell ref="AR22:AU23"/>
    <mergeCell ref="AL24:AN25"/>
    <mergeCell ref="AO24:AQ25"/>
    <mergeCell ref="AR24:AU25"/>
    <mergeCell ref="AL26:AN27"/>
    <mergeCell ref="AF36:AG37"/>
    <mergeCell ref="AH36:AI37"/>
    <mergeCell ref="AH32:AI33"/>
    <mergeCell ref="AR34:AU35"/>
    <mergeCell ref="AJ34:AK35"/>
    <mergeCell ref="AL34:AN35"/>
    <mergeCell ref="AJ36:AK37"/>
    <mergeCell ref="AH34:AI35"/>
    <mergeCell ref="AL36:AN37"/>
    <mergeCell ref="AJ32:AK33"/>
    <mergeCell ref="AO36:AQ37"/>
    <mergeCell ref="AR36:AU37"/>
    <mergeCell ref="AP1:AS3"/>
    <mergeCell ref="H16:M17"/>
    <mergeCell ref="AF16:AG17"/>
    <mergeCell ref="AH16:AK16"/>
    <mergeCell ref="F1:I3"/>
    <mergeCell ref="J1:M3"/>
    <mergeCell ref="AL1:AO3"/>
    <mergeCell ref="J9:M11"/>
    <mergeCell ref="N9:Q11"/>
    <mergeCell ref="R9:U11"/>
    <mergeCell ref="V9:Y11"/>
    <mergeCell ref="Z9:AC11"/>
    <mergeCell ref="AD9:AG11"/>
    <mergeCell ref="AH17:AI17"/>
    <mergeCell ref="AJ17:AK17"/>
    <mergeCell ref="T12:W13"/>
    <mergeCell ref="X12:AA13"/>
    <mergeCell ref="AB12:AE13"/>
    <mergeCell ref="Q1:AG3"/>
    <mergeCell ref="AS5:AW6"/>
    <mergeCell ref="AS7:AW7"/>
    <mergeCell ref="AS8:AW8"/>
    <mergeCell ref="AM13:AU14"/>
    <mergeCell ref="AO16:AQ17"/>
    <mergeCell ref="AF28:AG29"/>
    <mergeCell ref="AF22:AG23"/>
    <mergeCell ref="AH22:AI23"/>
    <mergeCell ref="AJ28:AK29"/>
    <mergeCell ref="AJ26:AK27"/>
    <mergeCell ref="AC16:AE17"/>
    <mergeCell ref="T16:V17"/>
    <mergeCell ref="T18:V19"/>
    <mergeCell ref="AC24:AE25"/>
    <mergeCell ref="AC26:AE27"/>
    <mergeCell ref="AC28:AE29"/>
    <mergeCell ref="T20:V21"/>
    <mergeCell ref="T22:V23"/>
    <mergeCell ref="T24:V25"/>
    <mergeCell ref="AJ24:AK25"/>
    <mergeCell ref="W16:AB17"/>
    <mergeCell ref="W18:AB19"/>
    <mergeCell ref="AH20:AI21"/>
    <mergeCell ref="AJ20:AK21"/>
    <mergeCell ref="AF26:AG27"/>
    <mergeCell ref="AH26:AI27"/>
    <mergeCell ref="AF24:AG25"/>
    <mergeCell ref="AH24:AI25"/>
    <mergeCell ref="AC20:AE21"/>
    <mergeCell ref="B30:B31"/>
    <mergeCell ref="B28:B29"/>
    <mergeCell ref="B26:B27"/>
    <mergeCell ref="B20:B21"/>
    <mergeCell ref="H24:M25"/>
    <mergeCell ref="H22:M23"/>
    <mergeCell ref="B24:B25"/>
    <mergeCell ref="B22:B23"/>
    <mergeCell ref="H26:M27"/>
    <mergeCell ref="H20:M21"/>
    <mergeCell ref="H30:M31"/>
    <mergeCell ref="C30:G31"/>
    <mergeCell ref="B46:B47"/>
    <mergeCell ref="B44:B45"/>
    <mergeCell ref="B42:B43"/>
    <mergeCell ref="B40:B41"/>
    <mergeCell ref="B38:B39"/>
    <mergeCell ref="B36:B37"/>
    <mergeCell ref="B34:B35"/>
    <mergeCell ref="B32:B33"/>
    <mergeCell ref="H36:M37"/>
    <mergeCell ref="H32:M33"/>
    <mergeCell ref="H34:M35"/>
    <mergeCell ref="AC34:AE35"/>
    <mergeCell ref="AC36:AE37"/>
    <mergeCell ref="AF30:AG31"/>
    <mergeCell ref="AO22:AQ23"/>
    <mergeCell ref="AO20:AQ21"/>
    <mergeCell ref="AO26:AQ27"/>
    <mergeCell ref="AR26:AU27"/>
    <mergeCell ref="O200:AI201"/>
    <mergeCell ref="AH28:AI29"/>
    <mergeCell ref="AH30:AI31"/>
    <mergeCell ref="AJ30:AK31"/>
    <mergeCell ref="AL30:AN31"/>
    <mergeCell ref="AO30:AQ31"/>
    <mergeCell ref="AR32:AU33"/>
    <mergeCell ref="AF32:AG33"/>
    <mergeCell ref="AF34:AG35"/>
    <mergeCell ref="T30:V31"/>
    <mergeCell ref="AC30:AE31"/>
    <mergeCell ref="T32:V33"/>
    <mergeCell ref="T34:V35"/>
    <mergeCell ref="T36:V37"/>
    <mergeCell ref="T26:V27"/>
    <mergeCell ref="T28:V29"/>
    <mergeCell ref="AL28:AN29"/>
    <mergeCell ref="A4:E6"/>
    <mergeCell ref="A7:E8"/>
    <mergeCell ref="C16:G17"/>
    <mergeCell ref="C18:G19"/>
    <mergeCell ref="C20:G21"/>
    <mergeCell ref="C22:G23"/>
    <mergeCell ref="C24:G25"/>
    <mergeCell ref="C26:G27"/>
    <mergeCell ref="C28:G29"/>
    <mergeCell ref="B18:B19"/>
    <mergeCell ref="E13:R13"/>
    <mergeCell ref="H18:M19"/>
    <mergeCell ref="W34:AB35"/>
    <mergeCell ref="W36:AB37"/>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28:M29"/>
    <mergeCell ref="AT1:AW3"/>
    <mergeCell ref="W20:AB21"/>
    <mergeCell ref="W22:AB23"/>
    <mergeCell ref="W24:AB25"/>
    <mergeCell ref="W26:AB27"/>
    <mergeCell ref="W28:AB29"/>
    <mergeCell ref="W30:AB31"/>
    <mergeCell ref="W32:AB33"/>
    <mergeCell ref="AC32:AE33"/>
    <mergeCell ref="T14:W14"/>
    <mergeCell ref="X14:AA14"/>
    <mergeCell ref="AB14:AE14"/>
    <mergeCell ref="AC18:AE19"/>
    <mergeCell ref="AH9:AK11"/>
    <mergeCell ref="AL9:AO11"/>
    <mergeCell ref="AF20:AG21"/>
    <mergeCell ref="AF18:AG19"/>
    <mergeCell ref="AH18:AI19"/>
    <mergeCell ref="AJ18:AK19"/>
    <mergeCell ref="AL18:AN19"/>
    <mergeCell ref="AO28:AQ29"/>
    <mergeCell ref="AJ22:AK23"/>
    <mergeCell ref="AL22:AN23"/>
    <mergeCell ref="AC22:AE23"/>
    <mergeCell ref="BK16:BK17"/>
    <mergeCell ref="BL16:BL17"/>
    <mergeCell ref="BM16:BM17"/>
    <mergeCell ref="BN16:BN17"/>
    <mergeCell ref="BO16:BO17"/>
    <mergeCell ref="AX16:AX17"/>
    <mergeCell ref="AY16:AY17"/>
    <mergeCell ref="AZ16:AZ17"/>
    <mergeCell ref="BA16:BA17"/>
    <mergeCell ref="BB16:BB17"/>
    <mergeCell ref="BC16:BC17"/>
    <mergeCell ref="BD16:BD17"/>
    <mergeCell ref="BE16:BE17"/>
    <mergeCell ref="BF16:BF17"/>
    <mergeCell ref="BP16:BP17"/>
    <mergeCell ref="AX18:AX19"/>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BL18:BL19"/>
    <mergeCell ref="BM18:BM19"/>
    <mergeCell ref="BN18:BN19"/>
    <mergeCell ref="BO18:BO19"/>
    <mergeCell ref="BP18:BP19"/>
    <mergeCell ref="BG16:BG17"/>
    <mergeCell ref="BH16:BH17"/>
    <mergeCell ref="BI16:BI17"/>
    <mergeCell ref="BJ16:BJ17"/>
    <mergeCell ref="BK20:BK21"/>
    <mergeCell ref="BL20:BL21"/>
    <mergeCell ref="BM20:BM21"/>
    <mergeCell ref="BN20:BN21"/>
    <mergeCell ref="BO20:BO21"/>
    <mergeCell ref="AX20:AX21"/>
    <mergeCell ref="AY20:AY21"/>
    <mergeCell ref="AZ20:AZ21"/>
    <mergeCell ref="BA20:BA21"/>
    <mergeCell ref="BB20:BB21"/>
    <mergeCell ref="BC20:BC21"/>
    <mergeCell ref="BD20:BD21"/>
    <mergeCell ref="BE20:BE21"/>
    <mergeCell ref="BF20:BF21"/>
    <mergeCell ref="BP20:BP21"/>
    <mergeCell ref="AX22:AX23"/>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BL22:BL23"/>
    <mergeCell ref="BM22:BM23"/>
    <mergeCell ref="BN22:BN23"/>
    <mergeCell ref="BO22:BO23"/>
    <mergeCell ref="BP22:BP23"/>
    <mergeCell ref="BG20:BG21"/>
    <mergeCell ref="BH20:BH21"/>
    <mergeCell ref="BI20:BI21"/>
    <mergeCell ref="BJ20:BJ21"/>
    <mergeCell ref="BK24:BK25"/>
    <mergeCell ref="BL24:BL25"/>
    <mergeCell ref="BM24:BM25"/>
    <mergeCell ref="BN24:BN25"/>
    <mergeCell ref="BO24:BO25"/>
    <mergeCell ref="AX24:AX25"/>
    <mergeCell ref="AY24:AY25"/>
    <mergeCell ref="AZ24:AZ25"/>
    <mergeCell ref="BA24:BA25"/>
    <mergeCell ref="BB24:BB25"/>
    <mergeCell ref="BC24:BC25"/>
    <mergeCell ref="BD24:BD25"/>
    <mergeCell ref="BE24:BE25"/>
    <mergeCell ref="BF24:BF25"/>
    <mergeCell ref="BP24:BP25"/>
    <mergeCell ref="AX26:AX27"/>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BL26:BL27"/>
    <mergeCell ref="BM26:BM27"/>
    <mergeCell ref="BN26:BN27"/>
    <mergeCell ref="BO26:BO27"/>
    <mergeCell ref="BP26:BP27"/>
    <mergeCell ref="BG24:BG25"/>
    <mergeCell ref="BH24:BH25"/>
    <mergeCell ref="BI24:BI25"/>
    <mergeCell ref="BJ24:BJ25"/>
    <mergeCell ref="BK28:BK29"/>
    <mergeCell ref="BL28:BL29"/>
    <mergeCell ref="BM28:BM29"/>
    <mergeCell ref="BN28:BN29"/>
    <mergeCell ref="BO28:BO29"/>
    <mergeCell ref="AX28:AX29"/>
    <mergeCell ref="AY28:AY29"/>
    <mergeCell ref="AZ28:AZ29"/>
    <mergeCell ref="BA28:BA29"/>
    <mergeCell ref="BB28:BB29"/>
    <mergeCell ref="BC28:BC29"/>
    <mergeCell ref="BD28:BD29"/>
    <mergeCell ref="BE28:BE29"/>
    <mergeCell ref="BF28:BF29"/>
    <mergeCell ref="BP28:BP29"/>
    <mergeCell ref="AX30:AX31"/>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BL30:BL31"/>
    <mergeCell ref="BM30:BM31"/>
    <mergeCell ref="BN30:BN31"/>
    <mergeCell ref="BO30:BO31"/>
    <mergeCell ref="BP30:BP31"/>
    <mergeCell ref="BG28:BG29"/>
    <mergeCell ref="BH28:BH29"/>
    <mergeCell ref="BI28:BI29"/>
    <mergeCell ref="BJ28:BJ29"/>
    <mergeCell ref="BK32:BK33"/>
    <mergeCell ref="BL32:BL33"/>
    <mergeCell ref="BM32:BM33"/>
    <mergeCell ref="BN32:BN33"/>
    <mergeCell ref="BO32:BO33"/>
    <mergeCell ref="AX32:AX33"/>
    <mergeCell ref="AY32:AY33"/>
    <mergeCell ref="AZ32:AZ33"/>
    <mergeCell ref="BA32:BA33"/>
    <mergeCell ref="BB32:BB33"/>
    <mergeCell ref="BC32:BC33"/>
    <mergeCell ref="BD32:BD33"/>
    <mergeCell ref="BE32:BE33"/>
    <mergeCell ref="BF32:BF33"/>
    <mergeCell ref="BP32:BP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G32:BG33"/>
    <mergeCell ref="BH32:BH33"/>
    <mergeCell ref="BI32:BI33"/>
    <mergeCell ref="BJ32:BJ33"/>
    <mergeCell ref="AX36:AX37"/>
    <mergeCell ref="AY36:AY37"/>
    <mergeCell ref="AZ36:AZ37"/>
    <mergeCell ref="BA36:BA37"/>
    <mergeCell ref="BB36:BB37"/>
    <mergeCell ref="BC36:BC37"/>
    <mergeCell ref="BD36:BD37"/>
    <mergeCell ref="BE36:BE37"/>
    <mergeCell ref="BF36:BF37"/>
    <mergeCell ref="BP36:BP37"/>
    <mergeCell ref="BA200:BA201"/>
    <mergeCell ref="BC200:BC201"/>
    <mergeCell ref="BD200:BD201"/>
    <mergeCell ref="BG200:BG201"/>
    <mergeCell ref="BH200:BH201"/>
    <mergeCell ref="BG36:BG37"/>
    <mergeCell ref="BH36:BH37"/>
    <mergeCell ref="BI36:BI37"/>
    <mergeCell ref="BJ36:BJ37"/>
    <mergeCell ref="BK36:BK37"/>
    <mergeCell ref="BL36:BL37"/>
    <mergeCell ref="BM36:BM37"/>
    <mergeCell ref="BN36:BN37"/>
    <mergeCell ref="BO36:BO37"/>
  </mergeCells>
  <conditionalFormatting sqref="N18 T18 W18 AC18 H18:M19 AF18:AK37 H20:N20 T20 W20 AC20 H21:M37 N22 T22 W22 AC22 N24 T24 W24 AC24 N26 T26 W26 AC26 N28 T28 W28 AC28 N30 T30 W30 AC30 N32 T32 W32 AC32 N34 T34 W34 AC34 N36 T36 W36 AC36">
    <cfRule type="expression" dxfId="73" priority="1433">
      <formula>AND(ISBLANK($C18)=FALSE,OR(ISBLANK(H18)=TRUE,H18=""))</formula>
    </cfRule>
  </conditionalFormatting>
  <conditionalFormatting sqref="AR18:AU37">
    <cfRule type="expression" dxfId="72" priority="1445" stopIfTrue="1">
      <formula>ISNUMBER($AR18)=FALSE</formula>
    </cfRule>
    <cfRule type="expression" dxfId="71" priority="1446">
      <formula>$AR18 &lt;&gt; #REF!</formula>
    </cfRule>
  </conditionalFormatting>
  <conditionalFormatting sqref="AS8:AW8">
    <cfRule type="expression" dxfId="70" priority="16">
      <formula>IF($AS$8=PROJSTATMEASURE,FALSE,TRUE)</formula>
    </cfRule>
  </conditionalFormatting>
  <conditionalFormatting sqref="BA18:BB37 BH18:BH37">
    <cfRule type="expression" dxfId="69" priority="1">
      <formula>IF(AND(ISNUMBER($AK18),OR(BA18="Missing!",BA18="")),TRUE,FALSE)</formula>
    </cfRule>
  </conditionalFormatting>
  <conditionalFormatting sqref="BE18:BE37">
    <cfRule type="expression" dxfId="68" priority="2">
      <formula>AND($BA18="",$F18&lt;&gt;"")</formula>
    </cfRule>
  </conditionalFormatting>
  <conditionalFormatting sqref="BF18:BF37">
    <cfRule type="expression" dxfId="67" priority="3">
      <formula>AND($BB18="",$F18&lt;&gt;"")</formula>
    </cfRule>
  </conditionalFormatting>
  <dataValidations count="7">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35E44F95-D7A6-4E6D-9907-11F3ED7E7D47}">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1BF14361-CB08-4D5C-B091-2FC0F4242CE2}">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573F890A-D923-44EE-85AF-EC9C882B0E42}">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3A1DB3D2-2B83-47A2-A76F-4725BE1A1C1C}">
      <formula1>IF($H18="",CUSTOMPROJECTTYPE,"")</formula1>
    </dataValidation>
    <dataValidation type="list" allowBlank="1" showInputMessage="1" showErrorMessage="1" sqref="H18:M37" xr:uid="{70A19DEB-0709-46D5-8638-41575DAC7DC1}">
      <formula1>CMECOMPAIRDESC</formula1>
    </dataValidation>
    <dataValidation type="whole" operator="greaterThanOrEqual" allowBlank="1" showInputMessage="1" showErrorMessage="1" errorTitle="Invalid Entry" error="Value must be a whole number." sqref="T18:V37 AC18:AE37" xr:uid="{A99A8503-EE3D-4233-9B2D-DD9938665201}">
      <formula1>0</formula1>
    </dataValidation>
    <dataValidation type="list" allowBlank="1" showInputMessage="1" showErrorMessage="1" sqref="BF18:BF37" xr:uid="{AE1CAF51-5868-4FA9-8C2F-2A0EC2F718EB}">
      <formula1>ENDUSECAT</formula1>
    </dataValidation>
  </dataValidations>
  <hyperlinks>
    <hyperlink ref="N9:Q11" location="'M03-S03'!C18" tooltip="Lighting Controls" display="'M03-S03'!C18" xr:uid="{15A5F336-DBD5-4C41-AC94-ACB99262246A}"/>
    <hyperlink ref="R9:U11" location="'M03-S04'!C18" tooltip="Refrigeration" display="'M03-S04'!C18" xr:uid="{7CFDF1D7-04E4-4572-AE8B-8BFDC2847CFD}"/>
    <hyperlink ref="V9:Y11" location="'M03-S05'!C18" tooltip="HVAC" display="'M03-S05'!C18" xr:uid="{663EEA3D-AC6B-42FB-BE0F-287FAD97B882}"/>
    <hyperlink ref="AD9:AG11" location="'M03-S06'!C18" tooltip="Compressed Air / Process" display="'M03-S06'!C18" xr:uid="{F1CA3B4E-3F73-4C15-8ED5-60D19B133763}"/>
    <hyperlink ref="AH9:AK11" location="'M03-S07'!C18" tooltip="Water Heating / Cooking" display="'M03-S07'!C18" xr:uid="{7B50FBAB-151C-4FE8-8B28-9428F4F6D7DD}"/>
    <hyperlink ref="Z9:AC11" location="'M03-S08'!C18" tooltip="Motors and Drives" display="'M03-S08'!C18" xr:uid="{7597E46E-F231-46D4-B3FD-62AC9CFA5EB8}"/>
    <hyperlink ref="AL9:AO11" location="'M04-S09'!C18" tooltip="Miscellaneous" display="'M04-S09'!C18" xr:uid="{CD9000AA-2BB1-43ED-9B90-C6599DBC12E1}"/>
    <hyperlink ref="B202" r:id="rId1" xr:uid="{49246C66-B1F3-4A2B-B59C-BAF852CCC120}"/>
    <hyperlink ref="J1:M3" location="'M01-S02'!J1" tooltip="Instructions" display="'M01-S02'!J1" xr:uid="{2ECD7C05-2126-4951-B94D-70AB16925945}"/>
    <hyperlink ref="AP1:AS3" location="'M05-S05'!AL1" tooltip=" " display="'M05-S05'!AL1" xr:uid="{EE2F42F7-4C51-41C1-B9D8-7ED7BD79F2FB}"/>
    <hyperlink ref="AL1:AO3" location="'M05-S04'!AH1" tooltip=" " display="'M05-S04'!AH1" xr:uid="{7A5B8023-89A8-4F5A-88A8-8CE4E14A2983}"/>
    <hyperlink ref="AT1:AW3" location="'M01-S03'!AP1" tooltip="Contact" display="'M01-S03'!AP1" xr:uid="{97DE9541-4FC9-47B2-B4AE-5A4031691DFD}"/>
  </hyperlinks>
  <printOptions horizontalCentered="1"/>
  <pageMargins left="0" right="0" top="0" bottom="0" header="0" footer="0"/>
  <pageSetup scale="4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8" tint="0.59999389629810485"/>
    <pageSetUpPr fitToPage="1"/>
  </sheetPr>
  <dimension ref="A1:BW210"/>
  <sheetViews>
    <sheetView showGridLines="0" showRowColHeaders="0" zoomScale="85" zoomScaleNormal="85" workbookViewId="0">
      <selection activeCell="C18" sqref="C18:G19"/>
    </sheetView>
  </sheetViews>
  <sheetFormatPr defaultColWidth="0" defaultRowHeight="0" customHeight="1" zeroHeight="1"/>
  <cols>
    <col min="1" max="49" width="4.7109375" customWidth="1"/>
    <col min="50" max="51" width="9.42578125" hidden="1"/>
    <col min="52" max="52" width="15.7109375" hidden="1"/>
    <col min="53" max="59" width="9.42578125" hidden="1"/>
    <col min="60" max="60" width="14.7109375" hidden="1"/>
    <col min="61" max="67" width="9.42578125" hidden="1"/>
    <col min="68" max="68" width="10.7109375" hidden="1"/>
    <col min="69" max="75" width="8.85546875" hidden="1"/>
    <col min="76" max="16384" width="4.7109375" hidden="1"/>
  </cols>
  <sheetData>
    <row r="1" spans="1:68"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8"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8"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68" ht="15.95" customHeight="1">
      <c r="A4" s="666">
        <f>INCENTOTAL</f>
        <v>0</v>
      </c>
      <c r="B4" s="666"/>
      <c r="C4" s="666"/>
      <c r="D4" s="666"/>
      <c r="E4" s="666"/>
      <c r="F4" s="203"/>
      <c r="G4" s="203"/>
      <c r="H4" s="203"/>
      <c r="I4" s="203"/>
    </row>
    <row r="5" spans="1:68" ht="15.95" customHeight="1">
      <c r="A5" s="667"/>
      <c r="B5" s="667"/>
      <c r="C5" s="667"/>
      <c r="D5" s="667"/>
      <c r="E5" s="667"/>
      <c r="F5" s="432"/>
      <c r="G5" s="432"/>
      <c r="H5" s="432"/>
      <c r="I5" s="432"/>
      <c r="AS5" s="1059">
        <f ca="1">PROGRESSSTATUS</f>
        <v>0</v>
      </c>
      <c r="AT5" s="1059"/>
      <c r="AU5" s="1059"/>
      <c r="AV5" s="1059"/>
      <c r="AW5" s="1059"/>
      <c r="AX5" s="22"/>
      <c r="AY5" s="119" t="s">
        <v>1315</v>
      </c>
      <c r="AZ5" s="119" t="s">
        <v>325</v>
      </c>
      <c r="BA5" s="52"/>
      <c r="BB5" s="52"/>
    </row>
    <row r="6" spans="1:68" ht="15.95" customHeight="1">
      <c r="A6" s="667"/>
      <c r="B6" s="667"/>
      <c r="C6" s="667"/>
      <c r="D6" s="667"/>
      <c r="E6" s="667"/>
      <c r="F6" s="432"/>
      <c r="G6" s="432"/>
      <c r="H6" s="432"/>
      <c r="I6" s="432"/>
      <c r="AS6" s="1059"/>
      <c r="AT6" s="1059"/>
      <c r="AU6" s="1059"/>
      <c r="AV6" s="1059"/>
      <c r="AW6" s="1059"/>
      <c r="AX6" s="118" t="s">
        <v>1320</v>
      </c>
      <c r="AY6" s="117" t="str">
        <f>CBPRESE</f>
        <v>NA</v>
      </c>
      <c r="AZ6" s="181" t="str">
        <f>PAYPRESE</f>
        <v>NA</v>
      </c>
      <c r="BA6" s="52"/>
      <c r="BB6" s="52"/>
    </row>
    <row r="7" spans="1:68" ht="15.95" customHeight="1">
      <c r="A7" s="629" t="s">
        <v>83</v>
      </c>
      <c r="B7" s="629"/>
      <c r="C7" s="629"/>
      <c r="D7" s="629"/>
      <c r="E7" s="629"/>
      <c r="F7" s="85"/>
      <c r="G7" s="85"/>
      <c r="H7" s="85"/>
      <c r="I7" s="85"/>
      <c r="AS7" s="629" t="s">
        <v>299</v>
      </c>
      <c r="AT7" s="629"/>
      <c r="AU7" s="629"/>
      <c r="AV7" s="629"/>
      <c r="AW7" s="629"/>
      <c r="AX7" s="118" t="s">
        <v>135</v>
      </c>
      <c r="AY7" s="117" t="str">
        <f>CBCUSE</f>
        <v>NA</v>
      </c>
      <c r="AZ7" s="181" t="str">
        <f>PAYCUSE</f>
        <v>NA</v>
      </c>
      <c r="BA7" s="52"/>
      <c r="BB7" s="52"/>
    </row>
    <row r="8" spans="1:68" ht="15.95" customHeight="1" thickBot="1">
      <c r="A8" s="632"/>
      <c r="B8" s="632"/>
      <c r="C8" s="632"/>
      <c r="D8" s="632"/>
      <c r="E8" s="632"/>
      <c r="F8" s="429"/>
      <c r="G8" s="429"/>
      <c r="H8" s="429"/>
      <c r="I8" s="85"/>
      <c r="AS8" s="628" t="str">
        <f ca="1">PROJSTATUS</f>
        <v>Enter Measures</v>
      </c>
      <c r="AT8" s="628"/>
      <c r="AU8" s="628"/>
      <c r="AV8" s="628"/>
      <c r="AW8" s="628"/>
      <c r="AX8" s="118" t="s">
        <v>596</v>
      </c>
      <c r="AY8" s="117" t="str">
        <f>CBALL</f>
        <v>NA</v>
      </c>
      <c r="AZ8" s="181" t="str">
        <f>PAYALL</f>
        <v>NA</v>
      </c>
      <c r="BA8" s="52"/>
      <c r="BB8" s="52"/>
    </row>
    <row r="9" spans="1:68" s="88" customFormat="1" ht="15.95" customHeight="1">
      <c r="B9" s="110"/>
      <c r="C9" s="110"/>
      <c r="D9" s="110"/>
      <c r="E9" s="110"/>
      <c r="F9" s="110"/>
      <c r="G9" s="110"/>
      <c r="H9" s="111"/>
      <c r="I9" s="111"/>
      <c r="J9" s="927"/>
      <c r="K9" s="928"/>
      <c r="L9" s="928"/>
      <c r="M9" s="928"/>
      <c r="N9" s="815" t="str">
        <f>M3S3</f>
        <v>Lighting Controls</v>
      </c>
      <c r="O9" s="816"/>
      <c r="P9" s="816"/>
      <c r="Q9" s="816"/>
      <c r="R9" s="815" t="str">
        <f>M3S4</f>
        <v>Refrigeration</v>
      </c>
      <c r="S9" s="816"/>
      <c r="T9" s="816"/>
      <c r="U9" s="816"/>
      <c r="V9" s="815" t="str">
        <f>M3S5</f>
        <v>HVAC</v>
      </c>
      <c r="W9" s="816"/>
      <c r="X9" s="816"/>
      <c r="Y9" s="816"/>
      <c r="Z9" s="815" t="str">
        <f>M4S8</f>
        <v>Motors and Drives</v>
      </c>
      <c r="AA9" s="816"/>
      <c r="AB9" s="816"/>
      <c r="AC9" s="816"/>
      <c r="AD9" s="815" t="str">
        <f>M3S6</f>
        <v>Compressed Air / Process</v>
      </c>
      <c r="AE9" s="816"/>
      <c r="AF9" s="816"/>
      <c r="AG9" s="816"/>
      <c r="AH9" s="818" t="str">
        <f>M3S7</f>
        <v>Water Heating / Food Services</v>
      </c>
      <c r="AI9" s="818"/>
      <c r="AJ9" s="818"/>
      <c r="AK9" s="818"/>
      <c r="AL9" s="815" t="str">
        <f>M4S9</f>
        <v>Miscellaneous</v>
      </c>
      <c r="AM9" s="816"/>
      <c r="AN9" s="816"/>
      <c r="AO9" s="816"/>
      <c r="AP9" s="112"/>
      <c r="AQ9" s="112"/>
      <c r="AR9" s="112"/>
      <c r="AS9" s="112"/>
      <c r="AT9"/>
      <c r="AU9" s="110"/>
      <c r="AV9" s="110"/>
    </row>
    <row r="10" spans="1:68" s="88" customFormat="1" ht="15.95" customHeight="1">
      <c r="B10" s="89"/>
      <c r="C10" s="89"/>
      <c r="D10" s="89"/>
      <c r="E10" s="89"/>
      <c r="F10" s="89"/>
      <c r="G10" s="89"/>
      <c r="J10" s="878"/>
      <c r="K10" s="878"/>
      <c r="L10" s="878"/>
      <c r="M10" s="878"/>
      <c r="N10" s="817"/>
      <c r="O10" s="817"/>
      <c r="P10" s="817"/>
      <c r="Q10" s="817"/>
      <c r="R10" s="817"/>
      <c r="S10" s="817"/>
      <c r="T10" s="817"/>
      <c r="U10" s="817"/>
      <c r="V10" s="817"/>
      <c r="W10" s="817"/>
      <c r="X10" s="817"/>
      <c r="Y10" s="817"/>
      <c r="Z10" s="817"/>
      <c r="AA10" s="817"/>
      <c r="AB10" s="817"/>
      <c r="AC10" s="817"/>
      <c r="AD10" s="817"/>
      <c r="AE10" s="817"/>
      <c r="AF10" s="817"/>
      <c r="AG10" s="817"/>
      <c r="AH10" s="819"/>
      <c r="AI10" s="819"/>
      <c r="AJ10" s="819"/>
      <c r="AK10" s="819"/>
      <c r="AL10" s="817"/>
      <c r="AM10" s="817"/>
      <c r="AN10" s="817"/>
      <c r="AO10" s="817"/>
      <c r="AP10"/>
      <c r="AQ10"/>
      <c r="AR10"/>
      <c r="AS10"/>
      <c r="AT10"/>
      <c r="AU10" s="89"/>
      <c r="AV10" s="89"/>
    </row>
    <row r="11" spans="1:68" ht="15.95" customHeight="1">
      <c r="B11" s="106"/>
      <c r="C11" s="106"/>
      <c r="D11" s="106"/>
      <c r="E11" s="106"/>
      <c r="F11" s="106"/>
      <c r="G11" s="106"/>
      <c r="J11" s="878"/>
      <c r="K11" s="878"/>
      <c r="L11" s="878"/>
      <c r="M11" s="878"/>
      <c r="N11" s="817"/>
      <c r="O11" s="817"/>
      <c r="P11" s="817"/>
      <c r="Q11" s="817"/>
      <c r="R11" s="817"/>
      <c r="S11" s="817"/>
      <c r="T11" s="817"/>
      <c r="U11" s="817"/>
      <c r="V11" s="817"/>
      <c r="W11" s="817"/>
      <c r="X11" s="817"/>
      <c r="Y11" s="817"/>
      <c r="Z11" s="817"/>
      <c r="AA11" s="817"/>
      <c r="AB11" s="817"/>
      <c r="AC11" s="817"/>
      <c r="AD11" s="817"/>
      <c r="AE11" s="817"/>
      <c r="AF11" s="817"/>
      <c r="AG11" s="817"/>
      <c r="AH11" s="819"/>
      <c r="AI11" s="819"/>
      <c r="AJ11" s="819"/>
      <c r="AK11" s="819"/>
      <c r="AL11" s="817"/>
      <c r="AM11" s="817"/>
      <c r="AN11" s="817"/>
      <c r="AO11" s="817"/>
      <c r="AU11" s="106"/>
      <c r="AV11" s="106"/>
    </row>
    <row r="12" spans="1:68" ht="15.95" customHeight="1">
      <c r="A12" s="86"/>
      <c r="B12" s="86"/>
      <c r="C12" s="86"/>
      <c r="D12" s="86"/>
      <c r="E12" s="86"/>
      <c r="F12" s="86"/>
      <c r="G12" s="86"/>
      <c r="T12" s="821">
        <f>SUM(AR18:AU184)</f>
        <v>0</v>
      </c>
      <c r="U12" s="821"/>
      <c r="V12" s="821"/>
      <c r="W12" s="821"/>
      <c r="X12" s="821">
        <f ca="1">SUMIF(AR18:AU184,"&gt;0",AL18:AN184)</f>
        <v>0</v>
      </c>
      <c r="Y12" s="821"/>
      <c r="Z12" s="821"/>
      <c r="AA12" s="821"/>
      <c r="AB12" s="820">
        <f ca="1">SUMIF(AR18:AU184,"&gt;0",AO18:AQ184)</f>
        <v>0</v>
      </c>
      <c r="AC12" s="820"/>
      <c r="AD12" s="820"/>
      <c r="AE12" s="820"/>
    </row>
    <row r="13" spans="1:68" ht="15.95" customHeight="1">
      <c r="A13" s="86"/>
      <c r="B13" s="86"/>
      <c r="C13" s="86"/>
      <c r="D13" s="86"/>
      <c r="E13" s="1035" t="s">
        <v>3058</v>
      </c>
      <c r="F13" s="1035"/>
      <c r="G13" s="1035"/>
      <c r="H13" s="1035"/>
      <c r="I13" s="1035"/>
      <c r="J13" s="1035"/>
      <c r="K13" s="1035"/>
      <c r="L13" s="1035"/>
      <c r="M13" s="1035"/>
      <c r="N13" s="1035"/>
      <c r="O13" s="1035"/>
      <c r="P13" s="1035"/>
      <c r="Q13" s="1035"/>
      <c r="R13" s="1035"/>
      <c r="T13" s="821"/>
      <c r="U13" s="821"/>
      <c r="V13" s="821"/>
      <c r="W13" s="821"/>
      <c r="X13" s="821"/>
      <c r="Y13" s="821"/>
      <c r="Z13" s="821"/>
      <c r="AA13" s="821"/>
      <c r="AB13" s="820"/>
      <c r="AC13" s="820"/>
      <c r="AD13" s="820"/>
      <c r="AE13" s="820"/>
      <c r="AM13" s="840" t="str">
        <f>IF(OR(IFERROR(MATCH("75% Total Cost",BM18, 0), FALSE), IFERROR(MATCH("100% Incremental Cost",BM18, 0), FALSE)), "The incentive for one or more measures is capped due to measure cost.", "")</f>
        <v/>
      </c>
      <c r="AN13" s="840"/>
      <c r="AO13" s="840"/>
      <c r="AP13" s="840"/>
      <c r="AQ13" s="840"/>
      <c r="AR13" s="840"/>
      <c r="AS13" s="840"/>
      <c r="AT13" s="840"/>
      <c r="AU13" s="840"/>
    </row>
    <row r="14" spans="1:68" ht="15.95" customHeight="1">
      <c r="T14" s="758" t="s">
        <v>1717</v>
      </c>
      <c r="U14" s="758"/>
      <c r="V14" s="758"/>
      <c r="W14" s="758"/>
      <c r="X14" s="758" t="s">
        <v>67</v>
      </c>
      <c r="Y14" s="758"/>
      <c r="Z14" s="758"/>
      <c r="AA14" s="758"/>
      <c r="AB14" s="758" t="s">
        <v>1161</v>
      </c>
      <c r="AC14" s="758"/>
      <c r="AD14" s="758"/>
      <c r="AE14" s="758"/>
      <c r="AM14" s="840"/>
      <c r="AN14" s="840"/>
      <c r="AO14" s="840"/>
      <c r="AP14" s="840"/>
      <c r="AQ14" s="840"/>
      <c r="AR14" s="840"/>
      <c r="AS14" s="840"/>
      <c r="AT14" s="840"/>
      <c r="AU14" s="840"/>
    </row>
    <row r="15" spans="1:68" ht="15.95" customHeight="1"/>
    <row r="16" spans="1:68" ht="15.95" customHeight="1">
      <c r="B16" s="22"/>
      <c r="C16" s="723" t="s">
        <v>1308</v>
      </c>
      <c r="D16" s="723"/>
      <c r="E16" s="723"/>
      <c r="F16" s="723"/>
      <c r="G16" s="723"/>
      <c r="H16" s="723" t="s">
        <v>1238</v>
      </c>
      <c r="I16" s="723"/>
      <c r="J16" s="723"/>
      <c r="K16" s="723"/>
      <c r="L16" s="723"/>
      <c r="M16" s="723"/>
      <c r="N16" s="723" t="s">
        <v>1309</v>
      </c>
      <c r="O16" s="723"/>
      <c r="P16" s="723"/>
      <c r="Q16" s="723"/>
      <c r="R16" s="723"/>
      <c r="S16" s="723"/>
      <c r="T16" s="723" t="s">
        <v>2426</v>
      </c>
      <c r="U16" s="723"/>
      <c r="V16" s="723"/>
      <c r="W16" s="723" t="s">
        <v>1310</v>
      </c>
      <c r="X16" s="723"/>
      <c r="Y16" s="723"/>
      <c r="Z16" s="723"/>
      <c r="AA16" s="723"/>
      <c r="AB16" s="723"/>
      <c r="AC16" s="723" t="s">
        <v>2427</v>
      </c>
      <c r="AD16" s="723"/>
      <c r="AE16" s="723"/>
      <c r="AF16" s="723" t="s">
        <v>1311</v>
      </c>
      <c r="AG16" s="723"/>
      <c r="AH16" s="814" t="s">
        <v>1257</v>
      </c>
      <c r="AI16" s="814"/>
      <c r="AJ16" s="814"/>
      <c r="AK16" s="814"/>
      <c r="AL16" s="723" t="s">
        <v>1304</v>
      </c>
      <c r="AM16" s="723"/>
      <c r="AN16" s="723"/>
      <c r="AO16" s="723" t="s">
        <v>1108</v>
      </c>
      <c r="AP16" s="723"/>
      <c r="AQ16" s="723"/>
      <c r="AR16" s="723" t="s">
        <v>83</v>
      </c>
      <c r="AS16" s="723"/>
      <c r="AT16" s="723"/>
      <c r="AU16" s="723"/>
      <c r="AV16" s="66"/>
      <c r="AW16" s="66"/>
      <c r="AX16" s="756" t="s">
        <v>132</v>
      </c>
      <c r="AY16" s="756" t="s">
        <v>325</v>
      </c>
      <c r="AZ16" s="756" t="s">
        <v>1116</v>
      </c>
      <c r="BA16" s="756" t="s">
        <v>2595</v>
      </c>
      <c r="BB16" s="756" t="s">
        <v>1324</v>
      </c>
      <c r="BC16" s="756" t="s">
        <v>635</v>
      </c>
      <c r="BD16" s="756" t="s">
        <v>1256</v>
      </c>
      <c r="BE16" s="756" t="s">
        <v>88</v>
      </c>
      <c r="BF16" s="756" t="s">
        <v>1305</v>
      </c>
      <c r="BG16" s="756" t="s">
        <v>1307</v>
      </c>
      <c r="BH16" s="756" t="s">
        <v>1466</v>
      </c>
      <c r="BI16" s="736" t="s">
        <v>2125</v>
      </c>
      <c r="BJ16" s="736" t="s">
        <v>703</v>
      </c>
      <c r="BK16" s="756" t="s">
        <v>1765</v>
      </c>
      <c r="BL16" s="756" t="s">
        <v>85</v>
      </c>
      <c r="BM16" s="756" t="s">
        <v>1306</v>
      </c>
      <c r="BN16" s="756" t="s">
        <v>309</v>
      </c>
      <c r="BO16" s="736" t="s">
        <v>2130</v>
      </c>
      <c r="BP16" s="736" t="s">
        <v>2401</v>
      </c>
    </row>
    <row r="17" spans="1:68" ht="15.95" customHeight="1" thickBot="1">
      <c r="B17" s="22"/>
      <c r="C17" s="724"/>
      <c r="D17" s="724"/>
      <c r="E17" s="724"/>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t="s">
        <v>1241</v>
      </c>
      <c r="AI17" s="724"/>
      <c r="AJ17" s="724" t="s">
        <v>1242</v>
      </c>
      <c r="AK17" s="724"/>
      <c r="AL17" s="724"/>
      <c r="AM17" s="724"/>
      <c r="AN17" s="724"/>
      <c r="AO17" s="724"/>
      <c r="AP17" s="724"/>
      <c r="AQ17" s="724"/>
      <c r="AR17" s="724"/>
      <c r="AS17" s="724"/>
      <c r="AT17" s="724"/>
      <c r="AU17" s="724"/>
      <c r="AV17" s="44"/>
      <c r="AW17" s="44"/>
      <c r="AX17" s="757"/>
      <c r="AY17" s="757"/>
      <c r="AZ17" s="757"/>
      <c r="BA17" s="757"/>
      <c r="BB17" s="757"/>
      <c r="BC17" s="757"/>
      <c r="BD17" s="757"/>
      <c r="BE17" s="757"/>
      <c r="BF17" s="757"/>
      <c r="BG17" s="757"/>
      <c r="BH17" s="757"/>
      <c r="BI17" s="737"/>
      <c r="BJ17" s="737"/>
      <c r="BK17" s="757"/>
      <c r="BL17" s="757"/>
      <c r="BM17" s="757"/>
      <c r="BN17" s="757"/>
      <c r="BO17" s="737"/>
      <c r="BP17" s="737"/>
    </row>
    <row r="18" spans="1:68" ht="15.95" customHeight="1">
      <c r="B18" s="806">
        <v>1</v>
      </c>
      <c r="C18" s="994"/>
      <c r="D18" s="726"/>
      <c r="E18" s="726"/>
      <c r="F18" s="726"/>
      <c r="G18" s="995"/>
      <c r="H18" s="1013"/>
      <c r="I18" s="1013"/>
      <c r="J18" s="1013"/>
      <c r="K18" s="1013"/>
      <c r="L18" s="1013"/>
      <c r="M18" s="991"/>
      <c r="N18" s="1116"/>
      <c r="O18" s="726"/>
      <c r="P18" s="726"/>
      <c r="Q18" s="726"/>
      <c r="R18" s="726"/>
      <c r="S18" s="995"/>
      <c r="T18" s="1129"/>
      <c r="U18" s="1130"/>
      <c r="V18" s="1131"/>
      <c r="W18" s="1116"/>
      <c r="X18" s="726"/>
      <c r="Y18" s="726"/>
      <c r="Z18" s="726"/>
      <c r="AA18" s="726"/>
      <c r="AB18" s="995"/>
      <c r="AC18" s="1129"/>
      <c r="AD18" s="1130"/>
      <c r="AE18" s="1131"/>
      <c r="AF18" s="1121" t="str">
        <f>IFERROR(IF($C18="", "", IF(OR($C18 = "Retrofit existing", $C18 = "Replace in-life equip."), "Total", "Incremental")), "")</f>
        <v/>
      </c>
      <c r="AG18" s="1122"/>
      <c r="AH18" s="999"/>
      <c r="AI18" s="999"/>
      <c r="AJ18" s="1062" t="str">
        <f>IF(AF18="Incremental",0,"")</f>
        <v/>
      </c>
      <c r="AK18" s="1063"/>
      <c r="AL18" s="1057" t="str">
        <f>IF(OR(C18="",H18="",N18="",T18="",W18="",AC18="",AF18="",AH18="",AJ18=""),"",ROUND(AH18+AJ18,2))</f>
        <v/>
      </c>
      <c r="AM18" s="1058"/>
      <c r="AN18" s="1058"/>
      <c r="AO18" s="1033" t="str">
        <f>IF(OR(C18="",H18="",N18="",T18="",W18="",AC18="",AF18="",AH18="",AJ18=""),"",IF(BC18-BD18&lt;=0,0,ROUND(BC18-BD18,4)))</f>
        <v/>
      </c>
      <c r="AP18" s="1033"/>
      <c r="AQ18" s="1033"/>
      <c r="AR18" s="996" t="str">
        <f>IF(OR(C18="",H18="",N18="",T18="",W18="",AC18="",AF18="",AH18="",AJ18=""),"",
IF(BN18&lt;&gt;"",BN18,IF(BP18&gt;0,BP18,
IF(AF18="Incremental",
IF(ACTIVEBLOCK="Yes",ROUND(MIN(AL18*INCCOSTCAP,AO18*BLOCKBIDRATE),2),
ROUND(MIN(AL18*INCCOSTCAP,BI18),2)),
IF(ACTIVEBLOCK="Yes",ROUND(MIN(AL18*TOTCOSTCAP,AO18*BLOCKBIDRATE),2),
ROUND(MIN(AL18*TOTCOSTCAP,BI18),2))))))</f>
        <v/>
      </c>
      <c r="AS18" s="996"/>
      <c r="AT18" s="996"/>
      <c r="AU18" s="996"/>
      <c r="AV18" s="44"/>
      <c r="AW18" s="44"/>
      <c r="AX18" s="974" t="str">
        <f>IFERROR(IF(OR(C18="",H18="",N18="",T18="",W18="",AC18="",AF18="",AH18="",AJ18=""),"",
ROUND(((1+ELOSS)*((AO18*INDEX(ELECCB[NPV AEC $/kWh],MATCH(BE18,ELECCB[Year Number],1)))+(BG18*INDEX(ELECCB[NPV ACC $/kW],MATCH(BE18,ELECCB[Year Number],1))))/AL18),2)),0)</f>
        <v/>
      </c>
      <c r="AY18" s="974" t="str">
        <f>IFERROR(AL18/M02S04F06/AO18,"")</f>
        <v/>
      </c>
      <c r="AZ18" s="967" t="str">
        <f>IF(OR(C18="",H18=""),"",INDEX(CMECOOK[Unit of Measure],MATCH(H18,CMECOOK[Proj Desc 1],0)))</f>
        <v/>
      </c>
      <c r="BA18" s="980" t="str">
        <f>IF(AO18&lt;&gt;"","Missing!","")</f>
        <v/>
      </c>
      <c r="BB18" s="980" t="str">
        <f>IF(AO18&lt;&gt;"","Missing!","")</f>
        <v/>
      </c>
      <c r="BC18" s="976" t="str">
        <f>IF(OR(C18="",H18="",N18="",T18="",W18="",AC18="",AF18="",AH18="",AJ18=""),"",ROUND(T18,4))</f>
        <v/>
      </c>
      <c r="BD18" s="976" t="str">
        <f>IF(OR(C18="",H18="",N18="",T18="",W18="",AC18="",AF18="",AH18="",AJ18=""),"",ROUND(AC18,4))</f>
        <v/>
      </c>
      <c r="BE18" s="978" t="str">
        <f>IF(OR(C18="",H18=""),"",IF(INDEX(CMECOOK[EUL],MATCH(H18,CMECOOK[Proj Desc 1],0))="","",INDEX(CMECOOK[EUL],MATCH(H18,CMECOOK[Proj Desc 1],0))))</f>
        <v/>
      </c>
      <c r="BF18" s="980" t="str">
        <f>IF(OR(C18="",H18=""),"",IF(INDEX(CMECOOK[End Use Category],MATCH(H18,CMECOOK[Proj Desc 1],0))="","",INDEX(CMECOOK[End Use Category],MATCH(H18,CMECOOK[Proj Desc 1],0))))</f>
        <v/>
      </c>
      <c r="BG18" s="972" t="str">
        <f>IFERROR(IF(OR(C18="",H18="",N18="",T18="",W18="",AC18="",AF18="",AH18="",AJ18=""),"",ROUND(AO18*INDEX(ENDUSEALL[Factor],MATCH(BF18,ENDUSEALL[End Use to Coincident Peak Demand Factors],0)),4)),"")</f>
        <v/>
      </c>
      <c r="BH18" s="1076"/>
      <c r="BI18" s="830" t="str">
        <f>IFERROR(ROUND(AO18*BJ18,2),"")</f>
        <v/>
      </c>
      <c r="BJ18" s="830" t="str">
        <f>_xlfn.LET(_xlpm.ROWS,MATCH(BF18,ENDUSEALL[End Use to Coincident Peak Demand Factors],0),IFERROR(INDEX(IF(AND(ACTIVEBONUS = TRUE,INDEX(ENDUSEALL[Bonus Rate ($/kWh)],_xlpm.ROWS)&lt;&gt;""),ENDUSEALL[Bonus Rate ($/kWh)],ENDUSEALL[Rate ($/kWh)]),_xlpm.ROWS),""))</f>
        <v/>
      </c>
      <c r="BK18" s="830"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965" t="str">
        <f>IF(OR(C18="",H18="",N18="",T18="",W18="",AC18="",AF18="",AH18="",AJ18=""),"",IF(BN18&lt;&gt;"",SPILLOVERNUMBER,INDEX(CMECOOK[Measure Number],MATCH(H18,CMECOOK[Proj Desc 1],0))))</f>
        <v/>
      </c>
      <c r="BM18" s="967"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967"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830" t="str">
        <f>IFERROR(IF(OR(C18="",H18="",N18="",T18="",W18="",AC18="",AF18="",AH18="",AJ18=""),"",
ROUND(((1+ELOSS)*((AO18*INDEX(ELECCB[NPV AEC $/kWh],MATCH(BE18,ELECCB[Year Number],1)))+(BG18*INDEX(ELECCB[NPV ACC $/kW],MATCH(BE18,ELECCB[Year Number],1))))),2)),0)</f>
        <v/>
      </c>
      <c r="BP18" s="969"/>
    </row>
    <row r="19" spans="1:68" ht="15.95" customHeight="1">
      <c r="B19" s="806"/>
      <c r="C19" s="991"/>
      <c r="D19" s="992"/>
      <c r="E19" s="992"/>
      <c r="F19" s="992"/>
      <c r="G19" s="993"/>
      <c r="H19" s="1015"/>
      <c r="I19" s="1015"/>
      <c r="J19" s="1015"/>
      <c r="K19" s="1015"/>
      <c r="L19" s="1015"/>
      <c r="M19" s="1020"/>
      <c r="N19" s="1026"/>
      <c r="O19" s="992"/>
      <c r="P19" s="992"/>
      <c r="Q19" s="992"/>
      <c r="R19" s="992"/>
      <c r="S19" s="993"/>
      <c r="T19" s="1031"/>
      <c r="U19" s="1125"/>
      <c r="V19" s="1126"/>
      <c r="W19" s="1026"/>
      <c r="X19" s="992"/>
      <c r="Y19" s="992"/>
      <c r="Z19" s="992"/>
      <c r="AA19" s="992"/>
      <c r="AB19" s="993"/>
      <c r="AC19" s="1031"/>
      <c r="AD19" s="1125"/>
      <c r="AE19" s="1126"/>
      <c r="AF19" s="1121"/>
      <c r="AG19" s="1122"/>
      <c r="AH19" s="999"/>
      <c r="AI19" s="999"/>
      <c r="AJ19" s="1062"/>
      <c r="AK19" s="1063"/>
      <c r="AL19" s="1001"/>
      <c r="AM19" s="1002"/>
      <c r="AN19" s="1002"/>
      <c r="AO19" s="1034"/>
      <c r="AP19" s="1034"/>
      <c r="AQ19" s="1034"/>
      <c r="AR19" s="997"/>
      <c r="AS19" s="997"/>
      <c r="AT19" s="997"/>
      <c r="AU19" s="997"/>
      <c r="AV19" s="44"/>
      <c r="AW19" s="44"/>
      <c r="AX19" s="982"/>
      <c r="AY19" s="982"/>
      <c r="AZ19" s="983"/>
      <c r="BA19" s="986"/>
      <c r="BB19" s="986"/>
      <c r="BC19" s="984"/>
      <c r="BD19" s="984"/>
      <c r="BE19" s="985"/>
      <c r="BF19" s="986"/>
      <c r="BG19" s="970"/>
      <c r="BH19" s="1077"/>
      <c r="BI19" s="831"/>
      <c r="BJ19" s="831"/>
      <c r="BK19" s="831"/>
      <c r="BL19" s="987"/>
      <c r="BM19" s="983"/>
      <c r="BN19" s="983"/>
      <c r="BO19" s="831"/>
      <c r="BP19" s="981"/>
    </row>
    <row r="20" spans="1:68" ht="15.95" customHeight="1">
      <c r="A20" s="85"/>
      <c r="B20" s="806">
        <v>2</v>
      </c>
      <c r="C20" s="988"/>
      <c r="D20" s="989"/>
      <c r="E20" s="989"/>
      <c r="F20" s="989"/>
      <c r="G20" s="990"/>
      <c r="H20" s="1015"/>
      <c r="I20" s="1015"/>
      <c r="J20" s="1015"/>
      <c r="K20" s="1015"/>
      <c r="L20" s="1015"/>
      <c r="M20" s="1020"/>
      <c r="N20" s="1025"/>
      <c r="O20" s="989"/>
      <c r="P20" s="989"/>
      <c r="Q20" s="989"/>
      <c r="R20" s="989"/>
      <c r="S20" s="990"/>
      <c r="T20" s="1029"/>
      <c r="U20" s="1123"/>
      <c r="V20" s="1124"/>
      <c r="W20" s="1025"/>
      <c r="X20" s="989"/>
      <c r="Y20" s="989"/>
      <c r="Z20" s="989"/>
      <c r="AA20" s="989"/>
      <c r="AB20" s="990"/>
      <c r="AC20" s="1029"/>
      <c r="AD20" s="1123"/>
      <c r="AE20" s="1124"/>
      <c r="AF20" s="1121" t="str">
        <f>IFERROR(IF($C20="", "", IF(OR($C20 = "Retrofit existing", $C20 = "Replace in-life equip."), "Total", "Incremental")), "")</f>
        <v/>
      </c>
      <c r="AG20" s="1122"/>
      <c r="AH20" s="999"/>
      <c r="AI20" s="999"/>
      <c r="AJ20" s="1062" t="str">
        <f>IF(AF20="Incremental",0,"")</f>
        <v/>
      </c>
      <c r="AK20" s="1063"/>
      <c r="AL20" s="1057" t="str">
        <f>IF(OR(C20="",H20="",N20="",T20="",W20="",AC20="",AF20="",AH20="",AJ20=""),"",ROUND(AH20+AJ20,2))</f>
        <v/>
      </c>
      <c r="AM20" s="1058"/>
      <c r="AN20" s="1058"/>
      <c r="AO20" s="1033" t="str">
        <f t="shared" ref="AO20" si="0">IF(OR(C20="",H20="",N20="",T20="",W20="",AC20="",AF20="",AH20="",AJ20=""),"",IF(BC20-BD20&lt;=0,0,ROUND(BC20-BD20,4)))</f>
        <v/>
      </c>
      <c r="AP20" s="1033"/>
      <c r="AQ20" s="1033"/>
      <c r="AR20" s="1064" t="str">
        <f>IF(OR(C20="",H20="",N20="",T20="",W20="",AC20="",AF20="",AH20="",AJ20=""),"",
IF(BN20&lt;&gt;"",BN20,IF(BP20&gt;0,BP20,
IF(AF20="Incremental",
IF(ACTIVEBLOCK="Yes",ROUND(MIN(AL20*INCCOSTCAP,AO20*BLOCKBIDRATE),2),
ROUND(MIN(AL20*INCCOSTCAP,BI20),2)),
IF(ACTIVEBLOCK="Yes",ROUND(MIN(AL20*TOTCOSTCAP,AO20*BLOCKBIDRATE),2),
ROUND(MIN(AL20*TOTCOSTCAP,BI20),2))))))</f>
        <v/>
      </c>
      <c r="AS20" s="1065"/>
      <c r="AT20" s="1065"/>
      <c r="AU20" s="1066"/>
      <c r="AV20" s="44"/>
      <c r="AW20" s="44"/>
      <c r="AX20" s="974" t="str">
        <f>IFERROR(IF(OR(C20="",H20="",N20="",T20="",W20="",AC20="",AF20="",AH20="",AJ20=""),"",
ROUND(((1+ELOSS)*((AO20*INDEX(ELECCB[NPV AEC $/kWh],MATCH(BE20,ELECCB[Year Number],1)))+(BG20*INDEX(ELECCB[NPV ACC $/kW],MATCH(BE20,ELECCB[Year Number],1))))/AL20),2)),0)</f>
        <v/>
      </c>
      <c r="AY20" s="974" t="str">
        <f>IFERROR(AL20/M02S04F06/AO20,"")</f>
        <v/>
      </c>
      <c r="AZ20" s="967" t="str">
        <f>IF(OR(C20="",H20=""),"",INDEX(CMECOOK[Unit of Measure],MATCH(H20,CMECOOK[Proj Desc 1],0)))</f>
        <v/>
      </c>
      <c r="BA20" s="980" t="str">
        <f t="shared" ref="BA20" si="1">IF(AO20&lt;&gt;"","Missing!","")</f>
        <v/>
      </c>
      <c r="BB20" s="980" t="str">
        <f t="shared" ref="BB20" si="2">IF(AO20&lt;&gt;"","Missing!","")</f>
        <v/>
      </c>
      <c r="BC20" s="976" t="str">
        <f t="shared" ref="BC20" si="3">IF(OR(C20="",H20="",N20="",T20="",W20="",AC20="",AF20="",AH20="",AJ20=""),"",ROUND(T20,4))</f>
        <v/>
      </c>
      <c r="BD20" s="976" t="str">
        <f t="shared" ref="BD20" si="4">IF(OR(C20="",H20="",N20="",T20="",W20="",AC20="",AF20="",AH20="",AJ20=""),"",ROUND(AC20,4))</f>
        <v/>
      </c>
      <c r="BE20" s="978" t="str">
        <f>IF(OR(C20="",H20=""),"",IF(INDEX(CMECOOK[EUL],MATCH(H20,CMECOOK[Proj Desc 1],0))="","",INDEX(CMECOOK[EUL],MATCH(H20,CMECOOK[Proj Desc 1],0))))</f>
        <v/>
      </c>
      <c r="BF20" s="980" t="str">
        <f>IF(OR(C20="",H20=""),"",IF(INDEX(CMECOOK[End Use Category],MATCH(H20,CMECOOK[Proj Desc 1],0))="","",INDEX(CMECOOK[End Use Category],MATCH(H20,CMECOOK[Proj Desc 1],0))))</f>
        <v/>
      </c>
      <c r="BG20" s="972" t="str">
        <f>IFERROR(IF(OR(C20="",H20="",N20="",T20="",W20="",AC20="",AF20="",AH20="",AJ20=""),"",ROUND(AO20*INDEX(ENDUSEALL[Factor],MATCH(BF20,ENDUSEALL[End Use to Coincident Peak Demand Factors],0)),4)),"")</f>
        <v/>
      </c>
      <c r="BH20" s="1076"/>
      <c r="BI20" s="830" t="str">
        <f>IFERROR(ROUND(AO20*BJ20,2),"")</f>
        <v/>
      </c>
      <c r="BJ20" s="963" t="str">
        <f>_xlfn.LET(_xlpm.ROWS,MATCH(BF20,ENDUSEALL[End Use to Coincident Peak Demand Factors],0),IFERROR(INDEX(IF(AND(ACTIVEBONUS = TRUE,INDEX(ENDUSEALL[Bonus Rate ($/kWh)],_xlpm.ROWS)&lt;&gt;""),ENDUSEALL[Bonus Rate ($/kWh)],ENDUSEALL[Rate ($/kWh)]),_xlpm.ROWS),""))</f>
        <v/>
      </c>
      <c r="BK20" s="963"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965" t="str">
        <f>IF(OR(G20="",J20="",P20="",U20="",X20="",AC20="",AF20="",AH20="",AJ20=""),"",IF(BN20&lt;&gt;"",SPILLOVERNUMBER,INDEX(CMECOOK[Measure Number],MATCH(J20,CMECOOK[Proj Desc 1],0))))</f>
        <v/>
      </c>
      <c r="BM20" s="967"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967" t="str">
        <f ca="1">IFERROR(IF(EXPIRATION&lt;&gt;"",PROJSTATEXP,
IF(BP20&gt;0,"",
IF(BC20-BD20&lt;=0,MEASURESAVE,
IF(OR(M02S04F06="",M02S04F06="Select Rate Code",M02S04F06=0),MEASURERATE,
IF(AND((ISNUMBER(SEARCH("Other",J20))),OR(BE20="",BF20="")),MEASURESUBMIT,
 IF(PAYCUSE&lt;PAYBACKREQ,PROJECTSTATPAYBACK,
IF(CBCUSE&lt;CBREQ,PROJECTSTATCB,""))))))),MEASURESUBMIT)</f>
        <v>Submit for Review</v>
      </c>
      <c r="BO20" s="830" t="str">
        <f>IFERROR(IF(OR(G20="",J20="",P20="",U20="",X20="",AC20="",AF20="",AH20="",AJ20=""),"",
ROUND(((1+ELOSS)*((AO20*INDEX(ELECCB[NPV AEC $/kWh],MATCH(BE20,ELECCB[Year Number],1)))+(BG20*INDEX(ELECCB[NPV ACC $/kW],MATCH(BE20,ELECCB[Year Number],1))))),2)),0)</f>
        <v/>
      </c>
      <c r="BP20" s="969"/>
    </row>
    <row r="21" spans="1:68" ht="15.95" customHeight="1">
      <c r="B21" s="806"/>
      <c r="C21" s="991"/>
      <c r="D21" s="992"/>
      <c r="E21" s="992"/>
      <c r="F21" s="992"/>
      <c r="G21" s="993"/>
      <c r="H21" s="1015"/>
      <c r="I21" s="1015"/>
      <c r="J21" s="1015"/>
      <c r="K21" s="1015"/>
      <c r="L21" s="1015"/>
      <c r="M21" s="1020"/>
      <c r="N21" s="1026"/>
      <c r="O21" s="992"/>
      <c r="P21" s="992"/>
      <c r="Q21" s="992"/>
      <c r="R21" s="992"/>
      <c r="S21" s="993"/>
      <c r="T21" s="1031"/>
      <c r="U21" s="1125"/>
      <c r="V21" s="1126"/>
      <c r="W21" s="1026"/>
      <c r="X21" s="992"/>
      <c r="Y21" s="992"/>
      <c r="Z21" s="992"/>
      <c r="AA21" s="992"/>
      <c r="AB21" s="993"/>
      <c r="AC21" s="1031"/>
      <c r="AD21" s="1125"/>
      <c r="AE21" s="1126"/>
      <c r="AF21" s="1121"/>
      <c r="AG21" s="1122"/>
      <c r="AH21" s="999"/>
      <c r="AI21" s="999"/>
      <c r="AJ21" s="1062"/>
      <c r="AK21" s="1063"/>
      <c r="AL21" s="1001"/>
      <c r="AM21" s="1002"/>
      <c r="AN21" s="1002"/>
      <c r="AO21" s="1034"/>
      <c r="AP21" s="1034"/>
      <c r="AQ21" s="1034"/>
      <c r="AR21" s="1067"/>
      <c r="AS21" s="1068"/>
      <c r="AT21" s="1068"/>
      <c r="AU21" s="1069"/>
      <c r="AV21" s="44"/>
      <c r="AW21" s="44"/>
      <c r="AX21" s="982"/>
      <c r="AY21" s="982"/>
      <c r="AZ21" s="983"/>
      <c r="BA21" s="986"/>
      <c r="BB21" s="986"/>
      <c r="BC21" s="984"/>
      <c r="BD21" s="984"/>
      <c r="BE21" s="985"/>
      <c r="BF21" s="986"/>
      <c r="BG21" s="970"/>
      <c r="BH21" s="1077"/>
      <c r="BI21" s="831"/>
      <c r="BJ21" s="830"/>
      <c r="BK21" s="830"/>
      <c r="BL21" s="987"/>
      <c r="BM21" s="983"/>
      <c r="BN21" s="983"/>
      <c r="BO21" s="831"/>
      <c r="BP21" s="981"/>
    </row>
    <row r="22" spans="1:68" s="22" customFormat="1" ht="15.95" customHeight="1">
      <c r="A22" s="120"/>
      <c r="B22" s="806">
        <v>3</v>
      </c>
      <c r="C22" s="988"/>
      <c r="D22" s="989"/>
      <c r="E22" s="989"/>
      <c r="F22" s="989"/>
      <c r="G22" s="990"/>
      <c r="H22" s="1015"/>
      <c r="I22" s="1015"/>
      <c r="J22" s="1015"/>
      <c r="K22" s="1015"/>
      <c r="L22" s="1015"/>
      <c r="M22" s="1020"/>
      <c r="N22" s="1025"/>
      <c r="O22" s="989"/>
      <c r="P22" s="989"/>
      <c r="Q22" s="989"/>
      <c r="R22" s="989"/>
      <c r="S22" s="990"/>
      <c r="T22" s="1029"/>
      <c r="U22" s="1123"/>
      <c r="V22" s="1124"/>
      <c r="W22" s="1025"/>
      <c r="X22" s="989"/>
      <c r="Y22" s="989"/>
      <c r="Z22" s="989"/>
      <c r="AA22" s="989"/>
      <c r="AB22" s="990"/>
      <c r="AC22" s="1029"/>
      <c r="AD22" s="1123"/>
      <c r="AE22" s="1124"/>
      <c r="AF22" s="1121" t="str">
        <f>IFERROR(IF($C22="", "", IF(OR($C22 = "Retrofit existing", $C22 = "Replace in-life equip."), "Total", "Incremental")), "")</f>
        <v/>
      </c>
      <c r="AG22" s="1122"/>
      <c r="AH22" s="999"/>
      <c r="AI22" s="999"/>
      <c r="AJ22" s="1062" t="str">
        <f t="shared" ref="AJ22" si="5">IF(AF22="Incremental",0,"")</f>
        <v/>
      </c>
      <c r="AK22" s="1063"/>
      <c r="AL22" s="1057" t="str">
        <f>IF(OR(C22="",H22="",N22="",T22="",W22="",AC22="",AF22="",AH22="",AJ22=""),"",ROUND(AH22+AJ22,2))</f>
        <v/>
      </c>
      <c r="AM22" s="1058"/>
      <c r="AN22" s="1058"/>
      <c r="AO22" s="1033" t="str">
        <f t="shared" ref="AO22" si="6">IF(OR(C22="",H22="",N22="",T22="",W22="",AC22="",AF22="",AH22="",AJ22=""),"",IF(BC22-BD22&lt;=0,0,ROUND(BC22-BD22,4)))</f>
        <v/>
      </c>
      <c r="AP22" s="1033"/>
      <c r="AQ22" s="1033"/>
      <c r="AR22" s="1064" t="str">
        <f>IF(OR(C22="",H22="",N22="",T22="",W22="",AC22="",AF22="",AH22="",AJ22=""),"",
IF(BN22&lt;&gt;"",BN22,IF(BP22&gt;0,BP22,
IF(AF22="Incremental",
IF(ACTIVEBLOCK="Yes",ROUND(MIN(AL22*INCCOSTCAP,AO22*BLOCKBIDRATE),2),
ROUND(MIN(AL22*INCCOSTCAP,BI22),2)),
IF(ACTIVEBLOCK="Yes",ROUND(MIN(AL22*TOTCOSTCAP,AO22*BLOCKBIDRATE),2),
ROUND(MIN(AL22*TOTCOSTCAP,BI22),2))))))</f>
        <v/>
      </c>
      <c r="AS22" s="1065"/>
      <c r="AT22" s="1065"/>
      <c r="AU22" s="1066"/>
      <c r="AV22" s="66"/>
      <c r="AW22" s="66"/>
      <c r="AX22" s="974" t="str">
        <f>IFERROR(IF(OR(C22="",H22="",N22="",T22="",W22="",AC22="",AF22="",AH22="",AJ22=""),"",
ROUND(((1+ELOSS)*((AO22*INDEX(ELECCB[NPV AEC $/kWh],MATCH(BE22,ELECCB[Year Number],1)))+(BG22*INDEX(ELECCB[NPV ACC $/kW],MATCH(BE22,ELECCB[Year Number],1))))/AL22),2)),0)</f>
        <v/>
      </c>
      <c r="AY22" s="974" t="str">
        <f>IFERROR(AL22/M02S04F06/AO22,"")</f>
        <v/>
      </c>
      <c r="AZ22" s="967" t="str">
        <f>IF(OR(C22="",H22=""),"",INDEX(CMECOOK[Unit of Measure],MATCH(H22,CMECOOK[Proj Desc 1],0)))</f>
        <v/>
      </c>
      <c r="BA22" s="980" t="str">
        <f t="shared" ref="BA22" si="7">IF(AO22&lt;&gt;"","Missing!","")</f>
        <v/>
      </c>
      <c r="BB22" s="980" t="str">
        <f t="shared" ref="BB22" si="8">IF(AO22&lt;&gt;"","Missing!","")</f>
        <v/>
      </c>
      <c r="BC22" s="976" t="str">
        <f t="shared" ref="BC22" si="9">IF(OR(C22="",H22="",N22="",T22="",W22="",AC22="",AF22="",AH22="",AJ22=""),"",ROUND(T22,4))</f>
        <v/>
      </c>
      <c r="BD22" s="976" t="str">
        <f t="shared" ref="BD22" si="10">IF(OR(C22="",H22="",N22="",T22="",W22="",AC22="",AF22="",AH22="",AJ22=""),"",ROUND(AC22,4))</f>
        <v/>
      </c>
      <c r="BE22" s="978" t="str">
        <f>IF(OR(C22="",H22=""),"",IF(INDEX(CMECOOK[EUL],MATCH(H22,CMECOOK[Proj Desc 1],0))="","",INDEX(CMECOOK[EUL],MATCH(H22,CMECOOK[Proj Desc 1],0))))</f>
        <v/>
      </c>
      <c r="BF22" s="980" t="str">
        <f>IF(OR(C22="",H22=""),"",IF(INDEX(CMECOOK[End Use Category],MATCH(H22,CMECOOK[Proj Desc 1],0))="","",INDEX(CMECOOK[End Use Category],MATCH(H22,CMECOOK[Proj Desc 1],0))))</f>
        <v/>
      </c>
      <c r="BG22" s="972" t="str">
        <f>IFERROR(IF(OR(C22="",H22="",N22="",T22="",W22="",AC22="",AF22="",AH22="",AJ22=""),"",ROUND(AO22*INDEX(ENDUSEALL[Factor],MATCH(BF22,ENDUSEALL[End Use to Coincident Peak Demand Factors],0)),4)),"")</f>
        <v/>
      </c>
      <c r="BH22" s="1076"/>
      <c r="BI22" s="830" t="str">
        <f>IFERROR(ROUND(AO22*BJ22,2),"")</f>
        <v/>
      </c>
      <c r="BJ22" s="963" t="str">
        <f>_xlfn.LET(_xlpm.ROWS,MATCH(BF22,ENDUSEALL[End Use to Coincident Peak Demand Factors],0),IFERROR(INDEX(IF(AND(ACTIVEBONUS = TRUE,INDEX(ENDUSEALL[Bonus Rate ($/kWh)],_xlpm.ROWS)&lt;&gt;""),ENDUSEALL[Bonus Rate ($/kWh)],ENDUSEALL[Rate ($/kWh)]),_xlpm.ROWS),""))</f>
        <v/>
      </c>
      <c r="BK22" s="963"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965" t="str">
        <f>IF(OR(G22="",J22="",P22="",U22="",X22="",AC22="",AF22="",AH22="",AJ22=""),"",IF(BN22&lt;&gt;"",SPILLOVERNUMBER,INDEX(CMECOOK[Measure Number],MATCH(J22,CMECOOK[Proj Desc 1],0))))</f>
        <v/>
      </c>
      <c r="BM22" s="967"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967" t="str">
        <f ca="1">IFERROR(IF(EXPIRATION&lt;&gt;"",PROJSTATEXP,
IF(BP22&gt;0,"",
IF(BC22-BD22&lt;=0,MEASURESAVE,
IF(OR(M02S04F06="",M02S04F06="Select Rate Code",M02S04F06=0),MEASURERATE,
IF(AND((ISNUMBER(SEARCH("Other",J22))),OR(BE22="",BF22="")),MEASURESUBMIT,
 IF(PAYCUSE&lt;PAYBACKREQ,PROJECTSTATPAYBACK,
IF(CBCUSE&lt;CBREQ,PROJECTSTATCB,""))))))),MEASURESUBMIT)</f>
        <v>Submit for Review</v>
      </c>
      <c r="BO22" s="830" t="str">
        <f>IFERROR(IF(OR(G22="",J22="",P22="",U22="",X22="",AC22="",AF22="",AH22="",AJ22=""),"",
ROUND(((1+ELOSS)*((AO22*INDEX(ELECCB[NPV AEC $/kWh],MATCH(BE22,ELECCB[Year Number],1)))+(BG22*INDEX(ELECCB[NPV ACC $/kW],MATCH(BE22,ELECCB[Year Number],1))))),2)),0)</f>
        <v/>
      </c>
      <c r="BP22" s="969"/>
    </row>
    <row r="23" spans="1:68" s="22" customFormat="1" ht="15.95" customHeight="1">
      <c r="A23" s="120"/>
      <c r="B23" s="806"/>
      <c r="C23" s="991"/>
      <c r="D23" s="992"/>
      <c r="E23" s="992"/>
      <c r="F23" s="992"/>
      <c r="G23" s="993"/>
      <c r="H23" s="1015"/>
      <c r="I23" s="1015"/>
      <c r="J23" s="1015"/>
      <c r="K23" s="1015"/>
      <c r="L23" s="1015"/>
      <c r="M23" s="1020"/>
      <c r="N23" s="1026"/>
      <c r="O23" s="992"/>
      <c r="P23" s="992"/>
      <c r="Q23" s="992"/>
      <c r="R23" s="992"/>
      <c r="S23" s="993"/>
      <c r="T23" s="1031"/>
      <c r="U23" s="1125"/>
      <c r="V23" s="1126"/>
      <c r="W23" s="1026"/>
      <c r="X23" s="992"/>
      <c r="Y23" s="992"/>
      <c r="Z23" s="992"/>
      <c r="AA23" s="992"/>
      <c r="AB23" s="993"/>
      <c r="AC23" s="1031"/>
      <c r="AD23" s="1125"/>
      <c r="AE23" s="1126"/>
      <c r="AF23" s="1121"/>
      <c r="AG23" s="1122"/>
      <c r="AH23" s="999"/>
      <c r="AI23" s="999"/>
      <c r="AJ23" s="1062"/>
      <c r="AK23" s="1063"/>
      <c r="AL23" s="1001"/>
      <c r="AM23" s="1002"/>
      <c r="AN23" s="1002"/>
      <c r="AO23" s="1034"/>
      <c r="AP23" s="1034"/>
      <c r="AQ23" s="1034"/>
      <c r="AR23" s="1067"/>
      <c r="AS23" s="1068"/>
      <c r="AT23" s="1068"/>
      <c r="AU23" s="1069"/>
      <c r="AV23" s="66"/>
      <c r="AW23" s="66"/>
      <c r="AX23" s="982"/>
      <c r="AY23" s="982"/>
      <c r="AZ23" s="983"/>
      <c r="BA23" s="986"/>
      <c r="BB23" s="986"/>
      <c r="BC23" s="984"/>
      <c r="BD23" s="984"/>
      <c r="BE23" s="985"/>
      <c r="BF23" s="986"/>
      <c r="BG23" s="970"/>
      <c r="BH23" s="1077"/>
      <c r="BI23" s="831"/>
      <c r="BJ23" s="830"/>
      <c r="BK23" s="830"/>
      <c r="BL23" s="987"/>
      <c r="BM23" s="983"/>
      <c r="BN23" s="983"/>
      <c r="BO23" s="831"/>
      <c r="BP23" s="981"/>
    </row>
    <row r="24" spans="1:68" ht="15.95" customHeight="1">
      <c r="B24" s="806">
        <v>4</v>
      </c>
      <c r="C24" s="988"/>
      <c r="D24" s="989"/>
      <c r="E24" s="989"/>
      <c r="F24" s="989"/>
      <c r="G24" s="990"/>
      <c r="H24" s="1015"/>
      <c r="I24" s="1015"/>
      <c r="J24" s="1015"/>
      <c r="K24" s="1015"/>
      <c r="L24" s="1015"/>
      <c r="M24" s="1020"/>
      <c r="N24" s="1025"/>
      <c r="O24" s="989"/>
      <c r="P24" s="989"/>
      <c r="Q24" s="989"/>
      <c r="R24" s="989"/>
      <c r="S24" s="990"/>
      <c r="T24" s="1029"/>
      <c r="U24" s="1123"/>
      <c r="V24" s="1124"/>
      <c r="W24" s="1025"/>
      <c r="X24" s="989"/>
      <c r="Y24" s="989"/>
      <c r="Z24" s="989"/>
      <c r="AA24" s="989"/>
      <c r="AB24" s="990"/>
      <c r="AC24" s="1029"/>
      <c r="AD24" s="1123"/>
      <c r="AE24" s="1124"/>
      <c r="AF24" s="1121" t="str">
        <f>IFERROR(IF($C24="", "", IF(OR($C24 = "Retrofit existing", $C24 = "Replace in-life equip."), "Total", "Incremental")), "")</f>
        <v/>
      </c>
      <c r="AG24" s="1122"/>
      <c r="AH24" s="999"/>
      <c r="AI24" s="999"/>
      <c r="AJ24" s="1062" t="str">
        <f t="shared" ref="AJ24" si="11">IF(AF24="Incremental",0,"")</f>
        <v/>
      </c>
      <c r="AK24" s="1063"/>
      <c r="AL24" s="1057" t="str">
        <f>IF(OR(C24="",H24="",N24="",T24="",W24="",AC24="",AF24="",AH24="",AJ24=""),"",ROUND(AH24+AJ24,2))</f>
        <v/>
      </c>
      <c r="AM24" s="1058"/>
      <c r="AN24" s="1058"/>
      <c r="AO24" s="1033" t="str">
        <f t="shared" ref="AO24" si="12">IF(OR(C24="",H24="",N24="",T24="",W24="",AC24="",AF24="",AH24="",AJ24=""),"",IF(BC24-BD24&lt;=0,0,ROUND(BC24-BD24,4)))</f>
        <v/>
      </c>
      <c r="AP24" s="1033"/>
      <c r="AQ24" s="1033"/>
      <c r="AR24" s="1064" t="str">
        <f>IF(OR(C24="",H24="",N24="",T24="",W24="",AC24="",AF24="",AH24="",AJ24=""),"",
IF(BN24&lt;&gt;"",BN24,IF(BP24&gt;0,BP24,
IF(AF24="Incremental",
IF(ACTIVEBLOCK="Yes",ROUND(MIN(AL24*INCCOSTCAP,AO24*BLOCKBIDRATE),2),
ROUND(MIN(AL24*INCCOSTCAP,BI24),2)),
IF(ACTIVEBLOCK="Yes",ROUND(MIN(AL24*TOTCOSTCAP,AO24*BLOCKBIDRATE),2),
ROUND(MIN(AL24*TOTCOSTCAP,BI24),2))))))</f>
        <v/>
      </c>
      <c r="AS24" s="1065"/>
      <c r="AT24" s="1065"/>
      <c r="AU24" s="1066"/>
      <c r="AV24" s="44"/>
      <c r="AW24" s="44"/>
      <c r="AX24" s="974" t="str">
        <f>IFERROR(IF(OR(C24="",H24="",N24="",T24="",W24="",AC24="",AF24="",AH24="",AJ24=""),"",
ROUND(((1+ELOSS)*((AO24*INDEX(ELECCB[NPV AEC $/kWh],MATCH(BE24,ELECCB[Year Number],1)))+(BG24*INDEX(ELECCB[NPV ACC $/kW],MATCH(BE24,ELECCB[Year Number],1))))/AL24),2)),0)</f>
        <v/>
      </c>
      <c r="AY24" s="974" t="str">
        <f>IFERROR(AL24/M02S04F06/AO24,"")</f>
        <v/>
      </c>
      <c r="AZ24" s="967" t="str">
        <f>IF(OR(C24="",H24=""),"",INDEX(CMECOOK[Unit of Measure],MATCH(H24,CMECOOK[Proj Desc 1],0)))</f>
        <v/>
      </c>
      <c r="BA24" s="980" t="str">
        <f t="shared" ref="BA24" si="13">IF(AO24&lt;&gt;"","Missing!","")</f>
        <v/>
      </c>
      <c r="BB24" s="980" t="str">
        <f t="shared" ref="BB24" si="14">IF(AO24&lt;&gt;"","Missing!","")</f>
        <v/>
      </c>
      <c r="BC24" s="976" t="str">
        <f t="shared" ref="BC24" si="15">IF(OR(C24="",H24="",N24="",T24="",W24="",AC24="",AF24="",AH24="",AJ24=""),"",ROUND(T24,4))</f>
        <v/>
      </c>
      <c r="BD24" s="976" t="str">
        <f t="shared" ref="BD24" si="16">IF(OR(C24="",H24="",N24="",T24="",W24="",AC24="",AF24="",AH24="",AJ24=""),"",ROUND(AC24,4))</f>
        <v/>
      </c>
      <c r="BE24" s="978" t="str">
        <f>IF(OR(C24="",H24=""),"",IF(INDEX(CMECOOK[EUL],MATCH(H24,CMECOOK[Proj Desc 1],0))="","",INDEX(CMECOOK[EUL],MATCH(H24,CMECOOK[Proj Desc 1],0))))</f>
        <v/>
      </c>
      <c r="BF24" s="980" t="str">
        <f>IF(OR(C24="",H24=""),"",IF(INDEX(CMECOOK[End Use Category],MATCH(H24,CMECOOK[Proj Desc 1],0))="","",INDEX(CMECOOK[End Use Category],MATCH(H24,CMECOOK[Proj Desc 1],0))))</f>
        <v/>
      </c>
      <c r="BG24" s="972" t="str">
        <f>IFERROR(IF(OR(C24="",H24="",N24="",T24="",W24="",AC24="",AF24="",AH24="",AJ24=""),"",ROUND(AO24*INDEX(ENDUSEALL[Factor],MATCH(BF24,ENDUSEALL[End Use to Coincident Peak Demand Factors],0)),4)),"")</f>
        <v/>
      </c>
      <c r="BH24" s="1076"/>
      <c r="BI24" s="830" t="str">
        <f>IFERROR(ROUND(AO24*BJ24,2),"")</f>
        <v/>
      </c>
      <c r="BJ24" s="963" t="str">
        <f>_xlfn.LET(_xlpm.ROWS,MATCH(BF24,ENDUSEALL[End Use to Coincident Peak Demand Factors],0),IFERROR(INDEX(IF(AND(ACTIVEBONUS = TRUE,INDEX(ENDUSEALL[Bonus Rate ($/kWh)],_xlpm.ROWS)&lt;&gt;""),ENDUSEALL[Bonus Rate ($/kWh)],ENDUSEALL[Rate ($/kWh)]),_xlpm.ROWS),""))</f>
        <v/>
      </c>
      <c r="BK24" s="963"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965" t="str">
        <f>IF(OR(G24="",J24="",P24="",U24="",X24="",AC24="",AF24="",AH24="",AJ24=""),"",IF(BN24&lt;&gt;"",SPILLOVERNUMBER,INDEX(CMECOOK[Measure Number],MATCH(J24,CMECOOK[Proj Desc 1],0))))</f>
        <v/>
      </c>
      <c r="BM24" s="967"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967" t="str">
        <f ca="1">IFERROR(IF(EXPIRATION&lt;&gt;"",PROJSTATEXP,
IF(BP24&gt;0,"",
IF(BC24-BD24&lt;=0,MEASURESAVE,
IF(OR(M02S04F06="",M02S04F06="Select Rate Code",M02S04F06=0),MEASURERATE,
IF(AND((ISNUMBER(SEARCH("Other",J24))),OR(BE24="",BF24="")),MEASURESUBMIT,
 IF(PAYCUSE&lt;PAYBACKREQ,PROJECTSTATPAYBACK,
IF(CBCUSE&lt;CBREQ,PROJECTSTATCB,""))))))),MEASURESUBMIT)</f>
        <v>Submit for Review</v>
      </c>
      <c r="BO24" s="830" t="str">
        <f>IFERROR(IF(OR(G24="",J24="",P24="",U24="",X24="",AC24="",AF24="",AH24="",AJ24=""),"",
ROUND(((1+ELOSS)*((AO24*INDEX(ELECCB[NPV AEC $/kWh],MATCH(BE24,ELECCB[Year Number],1)))+(BG24*INDEX(ELECCB[NPV ACC $/kW],MATCH(BE24,ELECCB[Year Number],1))))),2)),0)</f>
        <v/>
      </c>
      <c r="BP24" s="969"/>
    </row>
    <row r="25" spans="1:68" ht="15.95" customHeight="1">
      <c r="A25" s="85"/>
      <c r="B25" s="806"/>
      <c r="C25" s="991"/>
      <c r="D25" s="992"/>
      <c r="E25" s="992"/>
      <c r="F25" s="992"/>
      <c r="G25" s="993"/>
      <c r="H25" s="1015"/>
      <c r="I25" s="1015"/>
      <c r="J25" s="1015"/>
      <c r="K25" s="1015"/>
      <c r="L25" s="1015"/>
      <c r="M25" s="1020"/>
      <c r="N25" s="1026"/>
      <c r="O25" s="992"/>
      <c r="P25" s="992"/>
      <c r="Q25" s="992"/>
      <c r="R25" s="992"/>
      <c r="S25" s="993"/>
      <c r="T25" s="1031"/>
      <c r="U25" s="1125"/>
      <c r="V25" s="1126"/>
      <c r="W25" s="1026"/>
      <c r="X25" s="992"/>
      <c r="Y25" s="992"/>
      <c r="Z25" s="992"/>
      <c r="AA25" s="992"/>
      <c r="AB25" s="993"/>
      <c r="AC25" s="1031"/>
      <c r="AD25" s="1125"/>
      <c r="AE25" s="1126"/>
      <c r="AF25" s="1121"/>
      <c r="AG25" s="1122"/>
      <c r="AH25" s="999"/>
      <c r="AI25" s="999"/>
      <c r="AJ25" s="1062"/>
      <c r="AK25" s="1063"/>
      <c r="AL25" s="1001"/>
      <c r="AM25" s="1002"/>
      <c r="AN25" s="1002"/>
      <c r="AO25" s="1034"/>
      <c r="AP25" s="1034"/>
      <c r="AQ25" s="1034"/>
      <c r="AR25" s="1067"/>
      <c r="AS25" s="1068"/>
      <c r="AT25" s="1068"/>
      <c r="AU25" s="1069"/>
      <c r="AV25" s="44"/>
      <c r="AW25" s="44"/>
      <c r="AX25" s="982"/>
      <c r="AY25" s="982"/>
      <c r="AZ25" s="983"/>
      <c r="BA25" s="986"/>
      <c r="BB25" s="986"/>
      <c r="BC25" s="984"/>
      <c r="BD25" s="984"/>
      <c r="BE25" s="985"/>
      <c r="BF25" s="986"/>
      <c r="BG25" s="970"/>
      <c r="BH25" s="1077"/>
      <c r="BI25" s="831"/>
      <c r="BJ25" s="830"/>
      <c r="BK25" s="830"/>
      <c r="BL25" s="987"/>
      <c r="BM25" s="983"/>
      <c r="BN25" s="983"/>
      <c r="BO25" s="831"/>
      <c r="BP25" s="981"/>
    </row>
    <row r="26" spans="1:68" ht="15.95" customHeight="1">
      <c r="B26" s="806">
        <v>5</v>
      </c>
      <c r="C26" s="988"/>
      <c r="D26" s="989"/>
      <c r="E26" s="989"/>
      <c r="F26" s="989"/>
      <c r="G26" s="990"/>
      <c r="H26" s="1015"/>
      <c r="I26" s="1015"/>
      <c r="J26" s="1015"/>
      <c r="K26" s="1015"/>
      <c r="L26" s="1015"/>
      <c r="M26" s="1020"/>
      <c r="N26" s="1025"/>
      <c r="O26" s="989"/>
      <c r="P26" s="989"/>
      <c r="Q26" s="989"/>
      <c r="R26" s="989"/>
      <c r="S26" s="990"/>
      <c r="T26" s="1029"/>
      <c r="U26" s="1123"/>
      <c r="V26" s="1124"/>
      <c r="W26" s="1025"/>
      <c r="X26" s="989"/>
      <c r="Y26" s="989"/>
      <c r="Z26" s="989"/>
      <c r="AA26" s="989"/>
      <c r="AB26" s="990"/>
      <c r="AC26" s="1029"/>
      <c r="AD26" s="1123"/>
      <c r="AE26" s="1124"/>
      <c r="AF26" s="1121" t="str">
        <f>IFERROR(IF($C26="", "", IF(OR($C26 = "Retrofit existing", $C26 = "Replace in-life equip."), "Total", "Incremental")), "")</f>
        <v/>
      </c>
      <c r="AG26" s="1122"/>
      <c r="AH26" s="999"/>
      <c r="AI26" s="999"/>
      <c r="AJ26" s="1062" t="str">
        <f t="shared" ref="AJ26" si="17">IF(AF26="Incremental",0,"")</f>
        <v/>
      </c>
      <c r="AK26" s="1063"/>
      <c r="AL26" s="1057" t="str">
        <f>IF(OR(C26="",H26="",N26="",T26="",W26="",AC26="",AF26="",AH26="",AJ26=""),"",ROUND(AH26+AJ26,2))</f>
        <v/>
      </c>
      <c r="AM26" s="1058"/>
      <c r="AN26" s="1058"/>
      <c r="AO26" s="1033" t="str">
        <f t="shared" ref="AO26" si="18">IF(OR(C26="",H26="",N26="",T26="",W26="",AC26="",AF26="",AH26="",AJ26=""),"",IF(BC26-BD26&lt;=0,0,ROUND(BC26-BD26,4)))</f>
        <v/>
      </c>
      <c r="AP26" s="1033"/>
      <c r="AQ26" s="1033"/>
      <c r="AR26" s="1064" t="str">
        <f>IF(OR(C26="",H26="",N26="",T26="",W26="",AC26="",AF26="",AH26="",AJ26=""),"",
IF(BN26&lt;&gt;"",BN26,IF(BP26&gt;0,BP26,
IF(AF26="Incremental",
IF(ACTIVEBLOCK="Yes",ROUND(MIN(AL26*INCCOSTCAP,AO26*BLOCKBIDRATE),2),
ROUND(MIN(AL26*INCCOSTCAP,BI26),2)),
IF(ACTIVEBLOCK="Yes",ROUND(MIN(AL26*TOTCOSTCAP,AO26*BLOCKBIDRATE),2),
ROUND(MIN(AL26*TOTCOSTCAP,BI26),2))))))</f>
        <v/>
      </c>
      <c r="AS26" s="1065"/>
      <c r="AT26" s="1065"/>
      <c r="AU26" s="1066"/>
      <c r="AV26" s="44"/>
      <c r="AW26" s="44"/>
      <c r="AX26" s="974" t="str">
        <f>IFERROR(IF(OR(C26="",H26="",N26="",T26="",W26="",AC26="",AF26="",AH26="",AJ26=""),"",
ROUND(((1+ELOSS)*((AO26*INDEX(ELECCB[NPV AEC $/kWh],MATCH(BE26,ELECCB[Year Number],1)))+(BG26*INDEX(ELECCB[NPV ACC $/kW],MATCH(BE26,ELECCB[Year Number],1))))/AL26),2)),0)</f>
        <v/>
      </c>
      <c r="AY26" s="974" t="str">
        <f>IFERROR(AL26/M02S04F06/AO26,"")</f>
        <v/>
      </c>
      <c r="AZ26" s="967" t="str">
        <f>IF(OR(C26="",H26=""),"",INDEX(CMECOOK[Unit of Measure],MATCH(H26,CMECOOK[Proj Desc 1],0)))</f>
        <v/>
      </c>
      <c r="BA26" s="980" t="str">
        <f t="shared" ref="BA26" si="19">IF(AO26&lt;&gt;"","Missing!","")</f>
        <v/>
      </c>
      <c r="BB26" s="980" t="str">
        <f t="shared" ref="BB26" si="20">IF(AO26&lt;&gt;"","Missing!","")</f>
        <v/>
      </c>
      <c r="BC26" s="976" t="str">
        <f t="shared" ref="BC26" si="21">IF(OR(C26="",H26="",N26="",T26="",W26="",AC26="",AF26="",AH26="",AJ26=""),"",ROUND(T26,4))</f>
        <v/>
      </c>
      <c r="BD26" s="976" t="str">
        <f t="shared" ref="BD26" si="22">IF(OR(C26="",H26="",N26="",T26="",W26="",AC26="",AF26="",AH26="",AJ26=""),"",ROUND(AC26,4))</f>
        <v/>
      </c>
      <c r="BE26" s="978" t="str">
        <f>IF(OR(C26="",H26=""),"",IF(INDEX(CMECOOK[EUL],MATCH(H26,CMECOOK[Proj Desc 1],0))="","",INDEX(CMECOOK[EUL],MATCH(H26,CMECOOK[Proj Desc 1],0))))</f>
        <v/>
      </c>
      <c r="BF26" s="980" t="str">
        <f>IF(OR(C26="",H26=""),"",IF(INDEX(CMECOOK[End Use Category],MATCH(H26,CMECOOK[Proj Desc 1],0))="","",INDEX(CMECOOK[End Use Category],MATCH(H26,CMECOOK[Proj Desc 1],0))))</f>
        <v/>
      </c>
      <c r="BG26" s="972" t="str">
        <f>IFERROR(IF(OR(C26="",H26="",N26="",T26="",W26="",AC26="",AF26="",AH26="",AJ26=""),"",ROUND(AO26*INDEX(ENDUSEALL[Factor],MATCH(BF26,ENDUSEALL[End Use to Coincident Peak Demand Factors],0)),4)),"")</f>
        <v/>
      </c>
      <c r="BH26" s="1076"/>
      <c r="BI26" s="830" t="str">
        <f>IFERROR(ROUND(AO26*BJ26,2),"")</f>
        <v/>
      </c>
      <c r="BJ26" s="963" t="str">
        <f>_xlfn.LET(_xlpm.ROWS,MATCH(BF26,ENDUSEALL[End Use to Coincident Peak Demand Factors],0),IFERROR(INDEX(IF(AND(ACTIVEBONUS = TRUE,INDEX(ENDUSEALL[Bonus Rate ($/kWh)],_xlpm.ROWS)&lt;&gt;""),ENDUSEALL[Bonus Rate ($/kWh)],ENDUSEALL[Rate ($/kWh)]),_xlpm.ROWS),""))</f>
        <v/>
      </c>
      <c r="BK26" s="963"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965" t="str">
        <f>IF(OR(G26="",J26="",P26="",U26="",X26="",AC26="",AF26="",AH26="",AJ26=""),"",IF(BN26&lt;&gt;"",SPILLOVERNUMBER,INDEX(CMECOOK[Measure Number],MATCH(J26,CMECOOK[Proj Desc 1],0))))</f>
        <v/>
      </c>
      <c r="BM26" s="967"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967" t="str">
        <f ca="1">IFERROR(IF(EXPIRATION&lt;&gt;"",PROJSTATEXP,
IF(BP26&gt;0,"",
IF(BC26-BD26&lt;=0,MEASURESAVE,
IF(OR(M02S04F06="",M02S04F06="Select Rate Code",M02S04F06=0),MEASURERATE,
IF(AND((ISNUMBER(SEARCH("Other",J26))),OR(BE26="",BF26="")),MEASURESUBMIT,
 IF(PAYCUSE&lt;PAYBACKREQ,PROJECTSTATPAYBACK,
IF(CBCUSE&lt;CBREQ,PROJECTSTATCB,""))))))),MEASURESUBMIT)</f>
        <v>Submit for Review</v>
      </c>
      <c r="BO26" s="830" t="str">
        <f>IFERROR(IF(OR(G26="",J26="",P26="",U26="",X26="",AC26="",AF26="",AH26="",AJ26=""),"",
ROUND(((1+ELOSS)*((AO26*INDEX(ELECCB[NPV AEC $/kWh],MATCH(BE26,ELECCB[Year Number],1)))+(BG26*INDEX(ELECCB[NPV ACC $/kW],MATCH(BE26,ELECCB[Year Number],1))))),2)),0)</f>
        <v/>
      </c>
      <c r="BP26" s="969"/>
    </row>
    <row r="27" spans="1:68" ht="15.95" customHeight="1">
      <c r="B27" s="806"/>
      <c r="C27" s="991"/>
      <c r="D27" s="992"/>
      <c r="E27" s="992"/>
      <c r="F27" s="992"/>
      <c r="G27" s="993"/>
      <c r="H27" s="1015"/>
      <c r="I27" s="1015"/>
      <c r="J27" s="1015"/>
      <c r="K27" s="1015"/>
      <c r="L27" s="1015"/>
      <c r="M27" s="1020"/>
      <c r="N27" s="1026"/>
      <c r="O27" s="992"/>
      <c r="P27" s="992"/>
      <c r="Q27" s="992"/>
      <c r="R27" s="992"/>
      <c r="S27" s="993"/>
      <c r="T27" s="1031"/>
      <c r="U27" s="1125"/>
      <c r="V27" s="1126"/>
      <c r="W27" s="1026"/>
      <c r="X27" s="992"/>
      <c r="Y27" s="992"/>
      <c r="Z27" s="992"/>
      <c r="AA27" s="992"/>
      <c r="AB27" s="993"/>
      <c r="AC27" s="1031"/>
      <c r="AD27" s="1125"/>
      <c r="AE27" s="1126"/>
      <c r="AF27" s="1121"/>
      <c r="AG27" s="1122"/>
      <c r="AH27" s="999"/>
      <c r="AI27" s="999"/>
      <c r="AJ27" s="1062"/>
      <c r="AK27" s="1063"/>
      <c r="AL27" s="1001"/>
      <c r="AM27" s="1002"/>
      <c r="AN27" s="1002"/>
      <c r="AO27" s="1034"/>
      <c r="AP27" s="1034"/>
      <c r="AQ27" s="1034"/>
      <c r="AR27" s="1067"/>
      <c r="AS27" s="1068"/>
      <c r="AT27" s="1068"/>
      <c r="AU27" s="1069"/>
      <c r="AV27" s="44"/>
      <c r="AW27" s="44"/>
      <c r="AX27" s="982"/>
      <c r="AY27" s="982"/>
      <c r="AZ27" s="983"/>
      <c r="BA27" s="986"/>
      <c r="BB27" s="986"/>
      <c r="BC27" s="984"/>
      <c r="BD27" s="984"/>
      <c r="BE27" s="985"/>
      <c r="BF27" s="986"/>
      <c r="BG27" s="970"/>
      <c r="BH27" s="1077"/>
      <c r="BI27" s="831"/>
      <c r="BJ27" s="830"/>
      <c r="BK27" s="830"/>
      <c r="BL27" s="987"/>
      <c r="BM27" s="983"/>
      <c r="BN27" s="983"/>
      <c r="BO27" s="831"/>
      <c r="BP27" s="981"/>
    </row>
    <row r="28" spans="1:68" ht="15.95" customHeight="1">
      <c r="B28" s="806">
        <v>6</v>
      </c>
      <c r="C28" s="988"/>
      <c r="D28" s="989"/>
      <c r="E28" s="989"/>
      <c r="F28" s="989"/>
      <c r="G28" s="990"/>
      <c r="H28" s="1015"/>
      <c r="I28" s="1015"/>
      <c r="J28" s="1015"/>
      <c r="K28" s="1015"/>
      <c r="L28" s="1015"/>
      <c r="M28" s="1020"/>
      <c r="N28" s="1025"/>
      <c r="O28" s="989"/>
      <c r="P28" s="989"/>
      <c r="Q28" s="989"/>
      <c r="R28" s="989"/>
      <c r="S28" s="990"/>
      <c r="T28" s="1029"/>
      <c r="U28" s="1123"/>
      <c r="V28" s="1124"/>
      <c r="W28" s="1025"/>
      <c r="X28" s="989"/>
      <c r="Y28" s="989"/>
      <c r="Z28" s="989"/>
      <c r="AA28" s="989"/>
      <c r="AB28" s="990"/>
      <c r="AC28" s="1029"/>
      <c r="AD28" s="1123"/>
      <c r="AE28" s="1124"/>
      <c r="AF28" s="1121" t="str">
        <f>IFERROR(IF($C28="", "", IF(OR($C28 = "Retrofit existing", $C28 = "Replace in-life equip."), "Total", "Incremental")), "")</f>
        <v/>
      </c>
      <c r="AG28" s="1122"/>
      <c r="AH28" s="999"/>
      <c r="AI28" s="999"/>
      <c r="AJ28" s="1062" t="str">
        <f t="shared" ref="AJ28" si="23">IF(AF28="Incremental",0,"")</f>
        <v/>
      </c>
      <c r="AK28" s="1063"/>
      <c r="AL28" s="1057" t="str">
        <f>IF(OR(C28="",H28="",N28="",T28="",W28="",AC28="",AF28="",AH28="",AJ28=""),"",ROUND(AH28+AJ28,2))</f>
        <v/>
      </c>
      <c r="AM28" s="1058"/>
      <c r="AN28" s="1058"/>
      <c r="AO28" s="1033" t="str">
        <f t="shared" ref="AO28" si="24">IF(OR(C28="",H28="",N28="",T28="",W28="",AC28="",AF28="",AH28="",AJ28=""),"",IF(BC28-BD28&lt;=0,0,ROUND(BC28-BD28,4)))</f>
        <v/>
      </c>
      <c r="AP28" s="1033"/>
      <c r="AQ28" s="1033"/>
      <c r="AR28" s="1064" t="str">
        <f>IF(OR(C28="",H28="",N28="",T28="",W28="",AC28="",AF28="",AH28="",AJ28=""),"",
IF(BN28&lt;&gt;"",BN28,IF(BP28&gt;0,BP28,
IF(AF28="Incremental",
IF(ACTIVEBLOCK="Yes",ROUND(MIN(AL28*INCCOSTCAP,AO28*BLOCKBIDRATE),2),
ROUND(MIN(AL28*INCCOSTCAP,BI28),2)),
IF(ACTIVEBLOCK="Yes",ROUND(MIN(AL28*TOTCOSTCAP,AO28*BLOCKBIDRATE),2),
ROUND(MIN(AL28*TOTCOSTCAP,BI28),2))))))</f>
        <v/>
      </c>
      <c r="AS28" s="1065"/>
      <c r="AT28" s="1065"/>
      <c r="AU28" s="1066"/>
      <c r="AV28" s="44"/>
      <c r="AW28" s="44"/>
      <c r="AX28" s="974" t="str">
        <f>IFERROR(IF(OR(C28="",H28="",N28="",T28="",W28="",AC28="",AF28="",AH28="",AJ28=""),"",
ROUND(((1+ELOSS)*((AO28*INDEX(ELECCB[NPV AEC $/kWh],MATCH(BE28,ELECCB[Year Number],1)))+(BG28*INDEX(ELECCB[NPV ACC $/kW],MATCH(BE28,ELECCB[Year Number],1))))/AL28),2)),0)</f>
        <v/>
      </c>
      <c r="AY28" s="974" t="str">
        <f>IFERROR(AL28/M02S04F06/AO28,"")</f>
        <v/>
      </c>
      <c r="AZ28" s="967" t="str">
        <f>IF(OR(C28="",H28=""),"",INDEX(CMECOOK[Unit of Measure],MATCH(H28,CMECOOK[Proj Desc 1],0)))</f>
        <v/>
      </c>
      <c r="BA28" s="980" t="str">
        <f t="shared" ref="BA28" si="25">IF(AO28&lt;&gt;"","Missing!","")</f>
        <v/>
      </c>
      <c r="BB28" s="980" t="str">
        <f t="shared" ref="BB28" si="26">IF(AO28&lt;&gt;"","Missing!","")</f>
        <v/>
      </c>
      <c r="BC28" s="976" t="str">
        <f t="shared" ref="BC28" si="27">IF(OR(C28="",H28="",N28="",T28="",W28="",AC28="",AF28="",AH28="",AJ28=""),"",ROUND(T28,4))</f>
        <v/>
      </c>
      <c r="BD28" s="976" t="str">
        <f t="shared" ref="BD28" si="28">IF(OR(C28="",H28="",N28="",T28="",W28="",AC28="",AF28="",AH28="",AJ28=""),"",ROUND(AC28,4))</f>
        <v/>
      </c>
      <c r="BE28" s="978" t="str">
        <f>IF(OR(C28="",H28=""),"",IF(INDEX(CMECOOK[EUL],MATCH(H28,CMECOOK[Proj Desc 1],0))="","",INDEX(CMECOOK[EUL],MATCH(H28,CMECOOK[Proj Desc 1],0))))</f>
        <v/>
      </c>
      <c r="BF28" s="980" t="str">
        <f>IF(OR(C28="",H28=""),"",IF(INDEX(CMECOOK[End Use Category],MATCH(H28,CMECOOK[Proj Desc 1],0))="","",INDEX(CMECOOK[End Use Category],MATCH(H28,CMECOOK[Proj Desc 1],0))))</f>
        <v/>
      </c>
      <c r="BG28" s="972" t="str">
        <f>IFERROR(IF(OR(C28="",H28="",N28="",T28="",W28="",AC28="",AF28="",AH28="",AJ28=""),"",ROUND(AO28*INDEX(ENDUSEALL[Factor],MATCH(BF28,ENDUSEALL[End Use to Coincident Peak Demand Factors],0)),4)),"")</f>
        <v/>
      </c>
      <c r="BH28" s="1076"/>
      <c r="BI28" s="830" t="str">
        <f>IFERROR(ROUND(AO28*BJ28,2),"")</f>
        <v/>
      </c>
      <c r="BJ28" s="963" t="str">
        <f>_xlfn.LET(_xlpm.ROWS,MATCH(BF28,ENDUSEALL[End Use to Coincident Peak Demand Factors],0),IFERROR(INDEX(IF(AND(ACTIVEBONUS = TRUE,INDEX(ENDUSEALL[Bonus Rate ($/kWh)],_xlpm.ROWS)&lt;&gt;""),ENDUSEALL[Bonus Rate ($/kWh)],ENDUSEALL[Rate ($/kWh)]),_xlpm.ROWS),""))</f>
        <v/>
      </c>
      <c r="BK28" s="963"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965" t="str">
        <f>IF(OR(G28="",J28="",P28="",U28="",X28="",AC28="",AF28="",AH28="",AJ28=""),"",IF(BN28&lt;&gt;"",SPILLOVERNUMBER,INDEX(CMECOOK[Measure Number],MATCH(J28,CMECOOK[Proj Desc 1],0))))</f>
        <v/>
      </c>
      <c r="BM28" s="967"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967" t="str">
        <f ca="1">IFERROR(IF(EXPIRATION&lt;&gt;"",PROJSTATEXP,
IF(BP28&gt;0,"",
IF(BC28-BD28&lt;=0,MEASURESAVE,
IF(OR(M02S04F06="",M02S04F06="Select Rate Code",M02S04F06=0),MEASURERATE,
IF(AND((ISNUMBER(SEARCH("Other",J28))),OR(BE28="",BF28="")),MEASURESUBMIT,
 IF(PAYCUSE&lt;PAYBACKREQ,PROJECTSTATPAYBACK,
IF(CBCUSE&lt;CBREQ,PROJECTSTATCB,""))))))),MEASURESUBMIT)</f>
        <v>Submit for Review</v>
      </c>
      <c r="BO28" s="830" t="str">
        <f>IFERROR(IF(OR(G28="",J28="",P28="",U28="",X28="",AC28="",AF28="",AH28="",AJ28=""),"",
ROUND(((1+ELOSS)*((AO28*INDEX(ELECCB[NPV AEC $/kWh],MATCH(BE28,ELECCB[Year Number],1)))+(BG28*INDEX(ELECCB[NPV ACC $/kW],MATCH(BE28,ELECCB[Year Number],1))))),2)),0)</f>
        <v/>
      </c>
      <c r="BP28" s="969"/>
    </row>
    <row r="29" spans="1:68" ht="15.95" customHeight="1">
      <c r="B29" s="806"/>
      <c r="C29" s="991"/>
      <c r="D29" s="992"/>
      <c r="E29" s="992"/>
      <c r="F29" s="992"/>
      <c r="G29" s="993"/>
      <c r="H29" s="1015"/>
      <c r="I29" s="1015"/>
      <c r="J29" s="1015"/>
      <c r="K29" s="1015"/>
      <c r="L29" s="1015"/>
      <c r="M29" s="1020"/>
      <c r="N29" s="1026"/>
      <c r="O29" s="992"/>
      <c r="P29" s="992"/>
      <c r="Q29" s="992"/>
      <c r="R29" s="992"/>
      <c r="S29" s="993"/>
      <c r="T29" s="1031"/>
      <c r="U29" s="1125"/>
      <c r="V29" s="1126"/>
      <c r="W29" s="1026"/>
      <c r="X29" s="992"/>
      <c r="Y29" s="992"/>
      <c r="Z29" s="992"/>
      <c r="AA29" s="992"/>
      <c r="AB29" s="993"/>
      <c r="AC29" s="1031"/>
      <c r="AD29" s="1125"/>
      <c r="AE29" s="1126"/>
      <c r="AF29" s="1121"/>
      <c r="AG29" s="1122"/>
      <c r="AH29" s="999"/>
      <c r="AI29" s="999"/>
      <c r="AJ29" s="1062"/>
      <c r="AK29" s="1063"/>
      <c r="AL29" s="1001"/>
      <c r="AM29" s="1002"/>
      <c r="AN29" s="1002"/>
      <c r="AO29" s="1034"/>
      <c r="AP29" s="1034"/>
      <c r="AQ29" s="1034"/>
      <c r="AR29" s="1067"/>
      <c r="AS29" s="1068"/>
      <c r="AT29" s="1068"/>
      <c r="AU29" s="1069"/>
      <c r="AV29" s="44"/>
      <c r="AW29" s="44"/>
      <c r="AX29" s="982"/>
      <c r="AY29" s="982"/>
      <c r="AZ29" s="983"/>
      <c r="BA29" s="986"/>
      <c r="BB29" s="986"/>
      <c r="BC29" s="984"/>
      <c r="BD29" s="984"/>
      <c r="BE29" s="985"/>
      <c r="BF29" s="986"/>
      <c r="BG29" s="970"/>
      <c r="BH29" s="1077"/>
      <c r="BI29" s="831"/>
      <c r="BJ29" s="830"/>
      <c r="BK29" s="830"/>
      <c r="BL29" s="987"/>
      <c r="BM29" s="983"/>
      <c r="BN29" s="983"/>
      <c r="BO29" s="831"/>
      <c r="BP29" s="981"/>
    </row>
    <row r="30" spans="1:68" ht="15.95" customHeight="1">
      <c r="B30" s="806">
        <v>7</v>
      </c>
      <c r="C30" s="988"/>
      <c r="D30" s="989"/>
      <c r="E30" s="989"/>
      <c r="F30" s="989"/>
      <c r="G30" s="990"/>
      <c r="H30" s="1015"/>
      <c r="I30" s="1015"/>
      <c r="J30" s="1015"/>
      <c r="K30" s="1015"/>
      <c r="L30" s="1015"/>
      <c r="M30" s="1020"/>
      <c r="N30" s="1025"/>
      <c r="O30" s="989"/>
      <c r="P30" s="989"/>
      <c r="Q30" s="989"/>
      <c r="R30" s="989"/>
      <c r="S30" s="990"/>
      <c r="T30" s="1029"/>
      <c r="U30" s="1123"/>
      <c r="V30" s="1124"/>
      <c r="W30" s="1025"/>
      <c r="X30" s="989"/>
      <c r="Y30" s="989"/>
      <c r="Z30" s="989"/>
      <c r="AA30" s="989"/>
      <c r="AB30" s="990"/>
      <c r="AC30" s="1029"/>
      <c r="AD30" s="1123"/>
      <c r="AE30" s="1124"/>
      <c r="AF30" s="1121" t="str">
        <f>IFERROR(IF($C30="", "", IF(OR($C30 = "Retrofit existing", $C30 = "Replace in-life equip."), "Total", "Incremental")), "")</f>
        <v/>
      </c>
      <c r="AG30" s="1122"/>
      <c r="AH30" s="999"/>
      <c r="AI30" s="999"/>
      <c r="AJ30" s="1062" t="str">
        <f t="shared" ref="AJ30" si="29">IF(AF30="Incremental",0,"")</f>
        <v/>
      </c>
      <c r="AK30" s="1063"/>
      <c r="AL30" s="1057" t="str">
        <f>IF(OR(C30="",H30="",N30="",T30="",W30="",AC30="",AF30="",AH30="",AJ30=""),"",ROUND(AH30+AJ30,2))</f>
        <v/>
      </c>
      <c r="AM30" s="1058"/>
      <c r="AN30" s="1058"/>
      <c r="AO30" s="1033" t="str">
        <f t="shared" ref="AO30" si="30">IF(OR(C30="",H30="",N30="",T30="",W30="",AC30="",AF30="",AH30="",AJ30=""),"",IF(BC30-BD30&lt;=0,0,ROUND(BC30-BD30,4)))</f>
        <v/>
      </c>
      <c r="AP30" s="1033"/>
      <c r="AQ30" s="1033"/>
      <c r="AR30" s="1064" t="str">
        <f>IF(OR(C30="",H30="",N30="",T30="",W30="",AC30="",AF30="",AH30="",AJ30=""),"",
IF(BN30&lt;&gt;"",BN30,IF(BP30&gt;0,BP30,
IF(AF30="Incremental",
IF(ACTIVEBLOCK="Yes",ROUND(MIN(AL30*INCCOSTCAP,AO30*BLOCKBIDRATE),2),
ROUND(MIN(AL30*INCCOSTCAP,BI30),2)),
IF(ACTIVEBLOCK="Yes",ROUND(MIN(AL30*TOTCOSTCAP,AO30*BLOCKBIDRATE),2),
ROUND(MIN(AL30*TOTCOSTCAP,BI30),2))))))</f>
        <v/>
      </c>
      <c r="AS30" s="1065"/>
      <c r="AT30" s="1065"/>
      <c r="AU30" s="1066"/>
      <c r="AV30" s="44"/>
      <c r="AW30" s="44"/>
      <c r="AX30" s="974" t="str">
        <f>IFERROR(IF(OR(C30="",H30="",N30="",T30="",W30="",AC30="",AF30="",AH30="",AJ30=""),"",
ROUND(((1+ELOSS)*((AO30*INDEX(ELECCB[NPV AEC $/kWh],MATCH(BE30,ELECCB[Year Number],1)))+(BG30*INDEX(ELECCB[NPV ACC $/kW],MATCH(BE30,ELECCB[Year Number],1))))/AL30),2)),0)</f>
        <v/>
      </c>
      <c r="AY30" s="974" t="str">
        <f>IFERROR(AL30/M02S04F06/AO30,"")</f>
        <v/>
      </c>
      <c r="AZ30" s="967" t="str">
        <f>IF(OR(C30="",H30=""),"",INDEX(CMECOOK[Unit of Measure],MATCH(H30,CMECOOK[Proj Desc 1],0)))</f>
        <v/>
      </c>
      <c r="BA30" s="980" t="str">
        <f t="shared" ref="BA30" si="31">IF(AO30&lt;&gt;"","Missing!","")</f>
        <v/>
      </c>
      <c r="BB30" s="980" t="str">
        <f t="shared" ref="BB30" si="32">IF(AO30&lt;&gt;"","Missing!","")</f>
        <v/>
      </c>
      <c r="BC30" s="976" t="str">
        <f t="shared" ref="BC30" si="33">IF(OR(C30="",H30="",N30="",T30="",W30="",AC30="",AF30="",AH30="",AJ30=""),"",ROUND(T30,4))</f>
        <v/>
      </c>
      <c r="BD30" s="976" t="str">
        <f t="shared" ref="BD30" si="34">IF(OR(C30="",H30="",N30="",T30="",W30="",AC30="",AF30="",AH30="",AJ30=""),"",ROUND(AC30,4))</f>
        <v/>
      </c>
      <c r="BE30" s="978" t="str">
        <f>IF(OR(C30="",H30=""),"",IF(INDEX(CMECOOK[EUL],MATCH(H30,CMECOOK[Proj Desc 1],0))="","",INDEX(CMECOOK[EUL],MATCH(H30,CMECOOK[Proj Desc 1],0))))</f>
        <v/>
      </c>
      <c r="BF30" s="980" t="str">
        <f>IF(OR(C30="",H30=""),"",IF(INDEX(CMECOOK[End Use Category],MATCH(H30,CMECOOK[Proj Desc 1],0))="","",INDEX(CMECOOK[End Use Category],MATCH(H30,CMECOOK[Proj Desc 1],0))))</f>
        <v/>
      </c>
      <c r="BG30" s="972" t="str">
        <f>IFERROR(IF(OR(C30="",H30="",N30="",T30="",W30="",AC30="",AF30="",AH30="",AJ30=""),"",ROUND(AO30*INDEX(ENDUSEALL[Factor],MATCH(BF30,ENDUSEALL[End Use to Coincident Peak Demand Factors],0)),4)),"")</f>
        <v/>
      </c>
      <c r="BH30" s="1076"/>
      <c r="BI30" s="830" t="str">
        <f>IFERROR(ROUND(AO30*BJ30,2),"")</f>
        <v/>
      </c>
      <c r="BJ30" s="963" t="str">
        <f>_xlfn.LET(_xlpm.ROWS,MATCH(BF30,ENDUSEALL[End Use to Coincident Peak Demand Factors],0),IFERROR(INDEX(IF(AND(ACTIVEBONUS = TRUE,INDEX(ENDUSEALL[Bonus Rate ($/kWh)],_xlpm.ROWS)&lt;&gt;""),ENDUSEALL[Bonus Rate ($/kWh)],ENDUSEALL[Rate ($/kWh)]),_xlpm.ROWS),""))</f>
        <v/>
      </c>
      <c r="BK30" s="963"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965" t="str">
        <f>IF(OR(G30="",J30="",P30="",U30="",X30="",AC30="",AF30="",AH30="",AJ30=""),"",IF(BN30&lt;&gt;"",SPILLOVERNUMBER,INDEX(CMECOOK[Measure Number],MATCH(J30,CMECOOK[Proj Desc 1],0))))</f>
        <v/>
      </c>
      <c r="BM30" s="967"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967" t="str">
        <f ca="1">IFERROR(IF(EXPIRATION&lt;&gt;"",PROJSTATEXP,
IF(BP30&gt;0,"",
IF(BC30-BD30&lt;=0,MEASURESAVE,
IF(OR(M02S04F06="",M02S04F06="Select Rate Code",M02S04F06=0),MEASURERATE,
IF(AND((ISNUMBER(SEARCH("Other",J30))),OR(BE30="",BF30="")),MEASURESUBMIT,
 IF(PAYCUSE&lt;PAYBACKREQ,PROJECTSTATPAYBACK,
IF(CBCUSE&lt;CBREQ,PROJECTSTATCB,""))))))),MEASURESUBMIT)</f>
        <v>Submit for Review</v>
      </c>
      <c r="BO30" s="830" t="str">
        <f>IFERROR(IF(OR(G30="",J30="",P30="",U30="",X30="",AC30="",AF30="",AH30="",AJ30=""),"",
ROUND(((1+ELOSS)*((AO30*INDEX(ELECCB[NPV AEC $/kWh],MATCH(BE30,ELECCB[Year Number],1)))+(BG30*INDEX(ELECCB[NPV ACC $/kW],MATCH(BE30,ELECCB[Year Number],1))))),2)),0)</f>
        <v/>
      </c>
      <c r="BP30" s="969"/>
    </row>
    <row r="31" spans="1:68" ht="15.95" customHeight="1">
      <c r="B31" s="806"/>
      <c r="C31" s="991"/>
      <c r="D31" s="992"/>
      <c r="E31" s="992"/>
      <c r="F31" s="992"/>
      <c r="G31" s="993"/>
      <c r="H31" s="1015"/>
      <c r="I31" s="1015"/>
      <c r="J31" s="1015"/>
      <c r="K31" s="1015"/>
      <c r="L31" s="1015"/>
      <c r="M31" s="1020"/>
      <c r="N31" s="1026"/>
      <c r="O31" s="992"/>
      <c r="P31" s="992"/>
      <c r="Q31" s="992"/>
      <c r="R31" s="992"/>
      <c r="S31" s="993"/>
      <c r="T31" s="1031"/>
      <c r="U31" s="1125"/>
      <c r="V31" s="1126"/>
      <c r="W31" s="1026"/>
      <c r="X31" s="992"/>
      <c r="Y31" s="992"/>
      <c r="Z31" s="992"/>
      <c r="AA31" s="992"/>
      <c r="AB31" s="993"/>
      <c r="AC31" s="1031"/>
      <c r="AD31" s="1125"/>
      <c r="AE31" s="1126"/>
      <c r="AF31" s="1121"/>
      <c r="AG31" s="1122"/>
      <c r="AH31" s="999"/>
      <c r="AI31" s="999"/>
      <c r="AJ31" s="1062"/>
      <c r="AK31" s="1063"/>
      <c r="AL31" s="1001"/>
      <c r="AM31" s="1002"/>
      <c r="AN31" s="1002"/>
      <c r="AO31" s="1034"/>
      <c r="AP31" s="1034"/>
      <c r="AQ31" s="1034"/>
      <c r="AR31" s="1067"/>
      <c r="AS31" s="1068"/>
      <c r="AT31" s="1068"/>
      <c r="AU31" s="1069"/>
      <c r="AV31" s="44"/>
      <c r="AW31" s="44"/>
      <c r="AX31" s="982"/>
      <c r="AY31" s="982"/>
      <c r="AZ31" s="983"/>
      <c r="BA31" s="986"/>
      <c r="BB31" s="986"/>
      <c r="BC31" s="984"/>
      <c r="BD31" s="984"/>
      <c r="BE31" s="985"/>
      <c r="BF31" s="986"/>
      <c r="BG31" s="970"/>
      <c r="BH31" s="1077"/>
      <c r="BI31" s="831"/>
      <c r="BJ31" s="830"/>
      <c r="BK31" s="830"/>
      <c r="BL31" s="987"/>
      <c r="BM31" s="983"/>
      <c r="BN31" s="983"/>
      <c r="BO31" s="831"/>
      <c r="BP31" s="981"/>
    </row>
    <row r="32" spans="1:68" ht="15.95" customHeight="1">
      <c r="B32" s="806">
        <v>8</v>
      </c>
      <c r="C32" s="988"/>
      <c r="D32" s="989"/>
      <c r="E32" s="989"/>
      <c r="F32" s="989"/>
      <c r="G32" s="990"/>
      <c r="H32" s="1015"/>
      <c r="I32" s="1015"/>
      <c r="J32" s="1015"/>
      <c r="K32" s="1015"/>
      <c r="L32" s="1015"/>
      <c r="M32" s="1020"/>
      <c r="N32" s="1025"/>
      <c r="O32" s="989"/>
      <c r="P32" s="989"/>
      <c r="Q32" s="989"/>
      <c r="R32" s="989"/>
      <c r="S32" s="990"/>
      <c r="T32" s="1029"/>
      <c r="U32" s="1123"/>
      <c r="V32" s="1124"/>
      <c r="W32" s="1025"/>
      <c r="X32" s="989"/>
      <c r="Y32" s="989"/>
      <c r="Z32" s="989"/>
      <c r="AA32" s="989"/>
      <c r="AB32" s="990"/>
      <c r="AC32" s="1029"/>
      <c r="AD32" s="1123"/>
      <c r="AE32" s="1124"/>
      <c r="AF32" s="1121" t="str">
        <f>IFERROR(IF($C32="", "", IF(OR($C32 = "Retrofit existing", $C32 = "Replace in-life equip."), "Total", "Incremental")), "")</f>
        <v/>
      </c>
      <c r="AG32" s="1122"/>
      <c r="AH32" s="999"/>
      <c r="AI32" s="999"/>
      <c r="AJ32" s="1062" t="str">
        <f t="shared" ref="AJ32" si="35">IF(AF32="Incremental",0,"")</f>
        <v/>
      </c>
      <c r="AK32" s="1063"/>
      <c r="AL32" s="1057" t="str">
        <f>IF(OR(C32="",H32="",N32="",T32="",W32="",AC32="",AF32="",AH32="",AJ32=""),"",ROUND(AH32+AJ32,2))</f>
        <v/>
      </c>
      <c r="AM32" s="1058"/>
      <c r="AN32" s="1058"/>
      <c r="AO32" s="1033" t="str">
        <f t="shared" ref="AO32" si="36">IF(OR(C32="",H32="",N32="",T32="",W32="",AC32="",AF32="",AH32="",AJ32=""),"",IF(BC32-BD32&lt;=0,0,ROUND(BC32-BD32,4)))</f>
        <v/>
      </c>
      <c r="AP32" s="1033"/>
      <c r="AQ32" s="1033"/>
      <c r="AR32" s="1064" t="str">
        <f>IF(OR(C32="",H32="",N32="",T32="",W32="",AC32="",AF32="",AH32="",AJ32=""),"",
IF(BN32&lt;&gt;"",BN32,IF(BP32&gt;0,BP32,
IF(AF32="Incremental",
IF(ACTIVEBLOCK="Yes",ROUND(MIN(AL32*INCCOSTCAP,AO32*BLOCKBIDRATE),2),
ROUND(MIN(AL32*INCCOSTCAP,BI32),2)),
IF(ACTIVEBLOCK="Yes",ROUND(MIN(AL32*TOTCOSTCAP,AO32*BLOCKBIDRATE),2),
ROUND(MIN(AL32*TOTCOSTCAP,BI32),2))))))</f>
        <v/>
      </c>
      <c r="AS32" s="1065"/>
      <c r="AT32" s="1065"/>
      <c r="AU32" s="1066"/>
      <c r="AV32" s="44"/>
      <c r="AW32" s="44"/>
      <c r="AX32" s="974" t="str">
        <f>IFERROR(IF(OR(C32="",H32="",N32="",T32="",W32="",AC32="",AF32="",AH32="",AJ32=""),"",
ROUND(((1+ELOSS)*((AO32*INDEX(ELECCB[NPV AEC $/kWh],MATCH(BE32,ELECCB[Year Number],1)))+(BG32*INDEX(ELECCB[NPV ACC $/kW],MATCH(BE32,ELECCB[Year Number],1))))/AL32),2)),0)</f>
        <v/>
      </c>
      <c r="AY32" s="974" t="str">
        <f>IFERROR(AL32/M02S04F06/AO32,"")</f>
        <v/>
      </c>
      <c r="AZ32" s="967" t="str">
        <f>IF(OR(C32="",H32=""),"",INDEX(CMECOOK[Unit of Measure],MATCH(H32,CMECOOK[Proj Desc 1],0)))</f>
        <v/>
      </c>
      <c r="BA32" s="980" t="str">
        <f t="shared" ref="BA32" si="37">IF(AO32&lt;&gt;"","Missing!","")</f>
        <v/>
      </c>
      <c r="BB32" s="980" t="str">
        <f t="shared" ref="BB32" si="38">IF(AO32&lt;&gt;"","Missing!","")</f>
        <v/>
      </c>
      <c r="BC32" s="976" t="str">
        <f t="shared" ref="BC32" si="39">IF(OR(C32="",H32="",N32="",T32="",W32="",AC32="",AF32="",AH32="",AJ32=""),"",ROUND(T32,4))</f>
        <v/>
      </c>
      <c r="BD32" s="976" t="str">
        <f t="shared" ref="BD32" si="40">IF(OR(C32="",H32="",N32="",T32="",W32="",AC32="",AF32="",AH32="",AJ32=""),"",ROUND(AC32,4))</f>
        <v/>
      </c>
      <c r="BE32" s="978" t="str">
        <f>IF(OR(C32="",H32=""),"",IF(INDEX(CMECOOK[EUL],MATCH(H32,CMECOOK[Proj Desc 1],0))="","",INDEX(CMECOOK[EUL],MATCH(H32,CMECOOK[Proj Desc 1],0))))</f>
        <v/>
      </c>
      <c r="BF32" s="980" t="str">
        <f>IF(OR(C32="",H32=""),"",IF(INDEX(CMECOOK[End Use Category],MATCH(H32,CMECOOK[Proj Desc 1],0))="","",INDEX(CMECOOK[End Use Category],MATCH(H32,CMECOOK[Proj Desc 1],0))))</f>
        <v/>
      </c>
      <c r="BG32" s="972" t="str">
        <f>IFERROR(IF(OR(C32="",H32="",N32="",T32="",W32="",AC32="",AF32="",AH32="",AJ32=""),"",ROUND(AO32*INDEX(ENDUSEALL[Factor],MATCH(BF32,ENDUSEALL[End Use to Coincident Peak Demand Factors],0)),4)),"")</f>
        <v/>
      </c>
      <c r="BH32" s="1076"/>
      <c r="BI32" s="830" t="str">
        <f>IFERROR(ROUND(AO32*BJ32,2),"")</f>
        <v/>
      </c>
      <c r="BJ32" s="963" t="str">
        <f>_xlfn.LET(_xlpm.ROWS,MATCH(BF32,ENDUSEALL[End Use to Coincident Peak Demand Factors],0),IFERROR(INDEX(IF(AND(ACTIVEBONUS = TRUE,INDEX(ENDUSEALL[Bonus Rate ($/kWh)],_xlpm.ROWS)&lt;&gt;""),ENDUSEALL[Bonus Rate ($/kWh)],ENDUSEALL[Rate ($/kWh)]),_xlpm.ROWS),""))</f>
        <v/>
      </c>
      <c r="BK32" s="963"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965" t="str">
        <f>IF(OR(G32="",J32="",P32="",U32="",X32="",AC32="",AF32="",AH32="",AJ32=""),"",IF(BN32&lt;&gt;"",SPILLOVERNUMBER,INDEX(CMECOOK[Measure Number],MATCH(J32,CMECOOK[Proj Desc 1],0))))</f>
        <v/>
      </c>
      <c r="BM32" s="967"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967" t="str">
        <f ca="1">IFERROR(IF(EXPIRATION&lt;&gt;"",PROJSTATEXP,
IF(BP32&gt;0,"",
IF(BC32-BD32&lt;=0,MEASURESAVE,
IF(OR(M02S04F06="",M02S04F06="Select Rate Code",M02S04F06=0),MEASURERATE,
IF(AND((ISNUMBER(SEARCH("Other",J32))),OR(BE32="",BF32="")),MEASURESUBMIT,
 IF(PAYCUSE&lt;PAYBACKREQ,PROJECTSTATPAYBACK,
IF(CBCUSE&lt;CBREQ,PROJECTSTATCB,""))))))),MEASURESUBMIT)</f>
        <v>Submit for Review</v>
      </c>
      <c r="BO32" s="830" t="str">
        <f>IFERROR(IF(OR(G32="",J32="",P32="",U32="",X32="",AC32="",AF32="",AH32="",AJ32=""),"",
ROUND(((1+ELOSS)*((AO32*INDEX(ELECCB[NPV AEC $/kWh],MATCH(BE32,ELECCB[Year Number],1)))+(BG32*INDEX(ELECCB[NPV ACC $/kW],MATCH(BE32,ELECCB[Year Number],1))))),2)),0)</f>
        <v/>
      </c>
      <c r="BP32" s="969"/>
    </row>
    <row r="33" spans="2:68" ht="15.95" customHeight="1">
      <c r="B33" s="806"/>
      <c r="C33" s="991"/>
      <c r="D33" s="992"/>
      <c r="E33" s="992"/>
      <c r="F33" s="992"/>
      <c r="G33" s="993"/>
      <c r="H33" s="1015"/>
      <c r="I33" s="1015"/>
      <c r="J33" s="1015"/>
      <c r="K33" s="1015"/>
      <c r="L33" s="1015"/>
      <c r="M33" s="1020"/>
      <c r="N33" s="1026"/>
      <c r="O33" s="992"/>
      <c r="P33" s="992"/>
      <c r="Q33" s="992"/>
      <c r="R33" s="992"/>
      <c r="S33" s="993"/>
      <c r="T33" s="1031"/>
      <c r="U33" s="1125"/>
      <c r="V33" s="1126"/>
      <c r="W33" s="1026"/>
      <c r="X33" s="992"/>
      <c r="Y33" s="992"/>
      <c r="Z33" s="992"/>
      <c r="AA33" s="992"/>
      <c r="AB33" s="993"/>
      <c r="AC33" s="1031"/>
      <c r="AD33" s="1125"/>
      <c r="AE33" s="1126"/>
      <c r="AF33" s="1121"/>
      <c r="AG33" s="1122"/>
      <c r="AH33" s="999"/>
      <c r="AI33" s="999"/>
      <c r="AJ33" s="1062"/>
      <c r="AK33" s="1063"/>
      <c r="AL33" s="1001"/>
      <c r="AM33" s="1002"/>
      <c r="AN33" s="1002"/>
      <c r="AO33" s="1034"/>
      <c r="AP33" s="1034"/>
      <c r="AQ33" s="1034"/>
      <c r="AR33" s="1067"/>
      <c r="AS33" s="1068"/>
      <c r="AT33" s="1068"/>
      <c r="AU33" s="1069"/>
      <c r="AV33" s="44"/>
      <c r="AW33" s="44"/>
      <c r="AX33" s="982"/>
      <c r="AY33" s="982"/>
      <c r="AZ33" s="983"/>
      <c r="BA33" s="986"/>
      <c r="BB33" s="986"/>
      <c r="BC33" s="984"/>
      <c r="BD33" s="984"/>
      <c r="BE33" s="985"/>
      <c r="BF33" s="986"/>
      <c r="BG33" s="970"/>
      <c r="BH33" s="1077"/>
      <c r="BI33" s="831"/>
      <c r="BJ33" s="830"/>
      <c r="BK33" s="830"/>
      <c r="BL33" s="987"/>
      <c r="BM33" s="983"/>
      <c r="BN33" s="983"/>
      <c r="BO33" s="831"/>
      <c r="BP33" s="981"/>
    </row>
    <row r="34" spans="2:68" ht="15.95" customHeight="1">
      <c r="B34" s="806">
        <v>9</v>
      </c>
      <c r="C34" s="988"/>
      <c r="D34" s="989"/>
      <c r="E34" s="989"/>
      <c r="F34" s="989"/>
      <c r="G34" s="990"/>
      <c r="H34" s="1015"/>
      <c r="I34" s="1015"/>
      <c r="J34" s="1015"/>
      <c r="K34" s="1015"/>
      <c r="L34" s="1015"/>
      <c r="M34" s="1020"/>
      <c r="N34" s="1025"/>
      <c r="O34" s="989"/>
      <c r="P34" s="989"/>
      <c r="Q34" s="989"/>
      <c r="R34" s="989"/>
      <c r="S34" s="990"/>
      <c r="T34" s="1029"/>
      <c r="U34" s="1123"/>
      <c r="V34" s="1124"/>
      <c r="W34" s="1025"/>
      <c r="X34" s="989"/>
      <c r="Y34" s="989"/>
      <c r="Z34" s="989"/>
      <c r="AA34" s="989"/>
      <c r="AB34" s="990"/>
      <c r="AC34" s="1029"/>
      <c r="AD34" s="1123"/>
      <c r="AE34" s="1124"/>
      <c r="AF34" s="1121" t="str">
        <f>IFERROR(IF($C34="", "", IF(OR($C34 = "Retrofit existing", $C34 = "Replace in-life equip."), "Total", "Incremental")), "")</f>
        <v/>
      </c>
      <c r="AG34" s="1122"/>
      <c r="AH34" s="999"/>
      <c r="AI34" s="999"/>
      <c r="AJ34" s="1062" t="str">
        <f t="shared" ref="AJ34" si="41">IF(AF34="Incremental",0,"")</f>
        <v/>
      </c>
      <c r="AK34" s="1063"/>
      <c r="AL34" s="1057" t="str">
        <f>IF(OR(C34="",H34="",N34="",T34="",W34="",AC34="",AF34="",AH34="",AJ34=""),"",ROUND(AH34+AJ34,2))</f>
        <v/>
      </c>
      <c r="AM34" s="1058"/>
      <c r="AN34" s="1058"/>
      <c r="AO34" s="1033" t="str">
        <f t="shared" ref="AO34" si="42">IF(OR(C34="",H34="",N34="",T34="",W34="",AC34="",AF34="",AH34="",AJ34=""),"",IF(BC34-BD34&lt;=0,0,ROUND(BC34-BD34,4)))</f>
        <v/>
      </c>
      <c r="AP34" s="1033"/>
      <c r="AQ34" s="1033"/>
      <c r="AR34" s="1064" t="str">
        <f>IF(OR(C34="",H34="",N34="",T34="",W34="",AC34="",AF34="",AH34="",AJ34=""),"",
IF(BN34&lt;&gt;"",BN34,IF(BP34&gt;0,BP34,
IF(AF34="Incremental",
IF(ACTIVEBLOCK="Yes",ROUND(MIN(AL34*INCCOSTCAP,AO34*BLOCKBIDRATE),2),
ROUND(MIN(AL34*INCCOSTCAP,BI34),2)),
IF(ACTIVEBLOCK="Yes",ROUND(MIN(AL34*TOTCOSTCAP,AO34*BLOCKBIDRATE),2),
ROUND(MIN(AL34*TOTCOSTCAP,BI34),2))))))</f>
        <v/>
      </c>
      <c r="AS34" s="1065"/>
      <c r="AT34" s="1065"/>
      <c r="AU34" s="1066"/>
      <c r="AV34" s="44"/>
      <c r="AW34" s="44"/>
      <c r="AX34" s="974" t="str">
        <f>IFERROR(IF(OR(C34="",H34="",N34="",T34="",W34="",AC34="",AF34="",AH34="",AJ34=""),"",
ROUND(((1+ELOSS)*((AO34*INDEX(ELECCB[NPV AEC $/kWh],MATCH(BE34,ELECCB[Year Number],1)))+(BG34*INDEX(ELECCB[NPV ACC $/kW],MATCH(BE34,ELECCB[Year Number],1))))/AL34),2)),0)</f>
        <v/>
      </c>
      <c r="AY34" s="974" t="str">
        <f>IFERROR(AL34/M02S04F06/AO34,"")</f>
        <v/>
      </c>
      <c r="AZ34" s="967" t="str">
        <f>IF(OR(C34="",H34=""),"",INDEX(CMECOOK[Unit of Measure],MATCH(H34,CMECOOK[Proj Desc 1],0)))</f>
        <v/>
      </c>
      <c r="BA34" s="980" t="str">
        <f t="shared" ref="BA34" si="43">IF(AO34&lt;&gt;"","Missing!","")</f>
        <v/>
      </c>
      <c r="BB34" s="980" t="str">
        <f t="shared" ref="BB34" si="44">IF(AO34&lt;&gt;"","Missing!","")</f>
        <v/>
      </c>
      <c r="BC34" s="976" t="str">
        <f t="shared" ref="BC34" si="45">IF(OR(C34="",H34="",N34="",T34="",W34="",AC34="",AF34="",AH34="",AJ34=""),"",ROUND(T34,4))</f>
        <v/>
      </c>
      <c r="BD34" s="976" t="str">
        <f t="shared" ref="BD34" si="46">IF(OR(C34="",H34="",N34="",T34="",W34="",AC34="",AF34="",AH34="",AJ34=""),"",ROUND(AC34,4))</f>
        <v/>
      </c>
      <c r="BE34" s="978" t="str">
        <f>IF(OR(C34="",H34=""),"",IF(INDEX(CMECOOK[EUL],MATCH(H34,CMECOOK[Proj Desc 1],0))="","",INDEX(CMECOOK[EUL],MATCH(H34,CMECOOK[Proj Desc 1],0))))</f>
        <v/>
      </c>
      <c r="BF34" s="980" t="str">
        <f>IF(OR(C34="",H34=""),"",IF(INDEX(CMECOOK[End Use Category],MATCH(H34,CMECOOK[Proj Desc 1],0))="","",INDEX(CMECOOK[End Use Category],MATCH(H34,CMECOOK[Proj Desc 1],0))))</f>
        <v/>
      </c>
      <c r="BG34" s="972" t="str">
        <f>IFERROR(IF(OR(C34="",H34="",N34="",T34="",W34="",AC34="",AF34="",AH34="",AJ34=""),"",ROUND(AO34*INDEX(ENDUSEALL[Factor],MATCH(BF34,ENDUSEALL[End Use to Coincident Peak Demand Factors],0)),4)),"")</f>
        <v/>
      </c>
      <c r="BH34" s="1076"/>
      <c r="BI34" s="830" t="str">
        <f>IFERROR(ROUND(AO34*BJ34,2),"")</f>
        <v/>
      </c>
      <c r="BJ34" s="963" t="str">
        <f>_xlfn.LET(_xlpm.ROWS,MATCH(BF34,ENDUSEALL[End Use to Coincident Peak Demand Factors],0),IFERROR(INDEX(IF(AND(ACTIVEBONUS = TRUE,INDEX(ENDUSEALL[Bonus Rate ($/kWh)],_xlpm.ROWS)&lt;&gt;""),ENDUSEALL[Bonus Rate ($/kWh)],ENDUSEALL[Rate ($/kWh)]),_xlpm.ROWS),""))</f>
        <v/>
      </c>
      <c r="BK34" s="963"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965" t="str">
        <f>IF(OR(G34="",J34="",P34="",U34="",X34="",AC34="",AF34="",AH34="",AJ34=""),"",IF(BN34&lt;&gt;"",SPILLOVERNUMBER,INDEX(CMECOOK[Measure Number],MATCH(J34,CMECOOK[Proj Desc 1],0))))</f>
        <v/>
      </c>
      <c r="BM34" s="967"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967" t="str">
        <f ca="1">IFERROR(IF(EXPIRATION&lt;&gt;"",PROJSTATEXP,
IF(BP34&gt;0,"",
IF(BC34-BD34&lt;=0,MEASURESAVE,
IF(OR(M02S04F06="",M02S04F06="Select Rate Code",M02S04F06=0),MEASURERATE,
IF(AND((ISNUMBER(SEARCH("Other",J34))),OR(BE34="",BF34="")),MEASURESUBMIT,
 IF(PAYCUSE&lt;PAYBACKREQ,PROJECTSTATPAYBACK,
IF(CBCUSE&lt;CBREQ,PROJECTSTATCB,""))))))),MEASURESUBMIT)</f>
        <v>Submit for Review</v>
      </c>
      <c r="BO34" s="830" t="str">
        <f>IFERROR(IF(OR(G34="",J34="",P34="",U34="",X34="",AC34="",AF34="",AH34="",AJ34=""),"",
ROUND(((1+ELOSS)*((AO34*INDEX(ELECCB[NPV AEC $/kWh],MATCH(BE34,ELECCB[Year Number],1)))+(BG34*INDEX(ELECCB[NPV ACC $/kW],MATCH(BE34,ELECCB[Year Number],1))))),2)),0)</f>
        <v/>
      </c>
      <c r="BP34" s="969"/>
    </row>
    <row r="35" spans="2:68" ht="15.95" customHeight="1">
      <c r="B35" s="806"/>
      <c r="C35" s="991"/>
      <c r="D35" s="992"/>
      <c r="E35" s="992"/>
      <c r="F35" s="992"/>
      <c r="G35" s="993"/>
      <c r="H35" s="1015"/>
      <c r="I35" s="1015"/>
      <c r="J35" s="1015"/>
      <c r="K35" s="1015"/>
      <c r="L35" s="1015"/>
      <c r="M35" s="1020"/>
      <c r="N35" s="1026"/>
      <c r="O35" s="992"/>
      <c r="P35" s="992"/>
      <c r="Q35" s="992"/>
      <c r="R35" s="992"/>
      <c r="S35" s="993"/>
      <c r="T35" s="1031"/>
      <c r="U35" s="1125"/>
      <c r="V35" s="1126"/>
      <c r="W35" s="1026"/>
      <c r="X35" s="992"/>
      <c r="Y35" s="992"/>
      <c r="Z35" s="992"/>
      <c r="AA35" s="992"/>
      <c r="AB35" s="993"/>
      <c r="AC35" s="1031"/>
      <c r="AD35" s="1125"/>
      <c r="AE35" s="1126"/>
      <c r="AF35" s="1121"/>
      <c r="AG35" s="1122"/>
      <c r="AH35" s="999"/>
      <c r="AI35" s="999"/>
      <c r="AJ35" s="1062"/>
      <c r="AK35" s="1063"/>
      <c r="AL35" s="1001"/>
      <c r="AM35" s="1002"/>
      <c r="AN35" s="1002"/>
      <c r="AO35" s="1034"/>
      <c r="AP35" s="1034"/>
      <c r="AQ35" s="1034"/>
      <c r="AR35" s="1067"/>
      <c r="AS35" s="1068"/>
      <c r="AT35" s="1068"/>
      <c r="AU35" s="1069"/>
      <c r="AV35" s="44"/>
      <c r="AW35" s="44"/>
      <c r="AX35" s="982"/>
      <c r="AY35" s="982"/>
      <c r="AZ35" s="983"/>
      <c r="BA35" s="986"/>
      <c r="BB35" s="986"/>
      <c r="BC35" s="984"/>
      <c r="BD35" s="984"/>
      <c r="BE35" s="985"/>
      <c r="BF35" s="986"/>
      <c r="BG35" s="970"/>
      <c r="BH35" s="1077"/>
      <c r="BI35" s="831"/>
      <c r="BJ35" s="830"/>
      <c r="BK35" s="830"/>
      <c r="BL35" s="987"/>
      <c r="BM35" s="983"/>
      <c r="BN35" s="983"/>
      <c r="BO35" s="831"/>
      <c r="BP35" s="981"/>
    </row>
    <row r="36" spans="2:68" ht="15.95" customHeight="1">
      <c r="B36" s="806">
        <v>10</v>
      </c>
      <c r="C36" s="988"/>
      <c r="D36" s="989"/>
      <c r="E36" s="989"/>
      <c r="F36" s="989"/>
      <c r="G36" s="990"/>
      <c r="H36" s="1015"/>
      <c r="I36" s="1015"/>
      <c r="J36" s="1015"/>
      <c r="K36" s="1015"/>
      <c r="L36" s="1015"/>
      <c r="M36" s="1020"/>
      <c r="N36" s="1025"/>
      <c r="O36" s="989"/>
      <c r="P36" s="989"/>
      <c r="Q36" s="989"/>
      <c r="R36" s="989"/>
      <c r="S36" s="990"/>
      <c r="T36" s="1029"/>
      <c r="U36" s="1123"/>
      <c r="V36" s="1124"/>
      <c r="W36" s="1025"/>
      <c r="X36" s="989"/>
      <c r="Y36" s="989"/>
      <c r="Z36" s="989"/>
      <c r="AA36" s="989"/>
      <c r="AB36" s="990"/>
      <c r="AC36" s="1029"/>
      <c r="AD36" s="1123"/>
      <c r="AE36" s="1124"/>
      <c r="AF36" s="1121" t="str">
        <f>IFERROR(IF($C36="", "", IF(OR($C36 = "Retrofit existing", $C36 = "Replace in-life equip."), "Total", "Incremental")), "")</f>
        <v/>
      </c>
      <c r="AG36" s="1122"/>
      <c r="AH36" s="999"/>
      <c r="AI36" s="999"/>
      <c r="AJ36" s="1062" t="str">
        <f t="shared" ref="AJ36" si="47">IF(AF36="Incremental",0,"")</f>
        <v/>
      </c>
      <c r="AK36" s="1063"/>
      <c r="AL36" s="1057" t="str">
        <f>IF(OR(C36="",H36="",N36="",T36="",W36="",AC36="",AF36="",AH36="",AJ36=""),"",ROUND(AH36+AJ36,2))</f>
        <v/>
      </c>
      <c r="AM36" s="1058"/>
      <c r="AN36" s="1058"/>
      <c r="AO36" s="1033" t="str">
        <f t="shared" ref="AO36" si="48">IF(OR(C36="",H36="",N36="",T36="",W36="",AC36="",AF36="",AH36="",AJ36=""),"",IF(BC36-BD36&lt;=0,0,ROUND(BC36-BD36,4)))</f>
        <v/>
      </c>
      <c r="AP36" s="1033"/>
      <c r="AQ36" s="1033"/>
      <c r="AR36" s="1064" t="str">
        <f>IF(OR(C36="",H36="",N36="",T36="",W36="",AC36="",AF36="",AH36="",AJ36=""),"",
IF(BN36&lt;&gt;"",BN36,IF(BP36&gt;0,BP36,
IF(AF36="Incremental",
IF(ACTIVEBLOCK="Yes",ROUND(MIN(AL36*INCCOSTCAP,AO36*BLOCKBIDRATE),2),
ROUND(MIN(AL36*INCCOSTCAP,BI36),2)),
IF(ACTIVEBLOCK="Yes",ROUND(MIN(AL36*TOTCOSTCAP,AO36*BLOCKBIDRATE),2),
ROUND(MIN(AL36*TOTCOSTCAP,BI36),2))))))</f>
        <v/>
      </c>
      <c r="AS36" s="1065"/>
      <c r="AT36" s="1065"/>
      <c r="AU36" s="1066"/>
      <c r="AV36" s="44"/>
      <c r="AW36" s="44"/>
      <c r="AX36" s="974" t="str">
        <f>IFERROR(IF(OR(C36="",H36="",N36="",T36="",W36="",AC36="",AF36="",AH36="",AJ36=""),"",
ROUND(((1+ELOSS)*((AO36*INDEX(ELECCB[NPV AEC $/kWh],MATCH(BE36,ELECCB[Year Number],1)))+(BG36*INDEX(ELECCB[NPV ACC $/kW],MATCH(BE36,ELECCB[Year Number],1))))/AL36),2)),0)</f>
        <v/>
      </c>
      <c r="AY36" s="974" t="str">
        <f>IFERROR(AL36/M02S04F06/AO36,"")</f>
        <v/>
      </c>
      <c r="AZ36" s="967" t="str">
        <f>IF(OR(C36="",H36=""),"",INDEX(CMECOOK[Unit of Measure],MATCH(H36,CMECOOK[Proj Desc 1],0)))</f>
        <v/>
      </c>
      <c r="BA36" s="980" t="str">
        <f t="shared" ref="BA36" si="49">IF(AO36&lt;&gt;"","Missing!","")</f>
        <v/>
      </c>
      <c r="BB36" s="980" t="str">
        <f t="shared" ref="BB36" si="50">IF(AO36&lt;&gt;"","Missing!","")</f>
        <v/>
      </c>
      <c r="BC36" s="976" t="str">
        <f t="shared" ref="BC36" si="51">IF(OR(C36="",H36="",N36="",T36="",W36="",AC36="",AF36="",AH36="",AJ36=""),"",ROUND(T36,4))</f>
        <v/>
      </c>
      <c r="BD36" s="976" t="str">
        <f t="shared" ref="BD36" si="52">IF(OR(C36="",H36="",N36="",T36="",W36="",AC36="",AF36="",AH36="",AJ36=""),"",ROUND(AC36,4))</f>
        <v/>
      </c>
      <c r="BE36" s="978" t="str">
        <f>IF(OR(C36="",H36=""),"",IF(INDEX(CMECOOK[EUL],MATCH(H36,CMECOOK[Proj Desc 1],0))="","",INDEX(CMECOOK[EUL],MATCH(H36,CMECOOK[Proj Desc 1],0))))</f>
        <v/>
      </c>
      <c r="BF36" s="980" t="str">
        <f>IF(OR(C36="",H36=""),"",IF(INDEX(CMECOOK[End Use Category],MATCH(H36,CMECOOK[Proj Desc 1],0))="","",INDEX(CMECOOK[End Use Category],MATCH(H36,CMECOOK[Proj Desc 1],0))))</f>
        <v/>
      </c>
      <c r="BG36" s="972" t="str">
        <f>IFERROR(IF(OR(C36="",H36="",N36="",T36="",W36="",AC36="",AF36="",AH36="",AJ36=""),"",ROUND(AO36*INDEX(ENDUSEALL[Factor],MATCH(BF36,ENDUSEALL[End Use to Coincident Peak Demand Factors],0)),4)),"")</f>
        <v/>
      </c>
      <c r="BH36" s="1076"/>
      <c r="BI36" s="830" t="str">
        <f>IFERROR(ROUND(AO36*BJ36,2),"")</f>
        <v/>
      </c>
      <c r="BJ36" s="963" t="str">
        <f>_xlfn.LET(_xlpm.ROWS,MATCH(BF36,ENDUSEALL[End Use to Coincident Peak Demand Factors],0),IFERROR(INDEX(IF(AND(ACTIVEBONUS = TRUE,INDEX(ENDUSEALL[Bonus Rate ($/kWh)],_xlpm.ROWS)&lt;&gt;""),ENDUSEALL[Bonus Rate ($/kWh)],ENDUSEALL[Rate ($/kWh)]),_xlpm.ROWS),""))</f>
        <v/>
      </c>
      <c r="BK36" s="963"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965" t="str">
        <f>IF(OR(G36="",J36="",P36="",U36="",X36="",AC36="",AF36="",AH36="",AJ36=""),"",IF(BN36&lt;&gt;"",SPILLOVERNUMBER,INDEX(CMECOOK[Measure Number],MATCH(J36,CMECOOK[Proj Desc 1],0))))</f>
        <v/>
      </c>
      <c r="BM36" s="967"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967" t="str">
        <f ca="1">IFERROR(IF(EXPIRATION&lt;&gt;"",PROJSTATEXP,
IF(BP36&gt;0,"",
IF(BC36-BD36&lt;=0,MEASURESAVE,
IF(OR(M02S04F06="",M02S04F06="Select Rate Code",M02S04F06=0),MEASURERATE,
IF(AND((ISNUMBER(SEARCH("Other",J36))),OR(BE36="",BF36="")),MEASURESUBMIT,
 IF(PAYCUSE&lt;PAYBACKREQ,PROJECTSTATPAYBACK,
IF(CBCUSE&lt;CBREQ,PROJECTSTATCB,""))))))),MEASURESUBMIT)</f>
        <v>Submit for Review</v>
      </c>
      <c r="BO36" s="830" t="str">
        <f>IFERROR(IF(OR(G36="",J36="",P36="",U36="",X36="",AC36="",AF36="",AH36="",AJ36=""),"",
ROUND(((1+ELOSS)*((AO36*INDEX(ELECCB[NPV AEC $/kWh],MATCH(BE36,ELECCB[Year Number],1)))+(BG36*INDEX(ELECCB[NPV ACC $/kW],MATCH(BE36,ELECCB[Year Number],1))))),2)),0)</f>
        <v/>
      </c>
      <c r="BP36" s="969"/>
    </row>
    <row r="37" spans="2:68" ht="15.95" customHeight="1">
      <c r="B37" s="806"/>
      <c r="C37" s="991"/>
      <c r="D37" s="992"/>
      <c r="E37" s="992"/>
      <c r="F37" s="992"/>
      <c r="G37" s="993"/>
      <c r="H37" s="1015"/>
      <c r="I37" s="1015"/>
      <c r="J37" s="1015"/>
      <c r="K37" s="1015"/>
      <c r="L37" s="1015"/>
      <c r="M37" s="1020"/>
      <c r="N37" s="1026"/>
      <c r="O37" s="992"/>
      <c r="P37" s="992"/>
      <c r="Q37" s="992"/>
      <c r="R37" s="992"/>
      <c r="S37" s="993"/>
      <c r="T37" s="1031"/>
      <c r="U37" s="1125"/>
      <c r="V37" s="1126"/>
      <c r="W37" s="1026"/>
      <c r="X37" s="992"/>
      <c r="Y37" s="992"/>
      <c r="Z37" s="992"/>
      <c r="AA37" s="992"/>
      <c r="AB37" s="993"/>
      <c r="AC37" s="1031"/>
      <c r="AD37" s="1125"/>
      <c r="AE37" s="1126"/>
      <c r="AF37" s="1121"/>
      <c r="AG37" s="1122"/>
      <c r="AH37" s="999"/>
      <c r="AI37" s="999"/>
      <c r="AJ37" s="1062"/>
      <c r="AK37" s="1063"/>
      <c r="AL37" s="1001"/>
      <c r="AM37" s="1002"/>
      <c r="AN37" s="1002"/>
      <c r="AO37" s="1034"/>
      <c r="AP37" s="1034"/>
      <c r="AQ37" s="1034"/>
      <c r="AR37" s="1067"/>
      <c r="AS37" s="1068"/>
      <c r="AT37" s="1068"/>
      <c r="AU37" s="1069"/>
      <c r="AV37" s="44"/>
      <c r="AW37" s="44"/>
      <c r="AX37" s="982"/>
      <c r="AY37" s="982"/>
      <c r="AZ37" s="983"/>
      <c r="BA37" s="986"/>
      <c r="BB37" s="986"/>
      <c r="BC37" s="984"/>
      <c r="BD37" s="984"/>
      <c r="BE37" s="985"/>
      <c r="BF37" s="986"/>
      <c r="BG37" s="970"/>
      <c r="BH37" s="1077"/>
      <c r="BI37" s="831"/>
      <c r="BJ37" s="830"/>
      <c r="BK37" s="830"/>
      <c r="BL37" s="987"/>
      <c r="BM37" s="983"/>
      <c r="BN37" s="983"/>
      <c r="BO37" s="831"/>
      <c r="BP37" s="981"/>
    </row>
    <row r="38" spans="2:68" ht="15.95" customHeight="1">
      <c r="B38" s="806"/>
      <c r="C38" s="322"/>
      <c r="D38" s="322"/>
      <c r="E38" s="322"/>
      <c r="F38" s="322"/>
    </row>
    <row r="39" spans="2:68" ht="15.95" hidden="1" customHeight="1">
      <c r="B39" s="806"/>
      <c r="C39" s="322"/>
      <c r="D39" s="322"/>
      <c r="E39" s="322"/>
      <c r="F39" s="322"/>
    </row>
    <row r="40" spans="2:68" ht="15.95" hidden="1" customHeight="1">
      <c r="B40" s="806"/>
      <c r="C40" s="322"/>
      <c r="D40" s="322"/>
      <c r="E40" s="322"/>
      <c r="F40" s="322"/>
    </row>
    <row r="41" spans="2:68" ht="15.95" hidden="1" customHeight="1">
      <c r="B41" s="806"/>
      <c r="C41" s="322"/>
      <c r="D41" s="322"/>
      <c r="E41" s="322"/>
      <c r="F41" s="322"/>
    </row>
    <row r="42" spans="2:68" ht="15.95" hidden="1" customHeight="1">
      <c r="B42" s="806"/>
      <c r="C42" s="322"/>
      <c r="D42" s="322"/>
      <c r="E42" s="322"/>
      <c r="F42" s="322"/>
    </row>
    <row r="43" spans="2:68" ht="15.95" hidden="1" customHeight="1">
      <c r="B43" s="806"/>
      <c r="C43" s="322"/>
      <c r="D43" s="322"/>
      <c r="E43" s="322"/>
      <c r="F43" s="322"/>
    </row>
    <row r="44" spans="2:68" ht="15.95" hidden="1" customHeight="1">
      <c r="B44" s="806"/>
      <c r="C44" s="322"/>
      <c r="D44" s="322"/>
      <c r="E44" s="322"/>
      <c r="F44" s="322"/>
    </row>
    <row r="45" spans="2:68" ht="15.95" hidden="1" customHeight="1">
      <c r="B45" s="806"/>
      <c r="C45" s="322"/>
      <c r="D45" s="322"/>
      <c r="E45" s="322"/>
      <c r="F45" s="322"/>
    </row>
    <row r="46" spans="2:68" ht="15.95" hidden="1" customHeight="1">
      <c r="B46" s="806"/>
      <c r="C46" s="322"/>
      <c r="D46" s="322"/>
      <c r="E46" s="322"/>
      <c r="F46" s="322"/>
    </row>
    <row r="47" spans="2:68" ht="15.95" hidden="1" customHeight="1">
      <c r="B47" s="806"/>
      <c r="C47" s="322"/>
      <c r="D47" s="322"/>
      <c r="E47" s="322"/>
      <c r="F47" s="322"/>
    </row>
    <row r="48" spans="2:68" ht="15.95" hidden="1" customHeight="1">
      <c r="AY48" s="31"/>
      <c r="AZ48" s="37"/>
      <c r="BC48" s="37"/>
      <c r="BD48" s="37"/>
    </row>
    <row r="49" spans="51:56" ht="15.95" hidden="1" customHeight="1">
      <c r="AY49" s="31"/>
      <c r="AZ49" s="37"/>
      <c r="BC49" s="37"/>
      <c r="BD49" s="37"/>
    </row>
    <row r="50" spans="51:56" ht="15.95" hidden="1" customHeight="1">
      <c r="AY50" s="31"/>
      <c r="AZ50" s="37"/>
      <c r="BC50" s="37"/>
      <c r="BD50" s="37"/>
    </row>
    <row r="51" spans="51:56" ht="15.95" hidden="1" customHeight="1">
      <c r="AY51" s="31"/>
      <c r="AZ51" s="37"/>
      <c r="BC51" s="37"/>
      <c r="BD51" s="37"/>
    </row>
    <row r="52" spans="51:56" ht="15.95" hidden="1" customHeight="1">
      <c r="AY52" s="31"/>
      <c r="AZ52" s="37"/>
      <c r="BC52" s="37"/>
      <c r="BD52" s="37"/>
    </row>
    <row r="53" spans="51:56" ht="15.95" hidden="1" customHeight="1">
      <c r="AY53" s="31"/>
      <c r="AZ53" s="37"/>
      <c r="BC53" s="37"/>
      <c r="BD53" s="37"/>
    </row>
    <row r="54" spans="51:56" ht="15.95" hidden="1" customHeight="1">
      <c r="AY54" s="31"/>
      <c r="AZ54" s="37"/>
      <c r="BC54" s="37"/>
      <c r="BD54" s="37"/>
    </row>
    <row r="55" spans="51:56" ht="15.95" hidden="1" customHeight="1">
      <c r="AY55" s="31"/>
      <c r="AZ55" s="37"/>
      <c r="BC55" s="37"/>
      <c r="BD55" s="37"/>
    </row>
    <row r="56" spans="51:56" ht="15.95" hidden="1" customHeight="1">
      <c r="AY56" s="31"/>
      <c r="AZ56" s="37"/>
      <c r="BC56" s="37"/>
      <c r="BD56" s="37"/>
    </row>
    <row r="57" spans="51:56" ht="15.95" hidden="1" customHeight="1">
      <c r="AY57" s="31"/>
      <c r="AZ57" s="37"/>
      <c r="BC57" s="37"/>
      <c r="BD57" s="37"/>
    </row>
    <row r="58" spans="51:56" ht="15.95" hidden="1" customHeight="1">
      <c r="AY58" s="31"/>
      <c r="AZ58" s="37"/>
      <c r="BC58" s="37"/>
      <c r="BD58" s="37"/>
    </row>
    <row r="59" spans="51:56" ht="15.95" hidden="1" customHeight="1">
      <c r="AY59" s="31"/>
      <c r="AZ59" s="37"/>
      <c r="BC59" s="37"/>
      <c r="BD59" s="37"/>
    </row>
    <row r="60" spans="51:56" ht="15.95" hidden="1" customHeight="1">
      <c r="AY60" s="31"/>
      <c r="AZ60" s="37"/>
      <c r="BC60" s="37"/>
      <c r="BD60" s="37"/>
    </row>
    <row r="61" spans="51:56" ht="15.95" hidden="1" customHeight="1">
      <c r="AY61" s="31"/>
      <c r="AZ61" s="37"/>
      <c r="BC61" s="37"/>
      <c r="BD61" s="37"/>
    </row>
    <row r="62" spans="51:56" ht="15.95" hidden="1" customHeight="1">
      <c r="AY62" s="31"/>
      <c r="AZ62" s="37"/>
      <c r="BC62" s="37"/>
      <c r="BD62" s="37"/>
    </row>
    <row r="63" spans="51:56" ht="15.95" hidden="1" customHeight="1">
      <c r="AY63" s="31"/>
      <c r="AZ63" s="37"/>
      <c r="BC63" s="37"/>
      <c r="BD63" s="37"/>
    </row>
    <row r="64" spans="51:56" ht="15.95" hidden="1" customHeight="1">
      <c r="AY64" s="31"/>
      <c r="AZ64" s="37"/>
      <c r="BC64" s="37"/>
      <c r="BD64" s="37"/>
    </row>
    <row r="65" spans="51:56" ht="15.95" hidden="1" customHeight="1">
      <c r="AY65" s="31"/>
      <c r="AZ65" s="37"/>
      <c r="BC65" s="37"/>
      <c r="BD65" s="37"/>
    </row>
    <row r="66" spans="51:56" ht="15.95" hidden="1" customHeight="1">
      <c r="AY66" s="31"/>
      <c r="AZ66" s="37"/>
      <c r="BC66" s="37"/>
      <c r="BD66" s="37"/>
    </row>
    <row r="67" spans="51:56" ht="15.95" hidden="1" customHeight="1">
      <c r="AY67" s="31"/>
      <c r="AZ67" s="37"/>
      <c r="BC67" s="37"/>
      <c r="BD67" s="37"/>
    </row>
    <row r="68" spans="51:56" ht="15.95" hidden="1" customHeight="1">
      <c r="AY68" s="31"/>
      <c r="AZ68" s="37"/>
      <c r="BC68" s="37"/>
      <c r="BD68" s="37"/>
    </row>
    <row r="69" spans="51:56" ht="15.95" hidden="1" customHeight="1">
      <c r="AY69" s="31"/>
      <c r="AZ69" s="37"/>
      <c r="BC69" s="37"/>
      <c r="BD69" s="37"/>
    </row>
    <row r="70" spans="51:56" ht="15.95" hidden="1" customHeight="1">
      <c r="AY70" s="31"/>
      <c r="AZ70" s="37"/>
      <c r="BC70" s="37"/>
      <c r="BD70" s="37"/>
    </row>
    <row r="71" spans="51:56" ht="15.95" hidden="1" customHeight="1">
      <c r="AY71" s="31"/>
      <c r="AZ71" s="37"/>
      <c r="BC71" s="37"/>
      <c r="BD71" s="37"/>
    </row>
    <row r="72" spans="51:56" ht="15.95" hidden="1" customHeight="1">
      <c r="AY72" s="31"/>
      <c r="AZ72" s="37"/>
      <c r="BC72" s="37"/>
      <c r="BD72" s="37"/>
    </row>
    <row r="73" spans="51:56" ht="15.95" hidden="1" customHeight="1">
      <c r="AY73" s="31"/>
      <c r="AZ73" s="37"/>
      <c r="BC73" s="37"/>
      <c r="BD73" s="37"/>
    </row>
    <row r="74" spans="51:56" ht="15.95" hidden="1" customHeight="1">
      <c r="AY74" s="31"/>
      <c r="AZ74" s="37"/>
      <c r="BC74" s="37"/>
      <c r="BD74" s="37"/>
    </row>
    <row r="75" spans="51:56" ht="15.95" hidden="1" customHeight="1">
      <c r="AY75" s="31"/>
      <c r="AZ75" s="37"/>
      <c r="BC75" s="37"/>
      <c r="BD75" s="37"/>
    </row>
    <row r="76" spans="51:56" ht="15.95" hidden="1" customHeight="1">
      <c r="AY76" s="31"/>
      <c r="AZ76" s="37"/>
      <c r="BC76" s="37"/>
      <c r="BD76" s="37"/>
    </row>
    <row r="77" spans="51:56" ht="15.95" hidden="1" customHeight="1">
      <c r="AY77" s="31"/>
      <c r="AZ77" s="37"/>
      <c r="BC77" s="37"/>
      <c r="BD77" s="37"/>
    </row>
    <row r="78" spans="51:56" ht="15.95" hidden="1" customHeight="1">
      <c r="AY78" s="31"/>
      <c r="AZ78" s="37"/>
      <c r="BC78" s="37"/>
      <c r="BD78" s="37"/>
    </row>
    <row r="79" spans="51:56" ht="15.95" hidden="1" customHeight="1">
      <c r="AY79" s="31"/>
      <c r="AZ79" s="37"/>
      <c r="BC79" s="37"/>
      <c r="BD79" s="37"/>
    </row>
    <row r="80" spans="51:56" ht="15.95" hidden="1" customHeight="1">
      <c r="AY80" s="31"/>
      <c r="AZ80" s="37"/>
      <c r="BC80" s="37"/>
      <c r="BD80" s="37"/>
    </row>
    <row r="81" spans="51:56" ht="15.95" hidden="1" customHeight="1">
      <c r="AY81" s="31"/>
      <c r="AZ81" s="37"/>
      <c r="BC81" s="37"/>
      <c r="BD81" s="37"/>
    </row>
    <row r="82" spans="51:56" ht="15.95" hidden="1" customHeight="1">
      <c r="AY82" s="31"/>
      <c r="AZ82" s="37"/>
      <c r="BC82" s="37"/>
      <c r="BD82" s="37"/>
    </row>
    <row r="83" spans="51:56" ht="15.95" hidden="1" customHeight="1">
      <c r="AY83" s="31"/>
      <c r="AZ83" s="37"/>
      <c r="BC83" s="37"/>
      <c r="BD83" s="37"/>
    </row>
    <row r="84" spans="51:56" ht="15.95" hidden="1" customHeight="1">
      <c r="AY84" s="31"/>
      <c r="AZ84" s="37"/>
      <c r="BC84" s="37"/>
      <c r="BD84" s="37"/>
    </row>
    <row r="85" spans="51:56" ht="15.95" hidden="1" customHeight="1">
      <c r="AY85" s="31"/>
      <c r="AZ85" s="37"/>
      <c r="BC85" s="37"/>
      <c r="BD85" s="37"/>
    </row>
    <row r="86" spans="51:56" ht="15.95" hidden="1" customHeight="1">
      <c r="AY86" s="31"/>
      <c r="AZ86" s="37"/>
      <c r="BC86" s="37"/>
      <c r="BD86" s="37"/>
    </row>
    <row r="87" spans="51:56" ht="15.95" hidden="1" customHeight="1">
      <c r="AY87" s="31"/>
      <c r="AZ87" s="37"/>
      <c r="BC87" s="37"/>
      <c r="BD87" s="37"/>
    </row>
    <row r="88" spans="51:56" ht="15.95" hidden="1" customHeight="1">
      <c r="AY88" s="31"/>
      <c r="AZ88" s="37"/>
      <c r="BC88" s="37"/>
      <c r="BD88" s="37"/>
    </row>
    <row r="89" spans="51:56" ht="15.95" hidden="1" customHeight="1">
      <c r="AY89" s="31"/>
      <c r="AZ89" s="37"/>
      <c r="BC89" s="37"/>
      <c r="BD89" s="37"/>
    </row>
    <row r="90" spans="51:56" ht="15.95" hidden="1" customHeight="1">
      <c r="AY90" s="31"/>
      <c r="AZ90" s="37"/>
      <c r="BC90" s="37"/>
      <c r="BD90" s="37"/>
    </row>
    <row r="91" spans="51:56" ht="15.95" hidden="1" customHeight="1">
      <c r="AY91" s="31"/>
      <c r="AZ91" s="37"/>
      <c r="BC91" s="37"/>
      <c r="BD91" s="37"/>
    </row>
    <row r="92" spans="51:56" ht="15.95" hidden="1" customHeight="1">
      <c r="AY92" s="31"/>
      <c r="AZ92" s="37"/>
      <c r="BC92" s="37"/>
      <c r="BD92" s="37"/>
    </row>
    <row r="93" spans="51:56" ht="15.95" hidden="1" customHeight="1">
      <c r="AY93" s="31"/>
      <c r="AZ93" s="37"/>
      <c r="BC93" s="37"/>
      <c r="BD93" s="37"/>
    </row>
    <row r="94" spans="51:56" ht="15.95" hidden="1" customHeight="1">
      <c r="AY94" s="31"/>
      <c r="AZ94" s="37"/>
      <c r="BC94" s="37"/>
      <c r="BD94" s="37"/>
    </row>
    <row r="95" spans="51:56" ht="15.95" hidden="1" customHeight="1">
      <c r="AY95" s="31"/>
      <c r="AZ95" s="37"/>
      <c r="BC95" s="37"/>
      <c r="BD95" s="37"/>
    </row>
    <row r="96" spans="51:56" ht="15.95" hidden="1" customHeight="1">
      <c r="AY96" s="31"/>
      <c r="AZ96" s="37"/>
      <c r="BC96" s="37"/>
      <c r="BD96" s="37"/>
    </row>
    <row r="97" spans="51:56" ht="15.95" hidden="1" customHeight="1">
      <c r="AY97" s="31"/>
      <c r="AZ97" s="37"/>
      <c r="BC97" s="37"/>
      <c r="BD97" s="37"/>
    </row>
    <row r="98" spans="51:56" ht="15.95" hidden="1" customHeight="1">
      <c r="AY98" s="31"/>
      <c r="AZ98" s="37"/>
      <c r="BC98" s="37"/>
      <c r="BD98" s="37"/>
    </row>
    <row r="99" spans="51:56" ht="15.95" hidden="1" customHeight="1">
      <c r="AY99" s="31"/>
      <c r="AZ99" s="37"/>
      <c r="BC99" s="37"/>
      <c r="BD99" s="37"/>
    </row>
    <row r="100" spans="51:56" ht="15.95" hidden="1" customHeight="1">
      <c r="AY100" s="31"/>
      <c r="AZ100" s="37"/>
      <c r="BC100" s="37"/>
      <c r="BD100" s="37"/>
    </row>
    <row r="101" spans="51:56" ht="15.95" hidden="1" customHeight="1">
      <c r="AY101" s="31"/>
      <c r="AZ101" s="37"/>
      <c r="BC101" s="37"/>
      <c r="BD101" s="37"/>
    </row>
    <row r="102" spans="51:56" ht="15.95" hidden="1" customHeight="1">
      <c r="AY102" s="31"/>
      <c r="AZ102" s="37"/>
      <c r="BC102" s="37"/>
      <c r="BD102" s="37"/>
    </row>
    <row r="103" spans="51:56" ht="15.95" hidden="1" customHeight="1">
      <c r="AY103" s="31"/>
      <c r="AZ103" s="37"/>
      <c r="BC103" s="37"/>
      <c r="BD103" s="37"/>
    </row>
    <row r="104" spans="51:56" ht="15.95" hidden="1" customHeight="1">
      <c r="AY104" s="31"/>
      <c r="AZ104" s="37"/>
      <c r="BC104" s="37"/>
      <c r="BD104" s="37"/>
    </row>
    <row r="105" spans="51:56" ht="15.95" hidden="1" customHeight="1">
      <c r="AY105" s="31"/>
      <c r="AZ105" s="37"/>
      <c r="BC105" s="37"/>
      <c r="BD105" s="37"/>
    </row>
    <row r="106" spans="51:56" ht="15.95" hidden="1" customHeight="1">
      <c r="AY106" s="31"/>
      <c r="AZ106" s="37"/>
      <c r="BC106" s="37"/>
      <c r="BD106" s="37"/>
    </row>
    <row r="107" spans="51:56" ht="15.95" hidden="1" customHeight="1">
      <c r="AY107" s="31"/>
      <c r="AZ107" s="37"/>
      <c r="BC107" s="37"/>
      <c r="BD107" s="37"/>
    </row>
    <row r="108" spans="51:56" ht="15.95" hidden="1" customHeight="1">
      <c r="AY108" s="31"/>
      <c r="AZ108" s="37"/>
      <c r="BC108" s="37"/>
      <c r="BD108" s="37"/>
    </row>
    <row r="109" spans="51:56" ht="15.95" hidden="1" customHeight="1">
      <c r="AY109" s="31"/>
      <c r="AZ109" s="37"/>
      <c r="BC109" s="37"/>
      <c r="BD109" s="37"/>
    </row>
    <row r="110" spans="51:56" ht="15.95" hidden="1" customHeight="1">
      <c r="AY110" s="31"/>
      <c r="AZ110" s="37"/>
      <c r="BC110" s="37"/>
      <c r="BD110" s="37"/>
    </row>
    <row r="111" spans="51:56" ht="15.95" hidden="1" customHeight="1">
      <c r="AY111" s="31"/>
      <c r="AZ111" s="37"/>
      <c r="BC111" s="37"/>
      <c r="BD111" s="37"/>
    </row>
    <row r="112" spans="51:56" ht="15.95" hidden="1" customHeight="1">
      <c r="AY112" s="31"/>
      <c r="AZ112" s="37"/>
      <c r="BC112" s="37"/>
      <c r="BD112" s="37"/>
    </row>
    <row r="113" spans="51:56" ht="15.95" hidden="1" customHeight="1">
      <c r="AY113" s="31"/>
      <c r="AZ113" s="37"/>
      <c r="BC113" s="37"/>
      <c r="BD113" s="37"/>
    </row>
    <row r="114" spans="51:56" ht="15.95" hidden="1" customHeight="1">
      <c r="AY114" s="31"/>
      <c r="AZ114" s="37"/>
      <c r="BC114" s="37"/>
      <c r="BD114" s="37"/>
    </row>
    <row r="115" spans="51:56" ht="15.95" hidden="1" customHeight="1">
      <c r="AY115" s="31"/>
      <c r="AZ115" s="37"/>
      <c r="BC115" s="37"/>
      <c r="BD115" s="37"/>
    </row>
    <row r="116" spans="51:56" ht="15.95" hidden="1" customHeight="1">
      <c r="AY116" s="31"/>
      <c r="AZ116" s="37"/>
      <c r="BC116" s="37"/>
      <c r="BD116" s="37"/>
    </row>
    <row r="117" spans="51:56" ht="15.95" hidden="1" customHeight="1">
      <c r="AY117" s="31"/>
      <c r="AZ117" s="37"/>
      <c r="BC117" s="37"/>
      <c r="BD117" s="37"/>
    </row>
    <row r="118" spans="51:56" ht="15.95" hidden="1" customHeight="1">
      <c r="AY118" s="31"/>
      <c r="AZ118" s="37"/>
      <c r="BC118" s="37"/>
      <c r="BD118" s="37"/>
    </row>
    <row r="119" spans="51:56" ht="15.95" hidden="1" customHeight="1">
      <c r="AY119" s="31"/>
      <c r="AZ119" s="37"/>
      <c r="BC119" s="37"/>
      <c r="BD119" s="37"/>
    </row>
    <row r="120" spans="51:56" ht="15.95" hidden="1" customHeight="1">
      <c r="AY120" s="31"/>
      <c r="AZ120" s="37"/>
      <c r="BC120" s="37"/>
      <c r="BD120" s="37"/>
    </row>
    <row r="121" spans="51:56" ht="15.95" hidden="1" customHeight="1">
      <c r="AY121" s="31"/>
      <c r="AZ121" s="37"/>
      <c r="BC121" s="37"/>
      <c r="BD121" s="37"/>
    </row>
    <row r="122" spans="51:56" ht="15.95" hidden="1" customHeight="1">
      <c r="AY122" s="31"/>
      <c r="AZ122" s="37"/>
      <c r="BC122" s="37"/>
      <c r="BD122" s="37"/>
    </row>
    <row r="123" spans="51:56" ht="15.95" hidden="1" customHeight="1">
      <c r="AY123" s="31"/>
      <c r="AZ123" s="37"/>
      <c r="BC123" s="37"/>
      <c r="BD123" s="37"/>
    </row>
    <row r="124" spans="51:56" ht="15.95" hidden="1" customHeight="1">
      <c r="AY124" s="31"/>
      <c r="AZ124" s="37"/>
      <c r="BC124" s="37"/>
      <c r="BD124" s="37"/>
    </row>
    <row r="125" spans="51:56" ht="15.95" hidden="1" customHeight="1">
      <c r="AY125" s="31"/>
      <c r="AZ125" s="37"/>
      <c r="BC125" s="37"/>
      <c r="BD125" s="37"/>
    </row>
    <row r="126" spans="51:56" ht="15.95" hidden="1" customHeight="1">
      <c r="AY126" s="31"/>
      <c r="AZ126" s="37"/>
      <c r="BC126" s="37"/>
      <c r="BD126" s="37"/>
    </row>
    <row r="127" spans="51:56" ht="15.95" hidden="1" customHeight="1">
      <c r="AY127" s="31"/>
      <c r="AZ127" s="37"/>
      <c r="BC127" s="37"/>
      <c r="BD127" s="37"/>
    </row>
    <row r="128" spans="51:56" ht="15.95" hidden="1" customHeight="1">
      <c r="AY128" s="31"/>
      <c r="AZ128" s="37"/>
      <c r="BC128" s="37"/>
      <c r="BD128" s="37"/>
    </row>
    <row r="129" spans="51:56" ht="15.95" hidden="1" customHeight="1">
      <c r="AY129" s="31"/>
      <c r="AZ129" s="37"/>
      <c r="BC129" s="37"/>
      <c r="BD129" s="37"/>
    </row>
    <row r="130" spans="51:56" ht="15.95" hidden="1" customHeight="1">
      <c r="AY130" s="31"/>
      <c r="AZ130" s="37"/>
      <c r="BC130" s="37"/>
      <c r="BD130" s="37"/>
    </row>
    <row r="131" spans="51:56" ht="15.95" hidden="1" customHeight="1">
      <c r="AY131" s="31"/>
      <c r="AZ131" s="37"/>
      <c r="BC131" s="37"/>
      <c r="BD131" s="37"/>
    </row>
    <row r="132" spans="51:56" ht="15.95" hidden="1" customHeight="1">
      <c r="AY132" s="31"/>
      <c r="AZ132" s="37"/>
      <c r="BC132" s="37"/>
      <c r="BD132" s="37"/>
    </row>
    <row r="133" spans="51:56" ht="15.95" hidden="1" customHeight="1">
      <c r="AY133" s="31"/>
      <c r="AZ133" s="37"/>
      <c r="BC133" s="37"/>
      <c r="BD133" s="37"/>
    </row>
    <row r="134" spans="51:56" ht="15.95" hidden="1" customHeight="1">
      <c r="AY134" s="31"/>
      <c r="AZ134" s="37"/>
      <c r="BC134" s="37"/>
      <c r="BD134" s="37"/>
    </row>
    <row r="135" spans="51:56" ht="15.95" hidden="1" customHeight="1">
      <c r="AY135" s="31"/>
      <c r="AZ135" s="37"/>
      <c r="BC135" s="37"/>
      <c r="BD135" s="37"/>
    </row>
    <row r="136" spans="51:56" ht="15.95" hidden="1" customHeight="1">
      <c r="AY136" s="31"/>
      <c r="AZ136" s="37"/>
      <c r="BC136" s="37"/>
      <c r="BD136" s="37"/>
    </row>
    <row r="137" spans="51:56" ht="15.95" hidden="1" customHeight="1">
      <c r="AY137" s="31"/>
      <c r="AZ137" s="37"/>
      <c r="BC137" s="37"/>
      <c r="BD137" s="37"/>
    </row>
    <row r="138" spans="51:56" ht="15.95" hidden="1" customHeight="1">
      <c r="AY138" s="31"/>
      <c r="AZ138" s="37"/>
      <c r="BC138" s="37"/>
      <c r="BD138" s="37"/>
    </row>
    <row r="139" spans="51:56" ht="15.95" hidden="1" customHeight="1">
      <c r="AY139" s="31"/>
      <c r="AZ139" s="37"/>
      <c r="BC139" s="37"/>
      <c r="BD139" s="37"/>
    </row>
    <row r="140" spans="51:56" ht="15.95" hidden="1" customHeight="1">
      <c r="AY140" s="31"/>
      <c r="AZ140" s="37"/>
      <c r="BC140" s="37"/>
      <c r="BD140" s="37"/>
    </row>
    <row r="141" spans="51:56" ht="15.95" hidden="1" customHeight="1">
      <c r="AY141" s="31"/>
      <c r="AZ141" s="37"/>
      <c r="BC141" s="37"/>
      <c r="BD141" s="37"/>
    </row>
    <row r="142" spans="51:56" ht="15.95" hidden="1" customHeight="1">
      <c r="AY142" s="31"/>
      <c r="AZ142" s="37"/>
      <c r="BC142" s="37"/>
      <c r="BD142" s="37"/>
    </row>
    <row r="143" spans="51:56" ht="15.95" hidden="1" customHeight="1">
      <c r="AY143" s="31"/>
      <c r="AZ143" s="37"/>
      <c r="BC143" s="37"/>
      <c r="BD143" s="37"/>
    </row>
    <row r="144" spans="51:56" ht="15.95" hidden="1" customHeight="1">
      <c r="AY144" s="31"/>
      <c r="AZ144" s="37"/>
      <c r="BC144" s="37"/>
      <c r="BD144" s="37"/>
    </row>
    <row r="145" spans="51:56" ht="15.95" hidden="1" customHeight="1">
      <c r="AY145" s="31"/>
      <c r="AZ145" s="37"/>
      <c r="BC145" s="37"/>
      <c r="BD145" s="37"/>
    </row>
    <row r="146" spans="51:56" ht="15.95" hidden="1" customHeight="1">
      <c r="AY146" s="31"/>
      <c r="AZ146" s="37"/>
      <c r="BC146" s="37"/>
      <c r="BD146" s="37"/>
    </row>
    <row r="147" spans="51:56" ht="15.95" hidden="1" customHeight="1">
      <c r="AY147" s="31"/>
      <c r="AZ147" s="37"/>
      <c r="BC147" s="37"/>
      <c r="BD147" s="37"/>
    </row>
    <row r="148" spans="51:56" ht="15.95" hidden="1" customHeight="1">
      <c r="AY148" s="31"/>
      <c r="AZ148" s="37"/>
      <c r="BC148" s="37"/>
      <c r="BD148" s="37"/>
    </row>
    <row r="149" spans="51:56" ht="15.95" hidden="1" customHeight="1">
      <c r="AY149" s="31"/>
      <c r="AZ149" s="37"/>
      <c r="BC149" s="37"/>
      <c r="BD149" s="37"/>
    </row>
    <row r="150" spans="51:56" ht="15.95" hidden="1" customHeight="1">
      <c r="AY150" s="31"/>
      <c r="AZ150" s="37"/>
      <c r="BC150" s="37"/>
      <c r="BD150" s="37"/>
    </row>
    <row r="151" spans="51:56" ht="15.95" hidden="1" customHeight="1">
      <c r="AY151" s="31"/>
      <c r="AZ151" s="37"/>
      <c r="BC151" s="37"/>
      <c r="BD151" s="37"/>
    </row>
    <row r="152" spans="51:56" ht="15.95" hidden="1" customHeight="1">
      <c r="AY152" s="31"/>
      <c r="AZ152" s="37"/>
      <c r="BC152" s="37"/>
      <c r="BD152" s="37"/>
    </row>
    <row r="153" spans="51:56" ht="15.95" hidden="1" customHeight="1">
      <c r="AY153" s="31"/>
      <c r="AZ153" s="37"/>
      <c r="BC153" s="37"/>
      <c r="BD153" s="37"/>
    </row>
    <row r="154" spans="51:56" ht="15.95" hidden="1" customHeight="1">
      <c r="AY154" s="31"/>
      <c r="AZ154" s="37"/>
      <c r="BC154" s="37"/>
      <c r="BD154" s="37"/>
    </row>
    <row r="155" spans="51:56" ht="15.95" hidden="1" customHeight="1">
      <c r="AY155" s="31"/>
      <c r="AZ155" s="37"/>
      <c r="BC155" s="37"/>
      <c r="BD155" s="37"/>
    </row>
    <row r="156" spans="51:56" ht="15.95" hidden="1" customHeight="1">
      <c r="AY156" s="31"/>
      <c r="AZ156" s="37"/>
      <c r="BC156" s="37"/>
      <c r="BD156" s="37"/>
    </row>
    <row r="157" spans="51:56" ht="15.95" hidden="1" customHeight="1">
      <c r="AY157" s="31"/>
      <c r="AZ157" s="37"/>
      <c r="BC157" s="37"/>
      <c r="BD157" s="37"/>
    </row>
    <row r="158" spans="51:56" ht="15.95" hidden="1" customHeight="1">
      <c r="AY158" s="31"/>
      <c r="AZ158" s="37"/>
      <c r="BC158" s="37"/>
      <c r="BD158" s="37"/>
    </row>
    <row r="159" spans="51:56" ht="15.95" hidden="1" customHeight="1">
      <c r="AY159" s="31"/>
      <c r="AZ159" s="37"/>
      <c r="BC159" s="37"/>
      <c r="BD159" s="37"/>
    </row>
    <row r="160" spans="51:56" ht="15.95" hidden="1" customHeight="1">
      <c r="AY160" s="31"/>
      <c r="AZ160" s="37"/>
      <c r="BC160" s="37"/>
      <c r="BD160" s="37"/>
    </row>
    <row r="161" spans="51:56" ht="15.95" hidden="1" customHeight="1">
      <c r="AY161" s="31"/>
      <c r="AZ161" s="37"/>
      <c r="BC161" s="37"/>
      <c r="BD161" s="37"/>
    </row>
    <row r="162" spans="51:56" ht="15.95" hidden="1" customHeight="1">
      <c r="AY162" s="31"/>
      <c r="AZ162" s="37"/>
      <c r="BC162" s="37"/>
      <c r="BD162" s="37"/>
    </row>
    <row r="163" spans="51:56" ht="15.95" hidden="1" customHeight="1">
      <c r="AY163" s="31"/>
      <c r="AZ163" s="37"/>
      <c r="BC163" s="37"/>
      <c r="BD163" s="37"/>
    </row>
    <row r="164" spans="51:56" ht="15.95" hidden="1" customHeight="1">
      <c r="AY164" s="31"/>
      <c r="AZ164" s="37"/>
      <c r="BC164" s="37"/>
      <c r="BD164" s="37"/>
    </row>
    <row r="165" spans="51:56" ht="15.95" hidden="1" customHeight="1">
      <c r="AY165" s="31"/>
      <c r="AZ165" s="37"/>
      <c r="BC165" s="37"/>
      <c r="BD165" s="37"/>
    </row>
    <row r="166" spans="51:56" ht="15.95" hidden="1" customHeight="1">
      <c r="AY166" s="31"/>
      <c r="AZ166" s="37"/>
      <c r="BC166" s="37"/>
      <c r="BD166" s="37"/>
    </row>
    <row r="167" spans="51:56" ht="15.95" hidden="1" customHeight="1">
      <c r="AY167" s="31"/>
      <c r="AZ167" s="37"/>
      <c r="BC167" s="37"/>
      <c r="BD167" s="37"/>
    </row>
    <row r="168" spans="51:56" ht="15.95" hidden="1" customHeight="1">
      <c r="AY168" s="31"/>
      <c r="AZ168" s="37"/>
      <c r="BC168" s="37"/>
      <c r="BD168" s="37"/>
    </row>
    <row r="169" spans="51:56" ht="15.95" hidden="1" customHeight="1">
      <c r="AY169" s="31"/>
      <c r="AZ169" s="37"/>
      <c r="BC169" s="37"/>
      <c r="BD169" s="37"/>
    </row>
    <row r="170" spans="51:56" ht="15.95" hidden="1" customHeight="1">
      <c r="AY170" s="31"/>
      <c r="AZ170" s="37"/>
      <c r="BC170" s="37"/>
      <c r="BD170" s="37"/>
    </row>
    <row r="171" spans="51:56" ht="15.95" hidden="1" customHeight="1">
      <c r="AY171" s="31"/>
      <c r="AZ171" s="37"/>
      <c r="BC171" s="37"/>
      <c r="BD171" s="37"/>
    </row>
    <row r="172" spans="51:56" ht="15.95" hidden="1" customHeight="1">
      <c r="AY172" s="31"/>
      <c r="AZ172" s="37"/>
      <c r="BC172" s="37"/>
      <c r="BD172" s="37"/>
    </row>
    <row r="173" spans="51:56" ht="15.95" hidden="1" customHeight="1">
      <c r="AY173" s="31"/>
      <c r="AZ173" s="37"/>
      <c r="BC173" s="37"/>
      <c r="BD173" s="37"/>
    </row>
    <row r="174" spans="51:56" ht="15.95" hidden="1" customHeight="1">
      <c r="AY174" s="31"/>
      <c r="AZ174" s="37"/>
      <c r="BC174" s="37"/>
      <c r="BD174" s="37"/>
    </row>
    <row r="175" spans="51:56" ht="15.95" hidden="1" customHeight="1">
      <c r="AY175" s="31"/>
      <c r="AZ175" s="37"/>
      <c r="BC175" s="37"/>
      <c r="BD175" s="37"/>
    </row>
    <row r="176" spans="51:56" ht="15.95" hidden="1" customHeight="1">
      <c r="AY176" s="31"/>
      <c r="AZ176" s="37"/>
      <c r="BC176" s="37"/>
      <c r="BD176" s="37"/>
    </row>
    <row r="177" spans="51:56" ht="15.95" hidden="1" customHeight="1">
      <c r="AY177" s="31"/>
      <c r="AZ177" s="37"/>
      <c r="BC177" s="37"/>
      <c r="BD177" s="37"/>
    </row>
    <row r="178" spans="51:56" ht="15.95" hidden="1" customHeight="1">
      <c r="AY178" s="31"/>
      <c r="AZ178" s="37"/>
      <c r="BC178" s="37"/>
      <c r="BD178" s="37"/>
    </row>
    <row r="179" spans="51:56" ht="15.95" hidden="1" customHeight="1">
      <c r="AY179" s="31"/>
      <c r="AZ179" s="37"/>
      <c r="BC179" s="37"/>
      <c r="BD179" s="37"/>
    </row>
    <row r="180" spans="51:56" ht="15.95" hidden="1" customHeight="1">
      <c r="AY180" s="31"/>
      <c r="AZ180" s="37"/>
      <c r="BC180" s="37"/>
      <c r="BD180" s="37"/>
    </row>
    <row r="181" spans="51:56" ht="15.95" hidden="1" customHeight="1">
      <c r="AY181" s="31"/>
      <c r="AZ181" s="37"/>
      <c r="BC181" s="37"/>
      <c r="BD181" s="37"/>
    </row>
    <row r="182" spans="51:56" ht="15.95" hidden="1" customHeight="1">
      <c r="AY182" s="31"/>
      <c r="AZ182" s="37"/>
      <c r="BC182" s="37"/>
      <c r="BD182" s="37"/>
    </row>
    <row r="183" spans="51:56" ht="15.95" hidden="1" customHeight="1">
      <c r="AY183" s="31"/>
      <c r="AZ183" s="37"/>
      <c r="BC183" s="37"/>
      <c r="BD183" s="37"/>
    </row>
    <row r="184" spans="51:56" ht="15.95" hidden="1" customHeight="1">
      <c r="AY184" s="31"/>
      <c r="AZ184" s="37"/>
      <c r="BC184" s="37"/>
      <c r="BD184" s="37"/>
    </row>
    <row r="185" spans="51:56" ht="15.95" hidden="1" customHeight="1">
      <c r="AY185" s="31"/>
      <c r="AZ185" s="37"/>
      <c r="BC185" s="37"/>
      <c r="BD185" s="37"/>
    </row>
    <row r="186" spans="51:56" ht="15.95" hidden="1" customHeight="1">
      <c r="AY186" s="31"/>
      <c r="AZ186" s="37"/>
      <c r="BC186" s="37"/>
      <c r="BD186" s="37"/>
    </row>
    <row r="187" spans="51:56" ht="15.95" hidden="1" customHeight="1">
      <c r="AY187" s="31"/>
      <c r="AZ187" s="37"/>
      <c r="BC187" s="37"/>
      <c r="BD187" s="37"/>
    </row>
    <row r="188" spans="51:56" ht="15.95" hidden="1" customHeight="1">
      <c r="AY188" s="31"/>
      <c r="AZ188" s="37"/>
      <c r="BC188" s="37"/>
      <c r="BD188" s="37"/>
    </row>
    <row r="189" spans="51:56" ht="15.95" hidden="1" customHeight="1">
      <c r="AY189" s="31"/>
      <c r="AZ189" s="37"/>
      <c r="BC189" s="37"/>
      <c r="BD189" s="37"/>
    </row>
    <row r="190" spans="51:56" ht="15.95" hidden="1" customHeight="1">
      <c r="AY190" s="31"/>
      <c r="AZ190" s="37"/>
      <c r="BC190" s="37"/>
      <c r="BD190" s="37"/>
    </row>
    <row r="191" spans="51:56" ht="15.95" hidden="1" customHeight="1">
      <c r="AY191" s="31"/>
      <c r="AZ191" s="37"/>
      <c r="BC191" s="37"/>
      <c r="BD191" s="37"/>
    </row>
    <row r="192" spans="51:56" ht="15.95" hidden="1" customHeight="1">
      <c r="AY192" s="31"/>
      <c r="AZ192" s="37"/>
      <c r="BC192" s="37"/>
      <c r="BD192" s="37"/>
    </row>
    <row r="193" spans="1:60" ht="15.95" hidden="1" customHeight="1">
      <c r="AY193" s="31"/>
      <c r="AZ193" s="37"/>
      <c r="BC193" s="37"/>
      <c r="BD193" s="37"/>
    </row>
    <row r="194" spans="1:60" ht="15.95" hidden="1" customHeight="1">
      <c r="AY194" s="31"/>
      <c r="AZ194" s="37"/>
      <c r="BC194" s="37"/>
      <c r="BD194" s="37"/>
    </row>
    <row r="195" spans="1:60" ht="15.95" hidden="1" customHeight="1">
      <c r="AY195" s="31"/>
      <c r="AZ195" s="37"/>
      <c r="BC195" s="37"/>
      <c r="BD195" s="37"/>
    </row>
    <row r="196" spans="1:60" ht="15.95" hidden="1" customHeight="1">
      <c r="AY196" s="31"/>
      <c r="AZ196" s="37"/>
      <c r="BC196" s="37"/>
      <c r="BD196" s="37"/>
    </row>
    <row r="197" spans="1:60" ht="15.95" hidden="1" customHeight="1">
      <c r="AY197" s="31"/>
      <c r="AZ197" s="37"/>
      <c r="BC197" s="37"/>
      <c r="BD197" s="37"/>
    </row>
    <row r="198" spans="1:60" ht="15.95" hidden="1" customHeight="1">
      <c r="AY198" s="31"/>
      <c r="AZ198" s="37"/>
      <c r="BC198" s="37"/>
      <c r="BD198" s="37"/>
    </row>
    <row r="199" spans="1:60" ht="15.95" hidden="1" customHeight="1">
      <c r="AY199" s="31"/>
      <c r="AZ199" s="37"/>
      <c r="BC199" s="37"/>
      <c r="BD199" s="37"/>
    </row>
    <row r="200" spans="1:60"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c r="BA200" s="975">
        <f>IF(OR(COUNTIF(BA18:BB37,"Missing!")&gt;0,COUNTIF(BA18:BB37,0)&gt;0,COUNTIFS(BA18:BA37,"",BB18:BB37,"",AO18:AO37,"&gt;0")&gt;0),"Missing Units on Custom Water Heating / Food Services. ",SUM(BA18:BB37))</f>
        <v>0</v>
      </c>
      <c r="BC200" s="970">
        <f>SUM(BC18:BC37)</f>
        <v>0</v>
      </c>
      <c r="BD200" s="970">
        <f>SUM(BD18:BD37)</f>
        <v>0</v>
      </c>
      <c r="BG200" s="971">
        <f>SUM(BG18:BG37)</f>
        <v>0</v>
      </c>
      <c r="BH200" s="971">
        <f>SUM(BH18:BH37)</f>
        <v>0</v>
      </c>
    </row>
    <row r="201" spans="1:60"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c r="BA201" s="976"/>
      <c r="BC201" s="970"/>
      <c r="BD201" s="970"/>
      <c r="BG201" s="972"/>
      <c r="BH201" s="972"/>
    </row>
    <row r="202" spans="1:60"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5.95" hidden="1" customHeight="1"/>
    <row r="204" spans="1:60" ht="15.95" hidden="1" customHeight="1"/>
    <row r="209" ht="15" hidden="1" customHeight="1"/>
    <row r="210" ht="15" hidden="1" customHeight="1"/>
  </sheetData>
  <sheetProtection algorithmName="SHA-512" hashValue="UQX1p3f7si1IRsuLAJ/Lwfmvakm1qMgmKKyV8sAQZuFRfbX/j9Pl/dOJIMI/qjPqvXYj3gDGHvftG1lYz+1SNQ==" saltValue="4SUVAsLxzZXcn0VZ5rMJaw==" spinCount="100000" sheet="1" objects="1" scenarios="1" selectLockedCells="1"/>
  <mergeCells count="390">
    <mergeCell ref="AO16:AQ17"/>
    <mergeCell ref="AR16:AU17"/>
    <mergeCell ref="AO18:AQ19"/>
    <mergeCell ref="AR18:AU19"/>
    <mergeCell ref="AR26:AU27"/>
    <mergeCell ref="AR34:AU35"/>
    <mergeCell ref="AJ34:AK35"/>
    <mergeCell ref="AL34:AN35"/>
    <mergeCell ref="AO34:AQ35"/>
    <mergeCell ref="AJ32:AK33"/>
    <mergeCell ref="AL32:AN33"/>
    <mergeCell ref="AO32:AQ33"/>
    <mergeCell ref="AJ20:AK21"/>
    <mergeCell ref="AL20:AN21"/>
    <mergeCell ref="AO22:AQ23"/>
    <mergeCell ref="AR22:AU23"/>
    <mergeCell ref="AR24:AU25"/>
    <mergeCell ref="AO26:AQ27"/>
    <mergeCell ref="AJ24:AK25"/>
    <mergeCell ref="AL24:AN25"/>
    <mergeCell ref="AO24:AQ25"/>
    <mergeCell ref="AO28:AQ29"/>
    <mergeCell ref="AR30:AU31"/>
    <mergeCell ref="AR28:AU29"/>
    <mergeCell ref="AJ22:AK23"/>
    <mergeCell ref="AL22:AN23"/>
    <mergeCell ref="AF20:AG21"/>
    <mergeCell ref="AH20:AI21"/>
    <mergeCell ref="AC20:AE21"/>
    <mergeCell ref="AC22:AE23"/>
    <mergeCell ref="AC24:AE25"/>
    <mergeCell ref="AC26:AE27"/>
    <mergeCell ref="W22:AB23"/>
    <mergeCell ref="Q1:AG3"/>
    <mergeCell ref="A4:E6"/>
    <mergeCell ref="A7:E8"/>
    <mergeCell ref="AP1:AS3"/>
    <mergeCell ref="AT1:AW3"/>
    <mergeCell ref="T12:W13"/>
    <mergeCell ref="X12:AA13"/>
    <mergeCell ref="AB12:AE13"/>
    <mergeCell ref="F1:I3"/>
    <mergeCell ref="J1:M3"/>
    <mergeCell ref="AL1:AO3"/>
    <mergeCell ref="J9:M11"/>
    <mergeCell ref="N9:Q11"/>
    <mergeCell ref="R9:U11"/>
    <mergeCell ref="V9:Y11"/>
    <mergeCell ref="Z9:AC11"/>
    <mergeCell ref="AD9:AG11"/>
    <mergeCell ref="AH9:AK11"/>
    <mergeCell ref="AL9:AO11"/>
    <mergeCell ref="E13:R13"/>
    <mergeCell ref="AS5:AW6"/>
    <mergeCell ref="AS7:AW7"/>
    <mergeCell ref="AS8:AW8"/>
    <mergeCell ref="B24:B25"/>
    <mergeCell ref="B22:B23"/>
    <mergeCell ref="AL16:AN17"/>
    <mergeCell ref="B20:B21"/>
    <mergeCell ref="H24:M25"/>
    <mergeCell ref="X14:AA14"/>
    <mergeCell ref="AB14:AE14"/>
    <mergeCell ref="AF24:AG25"/>
    <mergeCell ref="AH24:AI25"/>
    <mergeCell ref="B18:B19"/>
    <mergeCell ref="H16:M17"/>
    <mergeCell ref="AF16:AG17"/>
    <mergeCell ref="AH16:AK16"/>
    <mergeCell ref="T14:W14"/>
    <mergeCell ref="H22:M23"/>
    <mergeCell ref="AF22:AG23"/>
    <mergeCell ref="AM13:AU14"/>
    <mergeCell ref="AH17:AI17"/>
    <mergeCell ref="AJ17:AK17"/>
    <mergeCell ref="H18:M19"/>
    <mergeCell ref="W24:AB25"/>
    <mergeCell ref="AO20:AQ21"/>
    <mergeCell ref="AR20:AU21"/>
    <mergeCell ref="W20:AB21"/>
    <mergeCell ref="B46:B47"/>
    <mergeCell ref="B44:B45"/>
    <mergeCell ref="B42:B43"/>
    <mergeCell ref="B40:B41"/>
    <mergeCell ref="B38:B39"/>
    <mergeCell ref="B36:B37"/>
    <mergeCell ref="B26:B27"/>
    <mergeCell ref="H26:M27"/>
    <mergeCell ref="AF26:AG27"/>
    <mergeCell ref="W26:AB27"/>
    <mergeCell ref="B34:B35"/>
    <mergeCell ref="B32:B33"/>
    <mergeCell ref="B30:B31"/>
    <mergeCell ref="B28:B29"/>
    <mergeCell ref="H28:M29"/>
    <mergeCell ref="AF28:AG29"/>
    <mergeCell ref="AR36:AU37"/>
    <mergeCell ref="AF36:AG37"/>
    <mergeCell ref="AH36:AI37"/>
    <mergeCell ref="AH32:AI33"/>
    <mergeCell ref="AF30:AG31"/>
    <mergeCell ref="AC28:AE29"/>
    <mergeCell ref="AO30:AQ31"/>
    <mergeCell ref="AR32:AU33"/>
    <mergeCell ref="H32:M33"/>
    <mergeCell ref="AF32:AG33"/>
    <mergeCell ref="AC32:AE33"/>
    <mergeCell ref="AC34:AE35"/>
    <mergeCell ref="T32:V33"/>
    <mergeCell ref="T34:V35"/>
    <mergeCell ref="H34:M35"/>
    <mergeCell ref="AF34:AG35"/>
    <mergeCell ref="AH34:AI35"/>
    <mergeCell ref="AC30:AE31"/>
    <mergeCell ref="AL36:AN37"/>
    <mergeCell ref="AO36:AQ37"/>
    <mergeCell ref="AJ18:AK19"/>
    <mergeCell ref="T30:V31"/>
    <mergeCell ref="W30:AB31"/>
    <mergeCell ref="C16:G17"/>
    <mergeCell ref="C18:G19"/>
    <mergeCell ref="C20:G21"/>
    <mergeCell ref="C22:G23"/>
    <mergeCell ref="C24:G25"/>
    <mergeCell ref="O200:AI201"/>
    <mergeCell ref="AH28:AI29"/>
    <mergeCell ref="AH30:AI31"/>
    <mergeCell ref="AC16:AE17"/>
    <mergeCell ref="T16:V17"/>
    <mergeCell ref="W16:AB17"/>
    <mergeCell ref="N16:S17"/>
    <mergeCell ref="N18:S19"/>
    <mergeCell ref="N20:S21"/>
    <mergeCell ref="N22:S23"/>
    <mergeCell ref="N24:S25"/>
    <mergeCell ref="N26:S27"/>
    <mergeCell ref="N28:S29"/>
    <mergeCell ref="N30:S31"/>
    <mergeCell ref="N32:S33"/>
    <mergeCell ref="AJ36:AK37"/>
    <mergeCell ref="AC18:AE19"/>
    <mergeCell ref="T18:V19"/>
    <mergeCell ref="T20:V21"/>
    <mergeCell ref="T22:V23"/>
    <mergeCell ref="T24:V25"/>
    <mergeCell ref="T26:V27"/>
    <mergeCell ref="T28:V29"/>
    <mergeCell ref="AF18:AG19"/>
    <mergeCell ref="AH18:AI19"/>
    <mergeCell ref="W18:AB19"/>
    <mergeCell ref="AH22:AI23"/>
    <mergeCell ref="AH26:AI27"/>
    <mergeCell ref="AL18:AN19"/>
    <mergeCell ref="H20:M21"/>
    <mergeCell ref="C26:G27"/>
    <mergeCell ref="C28:G29"/>
    <mergeCell ref="C30:G31"/>
    <mergeCell ref="C32:G33"/>
    <mergeCell ref="H36:M37"/>
    <mergeCell ref="H30:M31"/>
    <mergeCell ref="C34:G35"/>
    <mergeCell ref="W32:AB33"/>
    <mergeCell ref="W34:AB35"/>
    <mergeCell ref="C36:G37"/>
    <mergeCell ref="N34:S35"/>
    <mergeCell ref="N36:S37"/>
    <mergeCell ref="AL30:AN31"/>
    <mergeCell ref="AL28:AN29"/>
    <mergeCell ref="AL26:AN27"/>
    <mergeCell ref="AC36:AE37"/>
    <mergeCell ref="W28:AB29"/>
    <mergeCell ref="W36:AB37"/>
    <mergeCell ref="T36:V37"/>
    <mergeCell ref="AJ30:AK31"/>
    <mergeCell ref="AJ28:AK29"/>
    <mergeCell ref="AJ26:AK27"/>
    <mergeCell ref="BK16:BK17"/>
    <mergeCell ref="BL16:BL17"/>
    <mergeCell ref="BM16:BM17"/>
    <mergeCell ref="BN16:BN17"/>
    <mergeCell ref="BO16:BO17"/>
    <mergeCell ref="AX16:AX17"/>
    <mergeCell ref="AY16:AY17"/>
    <mergeCell ref="AZ16:AZ17"/>
    <mergeCell ref="BA16:BA17"/>
    <mergeCell ref="BB16:BB17"/>
    <mergeCell ref="BC16:BC17"/>
    <mergeCell ref="BD16:BD17"/>
    <mergeCell ref="BE16:BE17"/>
    <mergeCell ref="BF16:BF17"/>
    <mergeCell ref="BP16:BP17"/>
    <mergeCell ref="AX18:AX19"/>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BL18:BL19"/>
    <mergeCell ref="BM18:BM19"/>
    <mergeCell ref="BN18:BN19"/>
    <mergeCell ref="BO18:BO19"/>
    <mergeCell ref="BP18:BP19"/>
    <mergeCell ref="BG16:BG17"/>
    <mergeCell ref="BH16:BH17"/>
    <mergeCell ref="BI16:BI17"/>
    <mergeCell ref="BJ16:BJ17"/>
    <mergeCell ref="BK20:BK21"/>
    <mergeCell ref="BL20:BL21"/>
    <mergeCell ref="BM20:BM21"/>
    <mergeCell ref="BN20:BN21"/>
    <mergeCell ref="BO20:BO21"/>
    <mergeCell ref="AX20:AX21"/>
    <mergeCell ref="AY20:AY21"/>
    <mergeCell ref="AZ20:AZ21"/>
    <mergeCell ref="BA20:BA21"/>
    <mergeCell ref="BB20:BB21"/>
    <mergeCell ref="BC20:BC21"/>
    <mergeCell ref="BD20:BD21"/>
    <mergeCell ref="BE20:BE21"/>
    <mergeCell ref="BF20:BF21"/>
    <mergeCell ref="BP20:BP21"/>
    <mergeCell ref="AX22:AX23"/>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BL22:BL23"/>
    <mergeCell ref="BM22:BM23"/>
    <mergeCell ref="BN22:BN23"/>
    <mergeCell ref="BO22:BO23"/>
    <mergeCell ref="BP22:BP23"/>
    <mergeCell ref="BG20:BG21"/>
    <mergeCell ref="BH20:BH21"/>
    <mergeCell ref="BI20:BI21"/>
    <mergeCell ref="BJ20:BJ21"/>
    <mergeCell ref="BK24:BK25"/>
    <mergeCell ref="BL24:BL25"/>
    <mergeCell ref="BM24:BM25"/>
    <mergeCell ref="BN24:BN25"/>
    <mergeCell ref="BO24:BO25"/>
    <mergeCell ref="AX24:AX25"/>
    <mergeCell ref="AY24:AY25"/>
    <mergeCell ref="AZ24:AZ25"/>
    <mergeCell ref="BA24:BA25"/>
    <mergeCell ref="BB24:BB25"/>
    <mergeCell ref="BC24:BC25"/>
    <mergeCell ref="BD24:BD25"/>
    <mergeCell ref="BE24:BE25"/>
    <mergeCell ref="BF24:BF25"/>
    <mergeCell ref="BP24:BP25"/>
    <mergeCell ref="AX26:AX27"/>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BL26:BL27"/>
    <mergeCell ref="BM26:BM27"/>
    <mergeCell ref="BN26:BN27"/>
    <mergeCell ref="BO26:BO27"/>
    <mergeCell ref="BP26:BP27"/>
    <mergeCell ref="BG24:BG25"/>
    <mergeCell ref="BH24:BH25"/>
    <mergeCell ref="BI24:BI25"/>
    <mergeCell ref="BJ24:BJ25"/>
    <mergeCell ref="BK28:BK29"/>
    <mergeCell ref="BL28:BL29"/>
    <mergeCell ref="BM28:BM29"/>
    <mergeCell ref="BN28:BN29"/>
    <mergeCell ref="BO28:BO29"/>
    <mergeCell ref="AX28:AX29"/>
    <mergeCell ref="AY28:AY29"/>
    <mergeCell ref="AZ28:AZ29"/>
    <mergeCell ref="BA28:BA29"/>
    <mergeCell ref="BB28:BB29"/>
    <mergeCell ref="BC28:BC29"/>
    <mergeCell ref="BD28:BD29"/>
    <mergeCell ref="BE28:BE29"/>
    <mergeCell ref="BF28:BF29"/>
    <mergeCell ref="BP28:BP29"/>
    <mergeCell ref="AX30:AX31"/>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BL30:BL31"/>
    <mergeCell ref="BM30:BM31"/>
    <mergeCell ref="BN30:BN31"/>
    <mergeCell ref="BO30:BO31"/>
    <mergeCell ref="BP30:BP31"/>
    <mergeCell ref="BG28:BG29"/>
    <mergeCell ref="BH28:BH29"/>
    <mergeCell ref="BI28:BI29"/>
    <mergeCell ref="BJ28:BJ29"/>
    <mergeCell ref="BK32:BK33"/>
    <mergeCell ref="BL32:BL33"/>
    <mergeCell ref="BM32:BM33"/>
    <mergeCell ref="BN32:BN33"/>
    <mergeCell ref="BO32:BO33"/>
    <mergeCell ref="AX32:AX33"/>
    <mergeCell ref="AY32:AY33"/>
    <mergeCell ref="AZ32:AZ33"/>
    <mergeCell ref="BA32:BA33"/>
    <mergeCell ref="BB32:BB33"/>
    <mergeCell ref="BC32:BC33"/>
    <mergeCell ref="BD32:BD33"/>
    <mergeCell ref="BE32:BE33"/>
    <mergeCell ref="BF32:BF33"/>
    <mergeCell ref="BP32:BP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G32:BG33"/>
    <mergeCell ref="BH32:BH33"/>
    <mergeCell ref="BI32:BI33"/>
    <mergeCell ref="BJ32:BJ33"/>
    <mergeCell ref="AX36:AX37"/>
    <mergeCell ref="AY36:AY37"/>
    <mergeCell ref="AZ36:AZ37"/>
    <mergeCell ref="BA36:BA37"/>
    <mergeCell ref="BB36:BB37"/>
    <mergeCell ref="BC36:BC37"/>
    <mergeCell ref="BD36:BD37"/>
    <mergeCell ref="BE36:BE37"/>
    <mergeCell ref="BF36:BF37"/>
    <mergeCell ref="BP36:BP37"/>
    <mergeCell ref="BA200:BA201"/>
    <mergeCell ref="BC200:BC201"/>
    <mergeCell ref="BD200:BD201"/>
    <mergeCell ref="BG200:BG201"/>
    <mergeCell ref="BH200:BH201"/>
    <mergeCell ref="BG36:BG37"/>
    <mergeCell ref="BH36:BH37"/>
    <mergeCell ref="BI36:BI37"/>
    <mergeCell ref="BJ36:BJ37"/>
    <mergeCell ref="BK36:BK37"/>
    <mergeCell ref="BL36:BL37"/>
    <mergeCell ref="BM36:BM37"/>
    <mergeCell ref="BN36:BN37"/>
    <mergeCell ref="BO36:BO37"/>
  </mergeCells>
  <conditionalFormatting sqref="N18 T18 W18 AC18 H18:M19 AF18:AK37 H20:N20 T20 W20 AC20 H21:M37 N22 T22 W22 AC22 N24 T24 W24 AC24 N26 T26 W26 AC26 N28 T28 W28 AC28 N30 T30 W30 AC30 N32 T32 W32 AC32 N34 T34 W34 AC34 N36 T36 W36 AC36">
    <cfRule type="expression" dxfId="66" priority="1450">
      <formula>AND(ISBLANK($C18)=FALSE,OR(ISBLANK(H18)=TRUE,H18=""))</formula>
    </cfRule>
  </conditionalFormatting>
  <conditionalFormatting sqref="AR18:AU37">
    <cfRule type="expression" dxfId="65" priority="1462" stopIfTrue="1">
      <formula>ISNUMBER($AR18)=FALSE</formula>
    </cfRule>
    <cfRule type="expression" dxfId="64" priority="1463">
      <formula>$AR18 &lt;&gt; #REF!</formula>
    </cfRule>
  </conditionalFormatting>
  <conditionalFormatting sqref="AS8:AW8">
    <cfRule type="expression" dxfId="63" priority="19">
      <formula>IF($AS$8=PROJSTATMEASURE,FALSE,TRUE)</formula>
    </cfRule>
  </conditionalFormatting>
  <conditionalFormatting sqref="BA18:BB37 BH18:BH37">
    <cfRule type="expression" dxfId="62" priority="1">
      <formula>IF(AND(ISNUMBER($AK18),OR(BA18="Missing!",BA18="")),TRUE,FALSE)</formula>
    </cfRule>
  </conditionalFormatting>
  <conditionalFormatting sqref="BE18:BE37">
    <cfRule type="expression" dxfId="61" priority="2">
      <formula>AND($BA18="",$F18&lt;&gt;"")</formula>
    </cfRule>
  </conditionalFormatting>
  <conditionalFormatting sqref="BF18:BF37">
    <cfRule type="expression" dxfId="60" priority="3">
      <formula>AND($BB18="",$F18&lt;&gt;"")</formula>
    </cfRule>
  </conditionalFormatting>
  <dataValidations count="7">
    <dataValidation type="list" allowBlank="1" showInputMessage="1" showErrorMessage="1" sqref="H18:M37" xr:uid="{6C51751A-4B4C-407A-A586-EF36F944A8BB}">
      <formula1>CMECOOKDESC</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C20764FA-32EC-4D84-AAF3-9F419E36EBB0}">
      <formula1>IF($H18="",CUSTOMPROJECTTYPE,"")</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CFCB7C10-3C60-429B-9B3D-51B4DF439F78}">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7FBA2E00-ADBC-4931-80BD-AE3A70EFEA7A}">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4F57DDBF-B202-4BD4-9EDB-B38E361EC309}">
      <formula1>0</formula1>
      <formula2>999999999</formula2>
    </dataValidation>
    <dataValidation type="whole" operator="greaterThanOrEqual" allowBlank="1" showInputMessage="1" showErrorMessage="1" errorTitle="Invalid Entry" error="Value must be a whole number." sqref="T18:V37 AC18:AE37" xr:uid="{29E4E8DD-54FD-4B23-B69B-0DB2C3B92237}">
      <formula1>0</formula1>
    </dataValidation>
    <dataValidation type="list" allowBlank="1" showInputMessage="1" showErrorMessage="1" sqref="BF18:BF37" xr:uid="{19EB9F8C-1962-4CCE-AEFE-35DDAC4473EF}">
      <formula1>ENDUSECAT</formula1>
    </dataValidation>
  </dataValidations>
  <hyperlinks>
    <hyperlink ref="N9:Q11" location="'M03-S03'!C18" tooltip="Lighting Controls" display="'M03-S03'!C18" xr:uid="{A795E616-DEFA-49C9-BF16-610B15050F69}"/>
    <hyperlink ref="R9:U11" location="'M03-S04'!C18" tooltip="Refrigeration" display="'M03-S04'!C18" xr:uid="{475EFBE1-3BB2-4005-9887-7D392E806F39}"/>
    <hyperlink ref="V9:Y11" location="'M03-S05'!C18" tooltip="HVAC" display="'M03-S05'!C18" xr:uid="{CF8A09B5-8176-47E7-AFAA-A06A9B7479B1}"/>
    <hyperlink ref="AD9:AG11" location="'M03-S06'!C18" tooltip="Compressed Air / Process" display="'M03-S06'!C18" xr:uid="{E4BED61F-4983-49A3-B232-35571F98BCF9}"/>
    <hyperlink ref="AH9:AK11" location="'M03-S07'!C18" tooltip="Water Heating / Cooking" display="'M03-S07'!C18" xr:uid="{B4EFE212-3E24-4D45-9F15-7FCAD0ECBDF4}"/>
    <hyperlink ref="Z9:AC11" location="'M03-S08'!C18" tooltip="Motors and Drives" display="'M03-S08'!C18" xr:uid="{88F11BDB-6A11-498C-A29B-68688A3AA920}"/>
    <hyperlink ref="AL9:AO11" location="'M04-S09'!C18" tooltip="Miscellaneous" display="'M04-S09'!C18" xr:uid="{03A8A441-3365-4A6A-9523-9E4C368BF3A3}"/>
    <hyperlink ref="B202" r:id="rId1" xr:uid="{FF1C3A61-9798-4D6B-8CFE-DAA4BB03327F}"/>
    <hyperlink ref="J1:M3" location="'M01-S02'!J1" tooltip="Instructions" display="'M01-S02'!J1" xr:uid="{4B2F05C4-2B18-4524-A0A7-F4C8F7508273}"/>
    <hyperlink ref="AP1:AS3" location="'M05-S05'!AL1" tooltip=" " display="'M05-S05'!AL1" xr:uid="{702A7696-E9CD-4391-82C7-8C6F89443775}"/>
    <hyperlink ref="AL1:AO3" location="'M05-S04'!AH1" tooltip=" " display="'M05-S04'!AH1" xr:uid="{F4D44F10-26E7-4BBC-AAD7-8B9F08F97BB0}"/>
    <hyperlink ref="AT1:AW3" location="'M01-S03'!AP1" tooltip="Contact" display="'M01-S03'!AP1" xr:uid="{3E62DC4C-B9E7-4366-9280-0DE86D06B267}"/>
  </hyperlinks>
  <printOptions horizontalCentered="1"/>
  <pageMargins left="0" right="0" top="0" bottom="0" header="0" footer="0"/>
  <pageSetup scale="4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F4BB1-AACF-4C94-952B-B8668551AE58}">
  <sheetPr codeName="Sheet36">
    <tabColor theme="8" tint="0.59999389629810485"/>
    <pageSetUpPr fitToPage="1"/>
  </sheetPr>
  <dimension ref="A1:BV206"/>
  <sheetViews>
    <sheetView showGridLines="0" showRowColHeaders="0" zoomScale="85" zoomScaleNormal="85" workbookViewId="0">
      <selection activeCell="C18" sqref="C18:G19"/>
    </sheetView>
  </sheetViews>
  <sheetFormatPr defaultColWidth="0" defaultRowHeight="0" customHeight="1" zeroHeight="1"/>
  <cols>
    <col min="1" max="49" width="4.7109375" style="22" customWidth="1"/>
    <col min="50" max="51" width="9.42578125" style="22" hidden="1"/>
    <col min="52" max="52" width="15.7109375" style="22" hidden="1"/>
    <col min="53" max="59" width="9.42578125" style="22" hidden="1"/>
    <col min="60" max="60" width="14.7109375" style="22" hidden="1"/>
    <col min="61" max="67" width="9.42578125" style="22" hidden="1"/>
    <col min="68" max="68" width="9.7109375" style="22" hidden="1"/>
    <col min="69" max="69" width="9.5703125" style="22" hidden="1"/>
    <col min="70" max="16384" width="4.7109375" style="22" hidden="1"/>
  </cols>
  <sheetData>
    <row r="1" spans="1:68" customFormat="1"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8" customFormat="1"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8" customFormat="1"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68" ht="15.95" customHeight="1">
      <c r="A4" s="666">
        <f>INCENTOTAL</f>
        <v>0</v>
      </c>
      <c r="B4" s="666"/>
      <c r="C4" s="666"/>
      <c r="D4" s="666"/>
      <c r="E4" s="666"/>
      <c r="F4" s="203"/>
      <c r="G4" s="203"/>
      <c r="H4" s="203"/>
      <c r="I4" s="203"/>
      <c r="Y4"/>
      <c r="Z4"/>
      <c r="AA4"/>
      <c r="AB4"/>
      <c r="AC4"/>
      <c r="AS4"/>
      <c r="AT4"/>
      <c r="AU4"/>
      <c r="AV4"/>
      <c r="AW4"/>
    </row>
    <row r="5" spans="1:68" ht="15.95" customHeight="1">
      <c r="A5" s="667"/>
      <c r="B5" s="667"/>
      <c r="C5" s="667"/>
      <c r="D5" s="667"/>
      <c r="E5" s="667"/>
      <c r="F5" s="432"/>
      <c r="G5" s="432"/>
      <c r="H5" s="432"/>
      <c r="I5" s="432"/>
      <c r="J5"/>
      <c r="K5"/>
      <c r="L5"/>
      <c r="M5"/>
      <c r="N5"/>
      <c r="O5"/>
      <c r="P5"/>
      <c r="Q5"/>
      <c r="R5"/>
      <c r="S5"/>
      <c r="T5"/>
      <c r="U5"/>
      <c r="V5"/>
      <c r="W5"/>
      <c r="X5"/>
      <c r="Y5"/>
      <c r="Z5"/>
      <c r="AA5"/>
      <c r="AB5"/>
      <c r="AC5"/>
      <c r="AD5"/>
      <c r="AE5"/>
      <c r="AF5"/>
      <c r="AG5"/>
      <c r="AH5"/>
      <c r="AI5"/>
      <c r="AJ5"/>
      <c r="AK5"/>
      <c r="AL5"/>
      <c r="AM5"/>
      <c r="AN5"/>
      <c r="AO5"/>
      <c r="AP5"/>
      <c r="AQ5"/>
      <c r="AR5"/>
      <c r="AS5" s="1059">
        <f ca="1">PROGRESSSTATUS</f>
        <v>0</v>
      </c>
      <c r="AT5" s="1059"/>
      <c r="AU5" s="1059"/>
      <c r="AV5" s="1059"/>
      <c r="AW5" s="1059"/>
      <c r="AY5" s="119" t="s">
        <v>1315</v>
      </c>
      <c r="AZ5" s="119" t="s">
        <v>325</v>
      </c>
      <c r="BA5" s="52"/>
      <c r="BB5" s="52"/>
    </row>
    <row r="6" spans="1:68" ht="15.95" customHeight="1">
      <c r="A6" s="667"/>
      <c r="B6" s="667"/>
      <c r="C6" s="667"/>
      <c r="D6" s="667"/>
      <c r="E6" s="667"/>
      <c r="F6" s="432"/>
      <c r="G6" s="432"/>
      <c r="H6" s="432"/>
      <c r="I6" s="432"/>
      <c r="J6"/>
      <c r="K6"/>
      <c r="L6"/>
      <c r="M6"/>
      <c r="N6"/>
      <c r="O6"/>
      <c r="P6"/>
      <c r="Q6"/>
      <c r="R6"/>
      <c r="S6"/>
      <c r="T6"/>
      <c r="U6"/>
      <c r="V6"/>
      <c r="W6"/>
      <c r="X6"/>
      <c r="Y6"/>
      <c r="Z6"/>
      <c r="AA6"/>
      <c r="AB6"/>
      <c r="AC6"/>
      <c r="AD6"/>
      <c r="AE6"/>
      <c r="AF6"/>
      <c r="AG6"/>
      <c r="AH6"/>
      <c r="AI6"/>
      <c r="AJ6"/>
      <c r="AK6"/>
      <c r="AL6"/>
      <c r="AM6"/>
      <c r="AN6"/>
      <c r="AO6"/>
      <c r="AP6"/>
      <c r="AQ6"/>
      <c r="AR6"/>
      <c r="AS6" s="1059"/>
      <c r="AT6" s="1059"/>
      <c r="AU6" s="1059"/>
      <c r="AV6" s="1059"/>
      <c r="AW6" s="1059"/>
      <c r="AX6" s="118" t="s">
        <v>1320</v>
      </c>
      <c r="AY6" s="117" t="str">
        <f>CBPRESE</f>
        <v>NA</v>
      </c>
      <c r="AZ6" s="181" t="str">
        <f>PAYPRESE</f>
        <v>NA</v>
      </c>
      <c r="BA6" s="52"/>
      <c r="BB6" s="52"/>
    </row>
    <row r="7" spans="1:68" ht="15.95" customHeight="1">
      <c r="A7" s="629" t="s">
        <v>83</v>
      </c>
      <c r="B7" s="629"/>
      <c r="C7" s="629"/>
      <c r="D7" s="629"/>
      <c r="E7" s="629"/>
      <c r="F7" s="85"/>
      <c r="G7" s="85"/>
      <c r="H7" s="85"/>
      <c r="I7" s="85"/>
      <c r="J7"/>
      <c r="K7"/>
      <c r="L7"/>
      <c r="M7"/>
      <c r="N7"/>
      <c r="O7"/>
      <c r="P7"/>
      <c r="Q7"/>
      <c r="R7"/>
      <c r="S7"/>
      <c r="T7"/>
      <c r="U7"/>
      <c r="V7"/>
      <c r="W7"/>
      <c r="X7"/>
      <c r="Y7"/>
      <c r="Z7"/>
      <c r="AA7"/>
      <c r="AB7"/>
      <c r="AC7"/>
      <c r="AD7"/>
      <c r="AE7"/>
      <c r="AF7"/>
      <c r="AG7"/>
      <c r="AH7"/>
      <c r="AI7"/>
      <c r="AJ7"/>
      <c r="AK7"/>
      <c r="AL7"/>
      <c r="AM7"/>
      <c r="AN7"/>
      <c r="AO7"/>
      <c r="AP7"/>
      <c r="AQ7"/>
      <c r="AR7"/>
      <c r="AS7" s="629" t="s">
        <v>299</v>
      </c>
      <c r="AT7" s="629"/>
      <c r="AU7" s="629"/>
      <c r="AV7" s="629"/>
      <c r="AW7" s="629"/>
      <c r="AX7" s="118" t="s">
        <v>135</v>
      </c>
      <c r="AY7" s="117" t="str">
        <f>CBCUSE</f>
        <v>NA</v>
      </c>
      <c r="AZ7" s="181" t="str">
        <f>PAYCUSE</f>
        <v>NA</v>
      </c>
      <c r="BA7" s="52"/>
      <c r="BB7" s="52"/>
      <c r="BC7" s="116"/>
    </row>
    <row r="8" spans="1:68" ht="15.95" customHeight="1" thickBot="1">
      <c r="A8" s="632"/>
      <c r="B8" s="632"/>
      <c r="C8" s="632"/>
      <c r="D8" s="632"/>
      <c r="E8" s="632"/>
      <c r="F8" s="429"/>
      <c r="G8" s="429"/>
      <c r="H8" s="429"/>
      <c r="I8" s="429"/>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28" t="str">
        <f ca="1">PROJSTATUS</f>
        <v>Enter Measures</v>
      </c>
      <c r="AT8" s="628"/>
      <c r="AU8" s="628"/>
      <c r="AV8" s="628"/>
      <c r="AW8" s="628"/>
      <c r="AX8" s="118" t="s">
        <v>596</v>
      </c>
      <c r="AY8" s="117" t="str">
        <f>CBALL</f>
        <v>NA</v>
      </c>
      <c r="AZ8" s="181" t="str">
        <f>PAYALL</f>
        <v>NA</v>
      </c>
      <c r="BA8" s="52"/>
      <c r="BB8" s="52"/>
    </row>
    <row r="9" spans="1:68" s="113" customFormat="1" ht="15.95" customHeight="1">
      <c r="B9" s="89"/>
      <c r="C9" s="89"/>
      <c r="D9" s="89"/>
      <c r="E9" s="89"/>
      <c r="F9" s="89"/>
      <c r="I9" s="88"/>
      <c r="J9" s="877"/>
      <c r="K9" s="878"/>
      <c r="L9" s="878"/>
      <c r="M9" s="878"/>
      <c r="N9" s="876" t="str">
        <f>M3S3</f>
        <v>Lighting Controls</v>
      </c>
      <c r="O9" s="817"/>
      <c r="P9" s="817"/>
      <c r="Q9" s="817"/>
      <c r="R9" s="876" t="str">
        <f>M3S4</f>
        <v>Refrigeration</v>
      </c>
      <c r="S9" s="817"/>
      <c r="T9" s="817"/>
      <c r="U9" s="817"/>
      <c r="V9" s="876" t="str">
        <f>M3S5</f>
        <v>HVAC</v>
      </c>
      <c r="W9" s="817"/>
      <c r="X9" s="817"/>
      <c r="Y9" s="817"/>
      <c r="Z9" s="876" t="str">
        <f>M4S8</f>
        <v>Motors and Drives</v>
      </c>
      <c r="AA9" s="817"/>
      <c r="AB9" s="817"/>
      <c r="AC9" s="817"/>
      <c r="AD9" s="876" t="str">
        <f>M3S6</f>
        <v>Compressed Air / Process</v>
      </c>
      <c r="AE9" s="817"/>
      <c r="AF9" s="817"/>
      <c r="AG9" s="817"/>
      <c r="AH9" s="876" t="str">
        <f>M3S7</f>
        <v>Water Heating / Food Services</v>
      </c>
      <c r="AI9" s="817"/>
      <c r="AJ9" s="817"/>
      <c r="AK9" s="817"/>
      <c r="AL9" s="819" t="str">
        <f>M4S9</f>
        <v>Miscellaneous</v>
      </c>
      <c r="AM9" s="819"/>
      <c r="AN9" s="819"/>
      <c r="AO9" s="819"/>
      <c r="AP9" s="89"/>
      <c r="AQ9" s="89"/>
      <c r="AR9" s="89"/>
      <c r="AS9" s="22"/>
      <c r="AT9" s="22"/>
      <c r="AU9" s="89"/>
      <c r="AV9" s="89"/>
    </row>
    <row r="10" spans="1:68" s="113" customFormat="1" ht="15.95" customHeight="1">
      <c r="B10" s="89"/>
      <c r="C10" s="89"/>
      <c r="D10" s="89"/>
      <c r="E10" s="89"/>
      <c r="F10" s="89"/>
      <c r="I10" s="88"/>
      <c r="J10" s="878"/>
      <c r="K10" s="878"/>
      <c r="L10" s="878"/>
      <c r="M10" s="878"/>
      <c r="N10" s="817"/>
      <c r="O10" s="817"/>
      <c r="P10" s="817"/>
      <c r="Q10" s="817"/>
      <c r="R10" s="817"/>
      <c r="S10" s="817"/>
      <c r="T10" s="817"/>
      <c r="U10" s="817"/>
      <c r="V10" s="817"/>
      <c r="W10" s="817"/>
      <c r="X10" s="817"/>
      <c r="Y10" s="817"/>
      <c r="Z10" s="817"/>
      <c r="AA10" s="817"/>
      <c r="AB10" s="817"/>
      <c r="AC10" s="817"/>
      <c r="AD10" s="817"/>
      <c r="AE10" s="817"/>
      <c r="AF10" s="817"/>
      <c r="AG10" s="817"/>
      <c r="AH10" s="817"/>
      <c r="AI10" s="817"/>
      <c r="AJ10" s="817"/>
      <c r="AK10" s="817"/>
      <c r="AL10" s="819"/>
      <c r="AM10" s="819"/>
      <c r="AN10" s="819"/>
      <c r="AO10" s="819"/>
      <c r="AP10" s="89"/>
      <c r="AQ10" s="89"/>
      <c r="AR10" s="89"/>
      <c r="AS10" s="22"/>
      <c r="AT10" s="22"/>
      <c r="AU10" s="89"/>
      <c r="AV10" s="89"/>
    </row>
    <row r="11" spans="1:68" ht="15.95" customHeight="1">
      <c r="B11" s="106"/>
      <c r="C11" s="106"/>
      <c r="D11" s="106"/>
      <c r="E11" s="106"/>
      <c r="F11" s="106"/>
      <c r="I11"/>
      <c r="J11" s="878"/>
      <c r="K11" s="878"/>
      <c r="L11" s="878"/>
      <c r="M11" s="878"/>
      <c r="N11" s="817"/>
      <c r="O11" s="817"/>
      <c r="P11" s="817"/>
      <c r="Q11" s="817"/>
      <c r="R11" s="817"/>
      <c r="S11" s="817"/>
      <c r="T11" s="817"/>
      <c r="U11" s="817"/>
      <c r="V11" s="817"/>
      <c r="W11" s="817"/>
      <c r="X11" s="817"/>
      <c r="Y11" s="817"/>
      <c r="Z11" s="817"/>
      <c r="AA11" s="817"/>
      <c r="AB11" s="817"/>
      <c r="AC11" s="817"/>
      <c r="AD11" s="817"/>
      <c r="AE11" s="817"/>
      <c r="AF11" s="817"/>
      <c r="AG11" s="817"/>
      <c r="AH11" s="817"/>
      <c r="AI11" s="817"/>
      <c r="AJ11" s="817"/>
      <c r="AK11" s="817"/>
      <c r="AL11" s="819"/>
      <c r="AM11" s="819"/>
      <c r="AN11" s="819"/>
      <c r="AO11" s="819"/>
      <c r="AP11" s="106"/>
      <c r="AQ11" s="106"/>
      <c r="AR11" s="106"/>
      <c r="AU11" s="106"/>
      <c r="AV11" s="106"/>
    </row>
    <row r="12" spans="1:68" ht="15.95" customHeight="1">
      <c r="A12" s="86"/>
      <c r="B12" s="86"/>
      <c r="C12" s="86"/>
      <c r="D12" s="86"/>
      <c r="E12" s="86"/>
      <c r="F12" s="86"/>
      <c r="G12" s="86"/>
      <c r="T12" s="821">
        <f>SUM(AR18:AU195)</f>
        <v>0</v>
      </c>
      <c r="U12" s="821"/>
      <c r="V12" s="821"/>
      <c r="W12" s="821"/>
      <c r="X12" s="821">
        <f ca="1">SUMIF(AR18:AU195,"&gt;0",AL18:AN195)</f>
        <v>0</v>
      </c>
      <c r="Y12" s="821"/>
      <c r="Z12" s="821"/>
      <c r="AA12" s="821"/>
      <c r="AB12" s="820">
        <f ca="1">SUMIF(AR18:AU195,"&gt;0",AO18:AQ195)</f>
        <v>0</v>
      </c>
      <c r="AC12" s="820"/>
      <c r="AD12" s="820"/>
      <c r="AE12" s="820"/>
    </row>
    <row r="13" spans="1:68" ht="15.95" customHeight="1">
      <c r="A13" s="86"/>
      <c r="B13" s="86"/>
      <c r="C13" s="86"/>
      <c r="D13" s="86"/>
      <c r="E13" s="758" t="s">
        <v>1845</v>
      </c>
      <c r="F13" s="758"/>
      <c r="G13" s="758"/>
      <c r="H13" s="758"/>
      <c r="I13" s="758"/>
      <c r="J13" s="758"/>
      <c r="K13" s="758"/>
      <c r="L13" s="758"/>
      <c r="M13" s="758"/>
      <c r="N13" s="758"/>
      <c r="O13" s="758"/>
      <c r="P13" s="758"/>
      <c r="Q13" s="758"/>
      <c r="R13" s="758"/>
      <c r="T13" s="821"/>
      <c r="U13" s="821"/>
      <c r="V13" s="821"/>
      <c r="W13" s="821"/>
      <c r="X13" s="821"/>
      <c r="Y13" s="821"/>
      <c r="Z13" s="821"/>
      <c r="AA13" s="821"/>
      <c r="AB13" s="820"/>
      <c r="AC13" s="820"/>
      <c r="AD13" s="820"/>
      <c r="AE13" s="820"/>
      <c r="AM13" s="840" t="str">
        <f>IF(OR(IFERROR(MATCH("75% Total Cost", BM:BM, 0), FALSE), IFERROR(MATCH("100% Incremental Cost", BM:BM, 0), FALSE)), "The incentive for one or more measures is capped due to measure cost.", "")</f>
        <v/>
      </c>
      <c r="AN13" s="840"/>
      <c r="AO13" s="840"/>
      <c r="AP13" s="840"/>
      <c r="AQ13" s="840"/>
      <c r="AR13" s="840"/>
      <c r="AS13" s="840"/>
      <c r="AT13" s="840"/>
      <c r="AU13" s="840"/>
    </row>
    <row r="14" spans="1:68" ht="15.95" customHeight="1">
      <c r="E14"/>
      <c r="F14"/>
      <c r="G14"/>
      <c r="H14"/>
      <c r="I14"/>
      <c r="J14"/>
      <c r="K14"/>
      <c r="L14"/>
      <c r="M14"/>
      <c r="N14"/>
      <c r="O14"/>
      <c r="P14"/>
      <c r="Q14"/>
      <c r="R14"/>
      <c r="T14" s="758" t="s">
        <v>1717</v>
      </c>
      <c r="U14" s="758"/>
      <c r="V14" s="758"/>
      <c r="W14" s="758"/>
      <c r="X14" s="758" t="s">
        <v>67</v>
      </c>
      <c r="Y14" s="758"/>
      <c r="Z14" s="758"/>
      <c r="AA14" s="758"/>
      <c r="AB14" s="758" t="s">
        <v>1161</v>
      </c>
      <c r="AC14" s="758"/>
      <c r="AD14" s="758"/>
      <c r="AE14" s="758"/>
      <c r="AM14" s="840"/>
      <c r="AN14" s="840"/>
      <c r="AO14" s="840"/>
      <c r="AP14" s="840"/>
      <c r="AQ14" s="840"/>
      <c r="AR14" s="840"/>
      <c r="AS14" s="840"/>
      <c r="AT14" s="840"/>
      <c r="AU14" s="840"/>
    </row>
    <row r="15" spans="1:68" ht="15.95" customHeight="1"/>
    <row r="16" spans="1:68" ht="15.95" customHeight="1">
      <c r="C16" s="723" t="s">
        <v>1308</v>
      </c>
      <c r="D16" s="723"/>
      <c r="E16" s="723"/>
      <c r="F16" s="723"/>
      <c r="G16" s="723"/>
      <c r="H16" s="723" t="s">
        <v>1238</v>
      </c>
      <c r="I16" s="723"/>
      <c r="J16" s="723"/>
      <c r="K16" s="723"/>
      <c r="L16" s="723"/>
      <c r="M16" s="723"/>
      <c r="N16" s="723" t="s">
        <v>1309</v>
      </c>
      <c r="O16" s="723"/>
      <c r="P16" s="723"/>
      <c r="Q16" s="723"/>
      <c r="R16" s="723"/>
      <c r="S16" s="723"/>
      <c r="T16" s="723" t="s">
        <v>2426</v>
      </c>
      <c r="U16" s="723"/>
      <c r="V16" s="723"/>
      <c r="W16" s="723" t="s">
        <v>1310</v>
      </c>
      <c r="X16" s="723"/>
      <c r="Y16" s="723"/>
      <c r="Z16" s="723"/>
      <c r="AA16" s="723"/>
      <c r="AB16" s="723"/>
      <c r="AC16" s="723" t="s">
        <v>2427</v>
      </c>
      <c r="AD16" s="723"/>
      <c r="AE16" s="723"/>
      <c r="AF16" s="723" t="s">
        <v>1311</v>
      </c>
      <c r="AG16" s="723"/>
      <c r="AH16" s="814" t="s">
        <v>1257</v>
      </c>
      <c r="AI16" s="814"/>
      <c r="AJ16" s="814"/>
      <c r="AK16" s="814"/>
      <c r="AL16" s="723" t="s">
        <v>1304</v>
      </c>
      <c r="AM16" s="723"/>
      <c r="AN16" s="723"/>
      <c r="AO16" s="723" t="s">
        <v>1108</v>
      </c>
      <c r="AP16" s="723"/>
      <c r="AQ16" s="723"/>
      <c r="AR16" s="723" t="s">
        <v>83</v>
      </c>
      <c r="AS16" s="723"/>
      <c r="AT16" s="723"/>
      <c r="AU16" s="723"/>
      <c r="AV16" s="66"/>
      <c r="AW16" s="66"/>
      <c r="AX16" s="756" t="s">
        <v>132</v>
      </c>
      <c r="AY16" s="756" t="s">
        <v>325</v>
      </c>
      <c r="AZ16" s="756" t="s">
        <v>1116</v>
      </c>
      <c r="BA16" s="756" t="s">
        <v>2595</v>
      </c>
      <c r="BB16" s="756" t="s">
        <v>1324</v>
      </c>
      <c r="BC16" s="756" t="s">
        <v>635</v>
      </c>
      <c r="BD16" s="756" t="s">
        <v>1256</v>
      </c>
      <c r="BE16" s="756" t="s">
        <v>88</v>
      </c>
      <c r="BF16" s="756" t="s">
        <v>1305</v>
      </c>
      <c r="BG16" s="756" t="s">
        <v>1307</v>
      </c>
      <c r="BH16" s="756" t="s">
        <v>1466</v>
      </c>
      <c r="BI16" s="736" t="s">
        <v>2125</v>
      </c>
      <c r="BJ16" s="736" t="s">
        <v>703</v>
      </c>
      <c r="BK16" s="756" t="s">
        <v>1765</v>
      </c>
      <c r="BL16" s="756" t="s">
        <v>85</v>
      </c>
      <c r="BM16" s="756" t="s">
        <v>1306</v>
      </c>
      <c r="BN16" s="756" t="s">
        <v>309</v>
      </c>
      <c r="BO16" s="736" t="s">
        <v>2130</v>
      </c>
      <c r="BP16" s="736" t="s">
        <v>2401</v>
      </c>
    </row>
    <row r="17" spans="1:74" ht="15.95" customHeight="1" thickBot="1">
      <c r="C17" s="724"/>
      <c r="D17" s="724"/>
      <c r="E17" s="724"/>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t="s">
        <v>1241</v>
      </c>
      <c r="AI17" s="724"/>
      <c r="AJ17" s="724" t="s">
        <v>1242</v>
      </c>
      <c r="AK17" s="724"/>
      <c r="AL17" s="724"/>
      <c r="AM17" s="724"/>
      <c r="AN17" s="724"/>
      <c r="AO17" s="724"/>
      <c r="AP17" s="724"/>
      <c r="AQ17" s="724"/>
      <c r="AR17" s="724"/>
      <c r="AS17" s="724"/>
      <c r="AT17" s="724"/>
      <c r="AU17" s="724"/>
      <c r="AV17" s="44"/>
      <c r="AW17" s="44"/>
      <c r="AX17" s="757"/>
      <c r="AY17" s="757"/>
      <c r="AZ17" s="757"/>
      <c r="BA17" s="757"/>
      <c r="BB17" s="757"/>
      <c r="BC17" s="757"/>
      <c r="BD17" s="757"/>
      <c r="BE17" s="757"/>
      <c r="BF17" s="757"/>
      <c r="BG17" s="757"/>
      <c r="BH17" s="757"/>
      <c r="BI17" s="737"/>
      <c r="BJ17" s="737"/>
      <c r="BK17" s="757"/>
      <c r="BL17" s="757"/>
      <c r="BM17" s="757"/>
      <c r="BN17" s="757"/>
      <c r="BO17" s="737"/>
      <c r="BP17" s="737"/>
    </row>
    <row r="18" spans="1:74" ht="15.95" customHeight="1">
      <c r="B18" s="806">
        <v>1</v>
      </c>
      <c r="C18" s="994"/>
      <c r="D18" s="726"/>
      <c r="E18" s="726"/>
      <c r="F18" s="726"/>
      <c r="G18" s="995"/>
      <c r="H18" s="1013"/>
      <c r="I18" s="1013"/>
      <c r="J18" s="1013"/>
      <c r="K18" s="1013"/>
      <c r="L18" s="1013"/>
      <c r="M18" s="991"/>
      <c r="N18" s="1116"/>
      <c r="O18" s="726"/>
      <c r="P18" s="726"/>
      <c r="Q18" s="726"/>
      <c r="R18" s="726"/>
      <c r="S18" s="995"/>
      <c r="T18" s="1129"/>
      <c r="U18" s="1130"/>
      <c r="V18" s="1131"/>
      <c r="W18" s="1116"/>
      <c r="X18" s="726"/>
      <c r="Y18" s="726"/>
      <c r="Z18" s="726"/>
      <c r="AA18" s="726"/>
      <c r="AB18" s="995"/>
      <c r="AC18" s="1129"/>
      <c r="AD18" s="1130"/>
      <c r="AE18" s="1131"/>
      <c r="AF18" s="1121" t="str">
        <f>IFERROR(IF($C18="", "", IF(OR($C18 = "Retrofit existing", $C18 = "Replace in-life equip."), "Total", "Incremental")), "")</f>
        <v/>
      </c>
      <c r="AG18" s="1122"/>
      <c r="AH18" s="999"/>
      <c r="AI18" s="999"/>
      <c r="AJ18" s="1062" t="str">
        <f t="shared" ref="AJ18" si="0">IF(AF18="Incremental",0,"")</f>
        <v/>
      </c>
      <c r="AK18" s="1063"/>
      <c r="AL18" s="1057" t="str">
        <f>IF(OR(C18="",H18="",N18="",T18="",W18="",AC18="",AF18="",AH18="",AJ18=""),"",ROUND(AH18+AJ18,2))</f>
        <v/>
      </c>
      <c r="AM18" s="1058"/>
      <c r="AN18" s="1058"/>
      <c r="AO18" s="1033" t="str">
        <f>IF(OR(C18="",H18="",N18="",T18="",W18="",AC18="",AF18="",AH18="",AJ18=""),"",IF(BC18-BD18&lt;=0,0,ROUND(BC18-BD18,4)))</f>
        <v/>
      </c>
      <c r="AP18" s="1033"/>
      <c r="AQ18" s="1033"/>
      <c r="AR18" s="996" t="str">
        <f>IF(OR(C18="",H18="",N18="",T18="",W18="",AC18="",AF18="",AH18="",AJ18=""),"", IF(BN18&lt;&gt;"",BN18,IF(BP18&gt;0,BP18,IF(AF18="Incremental",IF(ACTIVEBLOCK="Yes", ROUND(MIN(AL18*INCCOSTCAP,AO18*BLOCKBIDRATE),2),ROUND(MIN(AL18*INCCOSTCAP,BI18),2)), IF(ACTIVEBLOCK="Yes",ROUND(MIN(AL18*TOTCOSTCAP,AO18*BLOCKBIDRATE),2), ROUND(MIN(AL18*TOTCOSTCAP,BI18),2))))))</f>
        <v/>
      </c>
      <c r="AS18" s="996"/>
      <c r="AT18" s="996"/>
      <c r="AU18" s="996"/>
      <c r="AV18" s="44"/>
      <c r="AW18" s="44"/>
      <c r="AX18" s="974" t="str">
        <f>IFERROR(IF(OR(C18="",H18="",N18="",T18="",W18="",AC18="",AF18="",AH18="",AJ18=""),"",
ROUND(((1+ELOSS)*((AO18*INDEX(ELECCB[NPV AEC $/kWh],MATCH(BE18,ELECCB[Year Number],1)))+(BG18*INDEX(ELECCB[NPV ACC $/kW],MATCH(BE18,ELECCB[Year Number],1))))/AL18),2)),0)</f>
        <v/>
      </c>
      <c r="AY18" s="974" t="str">
        <f>IFERROR(AL18/M02S04F06/AO18,"")</f>
        <v/>
      </c>
      <c r="AZ18" s="967" t="str">
        <f>IF(OR(C18="",H18=""),"",INDEX(CMEMISC[Unit of Measure],MATCH(H18,CMEMISC[Proj Desc 1],0)))</f>
        <v/>
      </c>
      <c r="BA18" s="980" t="str">
        <f>IF(AO18&lt;&gt;"","Missing!","")</f>
        <v/>
      </c>
      <c r="BB18" s="980" t="str">
        <f>IF(AO18&lt;&gt;"","Missing!","")</f>
        <v/>
      </c>
      <c r="BC18" s="976" t="str">
        <f>IF(OR(C18="",H18="",N18="",T18="",W18="",AC18="",AF18="",AH18="",AJ18=""),"",ROUND(T18,4))</f>
        <v/>
      </c>
      <c r="BD18" s="976" t="str">
        <f>IF(OR(C18="",H18="",N18="",T18="",W18="",AC18="",AF18="",AH18="",AJ18=""),"",ROUND(AC18,4))</f>
        <v/>
      </c>
      <c r="BE18" s="978" t="str">
        <f>IF(OR(C18="",H18=""),"",IF(INDEX(CMEMISC[EUL],MATCH(H18,CMEMISC[Proj Desc 1],0))="","",INDEX(CMEMISC[EUL],MATCH(H18,CMEMISC[Proj Desc 1],0))))</f>
        <v/>
      </c>
      <c r="BF18" s="980" t="str">
        <f>IF(OR(C18="",H18=""),"",IF(INDEX(CMEMISC[End Use Category],MATCH(H18,CMEMISC[Proj Desc 1],0))="","",INDEX(CMEMISC[End Use Category],MATCH(H18,CMEMISC[Proj Desc 1],0))))</f>
        <v/>
      </c>
      <c r="BG18" s="1200" t="str">
        <f>IFERROR(IF(OR(C18="",H18="",N18="",T18="",W18="",AC18="",AF18="",AH18="",AJ18=""),"",ROUND(AO18*INDEX(ENDUSEALL[Factor],MATCH(BF18,ENDUSEALL[End Use to Coincident Peak Demand Factors],0)),4)),"")</f>
        <v/>
      </c>
      <c r="BH18" s="1202"/>
      <c r="BI18" s="830" t="str">
        <f>IFERROR(ROUND(AO18*BJ18,2),"")</f>
        <v/>
      </c>
      <c r="BJ18" s="830" t="str">
        <f>_xlfn.LET(_xlpm.ROWS,MATCH(BF18,ENDUSEALL[End Use to Coincident Peak Demand Factors],0),IFERROR(INDEX(IF(AND(ACTIVEBONUS = TRUE,INDEX(ENDUSEALL[Bonus Rate ($/kWh)],_xlpm.ROWS)&lt;&gt;""),ENDUSEALL[Bonus Rate ($/kWh)],ENDUSEALL[Rate ($/kWh)]),_xlpm.ROWS),""))</f>
        <v/>
      </c>
      <c r="BK18" s="830"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965" t="str">
        <f>IF(OR(C18="",H18="",N18="",T18="",W18="",AC18="",AF18="",AH18="",AJ18=""),"",IF(BN18&lt;&gt;"",SPILLOVERNUMBER,INDEX(CMEMISC[Measure Number],MATCH(H18,CMEMISC[Proj Desc 1],0))))</f>
        <v/>
      </c>
      <c r="BM18" s="967"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967"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830" t="str">
        <f>IFERROR(IF(OR(C18="",H18="",N18="",T18="",W18="",AC18="",AF18="",AH18="",AJ18=""),"",
ROUND(((1+ELOSS)*((AO18*INDEX(ELECCB[NPV AEC $/kWh],MATCH(BE18,ELECCB[Year Number],1)))+(BG18*INDEX(ELECCB[NPV ACC $/kW],MATCH(BE18,ELECCB[Year Number],1))))),2)),0)</f>
        <v/>
      </c>
      <c r="BP18" s="969"/>
    </row>
    <row r="19" spans="1:74" ht="15.95" customHeight="1">
      <c r="B19" s="806"/>
      <c r="C19" s="991"/>
      <c r="D19" s="992"/>
      <c r="E19" s="992"/>
      <c r="F19" s="992"/>
      <c r="G19" s="993"/>
      <c r="H19" s="1015"/>
      <c r="I19" s="1015"/>
      <c r="J19" s="1015"/>
      <c r="K19" s="1015"/>
      <c r="L19" s="1015"/>
      <c r="M19" s="1020"/>
      <c r="N19" s="1026"/>
      <c r="O19" s="992"/>
      <c r="P19" s="992"/>
      <c r="Q19" s="992"/>
      <c r="R19" s="992"/>
      <c r="S19" s="993"/>
      <c r="T19" s="1031"/>
      <c r="U19" s="1125"/>
      <c r="V19" s="1126"/>
      <c r="W19" s="1026"/>
      <c r="X19" s="992"/>
      <c r="Y19" s="992"/>
      <c r="Z19" s="992"/>
      <c r="AA19" s="992"/>
      <c r="AB19" s="993"/>
      <c r="AC19" s="1031"/>
      <c r="AD19" s="1125"/>
      <c r="AE19" s="1126"/>
      <c r="AF19" s="1121"/>
      <c r="AG19" s="1122"/>
      <c r="AH19" s="999"/>
      <c r="AI19" s="999"/>
      <c r="AJ19" s="1062"/>
      <c r="AK19" s="1063"/>
      <c r="AL19" s="1001"/>
      <c r="AM19" s="1002"/>
      <c r="AN19" s="1002"/>
      <c r="AO19" s="1034"/>
      <c r="AP19" s="1034"/>
      <c r="AQ19" s="1034"/>
      <c r="AR19" s="997"/>
      <c r="AS19" s="997"/>
      <c r="AT19" s="997"/>
      <c r="AU19" s="997"/>
      <c r="AV19" s="44"/>
      <c r="AW19" s="44"/>
      <c r="AX19" s="982"/>
      <c r="AY19" s="982"/>
      <c r="AZ19" s="983"/>
      <c r="BA19" s="986"/>
      <c r="BB19" s="986"/>
      <c r="BC19" s="984"/>
      <c r="BD19" s="984"/>
      <c r="BE19" s="985"/>
      <c r="BF19" s="986"/>
      <c r="BG19" s="1201"/>
      <c r="BH19" s="1203"/>
      <c r="BI19" s="831"/>
      <c r="BJ19" s="831"/>
      <c r="BK19" s="831"/>
      <c r="BL19" s="987"/>
      <c r="BM19" s="983"/>
      <c r="BN19" s="983"/>
      <c r="BO19" s="831"/>
      <c r="BP19" s="981"/>
    </row>
    <row r="20" spans="1:74" ht="15.95" customHeight="1">
      <c r="A20" s="85"/>
      <c r="B20" s="806">
        <v>2</v>
      </c>
      <c r="C20" s="988"/>
      <c r="D20" s="989"/>
      <c r="E20" s="989"/>
      <c r="F20" s="989"/>
      <c r="G20" s="990"/>
      <c r="H20" s="1015"/>
      <c r="I20" s="1015"/>
      <c r="J20" s="1015"/>
      <c r="K20" s="1015"/>
      <c r="L20" s="1015"/>
      <c r="M20" s="1020"/>
      <c r="N20" s="1025"/>
      <c r="O20" s="989"/>
      <c r="P20" s="989"/>
      <c r="Q20" s="989"/>
      <c r="R20" s="989"/>
      <c r="S20" s="990"/>
      <c r="T20" s="1029"/>
      <c r="U20" s="1123"/>
      <c r="V20" s="1124"/>
      <c r="W20" s="1025"/>
      <c r="X20" s="989"/>
      <c r="Y20" s="989"/>
      <c r="Z20" s="989"/>
      <c r="AA20" s="989"/>
      <c r="AB20" s="990"/>
      <c r="AC20" s="1029"/>
      <c r="AD20" s="1123"/>
      <c r="AE20" s="1124"/>
      <c r="AF20" s="1121" t="str">
        <f>IFERROR(IF($C20="", "", IF(OR($C20 = "Retrofit existing", $C20 = "Replace in-life equip."), "Total", "Incremental")), "")</f>
        <v/>
      </c>
      <c r="AG20" s="1122"/>
      <c r="AH20" s="999"/>
      <c r="AI20" s="999"/>
      <c r="AJ20" s="1062" t="str">
        <f t="shared" ref="AJ20" si="1">IF(AF20="Incremental",0,"")</f>
        <v/>
      </c>
      <c r="AK20" s="1063"/>
      <c r="AL20" s="1057" t="str">
        <f>IF(OR(C20="",H20="",N20="",T20="",W20="",AC20="",AF20="",AH20="",AJ20=""),"",ROUND(AH20+AJ20,2))</f>
        <v/>
      </c>
      <c r="AM20" s="1058"/>
      <c r="AN20" s="1058"/>
      <c r="AO20" s="1033" t="str">
        <f>IF(OR(C20="",H20="",N20="",T20="",W20="",AC20="",AF20="",AH20="",AJ20=""),"",IF(BC20-BD20&lt;=0,0,ROUND(BC20-BD20,4)))</f>
        <v/>
      </c>
      <c r="AP20" s="1033"/>
      <c r="AQ20" s="1033"/>
      <c r="AR20" s="1064" t="str">
        <f>IF(OR(C20="",H20="",N20="",T20="",W20="",AC20="",AF20="",AH20="",AJ20=""),"", IF(BN20&lt;&gt;"",BN20,IF(BP20&gt;0,BP20,IF(AF20="Incremental",IF(ACTIVEBLOCK="Yes", ROUND(MIN(AL20*INCCOSTCAP,AO20*BLOCKBIDRATE),2),ROUND(MIN(AL20*INCCOSTCAP,BI20),2)), IF(ACTIVEBLOCK="Yes",ROUND(MIN(AL20*TOTCOSTCAP,AO20*BLOCKBIDRATE),2), ROUND(MIN(AL20*TOTCOSTCAP,BI20),2))))))</f>
        <v/>
      </c>
      <c r="AS20" s="1065"/>
      <c r="AT20" s="1065"/>
      <c r="AU20" s="1066"/>
      <c r="AV20" s="44"/>
      <c r="AW20" s="44"/>
      <c r="AX20" s="974" t="str">
        <f>IFERROR(IF(OR(C20="",H20="",N20="",T20="",W20="",AC20="",AF20="",AH20="",AJ20=""),"",
ROUND(((1+ELOSS)*((AO20*INDEX(ELECCB[NPV AEC $/kWh],MATCH(BE20,ELECCB[Year Number],1)))+(BG20*INDEX(ELECCB[NPV ACC $/kW],MATCH(BE20,ELECCB[Year Number],1))))/AL20),2)),0)</f>
        <v/>
      </c>
      <c r="AY20" s="974" t="str">
        <f>IFERROR(AL20/M02S04F06/AO20,"")</f>
        <v/>
      </c>
      <c r="AZ20" s="967" t="str">
        <f>IF(OR(C20="",H20=""),"",INDEX(CMEMISC[Unit of Measure],MATCH(H20,CMEMISC[Proj Desc 1],0)))</f>
        <v/>
      </c>
      <c r="BA20" s="980" t="str">
        <f t="shared" ref="BA20" si="2">IF(AO20&lt;&gt;"","Missing!","")</f>
        <v/>
      </c>
      <c r="BB20" s="980" t="str">
        <f t="shared" ref="BB20" si="3">IF(AO20&lt;&gt;"","Missing!","")</f>
        <v/>
      </c>
      <c r="BC20" s="976" t="str">
        <f>IF(OR(C20="",H20="",N20="",T20="",W20="",AC20="",AF20="",AH20="",AJ20=""),"",ROUND(T20,4))</f>
        <v/>
      </c>
      <c r="BD20" s="976" t="str">
        <f>IF(OR(C20="",H20="",N20="",T20="",W20="",AC20="",AF20="",AH20="",AJ20=""),"",ROUND(AC20,4))</f>
        <v/>
      </c>
      <c r="BE20" s="978" t="str">
        <f>IF(OR(C20="",H20=""),"",IF(INDEX(CMEMISC[EUL],MATCH(H20,CMEMISC[Proj Desc 1],0))="","",INDEX(CMEMISC[EUL],MATCH(H20,CMEMISC[Proj Desc 1],0))))</f>
        <v/>
      </c>
      <c r="BF20" s="980" t="str">
        <f>IF(OR(C20="",H20=""),"",IF(INDEX(CMEMISC[End Use Category],MATCH(H20,CMEMISC[Proj Desc 1],0))="","",INDEX(CMEMISC[End Use Category],MATCH(H20,CMEMISC[Proj Desc 1],0))))</f>
        <v/>
      </c>
      <c r="BG20" s="1200" t="str">
        <f>IFERROR(IF(OR(C20="",H20="",N20="",T20="",W20="",AC20="",AF20="",AH20="",AJ20=""),"",ROUND(AO20*INDEX(ENDUSEALL[Factor],MATCH(BF20,ENDUSEALL[End Use to Coincident Peak Demand Factors],0)),4)),"")</f>
        <v/>
      </c>
      <c r="BH20" s="1202"/>
      <c r="BI20" s="830" t="str">
        <f>IFERROR(ROUND(AO20*BJ20,2),"")</f>
        <v/>
      </c>
      <c r="BJ20" s="963" t="str">
        <f>_xlfn.LET(_xlpm.ROWS,MATCH(BF20,ENDUSEALL[End Use to Coincident Peak Demand Factors],0),IFERROR(INDEX(IF(AND(ACTIVEBONUS = TRUE,INDEX(ENDUSEALL[Bonus Rate ($/kWh)],_xlpm.ROWS)&lt;&gt;""),ENDUSEALL[Bonus Rate ($/kWh)],ENDUSEALL[Rate ($/kWh)]),_xlpm.ROWS),""))</f>
        <v/>
      </c>
      <c r="BK20" s="963"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965" t="str">
        <f>IF(OR(C20="",H20="",N20="",T20="",W20="",AC20="",AF20="",AH20="",AJ20=""),"",IF(BN20&lt;&gt;"",SPILLOVERNUMBER,INDEX(CMEMISC[Measure Number],MATCH(H20,CMEMISC[Proj Desc 1],0))))</f>
        <v/>
      </c>
      <c r="BM20" s="967"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967"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830" t="str">
        <f>IFERROR(IF(OR(C20="",H20="",N20="",T20="",W20="",AC20="",AF20="",AH20="",AJ20=""),"",
ROUND(((1+ELOSS)*((AO20*INDEX(ELECCB[NPV AEC $/kWh],MATCH(BE20,ELECCB[Year Number],1)))+(BG20*INDEX(ELECCB[NPV ACC $/kW],MATCH(BE20,ELECCB[Year Number],1))))),2)),0)</f>
        <v/>
      </c>
      <c r="BP20" s="969"/>
    </row>
    <row r="21" spans="1:74" ht="15.95" customHeight="1">
      <c r="B21" s="806"/>
      <c r="C21" s="991"/>
      <c r="D21" s="992"/>
      <c r="E21" s="992"/>
      <c r="F21" s="992"/>
      <c r="G21" s="993"/>
      <c r="H21" s="1015"/>
      <c r="I21" s="1015"/>
      <c r="J21" s="1015"/>
      <c r="K21" s="1015"/>
      <c r="L21" s="1015"/>
      <c r="M21" s="1020"/>
      <c r="N21" s="1026"/>
      <c r="O21" s="992"/>
      <c r="P21" s="992"/>
      <c r="Q21" s="992"/>
      <c r="R21" s="992"/>
      <c r="S21" s="993"/>
      <c r="T21" s="1031"/>
      <c r="U21" s="1125"/>
      <c r="V21" s="1126"/>
      <c r="W21" s="1026"/>
      <c r="X21" s="992"/>
      <c r="Y21" s="992"/>
      <c r="Z21" s="992"/>
      <c r="AA21" s="992"/>
      <c r="AB21" s="993"/>
      <c r="AC21" s="1031"/>
      <c r="AD21" s="1125"/>
      <c r="AE21" s="1126"/>
      <c r="AF21" s="1121"/>
      <c r="AG21" s="1122"/>
      <c r="AH21" s="999"/>
      <c r="AI21" s="999"/>
      <c r="AJ21" s="1062"/>
      <c r="AK21" s="1063"/>
      <c r="AL21" s="1001"/>
      <c r="AM21" s="1002"/>
      <c r="AN21" s="1002"/>
      <c r="AO21" s="1034"/>
      <c r="AP21" s="1034"/>
      <c r="AQ21" s="1034"/>
      <c r="AR21" s="1067"/>
      <c r="AS21" s="1068"/>
      <c r="AT21" s="1068"/>
      <c r="AU21" s="1069"/>
      <c r="AV21" s="44"/>
      <c r="AW21" s="44"/>
      <c r="AX21" s="982"/>
      <c r="AY21" s="982"/>
      <c r="AZ21" s="983"/>
      <c r="BA21" s="986"/>
      <c r="BB21" s="986"/>
      <c r="BC21" s="984"/>
      <c r="BD21" s="984"/>
      <c r="BE21" s="985"/>
      <c r="BF21" s="986"/>
      <c r="BG21" s="1201"/>
      <c r="BH21" s="1203"/>
      <c r="BI21" s="831"/>
      <c r="BJ21" s="830"/>
      <c r="BK21" s="830"/>
      <c r="BL21" s="987"/>
      <c r="BM21" s="983"/>
      <c r="BN21" s="983"/>
      <c r="BO21" s="831"/>
      <c r="BP21" s="981"/>
    </row>
    <row r="22" spans="1:74" ht="15.95" customHeight="1">
      <c r="B22" s="806">
        <v>3</v>
      </c>
      <c r="C22" s="988"/>
      <c r="D22" s="989"/>
      <c r="E22" s="989"/>
      <c r="F22" s="989"/>
      <c r="G22" s="990"/>
      <c r="H22" s="1015"/>
      <c r="I22" s="1015"/>
      <c r="J22" s="1015"/>
      <c r="K22" s="1015"/>
      <c r="L22" s="1015"/>
      <c r="M22" s="1020"/>
      <c r="N22" s="1025"/>
      <c r="O22" s="989"/>
      <c r="P22" s="989"/>
      <c r="Q22" s="989"/>
      <c r="R22" s="989"/>
      <c r="S22" s="990"/>
      <c r="T22" s="1029"/>
      <c r="U22" s="1123"/>
      <c r="V22" s="1124"/>
      <c r="W22" s="1025"/>
      <c r="X22" s="989"/>
      <c r="Y22" s="989"/>
      <c r="Z22" s="989"/>
      <c r="AA22" s="989"/>
      <c r="AB22" s="990"/>
      <c r="AC22" s="1029"/>
      <c r="AD22" s="1123"/>
      <c r="AE22" s="1124"/>
      <c r="AF22" s="1121" t="str">
        <f>IFERROR(IF($C22="", "", IF(OR($C22 = "Retrofit existing", $C22 = "Replace in-life equip."), "Total", "Incremental")), "")</f>
        <v/>
      </c>
      <c r="AG22" s="1122"/>
      <c r="AH22" s="999"/>
      <c r="AI22" s="999"/>
      <c r="AJ22" s="1062" t="str">
        <f t="shared" ref="AJ22" si="4">IF(AF22="Incremental",0,"")</f>
        <v/>
      </c>
      <c r="AK22" s="1063"/>
      <c r="AL22" s="1057" t="str">
        <f>IF(OR(C22="",H22="",N22="",T22="",W22="",AC22="",AF22="",AH22="",AJ22=""),"",ROUND(AH22+AJ22,2))</f>
        <v/>
      </c>
      <c r="AM22" s="1058"/>
      <c r="AN22" s="1058"/>
      <c r="AO22" s="1033" t="str">
        <f>IF(OR(C22="",H22="",N22="",T22="",W22="",AC22="",AF22="",AH22="",AJ22=""),"",IF(BC22-BD22&lt;=0,0,ROUND(BC22-BD22,4)))</f>
        <v/>
      </c>
      <c r="AP22" s="1033"/>
      <c r="AQ22" s="1033"/>
      <c r="AR22" s="1064" t="str">
        <f>IF(OR(C22="",H22="",N22="",T22="",W22="",AC22="",AF22="",AH22="",AJ22=""),"", IF(BN22&lt;&gt;"",BN22,IF(BP22&gt;0,BP22,IF(AF22="Incremental",IF(ACTIVEBLOCK="Yes", ROUND(MIN(AL22*INCCOSTCAP,AO22*BLOCKBIDRATE),2),ROUND(MIN(AL22*INCCOSTCAP,BI22),2)), IF(ACTIVEBLOCK="Yes",ROUND(MIN(AL22*TOTCOSTCAP,AO22*BLOCKBIDRATE),2), ROUND(MIN(AL22*TOTCOSTCAP,BI22),2))))))</f>
        <v/>
      </c>
      <c r="AS22" s="1065"/>
      <c r="AT22" s="1065"/>
      <c r="AU22" s="1066"/>
      <c r="AV22" s="44"/>
      <c r="AW22" s="44"/>
      <c r="AX22" s="974" t="str">
        <f>IFERROR(IF(OR(C22="",H22="",N22="",T22="",W22="",AC22="",AF22="",AH22="",AJ22=""),"",
ROUND(((1+ELOSS)*((AO22*INDEX(ELECCB[NPV AEC $/kWh],MATCH(BE22,ELECCB[Year Number],1)))+(BG22*INDEX(ELECCB[NPV ACC $/kW],MATCH(BE22,ELECCB[Year Number],1))))/AL22),2)),0)</f>
        <v/>
      </c>
      <c r="AY22" s="974" t="str">
        <f>IFERROR(AL22/M02S04F06/AO22,"")</f>
        <v/>
      </c>
      <c r="AZ22" s="967" t="str">
        <f>IF(OR(C22="",H22=""),"",INDEX(CMEMISC[Unit of Measure],MATCH(H22,CMEMISC[Proj Desc 1],0)))</f>
        <v/>
      </c>
      <c r="BA22" s="980" t="str">
        <f t="shared" ref="BA22" si="5">IF(AO22&lt;&gt;"","Missing!","")</f>
        <v/>
      </c>
      <c r="BB22" s="980" t="str">
        <f t="shared" ref="BB22" si="6">IF(AO22&lt;&gt;"","Missing!","")</f>
        <v/>
      </c>
      <c r="BC22" s="976" t="str">
        <f>IF(OR(C22="",H22="",N22="",T22="",W22="",AC22="",AF22="",AH22="",AJ22=""),"",ROUND(T22,4))</f>
        <v/>
      </c>
      <c r="BD22" s="976" t="str">
        <f>IF(OR(C22="",H22="",N22="",T22="",W22="",AC22="",AF22="",AH22="",AJ22=""),"",ROUND(AC22,4))</f>
        <v/>
      </c>
      <c r="BE22" s="978" t="str">
        <f>IF(OR(C22="",H22=""),"",IF(INDEX(CMEMISC[EUL],MATCH(H22,CMEMISC[Proj Desc 1],0))="","",INDEX(CMEMISC[EUL],MATCH(H22,CMEMISC[Proj Desc 1],0))))</f>
        <v/>
      </c>
      <c r="BF22" s="980" t="str">
        <f>IF(OR(C22="",H22=""),"",IF(INDEX(CMEMISC[End Use Category],MATCH(H22,CMEMISC[Proj Desc 1],0))="","",INDEX(CMEMISC[End Use Category],MATCH(H22,CMEMISC[Proj Desc 1],0))))</f>
        <v/>
      </c>
      <c r="BG22" s="1200" t="str">
        <f>IFERROR(IF(OR(C22="",H22="",N22="",T22="",W22="",AC22="",AF22="",AH22="",AJ22=""),"",ROUND(AO22*INDEX(ENDUSEALL[Factor],MATCH(BF22,ENDUSEALL[End Use to Coincident Peak Demand Factors],0)),4)),"")</f>
        <v/>
      </c>
      <c r="BH22" s="1202"/>
      <c r="BI22" s="830" t="str">
        <f>IFERROR(ROUND(AO22*BJ22,2),"")</f>
        <v/>
      </c>
      <c r="BJ22" s="963" t="str">
        <f>_xlfn.LET(_xlpm.ROWS,MATCH(BF22,ENDUSEALL[End Use to Coincident Peak Demand Factors],0),IFERROR(INDEX(IF(AND(ACTIVEBONUS = TRUE,INDEX(ENDUSEALL[Bonus Rate ($/kWh)],_xlpm.ROWS)&lt;&gt;""),ENDUSEALL[Bonus Rate ($/kWh)],ENDUSEALL[Rate ($/kWh)]),_xlpm.ROWS),""))</f>
        <v/>
      </c>
      <c r="BK22" s="963"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965" t="str">
        <f>IF(OR(C22="",H22="",N22="",T22="",W22="",AC22="",AF22="",AH22="",AJ22=""),"",IF(BN22&lt;&gt;"",SPILLOVERNUMBER,INDEX(CMEMISC[Measure Number],MATCH(H22,CMEMISC[Proj Desc 1],0))))</f>
        <v/>
      </c>
      <c r="BM22" s="967"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967"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830" t="str">
        <f>IFERROR(IF(OR(C22="",H22="",N22="",T22="",W22="",AC22="",AF22="",AH22="",AJ22=""),"",
ROUND(((1+ELOSS)*((AO22*INDEX(ELECCB[NPV AEC $/kWh],MATCH(BE22,ELECCB[Year Number],1)))+(BG22*INDEX(ELECCB[NPV ACC $/kW],MATCH(BE22,ELECCB[Year Number],1))))),2)),0)</f>
        <v/>
      </c>
      <c r="BP22" s="969"/>
    </row>
    <row r="23" spans="1:74" ht="15.95" customHeight="1">
      <c r="A23" s="85"/>
      <c r="B23" s="806"/>
      <c r="C23" s="991"/>
      <c r="D23" s="992"/>
      <c r="E23" s="992"/>
      <c r="F23" s="992"/>
      <c r="G23" s="993"/>
      <c r="H23" s="1015"/>
      <c r="I23" s="1015"/>
      <c r="J23" s="1015"/>
      <c r="K23" s="1015"/>
      <c r="L23" s="1015"/>
      <c r="M23" s="1020"/>
      <c r="N23" s="1026"/>
      <c r="O23" s="992"/>
      <c r="P23" s="992"/>
      <c r="Q23" s="992"/>
      <c r="R23" s="992"/>
      <c r="S23" s="993"/>
      <c r="T23" s="1031"/>
      <c r="U23" s="1125"/>
      <c r="V23" s="1126"/>
      <c r="W23" s="1026"/>
      <c r="X23" s="992"/>
      <c r="Y23" s="992"/>
      <c r="Z23" s="992"/>
      <c r="AA23" s="992"/>
      <c r="AB23" s="993"/>
      <c r="AC23" s="1031"/>
      <c r="AD23" s="1125"/>
      <c r="AE23" s="1126"/>
      <c r="AF23" s="1121"/>
      <c r="AG23" s="1122"/>
      <c r="AH23" s="999"/>
      <c r="AI23" s="999"/>
      <c r="AJ23" s="1062"/>
      <c r="AK23" s="1063"/>
      <c r="AL23" s="1001"/>
      <c r="AM23" s="1002"/>
      <c r="AN23" s="1002"/>
      <c r="AO23" s="1034"/>
      <c r="AP23" s="1034"/>
      <c r="AQ23" s="1034"/>
      <c r="AR23" s="1067"/>
      <c r="AS23" s="1068"/>
      <c r="AT23" s="1068"/>
      <c r="AU23" s="1069"/>
      <c r="AV23" s="44"/>
      <c r="AW23" s="44"/>
      <c r="AX23" s="982"/>
      <c r="AY23" s="982"/>
      <c r="AZ23" s="983"/>
      <c r="BA23" s="986"/>
      <c r="BB23" s="986"/>
      <c r="BC23" s="984"/>
      <c r="BD23" s="984"/>
      <c r="BE23" s="985"/>
      <c r="BF23" s="986"/>
      <c r="BG23" s="1201"/>
      <c r="BH23" s="1203"/>
      <c r="BI23" s="831"/>
      <c r="BJ23" s="830"/>
      <c r="BK23" s="830"/>
      <c r="BL23" s="987"/>
      <c r="BM23" s="983"/>
      <c r="BN23" s="983"/>
      <c r="BO23" s="831"/>
      <c r="BP23" s="981"/>
    </row>
    <row r="24" spans="1:74" ht="15.95" customHeight="1">
      <c r="B24" s="806">
        <v>4</v>
      </c>
      <c r="C24" s="988"/>
      <c r="D24" s="989"/>
      <c r="E24" s="989"/>
      <c r="F24" s="989"/>
      <c r="G24" s="990"/>
      <c r="H24" s="1015"/>
      <c r="I24" s="1015"/>
      <c r="J24" s="1015"/>
      <c r="K24" s="1015"/>
      <c r="L24" s="1015"/>
      <c r="M24" s="1020"/>
      <c r="N24" s="1025"/>
      <c r="O24" s="989"/>
      <c r="P24" s="989"/>
      <c r="Q24" s="989"/>
      <c r="R24" s="989"/>
      <c r="S24" s="990"/>
      <c r="T24" s="1029"/>
      <c r="U24" s="1123"/>
      <c r="V24" s="1124"/>
      <c r="W24" s="1025"/>
      <c r="X24" s="989"/>
      <c r="Y24" s="989"/>
      <c r="Z24" s="989"/>
      <c r="AA24" s="989"/>
      <c r="AB24" s="990"/>
      <c r="AC24" s="1029"/>
      <c r="AD24" s="1123"/>
      <c r="AE24" s="1124"/>
      <c r="AF24" s="1121" t="str">
        <f>IFERROR(IF($C24="", "", IF(OR($C24 = "Retrofit existing", $C24 = "Replace in-life equip."), "Total", "Incremental")), "")</f>
        <v/>
      </c>
      <c r="AG24" s="1122"/>
      <c r="AH24" s="999"/>
      <c r="AI24" s="999"/>
      <c r="AJ24" s="1062" t="str">
        <f t="shared" ref="AJ24" si="7">IF(AF24="Incremental",0,"")</f>
        <v/>
      </c>
      <c r="AK24" s="1063"/>
      <c r="AL24" s="1057" t="str">
        <f>IF(OR(C24="",H24="",N24="",T24="",W24="",AC24="",AF24="",AH24="",AJ24=""),"",ROUND(AH24+AJ24,2))</f>
        <v/>
      </c>
      <c r="AM24" s="1058"/>
      <c r="AN24" s="1058"/>
      <c r="AO24" s="1033" t="str">
        <f>IF(OR(C24="",H24="",N24="",T24="",W24="",AC24="",AF24="",AH24="",AJ24=""),"",IF(BC24-BD24&lt;=0,0,ROUND(BC24-BD24,4)))</f>
        <v/>
      </c>
      <c r="AP24" s="1033"/>
      <c r="AQ24" s="1033"/>
      <c r="AR24" s="1064" t="str">
        <f>IF(OR(C24="",H24="",N24="",T24="",W24="",AC24="",AF24="",AH24="",AJ24=""),"", IF(BN24&lt;&gt;"",BN24,IF(BP24&gt;0,BP24,IF(AF24="Incremental",IF(ACTIVEBLOCK="Yes", ROUND(MIN(AL24*INCCOSTCAP,AO24*BLOCKBIDRATE),2),ROUND(MIN(AL24*INCCOSTCAP,BI24),2)), IF(ACTIVEBLOCK="Yes",ROUND(MIN(AL24*TOTCOSTCAP,AO24*BLOCKBIDRATE),2), ROUND(MIN(AL24*TOTCOSTCAP,BI24),2))))))</f>
        <v/>
      </c>
      <c r="AS24" s="1065"/>
      <c r="AT24" s="1065"/>
      <c r="AU24" s="1066"/>
      <c r="AV24" s="44"/>
      <c r="AW24" s="44"/>
      <c r="AX24" s="974" t="str">
        <f>IFERROR(IF(OR(C24="",H24="",N24="",T24="",W24="",AC24="",AF24="",AH24="",AJ24=""),"",
ROUND(((1+ELOSS)*((AO24*INDEX(ELECCB[NPV AEC $/kWh],MATCH(BE24,ELECCB[Year Number],1)))+(BG24*INDEX(ELECCB[NPV ACC $/kW],MATCH(BE24,ELECCB[Year Number],1))))/AL24),2)),0)</f>
        <v/>
      </c>
      <c r="AY24" s="974" t="str">
        <f>IFERROR(AL24/M02S04F06/AO24,"")</f>
        <v/>
      </c>
      <c r="AZ24" s="967" t="str">
        <f>IF(OR(C24="",H24=""),"",INDEX(CMEMISC[Unit of Measure],MATCH(H24,CMEMISC[Proj Desc 1],0)))</f>
        <v/>
      </c>
      <c r="BA24" s="980" t="str">
        <f t="shared" ref="BA24" si="8">IF(AO24&lt;&gt;"","Missing!","")</f>
        <v/>
      </c>
      <c r="BB24" s="980" t="str">
        <f t="shared" ref="BB24" si="9">IF(AO24&lt;&gt;"","Missing!","")</f>
        <v/>
      </c>
      <c r="BC24" s="976" t="str">
        <f>IF(OR(C24="",H24="",N24="",T24="",W24="",AC24="",AF24="",AH24="",AJ24=""),"",ROUND(T24,4))</f>
        <v/>
      </c>
      <c r="BD24" s="976" t="str">
        <f>IF(OR(C24="",H24="",N24="",T24="",W24="",AC24="",AF24="",AH24="",AJ24=""),"",ROUND(AC24,4))</f>
        <v/>
      </c>
      <c r="BE24" s="978" t="str">
        <f>IF(OR(C24="",H24=""),"",IF(INDEX(CMEMISC[EUL],MATCH(H24,CMEMISC[Proj Desc 1],0))="","",INDEX(CMEMISC[EUL],MATCH(H24,CMEMISC[Proj Desc 1],0))))</f>
        <v/>
      </c>
      <c r="BF24" s="980" t="str">
        <f>IF(OR(C24="",H24=""),"",IF(INDEX(CMEMISC[End Use Category],MATCH(H24,CMEMISC[Proj Desc 1],0))="","",INDEX(CMEMISC[End Use Category],MATCH(H24,CMEMISC[Proj Desc 1],0))))</f>
        <v/>
      </c>
      <c r="BG24" s="1200" t="str">
        <f>IFERROR(IF(OR(C24="",H24="",N24="",T24="",W24="",AC24="",AF24="",AH24="",AJ24=""),"",ROUND(AO24*INDEX(ENDUSEALL[Factor],MATCH(BF24,ENDUSEALL[End Use to Coincident Peak Demand Factors],0)),4)),"")</f>
        <v/>
      </c>
      <c r="BH24" s="1202"/>
      <c r="BI24" s="830" t="str">
        <f>IFERROR(ROUND(AO24*BJ24,2),"")</f>
        <v/>
      </c>
      <c r="BJ24" s="963" t="str">
        <f>_xlfn.LET(_xlpm.ROWS,MATCH(BF24,ENDUSEALL[End Use to Coincident Peak Demand Factors],0),IFERROR(INDEX(IF(AND(ACTIVEBONUS = TRUE,INDEX(ENDUSEALL[Bonus Rate ($/kWh)],_xlpm.ROWS)&lt;&gt;""),ENDUSEALL[Bonus Rate ($/kWh)],ENDUSEALL[Rate ($/kWh)]),_xlpm.ROWS),""))</f>
        <v/>
      </c>
      <c r="BK24" s="963"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965" t="str">
        <f>IF(OR(C24="",H24="",N24="",T24="",W24="",AC24="",AF24="",AH24="",AJ24=""),"",IF(BN24&lt;&gt;"",SPILLOVERNUMBER,INDEX(CMEMISC[Measure Number],MATCH(H24,CMEMISC[Proj Desc 1],0))))</f>
        <v/>
      </c>
      <c r="BM24" s="967"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967"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830" t="str">
        <f>IFERROR(IF(OR(C24="",H24="",N24="",T24="",W24="",AC24="",AF24="",AH24="",AJ24=""),"",
ROUND(((1+ELOSS)*((AO24*INDEX(ELECCB[NPV AEC $/kWh],MATCH(BE24,ELECCB[Year Number],1)))+(BG24*INDEX(ELECCB[NPV ACC $/kW],MATCH(BE24,ELECCB[Year Number],1))))),2)),0)</f>
        <v/>
      </c>
      <c r="BP24" s="969"/>
    </row>
    <row r="25" spans="1:74" ht="15.95" customHeight="1">
      <c r="B25" s="806"/>
      <c r="C25" s="991"/>
      <c r="D25" s="992"/>
      <c r="E25" s="992"/>
      <c r="F25" s="992"/>
      <c r="G25" s="993"/>
      <c r="H25" s="1015"/>
      <c r="I25" s="1015"/>
      <c r="J25" s="1015"/>
      <c r="K25" s="1015"/>
      <c r="L25" s="1015"/>
      <c r="M25" s="1020"/>
      <c r="N25" s="1026"/>
      <c r="O25" s="992"/>
      <c r="P25" s="992"/>
      <c r="Q25" s="992"/>
      <c r="R25" s="992"/>
      <c r="S25" s="993"/>
      <c r="T25" s="1031"/>
      <c r="U25" s="1125"/>
      <c r="V25" s="1126"/>
      <c r="W25" s="1026"/>
      <c r="X25" s="992"/>
      <c r="Y25" s="992"/>
      <c r="Z25" s="992"/>
      <c r="AA25" s="992"/>
      <c r="AB25" s="993"/>
      <c r="AC25" s="1031"/>
      <c r="AD25" s="1125"/>
      <c r="AE25" s="1126"/>
      <c r="AF25" s="1121"/>
      <c r="AG25" s="1122"/>
      <c r="AH25" s="999"/>
      <c r="AI25" s="999"/>
      <c r="AJ25" s="1062"/>
      <c r="AK25" s="1063"/>
      <c r="AL25" s="1001"/>
      <c r="AM25" s="1002"/>
      <c r="AN25" s="1002"/>
      <c r="AO25" s="1034"/>
      <c r="AP25" s="1034"/>
      <c r="AQ25" s="1034"/>
      <c r="AR25" s="1067"/>
      <c r="AS25" s="1068"/>
      <c r="AT25" s="1068"/>
      <c r="AU25" s="1069"/>
      <c r="AV25" s="44"/>
      <c r="AW25" s="44"/>
      <c r="AX25" s="982"/>
      <c r="AY25" s="982"/>
      <c r="AZ25" s="983"/>
      <c r="BA25" s="986"/>
      <c r="BB25" s="986"/>
      <c r="BC25" s="984"/>
      <c r="BD25" s="984"/>
      <c r="BE25" s="985"/>
      <c r="BF25" s="986"/>
      <c r="BG25" s="1201"/>
      <c r="BH25" s="1203"/>
      <c r="BI25" s="831"/>
      <c r="BJ25" s="830"/>
      <c r="BK25" s="830"/>
      <c r="BL25" s="987"/>
      <c r="BM25" s="983"/>
      <c r="BN25" s="983"/>
      <c r="BO25" s="831"/>
      <c r="BP25" s="981"/>
    </row>
    <row r="26" spans="1:74" customFormat="1" ht="15.95" customHeight="1">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72"/>
      <c r="BB26" s="222"/>
      <c r="BC26" s="222"/>
      <c r="BF26" s="222"/>
      <c r="BH26" s="222"/>
      <c r="BI26" s="222"/>
      <c r="BJ26" s="222"/>
      <c r="BK26" s="222"/>
      <c r="BL26" s="222"/>
      <c r="BR26" s="22"/>
      <c r="BS26" s="22"/>
      <c r="BT26" s="22"/>
      <c r="BU26" s="22"/>
      <c r="BV26" s="22"/>
    </row>
    <row r="27" spans="1:74" customFormat="1" ht="15.95" hidden="1" customHeight="1">
      <c r="C27" s="433" t="s">
        <v>2915</v>
      </c>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BB27" s="222"/>
      <c r="BC27" s="222"/>
      <c r="BF27" s="222"/>
      <c r="BH27" s="222"/>
      <c r="BI27" s="222"/>
      <c r="BJ27" s="222"/>
      <c r="BK27" s="222"/>
      <c r="BL27" s="222"/>
      <c r="BR27" s="22"/>
      <c r="BS27" s="22"/>
      <c r="BT27" s="22"/>
      <c r="BU27" s="22"/>
      <c r="BV27" s="22"/>
    </row>
    <row r="28" spans="1:74" customFormat="1" ht="15.95" hidden="1" customHeight="1">
      <c r="C28" s="723" t="s">
        <v>1238</v>
      </c>
      <c r="D28" s="723"/>
      <c r="E28" s="723"/>
      <c r="F28" s="723"/>
      <c r="G28" s="723"/>
      <c r="H28" s="723" t="s">
        <v>2235</v>
      </c>
      <c r="I28" s="723"/>
      <c r="J28" s="723"/>
      <c r="K28" s="752" t="s">
        <v>2236</v>
      </c>
      <c r="L28" s="752"/>
      <c r="M28" s="752"/>
      <c r="N28" s="723" t="s">
        <v>1309</v>
      </c>
      <c r="O28" s="723"/>
      <c r="P28" s="723"/>
      <c r="Q28" s="723"/>
      <c r="R28" s="723"/>
      <c r="S28" s="723"/>
      <c r="T28" s="723" t="s">
        <v>2426</v>
      </c>
      <c r="U28" s="723"/>
      <c r="V28" s="723"/>
      <c r="W28" s="1216" t="s">
        <v>1310</v>
      </c>
      <c r="X28" s="1216"/>
      <c r="Y28" s="1216"/>
      <c r="Z28" s="1216"/>
      <c r="AA28" s="1216"/>
      <c r="AB28" s="1216"/>
      <c r="AC28" s="723" t="s">
        <v>2427</v>
      </c>
      <c r="AD28" s="723"/>
      <c r="AE28" s="723"/>
      <c r="AF28" s="723" t="s">
        <v>1311</v>
      </c>
      <c r="AG28" s="723"/>
      <c r="AH28" s="814" t="s">
        <v>1257</v>
      </c>
      <c r="AI28" s="814"/>
      <c r="AJ28" s="814"/>
      <c r="AK28" s="814"/>
      <c r="AL28" s="723" t="s">
        <v>1304</v>
      </c>
      <c r="AM28" s="723"/>
      <c r="AN28" s="723"/>
      <c r="AO28" s="723" t="s">
        <v>1108</v>
      </c>
      <c r="AP28" s="723"/>
      <c r="AQ28" s="723"/>
      <c r="AR28" s="723" t="s">
        <v>83</v>
      </c>
      <c r="AS28" s="723"/>
      <c r="AT28" s="723"/>
      <c r="AU28" s="723"/>
      <c r="AX28" s="756" t="s">
        <v>132</v>
      </c>
      <c r="AY28" s="756" t="s">
        <v>325</v>
      </c>
      <c r="AZ28" s="756" t="s">
        <v>1116</v>
      </c>
      <c r="BA28" s="756" t="s">
        <v>1460</v>
      </c>
      <c r="BB28" s="756" t="s">
        <v>2428</v>
      </c>
      <c r="BC28" s="756" t="s">
        <v>635</v>
      </c>
      <c r="BD28" s="756" t="s">
        <v>1256</v>
      </c>
      <c r="BE28" s="756" t="s">
        <v>88</v>
      </c>
      <c r="BF28" s="756"/>
      <c r="BG28" s="1193" t="s">
        <v>1252</v>
      </c>
      <c r="BH28" s="756"/>
      <c r="BI28" s="1195" t="s">
        <v>1719</v>
      </c>
      <c r="BJ28" s="1195" t="s">
        <v>2238</v>
      </c>
      <c r="BK28" s="1193"/>
      <c r="BL28" s="756" t="s">
        <v>85</v>
      </c>
      <c r="BM28" s="756" t="s">
        <v>1306</v>
      </c>
      <c r="BN28" s="756" t="s">
        <v>309</v>
      </c>
      <c r="BO28" s="736" t="s">
        <v>2130</v>
      </c>
      <c r="BP28" s="736" t="s">
        <v>2401</v>
      </c>
      <c r="BQ28" s="22"/>
      <c r="BR28" s="22"/>
      <c r="BS28" s="22"/>
      <c r="BT28" s="22"/>
      <c r="BU28" s="22"/>
      <c r="BV28" s="22"/>
    </row>
    <row r="29" spans="1:74" customFormat="1" ht="15.95" hidden="1" customHeight="1" thickBot="1">
      <c r="C29" s="724"/>
      <c r="D29" s="724"/>
      <c r="E29" s="724"/>
      <c r="F29" s="724"/>
      <c r="G29" s="724"/>
      <c r="H29" s="724"/>
      <c r="I29" s="724"/>
      <c r="J29" s="724"/>
      <c r="K29" s="753"/>
      <c r="L29" s="753"/>
      <c r="M29" s="753"/>
      <c r="N29" s="724"/>
      <c r="O29" s="724"/>
      <c r="P29" s="724"/>
      <c r="Q29" s="724"/>
      <c r="R29" s="724"/>
      <c r="S29" s="724"/>
      <c r="T29" s="724"/>
      <c r="U29" s="724"/>
      <c r="V29" s="724"/>
      <c r="W29" s="1217"/>
      <c r="X29" s="1217"/>
      <c r="Y29" s="1217"/>
      <c r="Z29" s="1217"/>
      <c r="AA29" s="1217"/>
      <c r="AB29" s="1217"/>
      <c r="AC29" s="724"/>
      <c r="AD29" s="724"/>
      <c r="AE29" s="724"/>
      <c r="AF29" s="724"/>
      <c r="AG29" s="724"/>
      <c r="AH29" s="724" t="s">
        <v>1241</v>
      </c>
      <c r="AI29" s="724"/>
      <c r="AJ29" s="724" t="s">
        <v>1242</v>
      </c>
      <c r="AK29" s="724"/>
      <c r="AL29" s="724"/>
      <c r="AM29" s="724"/>
      <c r="AN29" s="724"/>
      <c r="AO29" s="724"/>
      <c r="AP29" s="724"/>
      <c r="AQ29" s="724"/>
      <c r="AR29" s="724"/>
      <c r="AS29" s="724"/>
      <c r="AT29" s="724"/>
      <c r="AU29" s="724"/>
      <c r="AX29" s="757"/>
      <c r="AY29" s="757"/>
      <c r="AZ29" s="757"/>
      <c r="BA29" s="757"/>
      <c r="BB29" s="757"/>
      <c r="BC29" s="757"/>
      <c r="BD29" s="757"/>
      <c r="BE29" s="757"/>
      <c r="BF29" s="757"/>
      <c r="BG29" s="1194"/>
      <c r="BH29" s="757"/>
      <c r="BI29" s="1196"/>
      <c r="BJ29" s="1196"/>
      <c r="BK29" s="1194"/>
      <c r="BL29" s="757"/>
      <c r="BM29" s="757"/>
      <c r="BN29" s="757"/>
      <c r="BO29" s="737"/>
      <c r="BP29" s="737"/>
      <c r="BQ29" s="22"/>
      <c r="BR29" s="22"/>
      <c r="BS29" s="22"/>
      <c r="BT29" s="22"/>
      <c r="BU29" s="22"/>
      <c r="BV29" s="22"/>
    </row>
    <row r="30" spans="1:74" ht="15.75" hidden="1" customHeight="1">
      <c r="B30" s="806">
        <v>1</v>
      </c>
      <c r="C30" s="994"/>
      <c r="D30" s="726"/>
      <c r="E30" s="726"/>
      <c r="F30" s="726"/>
      <c r="G30" s="726"/>
      <c r="H30" s="1212"/>
      <c r="I30" s="1213"/>
      <c r="J30" s="1213"/>
      <c r="K30" s="1218"/>
      <c r="L30" s="1219"/>
      <c r="M30" s="1220"/>
      <c r="N30" s="1116"/>
      <c r="O30" s="726"/>
      <c r="P30" s="726"/>
      <c r="Q30" s="726"/>
      <c r="R30" s="726"/>
      <c r="S30" s="995"/>
      <c r="T30" s="1129"/>
      <c r="U30" s="1130"/>
      <c r="V30" s="1131"/>
      <c r="W30" s="1116"/>
      <c r="X30" s="726"/>
      <c r="Y30" s="726"/>
      <c r="Z30" s="726"/>
      <c r="AA30" s="726"/>
      <c r="AB30" s="995"/>
      <c r="AC30" s="1129"/>
      <c r="AD30" s="1130"/>
      <c r="AE30" s="1131"/>
      <c r="AF30" s="1137"/>
      <c r="AG30" s="1138"/>
      <c r="AH30" s="1019"/>
      <c r="AI30" s="1019"/>
      <c r="AJ30" s="1119"/>
      <c r="AK30" s="1120"/>
      <c r="AL30" s="1204" t="str">
        <f>IF(OR(C30="",N30="",T30="",W30="",AC30="",H30="",K30="",AF30="",AH30="",AJ30=""),"",ROUND(AH30+AJ30,2))</f>
        <v/>
      </c>
      <c r="AM30" s="1205"/>
      <c r="AN30" s="1205"/>
      <c r="AO30" s="1208" t="str">
        <f>IF(OR(C30="",N30="",T30="",W30="",AC30="",H30="",K30="",AF30="",AH30="",AJ30=""),"",ROUND(BC30-BD30,0))</f>
        <v/>
      </c>
      <c r="AP30" s="1208"/>
      <c r="AQ30" s="1208"/>
      <c r="AR30" s="1210" t="str">
        <f>IF(OR(C30="",N30="",T30="",W30="",AC30="",H30="",K30="",AF30="",AH30="",AJ30=""),"", IF(BN30&lt;&gt;"",BN30,IF(BP30&gt;0,BP30,IF(AF30="Incremental",IF(ACTIVEBLOCK="Yes", ROUND(MIN(AL30*INCCOSTCAP,AO30*BLOCKBIDRATE),2),ROUND(MIN(AL30*INCCOSTCAP,BI30),2)), IF(ACTIVEBLOCK="Yes",ROUND(MIN(AL30*TOTCOSTCAP,AO30*BLOCKBIDRATE),2), ROUND(MIN(AL30*TOTCOSTCAP,BI30),2))))))</f>
        <v/>
      </c>
      <c r="AS30" s="1210"/>
      <c r="AT30" s="1210"/>
      <c r="AU30" s="1210"/>
      <c r="AV30" s="44"/>
      <c r="AW30" s="44"/>
      <c r="AX30" s="982" t="str">
        <f>IFERROR(IF(OR(C30="",N30="",T30="",W30="",AC30="",H30="",K30="",AF30="",AH30="",AJ30=""),"",
ROUND(((1+ELOSS)*((AO30*INDEX(ELECCB[NPV AEC $/kWh],MATCH(BE30,ELECCB[Year Number],1)))+(H30*INDEX(ELECCB[NPV ACC $/kW],MATCH(BE30,ELECCB[Year Number],1))))/AL30),2)),0)</f>
        <v/>
      </c>
      <c r="AY30" s="982" t="str">
        <f>IFERROR(AL30/((M02S04F06*AO30)+(K30*H30)),"")</f>
        <v/>
      </c>
      <c r="AZ30" s="983" t="str">
        <f>IF(C30="","",INDEX(CMEMISC2[Unit of Measure],MATCH(C30,CMEMISC2[Proj Desc 1],0)))</f>
        <v/>
      </c>
      <c r="BA30" s="980" t="str">
        <f>IF(AO30&lt;&gt;"","Missing!","")</f>
        <v/>
      </c>
      <c r="BB30" s="980" t="str">
        <f>IF(AO30&lt;&gt;"","Missing!","")</f>
        <v/>
      </c>
      <c r="BC30" s="984" t="str">
        <f>IF(OR(C30="",N30="",T30="",W30="",AC30="",H30="",K30="",AF30="",AH30="",AJ30=""),"",ROUND(T30,0))</f>
        <v/>
      </c>
      <c r="BD30" s="984" t="str">
        <f>IF(OR(C30="",N30="",T30="",W30="",AC30="",H30="",K30="",AF30="",AH30="",AJ30=""),"",ROUND(AC30,0))</f>
        <v/>
      </c>
      <c r="BE30" s="985" t="str">
        <f>IF(C30="","",IF(INDEX(CMEMISC2[EUL],MATCH(C30,CMEMISC2[Proj Desc 1],0))="","",INDEX(CMEMISC2[EUL],MATCH(C30,CMEMISC2[Proj Desc 1],0))))</f>
        <v/>
      </c>
      <c r="BF30" s="1197"/>
      <c r="BG30" s="1198">
        <f>H30</f>
        <v>0</v>
      </c>
      <c r="BH30" s="1197"/>
      <c r="BI30" s="831">
        <f>BJ30*BG30</f>
        <v>0</v>
      </c>
      <c r="BJ30" s="831">
        <v>380</v>
      </c>
      <c r="BK30" s="1199"/>
      <c r="BL30" s="987" t="str">
        <f>IF(OR(C30="",N30="",T30="",W30="",AC30="",H30="",K30="",AF30="",AH30="",AJ30=""),"",IF(BN30&lt;&gt;"",SPILLOVERNUMBER,INDEX(CMEMISC2[Measure Number],MATCH(C30,CMEMISC2[Proj Desc 1],0))))</f>
        <v/>
      </c>
      <c r="BM30" s="983" t="str">
        <f>IFERROR(IF(BP30="", IF(AND(AF30="Total",ROUND(AR30/AL30,2)=TOTCOSTCAP,BI30/AL30&gt;TOTCOSTCAP),"75% Total Cost",
IF(AND(AF30="Incremental",ROUND(AR30/AL30,2)=INCCOSTCAP,BI30/AL30&gt;INCCOSTCAP),"100% Incremental Cost",
IF(BJ30&lt;KWHRATEMIN, "kWh Incentive Rate Min",
IF(BJ30&gt;KWHRATEMAX,"kWh Incentive Rate Cap",
IF(AR30=BK30,"Bonus Incentive", "kW Incentive"))))),""), "")</f>
        <v/>
      </c>
      <c r="BN30" s="983" t="str">
        <f ca="1">IFERROR(IF(EXPIRATION&lt;&gt;"",PROJSTATEXP,
IF(H30&lt;=0,MEASURESAV,
IF(OR(M02S04F06="",M02S04F06="Select Rate Code",M02S04F06=0),MEASURERATE,
IF(ISNUMBER(SEARCH("Other",C30)),MEASURESUBMIT,
 IF(AY30&lt;PAYBACKREQ,PROJECTSTATPAYBACK,
IF(AX30&lt;CBREQ,PROJECTSTATCB,"")))))),MEASURESUBMIT)</f>
        <v>Submit for Review</v>
      </c>
      <c r="BO30" s="831" t="str">
        <f>IFERROR(IF(OR(C30="",N30="",T30="",W30="",AC30="",H30="",K30="",AF30="",AH30="",AJ30=""),"",
ROUND(((1+ELOSS)*((AO30*INDEX(ELECCB[NPV AEC $/kWh],MATCH(BE30,ELECCB[Year Number],1)))+(BG30*INDEX(ELECCB[NPV ACC $/kW],MATCH(BE30,ELECCB[Year Number],1))))),2)),0)</f>
        <v/>
      </c>
      <c r="BP30" s="969"/>
    </row>
    <row r="31" spans="1:74" ht="15.75" hidden="1" customHeight="1">
      <c r="B31" s="806"/>
      <c r="C31" s="991"/>
      <c r="D31" s="992"/>
      <c r="E31" s="992"/>
      <c r="F31" s="992"/>
      <c r="G31" s="992"/>
      <c r="H31" s="1214"/>
      <c r="I31" s="1215"/>
      <c r="J31" s="1215"/>
      <c r="K31" s="1221"/>
      <c r="L31" s="1222"/>
      <c r="M31" s="1223"/>
      <c r="N31" s="1026"/>
      <c r="O31" s="992"/>
      <c r="P31" s="992"/>
      <c r="Q31" s="992"/>
      <c r="R31" s="992"/>
      <c r="S31" s="993"/>
      <c r="T31" s="1031"/>
      <c r="U31" s="1125"/>
      <c r="V31" s="1126"/>
      <c r="W31" s="1026"/>
      <c r="X31" s="992"/>
      <c r="Y31" s="992"/>
      <c r="Z31" s="992"/>
      <c r="AA31" s="992"/>
      <c r="AB31" s="993"/>
      <c r="AC31" s="1031"/>
      <c r="AD31" s="1125"/>
      <c r="AE31" s="1126"/>
      <c r="AF31" s="1139"/>
      <c r="AG31" s="1140"/>
      <c r="AH31" s="999"/>
      <c r="AI31" s="999"/>
      <c r="AJ31" s="1062"/>
      <c r="AK31" s="1063"/>
      <c r="AL31" s="1206"/>
      <c r="AM31" s="1207"/>
      <c r="AN31" s="1207"/>
      <c r="AO31" s="1209"/>
      <c r="AP31" s="1209"/>
      <c r="AQ31" s="1209"/>
      <c r="AR31" s="1211"/>
      <c r="AS31" s="1211"/>
      <c r="AT31" s="1211"/>
      <c r="AU31" s="1211"/>
      <c r="AV31" s="44"/>
      <c r="AW31" s="44"/>
      <c r="AX31" s="982"/>
      <c r="AY31" s="982"/>
      <c r="AZ31" s="983"/>
      <c r="BA31" s="986"/>
      <c r="BB31" s="986"/>
      <c r="BC31" s="984"/>
      <c r="BD31" s="984"/>
      <c r="BE31" s="985"/>
      <c r="BF31" s="1197"/>
      <c r="BG31" s="984"/>
      <c r="BH31" s="1197"/>
      <c r="BI31" s="984"/>
      <c r="BJ31" s="831"/>
      <c r="BK31" s="1199"/>
      <c r="BL31" s="987"/>
      <c r="BM31" s="983"/>
      <c r="BN31" s="983"/>
      <c r="BO31" s="831"/>
      <c r="BP31" s="981"/>
    </row>
    <row r="32" spans="1:74" customFormat="1" ht="15.95" hidden="1" customHeight="1">
      <c r="BA32" s="22"/>
      <c r="BB32" s="22"/>
      <c r="BC32" s="222"/>
      <c r="BD32" s="222"/>
      <c r="BG32" s="222"/>
      <c r="BI32" s="222"/>
      <c r="BJ32" s="222"/>
      <c r="BK32" s="222"/>
      <c r="BL32" s="222"/>
      <c r="BM32" s="222"/>
      <c r="BQ32" s="22"/>
      <c r="BR32" s="22"/>
      <c r="BS32" s="22"/>
      <c r="BT32" s="22"/>
      <c r="BU32" s="22"/>
      <c r="BV32" s="22"/>
    </row>
    <row r="33" spans="2:74" customFormat="1" ht="15.95" hidden="1" customHeight="1">
      <c r="C33" s="433" t="s">
        <v>2916</v>
      </c>
      <c r="L33" s="22"/>
      <c r="M33" s="22"/>
      <c r="N33" s="22"/>
      <c r="O33" s="22"/>
      <c r="S33" s="22"/>
      <c r="T33" s="22"/>
      <c r="U33" s="22"/>
      <c r="V33" s="22"/>
      <c r="BA33" s="22"/>
      <c r="BB33" s="22"/>
      <c r="BC33" s="222"/>
      <c r="BD33" s="222"/>
      <c r="BG33" s="222"/>
      <c r="BQ33" s="22"/>
      <c r="BR33" s="22"/>
      <c r="BS33" s="22"/>
      <c r="BT33" s="22"/>
      <c r="BU33" s="22"/>
      <c r="BV33" s="22"/>
    </row>
    <row r="34" spans="2:74" customFormat="1" ht="15.95" hidden="1" customHeight="1">
      <c r="C34" s="676" t="s">
        <v>1308</v>
      </c>
      <c r="D34" s="676"/>
      <c r="E34" s="676"/>
      <c r="F34" s="676"/>
      <c r="G34" s="676" t="s">
        <v>1238</v>
      </c>
      <c r="H34" s="676"/>
      <c r="I34" s="676"/>
      <c r="J34" s="676"/>
      <c r="K34" s="676"/>
      <c r="L34" s="676"/>
      <c r="M34" s="676" t="s">
        <v>1258</v>
      </c>
      <c r="N34" s="676"/>
      <c r="O34" s="676"/>
      <c r="P34" s="676" t="s">
        <v>2788</v>
      </c>
      <c r="Q34" s="676"/>
      <c r="R34" s="676" t="s">
        <v>2789</v>
      </c>
      <c r="S34" s="676"/>
      <c r="T34" s="1165" t="s">
        <v>1749</v>
      </c>
      <c r="U34" s="1165"/>
      <c r="V34" s="1165"/>
      <c r="W34" s="1165"/>
      <c r="X34" s="676" t="s">
        <v>2790</v>
      </c>
      <c r="Y34" s="676"/>
      <c r="Z34" s="1192" t="s">
        <v>2791</v>
      </c>
      <c r="AA34" s="1192"/>
      <c r="AB34" s="1192"/>
      <c r="AC34" s="1192"/>
      <c r="AD34" s="1192"/>
      <c r="AE34" s="1192"/>
      <c r="AF34" s="676" t="s">
        <v>1311</v>
      </c>
      <c r="AG34" s="676"/>
      <c r="AH34" s="1174" t="s">
        <v>1257</v>
      </c>
      <c r="AI34" s="1174"/>
      <c r="AJ34" s="1174"/>
      <c r="AK34" s="1174"/>
      <c r="AL34" s="676" t="s">
        <v>1304</v>
      </c>
      <c r="AM34" s="676"/>
      <c r="AN34" s="676"/>
      <c r="AO34" s="676" t="s">
        <v>1108</v>
      </c>
      <c r="AP34" s="676"/>
      <c r="AQ34" s="676"/>
      <c r="AR34" s="676" t="s">
        <v>83</v>
      </c>
      <c r="AS34" s="676"/>
      <c r="AT34" s="676"/>
      <c r="AU34" s="676"/>
      <c r="AV34" s="38"/>
      <c r="AW34" s="38"/>
      <c r="AX34" s="756" t="s">
        <v>132</v>
      </c>
      <c r="AY34" s="756" t="s">
        <v>325</v>
      </c>
      <c r="AZ34" s="756" t="s">
        <v>1116</v>
      </c>
      <c r="BA34" s="756" t="s">
        <v>2595</v>
      </c>
      <c r="BB34" s="756" t="s">
        <v>1324</v>
      </c>
      <c r="BC34" s="756" t="s">
        <v>635</v>
      </c>
      <c r="BD34" s="756" t="s">
        <v>1256</v>
      </c>
      <c r="BE34" s="756" t="s">
        <v>88</v>
      </c>
      <c r="BF34" s="756" t="s">
        <v>1305</v>
      </c>
      <c r="BG34" s="756" t="s">
        <v>1307</v>
      </c>
      <c r="BH34" s="756" t="s">
        <v>1466</v>
      </c>
      <c r="BI34" s="756" t="s">
        <v>2125</v>
      </c>
      <c r="BJ34" s="756" t="s">
        <v>703</v>
      </c>
      <c r="BK34" s="756" t="s">
        <v>1765</v>
      </c>
      <c r="BL34" s="756" t="s">
        <v>85</v>
      </c>
      <c r="BM34" s="756" t="s">
        <v>1306</v>
      </c>
      <c r="BN34" s="756" t="s">
        <v>309</v>
      </c>
      <c r="BO34" s="756" t="s">
        <v>2130</v>
      </c>
      <c r="BP34" s="756" t="s">
        <v>2401</v>
      </c>
      <c r="BQ34" s="22"/>
      <c r="BR34" s="22"/>
      <c r="BS34" s="22"/>
      <c r="BT34" s="22"/>
      <c r="BU34" s="22"/>
      <c r="BV34" s="22"/>
    </row>
    <row r="35" spans="2:74" customFormat="1" ht="15.95" hidden="1" customHeight="1" thickBot="1">
      <c r="C35" s="1141"/>
      <c r="D35" s="1141"/>
      <c r="E35" s="1141"/>
      <c r="F35" s="1141"/>
      <c r="G35" s="1141"/>
      <c r="H35" s="1141"/>
      <c r="I35" s="1141"/>
      <c r="J35" s="1141"/>
      <c r="K35" s="1141"/>
      <c r="L35" s="1141"/>
      <c r="M35" s="1141"/>
      <c r="N35" s="1141"/>
      <c r="O35" s="1141"/>
      <c r="P35" s="1141"/>
      <c r="Q35" s="1141"/>
      <c r="R35" s="1141"/>
      <c r="S35" s="1141"/>
      <c r="T35" s="1142" t="s">
        <v>2801</v>
      </c>
      <c r="U35" s="1142"/>
      <c r="V35" s="1142" t="s">
        <v>2802</v>
      </c>
      <c r="W35" s="1142"/>
      <c r="X35" s="1141"/>
      <c r="Y35" s="1141"/>
      <c r="Z35" s="1181" t="s">
        <v>2479</v>
      </c>
      <c r="AA35" s="1181"/>
      <c r="AB35" s="1181"/>
      <c r="AC35" s="1181" t="s">
        <v>2792</v>
      </c>
      <c r="AD35" s="1181"/>
      <c r="AE35" s="1181"/>
      <c r="AF35" s="1141"/>
      <c r="AG35" s="1141"/>
      <c r="AH35" s="1224" t="s">
        <v>1241</v>
      </c>
      <c r="AI35" s="1224"/>
      <c r="AJ35" s="1224" t="s">
        <v>1242</v>
      </c>
      <c r="AK35" s="1224"/>
      <c r="AL35" s="1141"/>
      <c r="AM35" s="1141"/>
      <c r="AN35" s="1141"/>
      <c r="AO35" s="1141"/>
      <c r="AP35" s="1141"/>
      <c r="AQ35" s="1141"/>
      <c r="AR35" s="1141"/>
      <c r="AS35" s="1141"/>
      <c r="AT35" s="1141"/>
      <c r="AU35" s="1141"/>
      <c r="AX35" s="757"/>
      <c r="AY35" s="757"/>
      <c r="AZ35" s="757"/>
      <c r="BA35" s="757"/>
      <c r="BB35" s="757"/>
      <c r="BC35" s="757"/>
      <c r="BD35" s="757"/>
      <c r="BE35" s="757"/>
      <c r="BF35" s="757"/>
      <c r="BG35" s="757"/>
      <c r="BH35" s="757"/>
      <c r="BI35" s="757"/>
      <c r="BJ35" s="757"/>
      <c r="BK35" s="757"/>
      <c r="BL35" s="757"/>
      <c r="BM35" s="757"/>
      <c r="BN35" s="757"/>
      <c r="BO35" s="757"/>
      <c r="BP35" s="757"/>
      <c r="BQ35" s="22"/>
      <c r="BR35" s="22"/>
      <c r="BS35" s="22"/>
      <c r="BT35" s="22"/>
      <c r="BU35" s="22"/>
      <c r="BV35" s="22"/>
    </row>
    <row r="36" spans="2:74" customFormat="1" ht="15.95" hidden="1" customHeight="1">
      <c r="B36" s="806">
        <v>1</v>
      </c>
      <c r="C36" s="1175"/>
      <c r="D36" s="1176"/>
      <c r="E36" s="1176"/>
      <c r="F36" s="1177"/>
      <c r="G36" s="1159"/>
      <c r="H36" s="1160"/>
      <c r="I36" s="1160"/>
      <c r="J36" s="1160"/>
      <c r="K36" s="1160"/>
      <c r="L36" s="1161"/>
      <c r="M36" s="1159"/>
      <c r="N36" s="1160"/>
      <c r="O36" s="1161"/>
      <c r="P36" s="1143"/>
      <c r="Q36" s="1143"/>
      <c r="R36" s="1149"/>
      <c r="S36" s="1149"/>
      <c r="T36" s="1145" t="str">
        <f>IF(AND(G36&lt;&gt;"", P36&lt;&gt;"", R36&lt;&gt;""), IF(ISNUMBER(SEARCH("Low-Voltage", G36)), LOOKUP(R36, TFBASELV[kVA], IF(ISNUMBER(SEARCH("Single", P36)), TFBASELV[1PH_Eff], TFBASELV[3PH_Eff])),
IF(ISNUMBER(SEARCH("Liquid", G36)), LOOKUP(R36, TFBASELI[kVA], IF(ISNUMBER(SEARCH("Single", P36)), TFBASELI[1PH_Eff], TFBASELI[3PH_Eff])),
IF(ISNUMBER(SEARCH("Medium-Voltage", G36)), LOOKUP(R36, TFBASEMV[kVA], IF(ISNUMBER(SEARCH("Single", P36)), TFBASEMV[1PH_Eff], TFBASEMV[3PH_Eff])), ""))), "")</f>
        <v/>
      </c>
      <c r="U36" s="1146"/>
      <c r="V36" s="1151"/>
      <c r="W36" s="1152"/>
      <c r="X36" s="1155" t="str" cm="1">
        <f t="array" ref="X36">IFERROR(IF(M02S04F19&lt;&gt;"", INDEX(LIST_Transformer_LF, MATCH(M02S04F19, BUILDING, 0)), "Enter Bldg. Type"), "")</f>
        <v>Enter Bldg. Type</v>
      </c>
      <c r="Y36" s="1156"/>
      <c r="Z36" s="1182" t="str">
        <f>IFERROR(IF(T36&lt;&gt; "", ROUND(R36*X36*1*((1/T36)-1)*8766, 0), ""), "")</f>
        <v/>
      </c>
      <c r="AA36" s="1183"/>
      <c r="AB36" s="1184"/>
      <c r="AC36" s="1182" t="str">
        <f>IFERROR(IF(V36&lt;&gt;"", ROUND(R36*X36*1*((1/V36)-1)*8766, 0), ""), "")</f>
        <v/>
      </c>
      <c r="AD36" s="1183"/>
      <c r="AE36" s="1188"/>
      <c r="AF36" s="1121" t="str">
        <f>IFERROR(IF($C36="", "", IF(OR($C36 = "Retrofit existing", $C36 = "Replace in-life equip."), "Total", "Incremental")), "")</f>
        <v/>
      </c>
      <c r="AG36" s="1122"/>
      <c r="AH36" s="1166"/>
      <c r="AI36" s="1167"/>
      <c r="AJ36" s="1062" t="str">
        <f t="shared" ref="AJ36" si="10">IF(AF36="Incremental",0,"")</f>
        <v/>
      </c>
      <c r="AK36" s="1063"/>
      <c r="AL36" s="1170" t="str">
        <f>IF(OR(C36="",G36="",P36="",R36="",V36="",M36="",X36="",AF36="",AH36="", AJ36=""),"",ROUND(AH36+AJ36,2))</f>
        <v/>
      </c>
      <c r="AM36" s="1170"/>
      <c r="AN36" s="1171"/>
      <c r="AO36" s="1033" t="str">
        <f>IF(OR(C36="",G36="",P36="",R36="",V36="",M36="",X36="",AF36="",AH36="", AJ36=""),"",IF(BC36-BD36&lt;=0,0,ROUND(BC36-BD36,4)))</f>
        <v/>
      </c>
      <c r="AP36" s="1033"/>
      <c r="AQ36" s="1033"/>
      <c r="AR36" s="996" t="str">
        <f>IF(OR(C36="",G36="",P36="",R36="",V36="",M36="",X36="",AF36="",AH36="", AJ36=""),"", IF(BN36&lt;&gt;"",BN36,IF(BP36&gt;0,BP36,IF(AF36="Incremental",IF(ACTIVEBLOCK="Yes", ROUND(MIN(AL36*INCCOSTCAP,AO36*BLOCKBIDRATE),2),ROUND(MIN(AL36*INCCOSTCAP,BI36),2)), IF(ACTIVEBLOCK="Yes",ROUND(MIN(AL36*TOTCOSTCAP,AO36*BLOCKBIDRATE),2), ROUND(MIN(AL36*TOTCOSTCAP,BI36),2))))))</f>
        <v/>
      </c>
      <c r="AS36" s="996"/>
      <c r="AT36" s="996"/>
      <c r="AU36" s="996"/>
      <c r="AX36" s="974" t="str">
        <f>IFERROR(IF(OR(C36="",G36="",P36="",R36="",V36="",M36="",X36="",AF36="",AH36="", AJ36=""),"",
ROUND(((1+ELOSS)*((AO36*INDEX(ELECCB[NPV AEC $/kWh],MATCH(BE36,ELECCB[Year Number],1)))+(BG36*INDEX(ELECCB[NPV ACC $/kW],MATCH(BE36,ELECCB[Year Number],1))))/AL36),2)),0)</f>
        <v/>
      </c>
      <c r="AY36" s="974" t="str">
        <f>IFERROR(AL36/M02S04F06/AO36,"")</f>
        <v/>
      </c>
      <c r="AZ36" s="967" t="str">
        <f>IF(OR(C36="",G36=""),"",INDEX(CMEMISC3[Unit of Measure],MATCH(G36,CMEMISC3[Proj Desc 1],0)))</f>
        <v/>
      </c>
      <c r="BA36" s="1225">
        <f>R36</f>
        <v>0</v>
      </c>
      <c r="BB36" s="1225">
        <f>R36</f>
        <v>0</v>
      </c>
      <c r="BC36" s="1226" t="str">
        <f>Z36</f>
        <v/>
      </c>
      <c r="BD36" s="1226" t="str">
        <f>AC36</f>
        <v/>
      </c>
      <c r="BE36" s="985" t="str">
        <f>IF(G36="","",IF(INDEX(CMEMISC3[EUL],MATCH(G36,CMEMISC3[Proj Desc 1],0))="","",INDEX(CMEMISC3[EUL],MATCH(G36,CMEMISC3[Proj Desc 1],0))))</f>
        <v/>
      </c>
      <c r="BF36" s="980" t="str">
        <f>IF(OR(C36="",G36=""),"",IF(INDEX(CMEMISC3[End Use Category],MATCH(G36,CMEMISC3[Proj Desc 1],0))="","",INDEX(CMEMISC3[End Use Category],MATCH(G36,CMEMISC3[Proj Desc 1],0))))</f>
        <v/>
      </c>
      <c r="BG36" s="1200" t="str">
        <f>IFERROR(IF(OR(C36="",G36="",P36="",R36="",V36="",M36="",X36="",AF36="",AH36="", AJ36=""),"",ROUND(AO36*INDEX(ENDUSEALL[Factor],MATCH(BF36,ENDUSEALL[End Use to Coincident Peak Demand Factors],0)),4)),"")</f>
        <v/>
      </c>
      <c r="BH36" s="987"/>
      <c r="BI36" s="830" t="str">
        <f>IFERROR(ROUND(AO36*BJ36,2),"")</f>
        <v/>
      </c>
      <c r="BJ36" s="830" t="str">
        <f>_xlfn.LET(_xlpm.ROWS,MATCH(BF36,ENDUSEALL[End Use to Coincident Peak Demand Factors],0),IFERROR(INDEX(IF(AND(ACTIVEBONUS = TRUE,INDEX(ENDUSEALL[Bonus Rate ($/kWh)],_xlpm.ROWS)&lt;&gt;""),ENDUSEALL[Bonus Rate ($/kWh)],ENDUSEALL[Rate ($/kWh)]),_xlpm.ROWS),""))</f>
        <v/>
      </c>
      <c r="BK36" s="830"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965" t="str">
        <f>IF(OR(C36="",G36="",P36="",R36="",V36="",M36="",X36="",AF36="",AH36="", AJ36=""),"",IF(BN36&lt;&gt;"",SPILLOVERNUMBER,INDEX(CMEMISC3[Measure Number],MATCH(G36,CMEMISC3[Proj Desc 1],0))))</f>
        <v/>
      </c>
      <c r="BM36" s="967" t="str">
        <f>IFERROR(IF(BP36="", IF(AND(AF36="Total",ROUND(AR36/AL36,2)=TOTCOSTCAP, BI36/AL36&gt;TOTCOSTCAP),"75% Total Cost",
IF(AND(AF36="Incremental",ROUND(AR36/AL36,2)=INCCOSTCAP,BI36/AL36&gt;INCCOSTCAP),"100% Incremental Cost",
IF(BJ36&lt;KWHRATEMIN, "kWh Incentive Rate Min",
IF(BJ36&gt;KWHRATEMAX,"kWh Incentive Rate Cap",
IF(AR36=BK36,"Bonus Incentive", "kWh Incentive"))))), ""),"")</f>
        <v/>
      </c>
      <c r="BN36" s="967" t="str">
        <f ca="1">IFERROR(IF(EXPIRATION&lt;&gt;"",PROJSTATEXP,
IF(BP36&gt;0,"",
IF(BC36-BD36&lt;=0,MEASURESAVE,
IF(OR(M02S04F06="",M02S04F06="Select Rate Code",M02S04F06=0),MEASURERATE,
IF(AND((ISNUMBER(SEARCH("Other",G36))),OR(BE36="",BF36="")),MEASURESUBMIT,
 IF(PAYCUSE&lt;PAYBACKREQ,PROJECTSTATPAYBACK,
IF(CBCUSE&lt;CBREQ,PROJECTSTATCB,""))))))),MEASURESUBMIT)</f>
        <v>Submit for Review</v>
      </c>
      <c r="BO36" s="830" t="str">
        <f>IFERROR(IF(OR(C36="",G36="",P36="",R36="",V36="",M36="",X36="",AF36="",AH36="", AJ36=""),"",
ROUND(((1+ELOSS)*((AO36*INDEX(ELECCB[NPV AEC $/kWh],MATCH(BE36,ELECCB[Year Number],1)))+(BG36*INDEX(ELECCB[NPV ACC $/kW],MATCH(BE36,ELECCB[Year Number],1))))),2)),0)</f>
        <v/>
      </c>
      <c r="BP36" s="969"/>
      <c r="BQ36" s="22"/>
      <c r="BR36" s="22"/>
      <c r="BS36" s="22"/>
      <c r="BT36" s="22"/>
      <c r="BU36" s="22"/>
      <c r="BV36" s="22"/>
    </row>
    <row r="37" spans="2:74" customFormat="1" ht="15.95" hidden="1" customHeight="1">
      <c r="B37" s="806"/>
      <c r="C37" s="1178"/>
      <c r="D37" s="1179"/>
      <c r="E37" s="1179"/>
      <c r="F37" s="1180"/>
      <c r="G37" s="1162"/>
      <c r="H37" s="1163"/>
      <c r="I37" s="1163"/>
      <c r="J37" s="1163"/>
      <c r="K37" s="1163"/>
      <c r="L37" s="1164"/>
      <c r="M37" s="1162"/>
      <c r="N37" s="1163"/>
      <c r="O37" s="1164"/>
      <c r="P37" s="1144"/>
      <c r="Q37" s="1144"/>
      <c r="R37" s="1150"/>
      <c r="S37" s="1150"/>
      <c r="T37" s="1147"/>
      <c r="U37" s="1148"/>
      <c r="V37" s="1153"/>
      <c r="W37" s="1154"/>
      <c r="X37" s="1157"/>
      <c r="Y37" s="1158"/>
      <c r="Z37" s="1185"/>
      <c r="AA37" s="1186"/>
      <c r="AB37" s="1187"/>
      <c r="AC37" s="1189"/>
      <c r="AD37" s="1190"/>
      <c r="AE37" s="1191"/>
      <c r="AF37" s="1121"/>
      <c r="AG37" s="1122"/>
      <c r="AH37" s="1168"/>
      <c r="AI37" s="1169"/>
      <c r="AJ37" s="1062"/>
      <c r="AK37" s="1063"/>
      <c r="AL37" s="1172"/>
      <c r="AM37" s="1172"/>
      <c r="AN37" s="1173"/>
      <c r="AO37" s="1034"/>
      <c r="AP37" s="1034"/>
      <c r="AQ37" s="1034"/>
      <c r="AR37" s="997"/>
      <c r="AS37" s="997"/>
      <c r="AT37" s="997"/>
      <c r="AU37" s="997"/>
      <c r="AX37" s="982"/>
      <c r="AY37" s="982"/>
      <c r="AZ37" s="983"/>
      <c r="BA37" s="986"/>
      <c r="BB37" s="986"/>
      <c r="BC37" s="984"/>
      <c r="BD37" s="984"/>
      <c r="BE37" s="985"/>
      <c r="BF37" s="986"/>
      <c r="BG37" s="1201"/>
      <c r="BH37" s="987"/>
      <c r="BI37" s="831"/>
      <c r="BJ37" s="831"/>
      <c r="BK37" s="831"/>
      <c r="BL37" s="987"/>
      <c r="BM37" s="983"/>
      <c r="BN37" s="983"/>
      <c r="BO37" s="831"/>
      <c r="BP37" s="981"/>
      <c r="BQ37" s="22"/>
      <c r="BR37" s="22"/>
      <c r="BS37" s="22"/>
      <c r="BT37" s="22"/>
      <c r="BU37" s="22"/>
      <c r="BV37" s="22"/>
    </row>
    <row r="38" spans="2:74" customFormat="1" ht="15.95" hidden="1" customHeight="1">
      <c r="N38" s="22"/>
      <c r="O38" s="22"/>
      <c r="P38" s="22"/>
      <c r="Q38" s="22"/>
      <c r="V38" s="22"/>
      <c r="W38" s="22"/>
      <c r="X38" s="22"/>
      <c r="Y38" s="22"/>
      <c r="BA38" s="22"/>
      <c r="BB38" s="22"/>
      <c r="BC38" s="222"/>
      <c r="BD38" s="222"/>
      <c r="BG38" s="222"/>
      <c r="BQ38" s="22"/>
      <c r="BR38" s="22"/>
      <c r="BS38" s="22"/>
      <c r="BT38" s="22"/>
      <c r="BU38" s="22"/>
      <c r="BV38" s="22"/>
    </row>
    <row r="39" spans="2:74" customFormat="1" ht="15.95" hidden="1" customHeight="1">
      <c r="N39" s="22"/>
      <c r="O39" s="22"/>
      <c r="P39" s="22"/>
      <c r="Q39" s="22"/>
      <c r="V39" s="22"/>
      <c r="W39" s="22"/>
      <c r="X39" s="22"/>
      <c r="Y39" s="22"/>
      <c r="BA39" s="22"/>
      <c r="BB39" s="22"/>
      <c r="BC39" s="222"/>
      <c r="BD39" s="222"/>
      <c r="BG39" s="222"/>
      <c r="BQ39" s="22"/>
      <c r="BR39" s="22"/>
      <c r="BS39" s="22"/>
      <c r="BT39" s="22"/>
      <c r="BU39" s="22"/>
      <c r="BV39" s="22"/>
    </row>
    <row r="40" spans="2:74" customFormat="1" ht="15.95" hidden="1" customHeight="1">
      <c r="N40" s="22"/>
      <c r="O40" s="22"/>
      <c r="P40" s="22"/>
      <c r="Q40" s="22"/>
      <c r="V40" s="22"/>
      <c r="W40" s="22"/>
      <c r="X40" s="22"/>
      <c r="Y40" s="22"/>
      <c r="BA40" s="22"/>
      <c r="BB40" s="22"/>
      <c r="BC40" s="222"/>
      <c r="BD40" s="222"/>
      <c r="BG40" s="222"/>
      <c r="BQ40" s="22"/>
      <c r="BR40" s="22"/>
      <c r="BS40" s="22"/>
      <c r="BT40" s="22"/>
      <c r="BU40" s="22"/>
      <c r="BV40" s="22"/>
    </row>
    <row r="41" spans="2:74" customFormat="1" ht="15.95" hidden="1" customHeight="1">
      <c r="N41" s="22"/>
      <c r="O41" s="22"/>
      <c r="P41" s="22"/>
      <c r="Q41" s="22"/>
      <c r="V41" s="22"/>
      <c r="W41" s="22"/>
      <c r="X41" s="22"/>
      <c r="Y41" s="22"/>
      <c r="BA41" s="22"/>
      <c r="BB41" s="22"/>
      <c r="BC41" s="222"/>
      <c r="BD41" s="222"/>
      <c r="BG41" s="222"/>
      <c r="BQ41" s="22"/>
      <c r="BR41" s="22"/>
      <c r="BS41" s="22"/>
      <c r="BT41" s="22"/>
      <c r="BU41" s="22"/>
      <c r="BV41" s="22"/>
    </row>
    <row r="42" spans="2:74" customFormat="1" ht="15.95" hidden="1" customHeight="1">
      <c r="N42" s="22"/>
      <c r="O42" s="22"/>
      <c r="P42" s="22"/>
      <c r="Q42" s="22"/>
      <c r="V42" s="22"/>
      <c r="W42" s="22"/>
      <c r="X42" s="22"/>
      <c r="Y42" s="22"/>
      <c r="BA42" s="22"/>
      <c r="BB42" s="22"/>
      <c r="BC42" s="222"/>
      <c r="BD42" s="222"/>
      <c r="BG42" s="222"/>
      <c r="BQ42" s="22"/>
      <c r="BR42" s="22"/>
      <c r="BS42" s="22"/>
      <c r="BT42" s="22"/>
      <c r="BU42" s="22"/>
      <c r="BV42" s="22"/>
    </row>
    <row r="43" spans="2:74" customFormat="1" ht="15.95" hidden="1" customHeight="1">
      <c r="N43" s="22"/>
      <c r="O43" s="22"/>
      <c r="P43" s="22"/>
      <c r="Q43" s="22"/>
      <c r="V43" s="22"/>
      <c r="W43" s="22"/>
      <c r="X43" s="22"/>
      <c r="Y43" s="22"/>
      <c r="BA43" s="22"/>
      <c r="BB43" s="22"/>
      <c r="BC43" s="222"/>
      <c r="BD43" s="222"/>
      <c r="BG43" s="222"/>
      <c r="BQ43" s="22"/>
      <c r="BR43" s="22"/>
      <c r="BS43" s="22"/>
      <c r="BT43" s="22"/>
      <c r="BU43" s="22"/>
      <c r="BV43" s="22"/>
    </row>
    <row r="44" spans="2:74" customFormat="1" ht="15.95" hidden="1" customHeight="1">
      <c r="N44" s="22"/>
      <c r="O44" s="22"/>
      <c r="P44" s="22"/>
      <c r="Q44" s="22"/>
      <c r="V44" s="22"/>
      <c r="W44" s="22"/>
      <c r="X44" s="22"/>
      <c r="Y44" s="22"/>
      <c r="BA44" s="22"/>
      <c r="BB44" s="22"/>
      <c r="BC44" s="222"/>
      <c r="BD44" s="222"/>
      <c r="BG44" s="222"/>
      <c r="BQ44" s="22"/>
      <c r="BR44" s="22"/>
      <c r="BS44" s="22"/>
      <c r="BT44" s="22"/>
      <c r="BU44" s="22"/>
      <c r="BV44" s="22"/>
    </row>
    <row r="45" spans="2:74" customFormat="1" ht="15.95" hidden="1" customHeight="1">
      <c r="N45" s="22"/>
      <c r="O45" s="22"/>
      <c r="P45" s="22"/>
      <c r="Q45" s="22"/>
      <c r="V45" s="22"/>
      <c r="W45" s="22"/>
      <c r="X45" s="22"/>
      <c r="Y45" s="22"/>
      <c r="BA45" s="22"/>
      <c r="BB45" s="22"/>
      <c r="BC45" s="222"/>
      <c r="BD45" s="222"/>
      <c r="BG45" s="222"/>
      <c r="BQ45" s="22"/>
      <c r="BR45" s="22"/>
      <c r="BS45" s="22"/>
      <c r="BT45" s="22"/>
      <c r="BU45" s="22"/>
      <c r="BV45" s="22"/>
    </row>
    <row r="46" spans="2:74" customFormat="1" ht="15.95" hidden="1" customHeight="1">
      <c r="N46" s="22"/>
      <c r="O46" s="22"/>
      <c r="P46" s="22"/>
      <c r="Q46" s="22"/>
      <c r="V46" s="22"/>
      <c r="W46" s="22"/>
      <c r="X46" s="22"/>
      <c r="Y46" s="22"/>
      <c r="BA46" s="22"/>
      <c r="BB46" s="22"/>
      <c r="BC46" s="222"/>
      <c r="BD46" s="222"/>
      <c r="BG46" s="222"/>
      <c r="BQ46" s="22"/>
      <c r="BR46" s="22"/>
      <c r="BS46" s="22"/>
      <c r="BT46" s="22"/>
      <c r="BU46" s="22"/>
      <c r="BV46" s="22"/>
    </row>
    <row r="47" spans="2:74" customFormat="1" ht="15.95" hidden="1" customHeight="1">
      <c r="N47" s="22"/>
      <c r="O47" s="22"/>
      <c r="P47" s="22"/>
      <c r="Q47" s="22"/>
      <c r="V47" s="22"/>
      <c r="W47" s="22"/>
      <c r="X47" s="22"/>
      <c r="Y47" s="22"/>
      <c r="BA47" s="22"/>
      <c r="BB47" s="22"/>
      <c r="BC47" s="222"/>
      <c r="BD47" s="222"/>
      <c r="BG47" s="222"/>
      <c r="BQ47" s="22"/>
      <c r="BR47" s="22"/>
      <c r="BS47" s="22"/>
      <c r="BT47" s="22"/>
      <c r="BU47" s="22"/>
      <c r="BV47" s="22"/>
    </row>
    <row r="48" spans="2:74" ht="15.95" hidden="1" customHeight="1">
      <c r="AY48" s="114"/>
      <c r="AZ48" s="115"/>
      <c r="BC48" s="302"/>
      <c r="BD48" s="302"/>
      <c r="BE48" s="115"/>
      <c r="BG48" s="223"/>
    </row>
    <row r="49" spans="51:59" ht="15.95" hidden="1" customHeight="1">
      <c r="AY49" s="114"/>
      <c r="AZ49" s="115"/>
      <c r="BC49" s="302"/>
      <c r="BD49" s="302"/>
      <c r="BE49" s="115"/>
      <c r="BG49" s="223"/>
    </row>
    <row r="50" spans="51:59" ht="15.95" hidden="1" customHeight="1">
      <c r="AY50" s="114"/>
      <c r="AZ50" s="115"/>
      <c r="BC50" s="302"/>
      <c r="BD50" s="302"/>
      <c r="BE50" s="115"/>
      <c r="BG50" s="223"/>
    </row>
    <row r="51" spans="51:59" ht="15.95" hidden="1" customHeight="1">
      <c r="AY51" s="114"/>
      <c r="AZ51" s="115"/>
      <c r="BC51" s="302"/>
      <c r="BD51" s="302"/>
      <c r="BE51" s="115"/>
      <c r="BG51" s="223"/>
    </row>
    <row r="52" spans="51:59" ht="15.95" hidden="1" customHeight="1">
      <c r="AY52" s="114"/>
      <c r="AZ52" s="115"/>
      <c r="BC52" s="302"/>
      <c r="BD52" s="302"/>
      <c r="BE52" s="115"/>
      <c r="BG52" s="223"/>
    </row>
    <row r="53" spans="51:59" ht="15.95" hidden="1" customHeight="1">
      <c r="AY53" s="114"/>
      <c r="AZ53" s="115"/>
      <c r="BC53" s="302"/>
      <c r="BD53" s="302"/>
      <c r="BE53" s="115"/>
      <c r="BG53" s="223"/>
    </row>
    <row r="54" spans="51:59" ht="15.95" hidden="1" customHeight="1">
      <c r="AY54" s="114"/>
      <c r="AZ54" s="115"/>
      <c r="BC54" s="302"/>
      <c r="BD54" s="302"/>
      <c r="BE54" s="115"/>
      <c r="BG54" s="223"/>
    </row>
    <row r="55" spans="51:59" ht="15.95" hidden="1" customHeight="1">
      <c r="AY55" s="114"/>
      <c r="AZ55" s="115"/>
      <c r="BC55" s="302"/>
      <c r="BD55" s="302"/>
      <c r="BE55" s="115"/>
      <c r="BG55" s="223"/>
    </row>
    <row r="56" spans="51:59" ht="15.95" hidden="1" customHeight="1">
      <c r="AY56" s="114"/>
      <c r="AZ56" s="115"/>
      <c r="BC56" s="302"/>
      <c r="BD56" s="302"/>
      <c r="BE56" s="115"/>
      <c r="BG56" s="223"/>
    </row>
    <row r="57" spans="51:59" ht="15.95" hidden="1" customHeight="1">
      <c r="AY57" s="114"/>
      <c r="AZ57" s="115"/>
      <c r="BC57" s="302"/>
      <c r="BD57" s="302"/>
      <c r="BE57" s="115"/>
      <c r="BG57" s="223"/>
    </row>
    <row r="58" spans="51:59" ht="15.95" hidden="1" customHeight="1">
      <c r="AY58" s="114"/>
      <c r="AZ58" s="115"/>
      <c r="BC58" s="302"/>
      <c r="BD58" s="302"/>
      <c r="BE58" s="115"/>
      <c r="BG58" s="223"/>
    </row>
    <row r="59" spans="51:59" ht="15.95" hidden="1" customHeight="1">
      <c r="AY59" s="114"/>
      <c r="AZ59" s="115"/>
      <c r="BC59" s="302"/>
      <c r="BD59" s="302"/>
      <c r="BE59" s="115"/>
      <c r="BG59" s="223"/>
    </row>
    <row r="60" spans="51:59" ht="15.95" hidden="1" customHeight="1">
      <c r="AY60" s="114"/>
      <c r="AZ60" s="115"/>
      <c r="BC60" s="302"/>
      <c r="BD60" s="302"/>
      <c r="BE60" s="115"/>
      <c r="BG60" s="223"/>
    </row>
    <row r="61" spans="51:59" ht="15.95" hidden="1" customHeight="1">
      <c r="AY61" s="114"/>
      <c r="AZ61" s="115"/>
      <c r="BC61" s="302"/>
      <c r="BD61" s="302"/>
      <c r="BE61" s="115"/>
      <c r="BG61" s="223"/>
    </row>
    <row r="62" spans="51:59" ht="15.95" hidden="1" customHeight="1">
      <c r="AY62" s="114"/>
      <c r="AZ62" s="115"/>
      <c r="BC62" s="302"/>
      <c r="BD62" s="302"/>
      <c r="BE62" s="115"/>
      <c r="BG62" s="223"/>
    </row>
    <row r="63" spans="51:59" ht="15.95" hidden="1" customHeight="1">
      <c r="AY63" s="114"/>
      <c r="AZ63" s="115"/>
      <c r="BC63" s="302"/>
      <c r="BD63" s="302"/>
      <c r="BE63" s="115"/>
      <c r="BG63" s="223"/>
    </row>
    <row r="64" spans="51:59" ht="15.95" hidden="1" customHeight="1">
      <c r="AY64" s="114"/>
      <c r="AZ64" s="115"/>
      <c r="BC64" s="302"/>
      <c r="BD64" s="302"/>
      <c r="BE64" s="115"/>
      <c r="BG64" s="223"/>
    </row>
    <row r="65" spans="51:59" ht="15.95" hidden="1" customHeight="1">
      <c r="AY65" s="114"/>
      <c r="AZ65" s="115"/>
      <c r="BC65" s="302"/>
      <c r="BD65" s="302"/>
      <c r="BE65" s="115"/>
      <c r="BG65" s="223"/>
    </row>
    <row r="66" spans="51:59" ht="15.95" hidden="1" customHeight="1">
      <c r="AY66" s="114"/>
      <c r="AZ66" s="115"/>
      <c r="BC66" s="302"/>
      <c r="BD66" s="302"/>
      <c r="BE66" s="115"/>
      <c r="BG66" s="223"/>
    </row>
    <row r="67" spans="51:59" ht="15.95" hidden="1" customHeight="1">
      <c r="AY67" s="114"/>
      <c r="AZ67" s="115"/>
      <c r="BC67" s="302"/>
      <c r="BD67" s="302"/>
      <c r="BE67" s="115"/>
      <c r="BG67" s="223"/>
    </row>
    <row r="68" spans="51:59" ht="15.95" hidden="1" customHeight="1">
      <c r="AY68" s="114"/>
      <c r="AZ68" s="115"/>
      <c r="BC68" s="302"/>
      <c r="BD68" s="302"/>
      <c r="BE68" s="115"/>
      <c r="BG68" s="223"/>
    </row>
    <row r="69" spans="51:59" ht="15.95" hidden="1" customHeight="1">
      <c r="AY69" s="114"/>
      <c r="AZ69" s="115"/>
      <c r="BC69" s="302"/>
      <c r="BD69" s="302"/>
      <c r="BE69" s="115"/>
      <c r="BG69" s="223"/>
    </row>
    <row r="70" spans="51:59" ht="15.95" hidden="1" customHeight="1">
      <c r="AY70" s="114"/>
      <c r="AZ70" s="115"/>
      <c r="BC70" s="302"/>
      <c r="BD70" s="302"/>
      <c r="BE70" s="115"/>
      <c r="BG70" s="223"/>
    </row>
    <row r="71" spans="51:59" ht="15.95" hidden="1" customHeight="1">
      <c r="AY71" s="114"/>
      <c r="AZ71" s="115"/>
      <c r="BC71" s="302"/>
      <c r="BD71" s="302"/>
      <c r="BE71" s="115"/>
      <c r="BG71" s="223"/>
    </row>
    <row r="72" spans="51:59" ht="15.95" hidden="1" customHeight="1">
      <c r="AY72" s="114"/>
      <c r="AZ72" s="115"/>
      <c r="BC72" s="302"/>
      <c r="BD72" s="302"/>
      <c r="BE72" s="115"/>
      <c r="BG72" s="223"/>
    </row>
    <row r="73" spans="51:59" ht="15.95" hidden="1" customHeight="1">
      <c r="AY73" s="114"/>
      <c r="AZ73" s="115"/>
      <c r="BC73" s="302"/>
      <c r="BD73" s="302"/>
      <c r="BE73" s="115"/>
      <c r="BG73" s="223"/>
    </row>
    <row r="74" spans="51:59" ht="15.95" hidden="1" customHeight="1">
      <c r="AY74" s="114"/>
      <c r="AZ74" s="115"/>
      <c r="BC74" s="302"/>
      <c r="BD74" s="302"/>
      <c r="BE74" s="115"/>
      <c r="BG74" s="223"/>
    </row>
    <row r="75" spans="51:59" ht="15.95" hidden="1" customHeight="1">
      <c r="AY75" s="114"/>
      <c r="AZ75" s="115"/>
      <c r="BC75" s="302"/>
      <c r="BD75" s="302"/>
      <c r="BE75" s="115"/>
      <c r="BG75" s="223"/>
    </row>
    <row r="76" spans="51:59" ht="15.95" hidden="1" customHeight="1">
      <c r="AY76" s="114"/>
      <c r="AZ76" s="115"/>
      <c r="BC76" s="302"/>
      <c r="BD76" s="302"/>
      <c r="BE76" s="115"/>
      <c r="BG76" s="223"/>
    </row>
    <row r="77" spans="51:59" ht="15.95" hidden="1" customHeight="1">
      <c r="AY77" s="114"/>
      <c r="AZ77" s="115"/>
      <c r="BC77" s="302"/>
      <c r="BD77" s="302"/>
      <c r="BE77" s="115"/>
      <c r="BG77" s="223"/>
    </row>
    <row r="78" spans="51:59" ht="15.95" hidden="1" customHeight="1">
      <c r="AY78" s="114"/>
      <c r="AZ78" s="115"/>
      <c r="BC78" s="302"/>
      <c r="BD78" s="302"/>
      <c r="BE78" s="115"/>
      <c r="BG78" s="223"/>
    </row>
    <row r="79" spans="51:59" ht="15.95" hidden="1" customHeight="1">
      <c r="AY79" s="114"/>
      <c r="AZ79" s="115"/>
      <c r="BC79" s="302"/>
      <c r="BD79" s="302"/>
      <c r="BE79" s="115"/>
      <c r="BG79" s="223"/>
    </row>
    <row r="80" spans="51:59" ht="15.95" hidden="1" customHeight="1">
      <c r="AY80" s="114"/>
      <c r="AZ80" s="115"/>
      <c r="BC80" s="302"/>
      <c r="BD80" s="302"/>
      <c r="BE80" s="115"/>
      <c r="BG80" s="223"/>
    </row>
    <row r="81" spans="51:59" ht="15.95" hidden="1" customHeight="1">
      <c r="AY81" s="114"/>
      <c r="AZ81" s="115"/>
      <c r="BC81" s="302"/>
      <c r="BD81" s="302"/>
      <c r="BE81" s="115"/>
      <c r="BG81" s="223"/>
    </row>
    <row r="82" spans="51:59" ht="15.95" hidden="1" customHeight="1">
      <c r="AY82" s="114"/>
      <c r="AZ82" s="115"/>
      <c r="BC82" s="302"/>
      <c r="BD82" s="302"/>
      <c r="BE82" s="115"/>
      <c r="BG82" s="223"/>
    </row>
    <row r="83" spans="51:59" ht="15.95" hidden="1" customHeight="1">
      <c r="AY83" s="114"/>
      <c r="AZ83" s="115"/>
      <c r="BC83" s="302"/>
      <c r="BD83" s="302"/>
      <c r="BE83" s="115"/>
      <c r="BG83" s="223"/>
    </row>
    <row r="84" spans="51:59" ht="15.95" hidden="1" customHeight="1">
      <c r="AY84" s="114"/>
      <c r="AZ84" s="115"/>
      <c r="BC84" s="302"/>
      <c r="BD84" s="302"/>
      <c r="BE84" s="115"/>
      <c r="BG84" s="223"/>
    </row>
    <row r="85" spans="51:59" ht="15.95" hidden="1" customHeight="1">
      <c r="AY85" s="114"/>
      <c r="AZ85" s="115"/>
      <c r="BC85" s="302"/>
      <c r="BD85" s="302"/>
      <c r="BE85" s="115"/>
      <c r="BG85" s="223"/>
    </row>
    <row r="86" spans="51:59" ht="15.95" hidden="1" customHeight="1">
      <c r="AY86" s="114"/>
      <c r="AZ86" s="115"/>
      <c r="BC86" s="302"/>
      <c r="BD86" s="302"/>
      <c r="BE86" s="115"/>
      <c r="BG86" s="223"/>
    </row>
    <row r="87" spans="51:59" ht="15.95" hidden="1" customHeight="1">
      <c r="AY87" s="114"/>
      <c r="AZ87" s="115"/>
      <c r="BC87" s="302"/>
      <c r="BD87" s="302"/>
      <c r="BE87" s="115"/>
      <c r="BG87" s="223"/>
    </row>
    <row r="88" spans="51:59" ht="15.95" hidden="1" customHeight="1">
      <c r="AY88" s="114"/>
      <c r="AZ88" s="115"/>
      <c r="BC88" s="302"/>
      <c r="BD88" s="302"/>
      <c r="BE88" s="115"/>
      <c r="BG88" s="223"/>
    </row>
    <row r="89" spans="51:59" ht="15.95" hidden="1" customHeight="1">
      <c r="AY89" s="114"/>
      <c r="AZ89" s="115"/>
      <c r="BC89" s="302"/>
      <c r="BD89" s="302"/>
      <c r="BE89" s="115"/>
      <c r="BG89" s="223"/>
    </row>
    <row r="90" spans="51:59" ht="15.95" hidden="1" customHeight="1">
      <c r="AY90" s="114"/>
      <c r="AZ90" s="115"/>
      <c r="BC90" s="302"/>
      <c r="BD90" s="302"/>
      <c r="BE90" s="115"/>
      <c r="BG90" s="223"/>
    </row>
    <row r="91" spans="51:59" ht="15.95" hidden="1" customHeight="1">
      <c r="AY91" s="114"/>
      <c r="AZ91" s="115"/>
      <c r="BC91" s="302"/>
      <c r="BD91" s="302"/>
      <c r="BE91" s="115"/>
      <c r="BG91" s="223"/>
    </row>
    <row r="92" spans="51:59" ht="15.95" hidden="1" customHeight="1">
      <c r="AY92" s="114"/>
      <c r="AZ92" s="115"/>
      <c r="BC92" s="302"/>
      <c r="BD92" s="302"/>
      <c r="BE92" s="115"/>
      <c r="BG92" s="223"/>
    </row>
    <row r="93" spans="51:59" ht="15.95" hidden="1" customHeight="1">
      <c r="AY93" s="114"/>
      <c r="AZ93" s="115"/>
      <c r="BC93" s="302"/>
      <c r="BD93" s="302"/>
      <c r="BE93" s="115"/>
      <c r="BG93" s="223"/>
    </row>
    <row r="94" spans="51:59" ht="15.95" hidden="1" customHeight="1">
      <c r="AY94" s="114"/>
      <c r="AZ94" s="115"/>
      <c r="BC94" s="302"/>
      <c r="BD94" s="302"/>
      <c r="BE94" s="115"/>
      <c r="BG94" s="223"/>
    </row>
    <row r="95" spans="51:59" ht="15.95" hidden="1" customHeight="1">
      <c r="AY95" s="114"/>
      <c r="AZ95" s="115"/>
      <c r="BC95" s="302"/>
      <c r="BD95" s="302"/>
      <c r="BE95" s="115"/>
      <c r="BG95" s="223"/>
    </row>
    <row r="96" spans="51:59" ht="15.95" hidden="1" customHeight="1">
      <c r="AY96" s="114"/>
      <c r="AZ96" s="115"/>
      <c r="BC96" s="302"/>
      <c r="BD96" s="302"/>
      <c r="BE96" s="115"/>
      <c r="BG96" s="223"/>
    </row>
    <row r="97" spans="51:59" ht="15.95" hidden="1" customHeight="1">
      <c r="AY97" s="114"/>
      <c r="AZ97" s="115"/>
      <c r="BC97" s="302"/>
      <c r="BD97" s="302"/>
      <c r="BE97" s="115"/>
      <c r="BG97" s="223"/>
    </row>
    <row r="98" spans="51:59" ht="15.95" hidden="1" customHeight="1">
      <c r="AY98" s="114"/>
      <c r="AZ98" s="115"/>
      <c r="BC98" s="302"/>
      <c r="BD98" s="302"/>
      <c r="BE98" s="115"/>
      <c r="BG98" s="223"/>
    </row>
    <row r="99" spans="51:59" ht="15.95" hidden="1" customHeight="1">
      <c r="AY99" s="114"/>
      <c r="AZ99" s="115"/>
      <c r="BC99" s="302"/>
      <c r="BD99" s="302"/>
      <c r="BE99" s="115"/>
      <c r="BG99" s="223"/>
    </row>
    <row r="100" spans="51:59" ht="15.95" hidden="1" customHeight="1">
      <c r="AY100" s="114"/>
      <c r="AZ100" s="115"/>
      <c r="BC100" s="302"/>
      <c r="BD100" s="302"/>
      <c r="BE100" s="115"/>
      <c r="BG100" s="223"/>
    </row>
    <row r="101" spans="51:59" ht="15.95" hidden="1" customHeight="1">
      <c r="AY101" s="114"/>
      <c r="AZ101" s="115"/>
      <c r="BC101" s="302"/>
      <c r="BD101" s="302"/>
      <c r="BE101" s="115"/>
      <c r="BG101" s="223"/>
    </row>
    <row r="102" spans="51:59" ht="15.95" hidden="1" customHeight="1">
      <c r="AY102" s="114"/>
      <c r="AZ102" s="115"/>
      <c r="BC102" s="302"/>
      <c r="BD102" s="302"/>
      <c r="BE102" s="115"/>
      <c r="BG102" s="223"/>
    </row>
    <row r="103" spans="51:59" ht="15.95" hidden="1" customHeight="1">
      <c r="AY103" s="114"/>
      <c r="AZ103" s="115"/>
      <c r="BC103" s="302"/>
      <c r="BD103" s="302"/>
      <c r="BE103" s="115"/>
      <c r="BG103" s="223"/>
    </row>
    <row r="104" spans="51:59" ht="15.95" hidden="1" customHeight="1">
      <c r="AY104" s="114"/>
      <c r="AZ104" s="115"/>
      <c r="BC104" s="302"/>
      <c r="BD104" s="302"/>
      <c r="BE104" s="115"/>
      <c r="BG104" s="223"/>
    </row>
    <row r="105" spans="51:59" ht="15.95" hidden="1" customHeight="1">
      <c r="AY105" s="114"/>
      <c r="AZ105" s="115"/>
      <c r="BC105" s="302"/>
      <c r="BD105" s="302"/>
      <c r="BE105" s="115"/>
      <c r="BG105" s="223"/>
    </row>
    <row r="106" spans="51:59" ht="15.95" hidden="1" customHeight="1">
      <c r="AY106" s="114"/>
      <c r="AZ106" s="115"/>
      <c r="BC106" s="302"/>
      <c r="BD106" s="302"/>
      <c r="BE106" s="115"/>
      <c r="BG106" s="223"/>
    </row>
    <row r="107" spans="51:59" ht="15.95" hidden="1" customHeight="1">
      <c r="AY107" s="114"/>
      <c r="AZ107" s="115"/>
      <c r="BC107" s="302"/>
      <c r="BD107" s="302"/>
      <c r="BE107" s="115"/>
      <c r="BG107" s="223"/>
    </row>
    <row r="108" spans="51:59" ht="15.95" hidden="1" customHeight="1">
      <c r="AY108" s="114"/>
      <c r="AZ108" s="115"/>
      <c r="BC108" s="302"/>
      <c r="BD108" s="302"/>
      <c r="BE108" s="115"/>
      <c r="BG108" s="223"/>
    </row>
    <row r="109" spans="51:59" ht="15.95" hidden="1" customHeight="1">
      <c r="AY109" s="114"/>
      <c r="AZ109" s="115"/>
      <c r="BC109" s="302"/>
      <c r="BD109" s="302"/>
      <c r="BE109" s="115"/>
      <c r="BG109" s="223"/>
    </row>
    <row r="110" spans="51:59" ht="15.95" hidden="1" customHeight="1">
      <c r="AY110" s="114"/>
      <c r="AZ110" s="115"/>
      <c r="BC110" s="302"/>
      <c r="BD110" s="302"/>
      <c r="BE110" s="115"/>
      <c r="BG110" s="223"/>
    </row>
    <row r="111" spans="51:59" ht="15.95" hidden="1" customHeight="1">
      <c r="AY111" s="114"/>
      <c r="AZ111" s="115"/>
      <c r="BC111" s="302"/>
      <c r="BD111" s="302"/>
      <c r="BE111" s="115"/>
      <c r="BG111" s="223"/>
    </row>
    <row r="112" spans="51:59" ht="15.95" hidden="1" customHeight="1">
      <c r="AY112" s="114"/>
      <c r="AZ112" s="115"/>
      <c r="BC112" s="302"/>
      <c r="BD112" s="302"/>
      <c r="BE112" s="115"/>
      <c r="BG112" s="223"/>
    </row>
    <row r="113" spans="51:59" ht="15.95" hidden="1" customHeight="1">
      <c r="AY113" s="114"/>
      <c r="AZ113" s="115"/>
      <c r="BC113" s="302"/>
      <c r="BD113" s="302"/>
      <c r="BE113" s="115"/>
      <c r="BG113" s="223"/>
    </row>
    <row r="114" spans="51:59" ht="15.95" hidden="1" customHeight="1">
      <c r="AY114" s="114"/>
      <c r="AZ114" s="115"/>
      <c r="BC114" s="302"/>
      <c r="BD114" s="302"/>
      <c r="BE114" s="115"/>
      <c r="BG114" s="223"/>
    </row>
    <row r="115" spans="51:59" ht="15.95" hidden="1" customHeight="1">
      <c r="AY115" s="114"/>
      <c r="AZ115" s="115"/>
      <c r="BC115" s="302"/>
      <c r="BD115" s="302"/>
      <c r="BE115" s="115"/>
      <c r="BG115" s="223"/>
    </row>
    <row r="116" spans="51:59" ht="15.95" hidden="1" customHeight="1">
      <c r="AY116" s="114"/>
      <c r="AZ116" s="115"/>
      <c r="BC116" s="302"/>
      <c r="BD116" s="302"/>
      <c r="BE116" s="115"/>
      <c r="BG116" s="223"/>
    </row>
    <row r="117" spans="51:59" ht="15.95" hidden="1" customHeight="1">
      <c r="AY117" s="114"/>
      <c r="AZ117" s="115"/>
      <c r="BC117" s="302"/>
      <c r="BD117" s="302"/>
      <c r="BE117" s="115"/>
      <c r="BG117" s="223"/>
    </row>
    <row r="118" spans="51:59" ht="15.95" hidden="1" customHeight="1">
      <c r="AY118" s="114"/>
      <c r="AZ118" s="115"/>
      <c r="BC118" s="302"/>
      <c r="BD118" s="302"/>
      <c r="BE118" s="115"/>
      <c r="BG118" s="223"/>
    </row>
    <row r="119" spans="51:59" ht="15.95" hidden="1" customHeight="1">
      <c r="AY119" s="114"/>
      <c r="AZ119" s="115"/>
      <c r="BC119" s="302"/>
      <c r="BD119" s="302"/>
      <c r="BE119" s="115"/>
      <c r="BG119" s="223"/>
    </row>
    <row r="120" spans="51:59" ht="15.95" hidden="1" customHeight="1">
      <c r="AY120" s="114"/>
      <c r="AZ120" s="115"/>
      <c r="BC120" s="302"/>
      <c r="BD120" s="302"/>
      <c r="BE120" s="115"/>
      <c r="BG120" s="223"/>
    </row>
    <row r="121" spans="51:59" ht="15.95" hidden="1" customHeight="1">
      <c r="AY121" s="114"/>
      <c r="AZ121" s="115"/>
      <c r="BC121" s="302"/>
      <c r="BD121" s="302"/>
      <c r="BE121" s="115"/>
      <c r="BG121" s="223"/>
    </row>
    <row r="122" spans="51:59" ht="15.95" hidden="1" customHeight="1">
      <c r="AY122" s="114"/>
      <c r="AZ122" s="115"/>
      <c r="BC122" s="302"/>
      <c r="BD122" s="302"/>
      <c r="BE122" s="115"/>
      <c r="BG122" s="223"/>
    </row>
    <row r="123" spans="51:59" ht="15.95" hidden="1" customHeight="1">
      <c r="AY123" s="114"/>
      <c r="AZ123" s="115"/>
      <c r="BC123" s="302"/>
      <c r="BD123" s="302"/>
      <c r="BE123" s="115"/>
      <c r="BG123" s="223"/>
    </row>
    <row r="124" spans="51:59" ht="15.95" hidden="1" customHeight="1">
      <c r="AY124" s="114"/>
      <c r="AZ124" s="115"/>
      <c r="BC124" s="302"/>
      <c r="BD124" s="302"/>
      <c r="BE124" s="115"/>
      <c r="BG124" s="223"/>
    </row>
    <row r="125" spans="51:59" ht="15.95" hidden="1" customHeight="1">
      <c r="AY125" s="114"/>
      <c r="AZ125" s="115"/>
      <c r="BC125" s="302"/>
      <c r="BD125" s="302"/>
      <c r="BE125" s="115"/>
      <c r="BG125" s="223"/>
    </row>
    <row r="126" spans="51:59" ht="15.95" hidden="1" customHeight="1">
      <c r="AY126" s="114"/>
      <c r="AZ126" s="115"/>
      <c r="BC126" s="302"/>
      <c r="BD126" s="302"/>
      <c r="BE126" s="115"/>
      <c r="BG126" s="223"/>
    </row>
    <row r="127" spans="51:59" ht="15.95" hidden="1" customHeight="1">
      <c r="AY127" s="114"/>
      <c r="AZ127" s="115"/>
      <c r="BC127" s="302"/>
      <c r="BD127" s="302"/>
      <c r="BE127" s="115"/>
      <c r="BG127" s="223"/>
    </row>
    <row r="128" spans="51:59" ht="15.95" hidden="1" customHeight="1">
      <c r="AY128" s="114"/>
      <c r="AZ128" s="115"/>
      <c r="BC128" s="302"/>
      <c r="BD128" s="302"/>
      <c r="BE128" s="115"/>
      <c r="BG128" s="223"/>
    </row>
    <row r="129" spans="51:59" ht="15.95" hidden="1" customHeight="1">
      <c r="AY129" s="114"/>
      <c r="AZ129" s="115"/>
      <c r="BC129" s="302"/>
      <c r="BD129" s="302"/>
      <c r="BE129" s="115"/>
      <c r="BG129" s="223"/>
    </row>
    <row r="130" spans="51:59" ht="15.95" hidden="1" customHeight="1">
      <c r="AY130" s="114"/>
      <c r="AZ130" s="115"/>
      <c r="BC130" s="302"/>
      <c r="BD130" s="302"/>
      <c r="BE130" s="115"/>
      <c r="BG130" s="223"/>
    </row>
    <row r="131" spans="51:59" ht="15.95" hidden="1" customHeight="1">
      <c r="AY131" s="114"/>
      <c r="AZ131" s="115"/>
      <c r="BC131" s="302"/>
      <c r="BD131" s="302"/>
      <c r="BE131" s="115"/>
      <c r="BG131" s="223"/>
    </row>
    <row r="132" spans="51:59" ht="15.95" hidden="1" customHeight="1">
      <c r="AY132" s="114"/>
      <c r="AZ132" s="115"/>
      <c r="BC132" s="302"/>
      <c r="BD132" s="302"/>
      <c r="BE132" s="115"/>
      <c r="BG132" s="223"/>
    </row>
    <row r="133" spans="51:59" ht="15.95" hidden="1" customHeight="1">
      <c r="AY133" s="114"/>
      <c r="AZ133" s="115"/>
      <c r="BC133" s="302"/>
      <c r="BD133" s="302"/>
      <c r="BE133" s="115"/>
      <c r="BG133" s="223"/>
    </row>
    <row r="134" spans="51:59" ht="15.95" hidden="1" customHeight="1">
      <c r="AY134" s="114"/>
      <c r="AZ134" s="115"/>
      <c r="BC134" s="302"/>
      <c r="BD134" s="302"/>
      <c r="BE134" s="115"/>
      <c r="BG134" s="223"/>
    </row>
    <row r="135" spans="51:59" ht="15.95" hidden="1" customHeight="1">
      <c r="AY135" s="114"/>
      <c r="AZ135" s="115"/>
      <c r="BC135" s="302"/>
      <c r="BD135" s="302"/>
      <c r="BE135" s="115"/>
      <c r="BG135" s="223"/>
    </row>
    <row r="136" spans="51:59" ht="15.95" hidden="1" customHeight="1">
      <c r="AY136" s="114"/>
      <c r="AZ136" s="115"/>
      <c r="BC136" s="302"/>
      <c r="BD136" s="302"/>
      <c r="BE136" s="115"/>
      <c r="BG136" s="223"/>
    </row>
    <row r="137" spans="51:59" ht="15.95" hidden="1" customHeight="1">
      <c r="AY137" s="114"/>
      <c r="AZ137" s="115"/>
      <c r="BC137" s="302"/>
      <c r="BD137" s="302"/>
      <c r="BE137" s="115"/>
      <c r="BG137" s="223"/>
    </row>
    <row r="138" spans="51:59" ht="15.95" hidden="1" customHeight="1">
      <c r="AY138" s="114"/>
      <c r="AZ138" s="115"/>
      <c r="BC138" s="302"/>
      <c r="BD138" s="302"/>
      <c r="BE138" s="115"/>
      <c r="BG138" s="223"/>
    </row>
    <row r="139" spans="51:59" ht="15.95" hidden="1" customHeight="1">
      <c r="AY139" s="114"/>
      <c r="AZ139" s="115"/>
      <c r="BC139" s="302"/>
      <c r="BD139" s="302"/>
      <c r="BE139" s="115"/>
      <c r="BG139" s="223"/>
    </row>
    <row r="140" spans="51:59" ht="15.95" hidden="1" customHeight="1">
      <c r="AY140" s="114"/>
      <c r="AZ140" s="115"/>
      <c r="BC140" s="302"/>
      <c r="BD140" s="302"/>
      <c r="BE140" s="115"/>
      <c r="BG140" s="223"/>
    </row>
    <row r="141" spans="51:59" ht="15.95" hidden="1" customHeight="1">
      <c r="AY141" s="114"/>
      <c r="AZ141" s="115"/>
      <c r="BC141" s="302"/>
      <c r="BD141" s="302"/>
      <c r="BE141" s="115"/>
      <c r="BG141" s="223"/>
    </row>
    <row r="142" spans="51:59" ht="15.95" hidden="1" customHeight="1">
      <c r="AY142" s="114"/>
      <c r="AZ142" s="115"/>
      <c r="BC142" s="302"/>
      <c r="BD142" s="302"/>
      <c r="BE142" s="115"/>
      <c r="BG142" s="223"/>
    </row>
    <row r="143" spans="51:59" ht="15.95" hidden="1" customHeight="1">
      <c r="AY143" s="114"/>
      <c r="AZ143" s="115"/>
      <c r="BC143" s="302"/>
      <c r="BD143" s="302"/>
      <c r="BE143" s="115"/>
      <c r="BG143" s="223"/>
    </row>
    <row r="144" spans="51:59" ht="15.95" hidden="1" customHeight="1">
      <c r="AY144" s="114"/>
      <c r="AZ144" s="115"/>
      <c r="BC144" s="302"/>
      <c r="BD144" s="302"/>
      <c r="BE144" s="115"/>
      <c r="BG144" s="223"/>
    </row>
    <row r="145" spans="51:59" ht="15.95" hidden="1" customHeight="1">
      <c r="AY145" s="114"/>
      <c r="AZ145" s="115"/>
      <c r="BC145" s="302"/>
      <c r="BD145" s="302"/>
      <c r="BE145" s="115"/>
      <c r="BG145" s="223"/>
    </row>
    <row r="146" spans="51:59" ht="15.95" hidden="1" customHeight="1">
      <c r="AY146" s="114"/>
      <c r="AZ146" s="115"/>
      <c r="BC146" s="302"/>
      <c r="BD146" s="302"/>
      <c r="BE146" s="115"/>
      <c r="BG146" s="223"/>
    </row>
    <row r="147" spans="51:59" ht="15.95" hidden="1" customHeight="1">
      <c r="AY147" s="114"/>
      <c r="AZ147" s="115"/>
      <c r="BC147" s="302"/>
      <c r="BD147" s="302"/>
      <c r="BE147" s="115"/>
      <c r="BG147" s="223"/>
    </row>
    <row r="148" spans="51:59" ht="15.95" hidden="1" customHeight="1">
      <c r="AY148" s="114"/>
      <c r="AZ148" s="115"/>
      <c r="BC148" s="302"/>
      <c r="BD148" s="302"/>
      <c r="BE148" s="115"/>
      <c r="BG148" s="223"/>
    </row>
    <row r="149" spans="51:59" ht="15.95" hidden="1" customHeight="1">
      <c r="AY149" s="114"/>
      <c r="AZ149" s="115"/>
      <c r="BC149" s="302"/>
      <c r="BD149" s="302"/>
      <c r="BE149" s="115"/>
      <c r="BG149" s="223"/>
    </row>
    <row r="150" spans="51:59" ht="15.95" hidden="1" customHeight="1">
      <c r="AY150" s="114"/>
      <c r="AZ150" s="115"/>
      <c r="BC150" s="302"/>
      <c r="BD150" s="302"/>
      <c r="BE150" s="115"/>
      <c r="BG150" s="223"/>
    </row>
    <row r="151" spans="51:59" ht="15.95" hidden="1" customHeight="1">
      <c r="AY151" s="114"/>
      <c r="AZ151" s="115"/>
      <c r="BC151" s="302"/>
      <c r="BD151" s="302"/>
      <c r="BE151" s="115"/>
      <c r="BG151" s="223"/>
    </row>
    <row r="152" spans="51:59" ht="15.95" hidden="1" customHeight="1">
      <c r="AY152" s="114"/>
      <c r="AZ152" s="115"/>
      <c r="BC152" s="302"/>
      <c r="BD152" s="302"/>
      <c r="BE152" s="115"/>
      <c r="BG152" s="223"/>
    </row>
    <row r="153" spans="51:59" ht="15.95" hidden="1" customHeight="1">
      <c r="AY153" s="114"/>
      <c r="AZ153" s="115"/>
      <c r="BC153" s="302"/>
      <c r="BD153" s="302"/>
      <c r="BE153" s="115"/>
      <c r="BG153" s="223"/>
    </row>
    <row r="154" spans="51:59" ht="15.95" hidden="1" customHeight="1">
      <c r="AY154" s="114"/>
      <c r="AZ154" s="115"/>
      <c r="BC154" s="302"/>
      <c r="BD154" s="302"/>
      <c r="BE154" s="115"/>
      <c r="BG154" s="223"/>
    </row>
    <row r="155" spans="51:59" ht="15.95" hidden="1" customHeight="1">
      <c r="AY155" s="114"/>
      <c r="AZ155" s="115"/>
      <c r="BC155" s="302"/>
      <c r="BD155" s="302"/>
      <c r="BE155" s="115"/>
      <c r="BG155" s="223"/>
    </row>
    <row r="156" spans="51:59" ht="15.95" hidden="1" customHeight="1">
      <c r="AY156" s="114"/>
      <c r="AZ156" s="115"/>
      <c r="BC156" s="302"/>
      <c r="BD156" s="302"/>
      <c r="BE156" s="115"/>
      <c r="BG156" s="223"/>
    </row>
    <row r="157" spans="51:59" ht="15.95" hidden="1" customHeight="1">
      <c r="AY157" s="114"/>
      <c r="AZ157" s="115"/>
      <c r="BC157" s="302"/>
      <c r="BD157" s="302"/>
      <c r="BE157" s="115"/>
      <c r="BG157" s="223"/>
    </row>
    <row r="158" spans="51:59" ht="15.95" hidden="1" customHeight="1">
      <c r="AY158" s="114"/>
      <c r="AZ158" s="115"/>
      <c r="BC158" s="302"/>
      <c r="BD158" s="302"/>
      <c r="BE158" s="115"/>
      <c r="BG158" s="223"/>
    </row>
    <row r="159" spans="51:59" ht="15.95" hidden="1" customHeight="1">
      <c r="AY159" s="114"/>
      <c r="AZ159" s="115"/>
      <c r="BC159" s="302"/>
      <c r="BD159" s="302"/>
      <c r="BE159" s="115"/>
      <c r="BG159" s="223"/>
    </row>
    <row r="160" spans="51:59" ht="15.95" hidden="1" customHeight="1">
      <c r="AY160" s="114"/>
      <c r="AZ160" s="115"/>
      <c r="BC160" s="302"/>
      <c r="BD160" s="302"/>
      <c r="BE160" s="115"/>
      <c r="BG160" s="223"/>
    </row>
    <row r="161" spans="51:59" ht="15.95" hidden="1" customHeight="1">
      <c r="AY161" s="114"/>
      <c r="AZ161" s="115"/>
      <c r="BC161" s="302"/>
      <c r="BD161" s="302"/>
      <c r="BE161" s="115"/>
      <c r="BG161" s="223"/>
    </row>
    <row r="162" spans="51:59" ht="15.95" hidden="1" customHeight="1">
      <c r="AY162" s="114"/>
      <c r="AZ162" s="115"/>
      <c r="BC162" s="302"/>
      <c r="BD162" s="302"/>
      <c r="BE162" s="115"/>
      <c r="BG162" s="223"/>
    </row>
    <row r="163" spans="51:59" ht="15.95" hidden="1" customHeight="1">
      <c r="AY163" s="114"/>
      <c r="AZ163" s="115"/>
      <c r="BC163" s="302"/>
      <c r="BD163" s="302"/>
      <c r="BE163" s="115"/>
      <c r="BG163" s="223"/>
    </row>
    <row r="164" spans="51:59" ht="15.95" hidden="1" customHeight="1">
      <c r="AY164" s="114"/>
      <c r="AZ164" s="115"/>
      <c r="BC164" s="302"/>
      <c r="BD164" s="302"/>
      <c r="BE164" s="115"/>
      <c r="BG164" s="223"/>
    </row>
    <row r="165" spans="51:59" ht="15.95" hidden="1" customHeight="1">
      <c r="AY165" s="114"/>
      <c r="AZ165" s="115"/>
      <c r="BC165" s="302"/>
      <c r="BD165" s="302"/>
      <c r="BE165" s="115"/>
      <c r="BG165" s="223"/>
    </row>
    <row r="166" spans="51:59" ht="15.95" hidden="1" customHeight="1">
      <c r="AY166" s="114"/>
      <c r="AZ166" s="115"/>
      <c r="BC166" s="302"/>
      <c r="BD166" s="302"/>
      <c r="BE166" s="115"/>
      <c r="BG166" s="223"/>
    </row>
    <row r="167" spans="51:59" ht="15.95" hidden="1" customHeight="1">
      <c r="AY167" s="114"/>
      <c r="AZ167" s="115"/>
      <c r="BC167" s="302"/>
      <c r="BD167" s="302"/>
      <c r="BE167" s="115"/>
      <c r="BG167" s="223"/>
    </row>
    <row r="168" spans="51:59" ht="15.95" hidden="1" customHeight="1">
      <c r="AY168" s="114"/>
      <c r="AZ168" s="115"/>
      <c r="BC168" s="302"/>
      <c r="BD168" s="302"/>
      <c r="BE168" s="115"/>
      <c r="BG168" s="223"/>
    </row>
    <row r="169" spans="51:59" ht="15.95" hidden="1" customHeight="1">
      <c r="AY169" s="114"/>
      <c r="AZ169" s="115"/>
      <c r="BC169" s="302"/>
      <c r="BD169" s="302"/>
      <c r="BE169" s="115"/>
      <c r="BG169" s="223"/>
    </row>
    <row r="170" spans="51:59" ht="15.95" hidden="1" customHeight="1">
      <c r="AY170" s="114"/>
      <c r="AZ170" s="115"/>
      <c r="BC170" s="302"/>
      <c r="BD170" s="302"/>
      <c r="BE170" s="115"/>
      <c r="BG170" s="223"/>
    </row>
    <row r="171" spans="51:59" ht="15.95" hidden="1" customHeight="1">
      <c r="AY171" s="114"/>
      <c r="AZ171" s="115"/>
      <c r="BC171" s="302"/>
      <c r="BD171" s="302"/>
      <c r="BE171" s="115"/>
      <c r="BG171" s="223"/>
    </row>
    <row r="172" spans="51:59" ht="15.95" hidden="1" customHeight="1">
      <c r="AY172" s="114"/>
      <c r="AZ172" s="115"/>
      <c r="BC172" s="302"/>
      <c r="BD172" s="302"/>
      <c r="BE172" s="115"/>
      <c r="BG172" s="223"/>
    </row>
    <row r="173" spans="51:59" ht="15.95" hidden="1" customHeight="1">
      <c r="AY173" s="114"/>
      <c r="AZ173" s="115"/>
      <c r="BC173" s="302"/>
      <c r="BD173" s="302"/>
      <c r="BE173" s="115"/>
      <c r="BG173" s="223"/>
    </row>
    <row r="174" spans="51:59" ht="15.95" hidden="1" customHeight="1">
      <c r="AY174" s="114"/>
      <c r="AZ174" s="115"/>
      <c r="BC174" s="302"/>
      <c r="BD174" s="302"/>
      <c r="BE174" s="115"/>
      <c r="BG174" s="223"/>
    </row>
    <row r="175" spans="51:59" ht="15.95" hidden="1" customHeight="1">
      <c r="AY175" s="114"/>
      <c r="AZ175" s="115"/>
      <c r="BC175" s="302"/>
      <c r="BD175" s="302"/>
      <c r="BE175" s="115"/>
      <c r="BG175" s="223"/>
    </row>
    <row r="176" spans="51:59" ht="15.95" hidden="1" customHeight="1">
      <c r="AY176" s="114"/>
      <c r="AZ176" s="115"/>
      <c r="BC176" s="302"/>
      <c r="BD176" s="302"/>
      <c r="BE176" s="115"/>
      <c r="BG176" s="223"/>
    </row>
    <row r="177" spans="51:59" ht="15.95" hidden="1" customHeight="1">
      <c r="AY177" s="114"/>
      <c r="AZ177" s="115"/>
      <c r="BC177" s="302"/>
      <c r="BD177" s="302"/>
      <c r="BE177" s="115"/>
      <c r="BG177" s="223"/>
    </row>
    <row r="178" spans="51:59" ht="15.95" hidden="1" customHeight="1">
      <c r="AY178" s="114"/>
      <c r="AZ178" s="115"/>
      <c r="BC178" s="302"/>
      <c r="BD178" s="302"/>
      <c r="BE178" s="115"/>
      <c r="BG178" s="223"/>
    </row>
    <row r="179" spans="51:59" ht="15.95" hidden="1" customHeight="1">
      <c r="AY179" s="114"/>
      <c r="AZ179" s="115"/>
      <c r="BC179" s="302"/>
      <c r="BD179" s="302"/>
      <c r="BE179" s="115"/>
      <c r="BG179" s="223"/>
    </row>
    <row r="180" spans="51:59" ht="15.95" hidden="1" customHeight="1">
      <c r="AY180" s="114"/>
      <c r="AZ180" s="115"/>
      <c r="BC180" s="302"/>
      <c r="BD180" s="302"/>
      <c r="BE180" s="115"/>
      <c r="BG180" s="223"/>
    </row>
    <row r="181" spans="51:59" ht="15.95" hidden="1" customHeight="1">
      <c r="AY181" s="114"/>
      <c r="AZ181" s="115"/>
      <c r="BC181" s="302"/>
      <c r="BD181" s="302"/>
      <c r="BE181" s="115"/>
      <c r="BG181" s="223"/>
    </row>
    <row r="182" spans="51:59" ht="15.95" hidden="1" customHeight="1">
      <c r="AY182" s="114"/>
      <c r="AZ182" s="115"/>
      <c r="BC182" s="302"/>
      <c r="BD182" s="302"/>
      <c r="BE182" s="115"/>
      <c r="BG182" s="223"/>
    </row>
    <row r="183" spans="51:59" ht="15.95" hidden="1" customHeight="1">
      <c r="AY183" s="114"/>
      <c r="AZ183" s="115"/>
      <c r="BC183" s="302"/>
      <c r="BD183" s="302"/>
      <c r="BE183" s="115"/>
      <c r="BG183" s="223"/>
    </row>
    <row r="184" spans="51:59" ht="15.95" hidden="1" customHeight="1">
      <c r="AY184" s="114"/>
      <c r="AZ184" s="115"/>
      <c r="BC184" s="302"/>
      <c r="BD184" s="302"/>
      <c r="BE184" s="115"/>
      <c r="BG184" s="223"/>
    </row>
    <row r="185" spans="51:59" ht="15.95" hidden="1" customHeight="1">
      <c r="AY185" s="114"/>
      <c r="AZ185" s="115"/>
      <c r="BC185" s="302"/>
      <c r="BD185" s="302"/>
      <c r="BE185" s="115"/>
      <c r="BG185" s="223"/>
    </row>
    <row r="186" spans="51:59" ht="15.95" hidden="1" customHeight="1">
      <c r="AY186" s="114"/>
      <c r="AZ186" s="115"/>
      <c r="BC186" s="302"/>
      <c r="BD186" s="302"/>
      <c r="BE186" s="115"/>
      <c r="BG186" s="223"/>
    </row>
    <row r="187" spans="51:59" ht="15.95" hidden="1" customHeight="1">
      <c r="AY187" s="114"/>
      <c r="AZ187" s="115"/>
      <c r="BC187" s="302"/>
      <c r="BD187" s="302"/>
      <c r="BE187" s="115"/>
      <c r="BG187" s="223"/>
    </row>
    <row r="188" spans="51:59" ht="15.95" hidden="1" customHeight="1">
      <c r="AY188" s="114"/>
      <c r="AZ188" s="115"/>
      <c r="BC188" s="302"/>
      <c r="BD188" s="302"/>
      <c r="BE188" s="115"/>
      <c r="BG188" s="223"/>
    </row>
    <row r="189" spans="51:59" ht="15.95" hidden="1" customHeight="1">
      <c r="AY189" s="114"/>
      <c r="AZ189" s="115"/>
      <c r="BC189" s="302"/>
      <c r="BD189" s="302"/>
      <c r="BE189" s="115"/>
      <c r="BG189" s="223"/>
    </row>
    <row r="190" spans="51:59" ht="15.95" hidden="1" customHeight="1">
      <c r="AY190" s="114"/>
      <c r="AZ190" s="115"/>
      <c r="BC190" s="302"/>
      <c r="BD190" s="302"/>
      <c r="BE190" s="115"/>
      <c r="BG190" s="223"/>
    </row>
    <row r="191" spans="51:59" ht="15.95" hidden="1" customHeight="1">
      <c r="AY191" s="114"/>
      <c r="AZ191" s="115"/>
      <c r="BC191" s="302"/>
      <c r="BD191" s="302"/>
      <c r="BE191" s="115"/>
      <c r="BG191" s="223"/>
    </row>
    <row r="192" spans="51:59" ht="15.95" hidden="1" customHeight="1">
      <c r="AY192" s="114"/>
      <c r="AZ192" s="115"/>
      <c r="BC192" s="302"/>
      <c r="BD192" s="302"/>
      <c r="BE192" s="115"/>
      <c r="BG192" s="223"/>
    </row>
    <row r="193" spans="1:59" ht="15.95" hidden="1" customHeight="1">
      <c r="AY193" s="114"/>
      <c r="AZ193" s="115"/>
      <c r="BC193" s="302"/>
      <c r="BD193" s="302"/>
      <c r="BE193" s="115"/>
      <c r="BG193" s="223"/>
    </row>
    <row r="194" spans="1:59" ht="15.95" hidden="1" customHeight="1">
      <c r="AY194" s="114"/>
      <c r="AZ194" s="115"/>
      <c r="BC194" s="302"/>
      <c r="BD194" s="302"/>
      <c r="BE194" s="115"/>
      <c r="BG194" s="223"/>
    </row>
    <row r="195" spans="1:59" ht="15.95" hidden="1" customHeight="1">
      <c r="AY195" s="114"/>
      <c r="AZ195" s="115"/>
      <c r="BC195" s="302"/>
      <c r="BD195" s="302"/>
      <c r="BE195" s="115"/>
      <c r="BG195" s="223"/>
    </row>
    <row r="196" spans="1:59" ht="15.95" hidden="1" customHeight="1">
      <c r="AY196" s="114"/>
      <c r="AZ196" s="115"/>
      <c r="BC196" s="302"/>
      <c r="BD196" s="302"/>
      <c r="BE196" s="115"/>
      <c r="BG196" s="223"/>
    </row>
    <row r="197" spans="1:59" ht="15.95" hidden="1" customHeight="1">
      <c r="AY197" s="114"/>
      <c r="AZ197" s="115"/>
      <c r="BC197" s="302"/>
      <c r="BD197" s="302"/>
      <c r="BE197" s="115"/>
      <c r="BG197" s="223"/>
    </row>
    <row r="198" spans="1:59" ht="15.95" hidden="1" customHeight="1">
      <c r="AY198" s="114"/>
      <c r="AZ198" s="115"/>
      <c r="BC198" s="302"/>
      <c r="BD198" s="302"/>
      <c r="BE198" s="115"/>
      <c r="BG198" s="223"/>
    </row>
    <row r="199" spans="1:59" ht="15.95" hidden="1" customHeight="1">
      <c r="AY199" s="114"/>
      <c r="AZ199" s="115"/>
      <c r="BC199" s="302"/>
      <c r="BD199" s="302"/>
      <c r="BE199" s="115"/>
      <c r="BG199" s="223"/>
    </row>
    <row r="200" spans="1:59" ht="15.95" customHeight="1">
      <c r="A200" s="251"/>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51"/>
      <c r="BA200" s="1127">
        <f>IF(OR(COUNTIF(BA30,"Missing!")&gt;0,COUNTIF(BA30,0)&gt;0,COUNTIFS(BA30,"",BB30,"",AO30,"&gt;0")&gt;0,COUNTIF(BA18:BB25,"Missing!")&gt;0,COUNTIF(BA18:BB25,0)&gt;0,COUNTIFS(BA18:BA25,"",BB18:BB25,"",AO18:AO25,"&gt;0")&gt;0),"Missing Units on Miscellaneous. ",SUM(BA30:BB31))</f>
        <v>0</v>
      </c>
      <c r="BC200" s="970">
        <f>SUM(BC18:BC31)</f>
        <v>0</v>
      </c>
      <c r="BD200" s="970">
        <f>SUM(BD18:BD31)</f>
        <v>0</v>
      </c>
      <c r="BG200" s="971">
        <f>SUM(BF26:BF27)</f>
        <v>0</v>
      </c>
    </row>
    <row r="201" spans="1:59" ht="15.95" customHeight="1">
      <c r="A201" s="251" t="s">
        <v>2237</v>
      </c>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51"/>
      <c r="BA201" s="1128"/>
      <c r="BC201" s="970"/>
      <c r="BD201" s="970"/>
      <c r="BG201" s="972"/>
    </row>
    <row r="202" spans="1:59" ht="15.95" customHeight="1">
      <c r="A202" s="251"/>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51"/>
    </row>
    <row r="203" spans="1:59" ht="15.95" hidden="1" customHeight="1"/>
    <row r="204" spans="1:59" ht="15.95" hidden="1" customHeight="1"/>
    <row r="205" spans="1:59" ht="15" hidden="1" customHeight="1"/>
    <row r="206" spans="1:59" ht="15" hidden="1" customHeight="1"/>
  </sheetData>
  <sheetProtection algorithmName="SHA-512" hashValue="Yno9aJQqsE7X4XtnaePzj+H+wbgBxyNJQraPF6kASk2yYxe+nbyrLD40YYypsgjuRvf+NyzNPSCPb2S9gZoYxA==" saltValue="fUrtKthG3xahS9VUT0ATgA==" spinCount="100000" sheet="1" objects="1" scenarios="1" selectLockedCells="1"/>
  <mergeCells count="332">
    <mergeCell ref="BN36:BN37"/>
    <mergeCell ref="BO36:BO37"/>
    <mergeCell ref="BP36:BP37"/>
    <mergeCell ref="B36:B37"/>
    <mergeCell ref="BE36:BE37"/>
    <mergeCell ref="BF36:BF37"/>
    <mergeCell ref="BG36:BG37"/>
    <mergeCell ref="BH36:BH37"/>
    <mergeCell ref="BI36:BI37"/>
    <mergeCell ref="BJ36:BJ37"/>
    <mergeCell ref="BK36:BK37"/>
    <mergeCell ref="BL36:BL37"/>
    <mergeCell ref="BM36:BM37"/>
    <mergeCell ref="AO36:AQ37"/>
    <mergeCell ref="AR36:AU37"/>
    <mergeCell ref="AX36:AX37"/>
    <mergeCell ref="AY36:AY37"/>
    <mergeCell ref="AZ36:AZ37"/>
    <mergeCell ref="BA36:BA37"/>
    <mergeCell ref="BB36:BB37"/>
    <mergeCell ref="BC36:BC37"/>
    <mergeCell ref="BD36:BD37"/>
    <mergeCell ref="G36:L37"/>
    <mergeCell ref="AF36:AG37"/>
    <mergeCell ref="BL34:BL35"/>
    <mergeCell ref="BM34:BM35"/>
    <mergeCell ref="BN34:BN35"/>
    <mergeCell ref="BO34:BO35"/>
    <mergeCell ref="BP34:BP35"/>
    <mergeCell ref="AH35:AI35"/>
    <mergeCell ref="AJ35:AK35"/>
    <mergeCell ref="BA34:BA35"/>
    <mergeCell ref="BB34:BB35"/>
    <mergeCell ref="BC34:BC35"/>
    <mergeCell ref="BD34:BD35"/>
    <mergeCell ref="BE34:BE35"/>
    <mergeCell ref="BF34:BF35"/>
    <mergeCell ref="BG34:BG35"/>
    <mergeCell ref="BH34:BH35"/>
    <mergeCell ref="BI34:BI35"/>
    <mergeCell ref="BJ34:BJ35"/>
    <mergeCell ref="BK34:BK35"/>
    <mergeCell ref="AL34:AN35"/>
    <mergeCell ref="AO34:AQ35"/>
    <mergeCell ref="AR34:AU35"/>
    <mergeCell ref="AX34:AX35"/>
    <mergeCell ref="AY34:AY35"/>
    <mergeCell ref="AZ34:AZ35"/>
    <mergeCell ref="BP30:BP31"/>
    <mergeCell ref="BB20:BB21"/>
    <mergeCell ref="BF24:BF25"/>
    <mergeCell ref="BG24:BG25"/>
    <mergeCell ref="BN20:BN21"/>
    <mergeCell ref="BM18:BM19"/>
    <mergeCell ref="BJ22:BJ23"/>
    <mergeCell ref="BL22:BL23"/>
    <mergeCell ref="BK18:BK19"/>
    <mergeCell ref="BK20:BK21"/>
    <mergeCell ref="BK22:BK23"/>
    <mergeCell ref="BL20:BL21"/>
    <mergeCell ref="BM24:BM25"/>
    <mergeCell ref="BN24:BN25"/>
    <mergeCell ref="BJ24:BJ25"/>
    <mergeCell ref="BO30:BO31"/>
    <mergeCell ref="BM20:BM21"/>
    <mergeCell ref="BN18:BN19"/>
    <mergeCell ref="BL18:BL19"/>
    <mergeCell ref="BN30:BN31"/>
    <mergeCell ref="BM22:BM23"/>
    <mergeCell ref="BN22:BN23"/>
    <mergeCell ref="BN28:BN29"/>
    <mergeCell ref="BJ18:BJ19"/>
    <mergeCell ref="AP1:AS3"/>
    <mergeCell ref="AS5:AW6"/>
    <mergeCell ref="AS7:AW7"/>
    <mergeCell ref="AS8:AW8"/>
    <mergeCell ref="BG20:BG21"/>
    <mergeCell ref="AZ18:AZ19"/>
    <mergeCell ref="BF18:BF19"/>
    <mergeCell ref="BC18:BC19"/>
    <mergeCell ref="BD18:BD19"/>
    <mergeCell ref="BC20:BC21"/>
    <mergeCell ref="BD20:BD21"/>
    <mergeCell ref="AY16:AY17"/>
    <mergeCell ref="BA16:BA17"/>
    <mergeCell ref="BB16:BB17"/>
    <mergeCell ref="AY18:AY19"/>
    <mergeCell ref="BB18:BB19"/>
    <mergeCell ref="AZ16:AZ17"/>
    <mergeCell ref="BF16:BF17"/>
    <mergeCell ref="BG16:BG17"/>
    <mergeCell ref="AR20:AU21"/>
    <mergeCell ref="AM13:AU14"/>
    <mergeCell ref="AO20:AQ21"/>
    <mergeCell ref="AO18:AQ19"/>
    <mergeCell ref="AR18:AU19"/>
    <mergeCell ref="BP16:BP17"/>
    <mergeCell ref="BP18:BP19"/>
    <mergeCell ref="BP20:BP21"/>
    <mergeCell ref="BP22:BP23"/>
    <mergeCell ref="BP24:BP25"/>
    <mergeCell ref="BO24:BO25"/>
    <mergeCell ref="BO28:BO29"/>
    <mergeCell ref="BP28:BP29"/>
    <mergeCell ref="BO22:BO23"/>
    <mergeCell ref="BJ16:BJ17"/>
    <mergeCell ref="BE16:BE17"/>
    <mergeCell ref="BC16:BC17"/>
    <mergeCell ref="BD16:BD17"/>
    <mergeCell ref="BO16:BO17"/>
    <mergeCell ref="BO18:BO19"/>
    <mergeCell ref="BO20:BO21"/>
    <mergeCell ref="BK16:BK17"/>
    <mergeCell ref="BL16:BL17"/>
    <mergeCell ref="BM16:BM17"/>
    <mergeCell ref="BN16:BN17"/>
    <mergeCell ref="BJ20:BJ21"/>
    <mergeCell ref="BI20:BI21"/>
    <mergeCell ref="BH18:BH19"/>
    <mergeCell ref="BI18:BI19"/>
    <mergeCell ref="BH16:BH17"/>
    <mergeCell ref="BI16:BI17"/>
    <mergeCell ref="BF20:BF21"/>
    <mergeCell ref="BG18:BG19"/>
    <mergeCell ref="BB22:BB23"/>
    <mergeCell ref="AB14:AE14"/>
    <mergeCell ref="AX18:AX19"/>
    <mergeCell ref="AX20:AX21"/>
    <mergeCell ref="AF20:AG21"/>
    <mergeCell ref="AF18:AG19"/>
    <mergeCell ref="AL16:AN17"/>
    <mergeCell ref="AO16:AQ17"/>
    <mergeCell ref="AR16:AU17"/>
    <mergeCell ref="AX16:AX17"/>
    <mergeCell ref="AL20:AN21"/>
    <mergeCell ref="AL18:AN19"/>
    <mergeCell ref="AH20:AI21"/>
    <mergeCell ref="AJ20:AK21"/>
    <mergeCell ref="AH18:AI19"/>
    <mergeCell ref="AJ18:AK19"/>
    <mergeCell ref="BA18:BA19"/>
    <mergeCell ref="BA20:BA21"/>
    <mergeCell ref="AY20:AY21"/>
    <mergeCell ref="AH22:AI23"/>
    <mergeCell ref="AJ22:AK23"/>
    <mergeCell ref="AL22:AN23"/>
    <mergeCell ref="AO22:AQ23"/>
    <mergeCell ref="AR22:AU23"/>
    <mergeCell ref="BC22:BC23"/>
    <mergeCell ref="BD22:BD23"/>
    <mergeCell ref="BA22:BA23"/>
    <mergeCell ref="AZ20:AZ21"/>
    <mergeCell ref="F1:I3"/>
    <mergeCell ref="J1:M3"/>
    <mergeCell ref="AL1:AO3"/>
    <mergeCell ref="AH9:AK11"/>
    <mergeCell ref="AL9:AO11"/>
    <mergeCell ref="AF16:AG17"/>
    <mergeCell ref="AH16:AK16"/>
    <mergeCell ref="AH17:AI17"/>
    <mergeCell ref="AJ17:AK17"/>
    <mergeCell ref="H16:M17"/>
    <mergeCell ref="T12:W13"/>
    <mergeCell ref="X12:AA13"/>
    <mergeCell ref="AB12:AE13"/>
    <mergeCell ref="E13:R13"/>
    <mergeCell ref="T14:W14"/>
    <mergeCell ref="J9:M11"/>
    <mergeCell ref="T16:V17"/>
    <mergeCell ref="AC16:AE17"/>
    <mergeCell ref="N9:Q11"/>
    <mergeCell ref="R9:U11"/>
    <mergeCell ref="AD9:AG11"/>
    <mergeCell ref="X14:AA14"/>
    <mergeCell ref="H18:M19"/>
    <mergeCell ref="T22:V23"/>
    <mergeCell ref="T24:V25"/>
    <mergeCell ref="H30:J31"/>
    <mergeCell ref="H28:J29"/>
    <mergeCell ref="H24:M25"/>
    <mergeCell ref="T28:V29"/>
    <mergeCell ref="N28:S29"/>
    <mergeCell ref="N30:S31"/>
    <mergeCell ref="W28:AB29"/>
    <mergeCell ref="W30:AB31"/>
    <mergeCell ref="K28:M29"/>
    <mergeCell ref="K30:M31"/>
    <mergeCell ref="AF22:AG23"/>
    <mergeCell ref="AF24:AG25"/>
    <mergeCell ref="H22:M23"/>
    <mergeCell ref="H20:M21"/>
    <mergeCell ref="B30:B31"/>
    <mergeCell ref="B18:B19"/>
    <mergeCell ref="B20:B21"/>
    <mergeCell ref="B22:B23"/>
    <mergeCell ref="B24:B25"/>
    <mergeCell ref="T18:V19"/>
    <mergeCell ref="T20:V21"/>
    <mergeCell ref="BH24:BH25"/>
    <mergeCell ref="BL30:BL31"/>
    <mergeCell ref="BC30:BC31"/>
    <mergeCell ref="AL28:AN29"/>
    <mergeCell ref="AR28:AU29"/>
    <mergeCell ref="AL30:AN31"/>
    <mergeCell ref="AO30:AQ31"/>
    <mergeCell ref="AR30:AU31"/>
    <mergeCell ref="AO28:AQ29"/>
    <mergeCell ref="BA28:BA29"/>
    <mergeCell ref="BA30:BA31"/>
    <mergeCell ref="BB28:BB29"/>
    <mergeCell ref="T30:V31"/>
    <mergeCell ref="AC28:AE29"/>
    <mergeCell ref="AC30:AE31"/>
    <mergeCell ref="AC22:AE23"/>
    <mergeCell ref="C30:G31"/>
    <mergeCell ref="BM30:BM31"/>
    <mergeCell ref="BE18:BE19"/>
    <mergeCell ref="BE20:BE21"/>
    <mergeCell ref="BE22:BE23"/>
    <mergeCell ref="BE24:BE25"/>
    <mergeCell ref="BE28:BE29"/>
    <mergeCell ref="BE30:BE31"/>
    <mergeCell ref="BJ30:BJ31"/>
    <mergeCell ref="BF30:BF31"/>
    <mergeCell ref="BG30:BG31"/>
    <mergeCell ref="BH30:BH31"/>
    <mergeCell ref="BI30:BI31"/>
    <mergeCell ref="BK30:BK31"/>
    <mergeCell ref="BH28:BH29"/>
    <mergeCell ref="BI28:BI29"/>
    <mergeCell ref="BK28:BK29"/>
    <mergeCell ref="BL28:BL29"/>
    <mergeCell ref="BM28:BM29"/>
    <mergeCell ref="BI24:BI25"/>
    <mergeCell ref="BF22:BF23"/>
    <mergeCell ref="BG22:BG23"/>
    <mergeCell ref="BH22:BH23"/>
    <mergeCell ref="BI22:BI23"/>
    <mergeCell ref="BH20:BH21"/>
    <mergeCell ref="BL24:BL25"/>
    <mergeCell ref="BC24:BC25"/>
    <mergeCell ref="BD24:BD25"/>
    <mergeCell ref="AY24:AY25"/>
    <mergeCell ref="BJ28:BJ29"/>
    <mergeCell ref="BC28:BC29"/>
    <mergeCell ref="BD28:BD29"/>
    <mergeCell ref="BA24:BA25"/>
    <mergeCell ref="BD30:BD31"/>
    <mergeCell ref="AY30:AY31"/>
    <mergeCell ref="BB24:BB25"/>
    <mergeCell ref="BB30:BB31"/>
    <mergeCell ref="BK24:BK25"/>
    <mergeCell ref="AZ30:AZ31"/>
    <mergeCell ref="BD200:BD201"/>
    <mergeCell ref="BG200:BG201"/>
    <mergeCell ref="AY28:AY29"/>
    <mergeCell ref="AZ28:AZ29"/>
    <mergeCell ref="BF28:BF29"/>
    <mergeCell ref="BG28:BG29"/>
    <mergeCell ref="AX28:AX29"/>
    <mergeCell ref="AX30:AX31"/>
    <mergeCell ref="BC200:BC201"/>
    <mergeCell ref="BA200:BA201"/>
    <mergeCell ref="AY22:AY23"/>
    <mergeCell ref="AZ22:AZ23"/>
    <mergeCell ref="AL24:AN25"/>
    <mergeCell ref="AO24:AQ25"/>
    <mergeCell ref="AX22:AX23"/>
    <mergeCell ref="AH24:AI25"/>
    <mergeCell ref="AJ24:AK25"/>
    <mergeCell ref="AR24:AU25"/>
    <mergeCell ref="AX24:AX25"/>
    <mergeCell ref="C28:G29"/>
    <mergeCell ref="AH36:AI37"/>
    <mergeCell ref="AJ36:AK37"/>
    <mergeCell ref="AL36:AN37"/>
    <mergeCell ref="AF34:AG35"/>
    <mergeCell ref="AH34:AK34"/>
    <mergeCell ref="AJ30:AK31"/>
    <mergeCell ref="AZ24:AZ25"/>
    <mergeCell ref="AJ29:AK29"/>
    <mergeCell ref="AH28:AK28"/>
    <mergeCell ref="AH29:AI29"/>
    <mergeCell ref="C36:F37"/>
    <mergeCell ref="Z35:AB35"/>
    <mergeCell ref="Z36:AB37"/>
    <mergeCell ref="AC35:AE35"/>
    <mergeCell ref="AC36:AE37"/>
    <mergeCell ref="Z34:AE34"/>
    <mergeCell ref="C34:F35"/>
    <mergeCell ref="G34:L35"/>
    <mergeCell ref="O200:AI201"/>
    <mergeCell ref="AF28:AG29"/>
    <mergeCell ref="AF30:AG31"/>
    <mergeCell ref="AH30:AI31"/>
    <mergeCell ref="X34:Y35"/>
    <mergeCell ref="V35:W35"/>
    <mergeCell ref="T35:U35"/>
    <mergeCell ref="P34:Q35"/>
    <mergeCell ref="P36:Q37"/>
    <mergeCell ref="T36:U37"/>
    <mergeCell ref="R36:S37"/>
    <mergeCell ref="V36:W37"/>
    <mergeCell ref="X36:Y37"/>
    <mergeCell ref="M34:O35"/>
    <mergeCell ref="M36:O37"/>
    <mergeCell ref="T34:W34"/>
    <mergeCell ref="R34:S35"/>
    <mergeCell ref="A4:E6"/>
    <mergeCell ref="A7:E8"/>
    <mergeCell ref="Q1:AG3"/>
    <mergeCell ref="AT1:AW3"/>
    <mergeCell ref="C16:G17"/>
    <mergeCell ref="C18:G19"/>
    <mergeCell ref="C20:G21"/>
    <mergeCell ref="C22:G23"/>
    <mergeCell ref="C24:G25"/>
    <mergeCell ref="N16:S17"/>
    <mergeCell ref="N18:S19"/>
    <mergeCell ref="N20:S21"/>
    <mergeCell ref="N22:S23"/>
    <mergeCell ref="N24:S25"/>
    <mergeCell ref="W16:AB17"/>
    <mergeCell ref="W18:AB19"/>
    <mergeCell ref="W20:AB21"/>
    <mergeCell ref="W22:AB23"/>
    <mergeCell ref="W24:AB25"/>
    <mergeCell ref="AC24:AE25"/>
    <mergeCell ref="AC18:AE19"/>
    <mergeCell ref="AC20:AE21"/>
    <mergeCell ref="V9:Y11"/>
    <mergeCell ref="Z9:AC11"/>
  </mergeCells>
  <conditionalFormatting sqref="X36 H18:N18 T18 W18 AC18 AF18:AK25 H19:M19 H20:N20 T20 W20 AC20 H21:M25 N22 T22 W22 AC22 N24 T24 W24 AC24 H30:K30 N30 T30 W30 AC30 AF30:AK31 H31:J31 G36 M36 P36 R36 V36 AH36 AF36:AG37 AJ36:AK37">
    <cfRule type="expression" dxfId="59" priority="1458">
      <formula>AND(ISBLANK($C18)=FALSE,OR(ISBLANK(G18)=TRUE,G18=""))</formula>
    </cfRule>
  </conditionalFormatting>
  <conditionalFormatting sqref="X36">
    <cfRule type="expression" dxfId="58" priority="4">
      <formula>IF($X$36="", FALSE, $X$36 &lt;&gt; IFERROR(IF(M02S04F19&lt;&gt;"", INDEX(LIST_Transformer_LF, MATCH(M02S04F19, BUILDING, 0)), "Enter Bldg. Type"), ""))</formula>
    </cfRule>
  </conditionalFormatting>
  <conditionalFormatting sqref="AR30">
    <cfRule type="expression" dxfId="57" priority="1470" stopIfTrue="1">
      <formula>ISNUMBER($AR30)=FALSE</formula>
    </cfRule>
    <cfRule type="expression" dxfId="56" priority="1471">
      <formula>$AR30 &lt;&gt; $BI30</formula>
    </cfRule>
  </conditionalFormatting>
  <conditionalFormatting sqref="AR18:AU25">
    <cfRule type="expression" dxfId="55" priority="13" stopIfTrue="1">
      <formula>ISNUMBER($AR18)=FALSE</formula>
    </cfRule>
    <cfRule type="expression" dxfId="54" priority="20">
      <formula>$AR18 &lt;&gt; $BI18</formula>
    </cfRule>
  </conditionalFormatting>
  <conditionalFormatting sqref="AR36:AU37">
    <cfRule type="expression" dxfId="53" priority="8" stopIfTrue="1">
      <formula>ISNUMBER($AR36)=FALSE</formula>
    </cfRule>
    <cfRule type="expression" dxfId="52" priority="9">
      <formula>$AR36 &lt;&gt; $BI36</formula>
    </cfRule>
  </conditionalFormatting>
  <conditionalFormatting sqref="AS8:AW8">
    <cfRule type="expression" dxfId="51" priority="21">
      <formula>IF($AS$8=PROJSTATMEASURE,FALSE,TRUE)</formula>
    </cfRule>
  </conditionalFormatting>
  <conditionalFormatting sqref="BA18:BB25 BH18:BH25">
    <cfRule type="expression" dxfId="50" priority="15">
      <formula>IF(AND(ISNUMBER($AO18),OR(BA18="Missing!",BA18="")),TRUE,FALSE)</formula>
    </cfRule>
  </conditionalFormatting>
  <conditionalFormatting sqref="BA30:BB31">
    <cfRule type="expression" dxfId="49" priority="14">
      <formula>IF(AND(ISNUMBER($AO30),OR(BA30="Missing!",BA30="")),TRUE,FALSE)</formula>
    </cfRule>
  </conditionalFormatting>
  <conditionalFormatting sqref="BA36:BB37">
    <cfRule type="expression" dxfId="48" priority="12">
      <formula>IF(AND(ISNUMBER($AO36),OR(BA36="Missing!",BA36="")),TRUE,FALSE)</formula>
    </cfRule>
  </conditionalFormatting>
  <conditionalFormatting sqref="BE18:BE25">
    <cfRule type="expression" dxfId="47" priority="1468">
      <formula>AND($BE18="",$H18&lt;&gt;"")</formula>
    </cfRule>
  </conditionalFormatting>
  <conditionalFormatting sqref="BF18:BF25">
    <cfRule type="expression" dxfId="46" priority="1469">
      <formula>AND($BF18="",$H18&lt;&gt;"")</formula>
    </cfRule>
  </conditionalFormatting>
  <conditionalFormatting sqref="BF36:BF37">
    <cfRule type="expression" dxfId="45" priority="1478">
      <formula>AND($BF36="",$H36&lt;&gt;"")</formula>
    </cfRule>
  </conditionalFormatting>
  <dataValidations count="13">
    <dataValidation type="list" allowBlank="1" showInputMessage="1" showErrorMessage="1" prompt="Project Type determines the type of cost. &quot;EoSL&quot; means End of Service Life._x000a__x000a_Measure Type must be blank to change this field." sqref="C20 C24 C22 C18" xr:uid="{09F15446-3DC0-4A41-B0F5-A0F1CD27A5C0}">
      <formula1>IF($H18="",CUSTOMPROJECTTYPE,"")</formula1>
    </dataValidation>
    <dataValidation type="list" allowBlank="1" showInputMessage="1" showErrorMessage="1" sqref="H18:M25" xr:uid="{A57AD2C5-5B5A-41A8-8524-28418AA9A2AF}">
      <formula1>CMEMISCDESC</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30:AG31 AF18:AG25 AF36:AG37" xr:uid="{12D8C639-C69D-4774-8269-75A99F0415EE}">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30:AK31 AJ18:AK25 AJ36:AK37" xr:uid="{8930C826-73D7-4F64-A8FD-86152FBAC512}">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30:AI31 AH18:AI25" xr:uid="{FAE5455D-1C2B-41AD-8307-15D1C4F4570A}">
      <formula1>0</formula1>
      <formula2>999999999</formula2>
    </dataValidation>
    <dataValidation type="list" allowBlank="1" showInputMessage="1" showErrorMessage="1" sqref="BF18:BF25 BF36:BF37" xr:uid="{1C5B9CC4-9565-4C03-B844-5AB2546D0B64}">
      <formula1>ENDUSECAT</formula1>
    </dataValidation>
    <dataValidation type="list" allowBlank="1" showInputMessage="1" showErrorMessage="1" sqref="C30" xr:uid="{5DC22787-B3CE-43DF-ABDB-5DB3183B1E86}">
      <formula1>CMEMISC2DESC</formula1>
    </dataValidation>
    <dataValidation type="whole" operator="greaterThanOrEqual" showInputMessage="1" showErrorMessage="1" errorTitle="Invalid Entry" error="Value must be a whole number." sqref="T18:V25 AC18:AE25" xr:uid="{56EF1C7B-E434-49EA-8F2D-48E058AAE90F}">
      <formula1>0</formula1>
    </dataValidation>
    <dataValidation type="whole" operator="greaterThanOrEqual" allowBlank="1" showInputMessage="1" showErrorMessage="1" errorTitle="Invalid Entry" error="Value must be a whole number." sqref="T30:V31 AC30:AE31" xr:uid="{A0FD38EB-A119-4BC5-B102-C053B0DCC484}">
      <formula1>0</formula1>
    </dataValidation>
    <dataValidation type="decimal" operator="greaterThan" allowBlank="1" showInputMessage="1" showErrorMessage="1" errorTitle="Invalid Entry" error="Value must be a decimal number greater than zero." prompt="Enter the annual kWh usage per unit of the new equipment." sqref="H30:J31" xr:uid="{7937198F-629B-41FA-83CD-225F54DA74E1}">
      <formula1>0</formula1>
    </dataValidation>
    <dataValidation type="list" allowBlank="1" showInputMessage="1" showErrorMessage="1" sqref="G36" xr:uid="{5C0450E1-A634-48E0-BD6D-D337F788EE93}">
      <formula1>CMEMISC3DESC</formula1>
    </dataValidation>
    <dataValidation type="list" allowBlank="1" showInputMessage="1" showErrorMessage="1" prompt="Project Type determines the type of cost. &quot;EoSL&quot; means End of Service Life._x000a__x000a_Measure Type must be blank to change this field." sqref="C36" xr:uid="{E704F821-DF14-4D70-872D-D1CED1C8C213}">
      <formula1>IF($G36="",CUSTOMPROJECTTYPE,"")</formula1>
    </dataValidation>
    <dataValidation type="list" allowBlank="1" showInputMessage="1" showErrorMessage="1" sqref="P36:Q37" xr:uid="{86BBA116-8FA2-44FF-BF63-37AE12F600B7}">
      <formula1>ELECPHASES</formula1>
    </dataValidation>
  </dataValidations>
  <hyperlinks>
    <hyperlink ref="N9:Q11" location="'M03-S03'!C18" tooltip="Lighting Controls" display="'M03-S03'!C18" xr:uid="{7EAFE10F-EB2C-42E0-B655-A08622DC0EF6}"/>
    <hyperlink ref="R9:U11" location="'M03-S04'!C18" tooltip="Refrigeration" display="'M03-S04'!C18" xr:uid="{EA112D59-4E02-4B99-8A93-7142788325E9}"/>
    <hyperlink ref="V9:Y11" location="'M03-S05'!C18" tooltip="HVAC" display="'M03-S05'!C18" xr:uid="{D82FA3F5-477F-43DA-973F-18281B7BB444}"/>
    <hyperlink ref="AD9:AG11" location="'M03-S06'!C18" tooltip="Compressed Air / Process" display="'M03-S06'!C18" xr:uid="{1830AC1E-A258-4B50-93B1-61234790A0CF}"/>
    <hyperlink ref="AH9:AK11" location="'M03-S07'!C18" tooltip="Water Heating / Cooking" display="'M03-S07'!C18" xr:uid="{BD14B16D-00C7-4836-B579-172BF69A9E9C}"/>
    <hyperlink ref="Z9:AC11" location="'M03-S08'!C18" tooltip="Motors and Drives" display="'M03-S08'!C18" xr:uid="{643204ED-B2E1-4527-AD18-3DAAC0141AC3}"/>
    <hyperlink ref="AL9:AO11" location="'M04-S09'!C18" tooltip="Miscellaneous" display="'M04-S09'!C18" xr:uid="{6FF63233-9F01-4325-9CA0-FCB5F7C9DDC6}"/>
    <hyperlink ref="B202" r:id="rId1" xr:uid="{01E72B78-DE14-4B58-8AFD-5D0C58BB6B6C}"/>
    <hyperlink ref="J1:M3" location="'M01-S02'!J1" tooltip="Instructions" display="'M01-S02'!J1" xr:uid="{219B2DB1-A8D2-4BE3-8924-57986FB80069}"/>
    <hyperlink ref="AP1:AS3" location="'M05-S05'!AL1" tooltip=" " display="'M05-S05'!AL1" xr:uid="{2B2C92DB-E437-4E6E-9AC6-681E0DCB7EE6}"/>
    <hyperlink ref="AL1:AO3" location="'M05-S04'!AH1" tooltip=" " display="'M05-S04'!AH1" xr:uid="{04E6F90B-F58E-4AA7-844C-8E7292A1591C}"/>
    <hyperlink ref="AT1:AW3" location="'M01-S03'!AP1" tooltip="Contact" display="'M01-S03'!AP1" xr:uid="{E3F60F0A-98A3-4C28-B663-1F2FF02B00DB}"/>
  </hyperlinks>
  <printOptions horizontalCentered="1"/>
  <pageMargins left="0" right="0" top="0" bottom="0" header="0" footer="0"/>
  <pageSetup scale="49" orientation="portrait" r:id="rId2"/>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DF8A-3DA1-4C1C-9596-A96E2B588D84}">
  <sheetPr codeName="Sheet13">
    <tabColor theme="8" tint="0.59999389629810485"/>
    <pageSetUpPr fitToPage="1"/>
  </sheetPr>
  <dimension ref="A1:AW202"/>
  <sheetViews>
    <sheetView showGridLines="0" showRowColHeaders="0" zoomScale="85" zoomScaleNormal="85" workbookViewId="0">
      <selection activeCell="X13" sqref="X13:AC13"/>
    </sheetView>
  </sheetViews>
  <sheetFormatPr defaultColWidth="0" defaultRowHeight="15.95" customHeight="1" zeroHeight="1"/>
  <cols>
    <col min="1" max="49" width="4.7109375" customWidth="1"/>
    <col min="50" max="16384" width="4.7109375" hidden="1"/>
  </cols>
  <sheetData>
    <row r="1" spans="1:4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49" ht="15.95" customHeight="1">
      <c r="A4" s="652">
        <f>INCENTOTAL</f>
        <v>0</v>
      </c>
      <c r="B4" s="652"/>
      <c r="C4" s="652"/>
      <c r="D4" s="652"/>
      <c r="E4" s="652"/>
      <c r="F4" s="435"/>
      <c r="G4" s="435"/>
      <c r="H4" s="435"/>
      <c r="I4" s="435"/>
    </row>
    <row r="5" spans="1:49" ht="15.95" customHeight="1">
      <c r="A5" s="653"/>
      <c r="B5" s="653"/>
      <c r="C5" s="653"/>
      <c r="D5" s="653"/>
      <c r="E5" s="653"/>
      <c r="F5" s="428"/>
      <c r="G5" s="428"/>
      <c r="H5" s="428"/>
      <c r="I5" s="428"/>
      <c r="AS5" s="630">
        <f ca="1">PROGRESSSTATUS</f>
        <v>0</v>
      </c>
      <c r="AT5" s="630"/>
      <c r="AU5" s="630"/>
      <c r="AV5" s="630"/>
      <c r="AW5" s="630"/>
    </row>
    <row r="6" spans="1:49" ht="15.95" customHeight="1">
      <c r="A6" s="653"/>
      <c r="B6" s="653"/>
      <c r="C6" s="653"/>
      <c r="D6" s="653"/>
      <c r="E6" s="653"/>
      <c r="F6" s="428"/>
      <c r="G6" s="428"/>
      <c r="H6" s="428"/>
      <c r="I6" s="428"/>
      <c r="AS6" s="630"/>
      <c r="AT6" s="630"/>
      <c r="AU6" s="630"/>
      <c r="AV6" s="630"/>
      <c r="AW6" s="630"/>
    </row>
    <row r="7" spans="1:49" ht="15.95" customHeight="1">
      <c r="A7" s="629" t="s">
        <v>83</v>
      </c>
      <c r="B7" s="629"/>
      <c r="C7" s="629"/>
      <c r="D7" s="629"/>
      <c r="E7" s="629"/>
      <c r="F7" s="85"/>
      <c r="G7" s="85"/>
      <c r="H7" s="85"/>
      <c r="I7" s="85"/>
      <c r="AS7" s="629" t="s">
        <v>299</v>
      </c>
      <c r="AT7" s="629"/>
      <c r="AU7" s="629"/>
      <c r="AV7" s="629"/>
      <c r="AW7" s="629"/>
    </row>
    <row r="8" spans="1:49" ht="15.95" customHeight="1" thickBot="1">
      <c r="A8" s="632"/>
      <c r="B8" s="632"/>
      <c r="C8" s="632"/>
      <c r="D8" s="632"/>
      <c r="E8" s="632"/>
      <c r="F8" s="429"/>
      <c r="G8" s="429"/>
      <c r="H8" s="429"/>
      <c r="I8" s="429"/>
      <c r="AS8" s="628" t="str">
        <f ca="1">PROJSTATUS</f>
        <v>Enter Measures</v>
      </c>
      <c r="AT8" s="628"/>
      <c r="AU8" s="628"/>
      <c r="AV8" s="628"/>
      <c r="AW8" s="628"/>
    </row>
    <row r="9" spans="1:49" ht="15.95" customHeight="1">
      <c r="A9" s="631" t="str">
        <f>M5S1</f>
        <v>Payment</v>
      </c>
      <c r="B9" s="631"/>
      <c r="C9" s="631"/>
      <c r="D9" s="631"/>
      <c r="E9" s="631"/>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c r="AT9" s="631"/>
      <c r="AU9" s="631"/>
      <c r="AV9" s="631"/>
      <c r="AW9" s="631"/>
    </row>
    <row r="10" spans="1:49" ht="15.95" customHeight="1">
      <c r="A10" s="621"/>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21"/>
      <c r="AO10" s="621"/>
      <c r="AP10" s="621"/>
      <c r="AQ10" s="621"/>
      <c r="AR10" s="621"/>
      <c r="AS10" s="621"/>
      <c r="AT10" s="621"/>
      <c r="AU10" s="621"/>
      <c r="AV10" s="621"/>
      <c r="AW10" s="621"/>
    </row>
    <row r="11" spans="1:49" ht="15.95" customHeight="1">
      <c r="H11" s="1236" t="s">
        <v>1201</v>
      </c>
      <c r="I11" s="1236"/>
      <c r="J11" s="1236"/>
      <c r="K11" s="1236"/>
      <c r="L11" s="1236"/>
      <c r="M11" s="1236"/>
      <c r="N11" s="1236"/>
      <c r="O11" s="1236"/>
      <c r="P11" s="1236"/>
      <c r="Q11" s="1236"/>
      <c r="R11" s="1236"/>
      <c r="S11" s="1236"/>
      <c r="T11" s="1236"/>
      <c r="U11" s="1236"/>
      <c r="V11" s="1236"/>
      <c r="W11" s="1236"/>
      <c r="X11" s="1236"/>
      <c r="Y11" s="1236"/>
      <c r="Z11" s="1236"/>
      <c r="AA11" s="1236"/>
      <c r="AB11" s="1236"/>
      <c r="AC11" s="1236"/>
      <c r="AD11" s="1236"/>
      <c r="AE11" s="1236"/>
      <c r="AF11" s="1236"/>
      <c r="AG11" s="1236"/>
      <c r="AH11" s="1236"/>
      <c r="AI11" s="1236"/>
      <c r="AJ11" s="1236"/>
      <c r="AK11" s="1236"/>
      <c r="AL11" s="1236"/>
      <c r="AM11" s="1236"/>
      <c r="AN11" s="1236"/>
      <c r="AO11" s="1236"/>
      <c r="AP11" s="1236"/>
    </row>
    <row r="12" spans="1:49" ht="15.95" customHeight="1" thickBot="1">
      <c r="H12" s="1236"/>
      <c r="I12" s="1236"/>
      <c r="J12" s="1236"/>
      <c r="K12" s="1236"/>
      <c r="L12" s="1236"/>
      <c r="M12" s="1236"/>
      <c r="N12" s="1236"/>
      <c r="O12" s="1236"/>
      <c r="P12" s="1236"/>
      <c r="Q12" s="1236"/>
      <c r="R12" s="1236"/>
      <c r="S12" s="1236"/>
      <c r="T12" s="1236"/>
      <c r="U12" s="1236"/>
      <c r="V12" s="1236"/>
      <c r="W12" s="1236"/>
      <c r="X12" s="1236"/>
      <c r="Y12" s="1236"/>
      <c r="Z12" s="1236"/>
      <c r="AA12" s="1236"/>
      <c r="AB12" s="1236"/>
      <c r="AC12" s="1236"/>
      <c r="AD12" s="1236"/>
      <c r="AE12" s="1236"/>
      <c r="AF12" s="1236"/>
      <c r="AG12" s="1236"/>
      <c r="AH12" s="1236"/>
      <c r="AI12" s="1236"/>
      <c r="AJ12" s="1236"/>
      <c r="AK12" s="1236"/>
      <c r="AL12" s="1236"/>
      <c r="AM12" s="1236"/>
      <c r="AN12" s="1236"/>
      <c r="AO12" s="1236"/>
      <c r="AP12" s="1236"/>
    </row>
    <row r="13" spans="1:49" ht="15.95" customHeight="1" thickBot="1">
      <c r="S13" s="1241" t="s">
        <v>1537</v>
      </c>
      <c r="T13" s="1241"/>
      <c r="U13" s="1241"/>
      <c r="V13" s="1241"/>
      <c r="W13" s="1241"/>
      <c r="X13" s="670"/>
      <c r="Y13" s="671"/>
      <c r="Z13" s="671"/>
      <c r="AA13" s="671"/>
      <c r="AB13" s="671"/>
      <c r="AC13" s="672"/>
      <c r="AG13" s="92"/>
      <c r="AH13" s="92"/>
      <c r="AI13" s="92"/>
      <c r="AJ13" s="92"/>
      <c r="AK13" s="92"/>
      <c r="AL13" s="92"/>
      <c r="AM13" s="92"/>
      <c r="AN13" s="92"/>
      <c r="AO13" s="92"/>
    </row>
    <row r="14" spans="1:49" ht="15.95" customHeight="1">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row>
    <row r="15" spans="1:49" ht="15.95" customHeight="1" thickBot="1">
      <c r="H15" s="654" t="s">
        <v>1538</v>
      </c>
      <c r="I15" s="654"/>
      <c r="J15" s="654"/>
      <c r="K15" s="654"/>
      <c r="L15" s="654"/>
      <c r="M15" s="654"/>
      <c r="N15" s="92"/>
      <c r="O15" s="654" t="s">
        <v>1357</v>
      </c>
      <c r="P15" s="654"/>
      <c r="Q15" s="654"/>
      <c r="R15" s="654"/>
      <c r="S15" s="654"/>
      <c r="T15" s="654"/>
      <c r="U15" s="94"/>
      <c r="V15" s="654" t="s">
        <v>1358</v>
      </c>
      <c r="W15" s="654"/>
      <c r="X15" s="654"/>
      <c r="Y15" s="654"/>
      <c r="Z15" s="654"/>
      <c r="AA15" s="654"/>
      <c r="AB15" s="94"/>
      <c r="AC15" s="654" t="s">
        <v>3123</v>
      </c>
      <c r="AD15" s="654"/>
      <c r="AE15" s="654"/>
      <c r="AF15" s="654"/>
      <c r="AG15" s="654"/>
      <c r="AH15" s="654"/>
      <c r="AI15" s="94"/>
      <c r="AJ15" s="654" t="s">
        <v>3094</v>
      </c>
      <c r="AK15" s="654"/>
      <c r="AL15" s="654"/>
      <c r="AM15" s="654"/>
      <c r="AN15" s="654"/>
      <c r="AO15" s="654"/>
    </row>
    <row r="16" spans="1:49" ht="15.95" customHeight="1" thickBot="1">
      <c r="H16" s="655" t="str">
        <f>IF(M05S01F01="","",INDEX(PAYMENT[Company],MATCH(M05S01F01,PAYMENT[Payment to],0)))</f>
        <v/>
      </c>
      <c r="I16" s="656"/>
      <c r="J16" s="656"/>
      <c r="K16" s="656"/>
      <c r="L16" s="656"/>
      <c r="M16" s="657"/>
      <c r="N16" s="98"/>
      <c r="O16" s="655" t="str">
        <f>IF(M05S01F01="","",INDEX(PAYMENT[Address],MATCH(M05S01F01,PAYMENT[Payment to],0)))</f>
        <v/>
      </c>
      <c r="P16" s="656"/>
      <c r="Q16" s="656"/>
      <c r="R16" s="656"/>
      <c r="S16" s="656"/>
      <c r="T16" s="657"/>
      <c r="U16" s="98"/>
      <c r="V16" s="655" t="str">
        <f>IF(M05S01F01="","",INDEX(PAYMENT[City],MATCH(M05S01F01,PAYMENT[Payment to],0)))</f>
        <v/>
      </c>
      <c r="W16" s="656"/>
      <c r="X16" s="656"/>
      <c r="Y16" s="656"/>
      <c r="Z16" s="656"/>
      <c r="AA16" s="657"/>
      <c r="AB16" s="98"/>
      <c r="AC16" s="655" t="str">
        <f>IF(M05S01F01="","",INDEX(PAYMENT[State],MATCH(M05S01F01,PAYMENT[Payment to],0)))</f>
        <v/>
      </c>
      <c r="AD16" s="656"/>
      <c r="AE16" s="656"/>
      <c r="AF16" s="656"/>
      <c r="AG16" s="656"/>
      <c r="AH16" s="657"/>
      <c r="AI16" s="98"/>
      <c r="AJ16" s="655" t="str">
        <f>IF(M05S01F01="","",INDEX(PAYMENT[Zip],MATCH(M05S01F01,PAYMENT[Payment to],0)))</f>
        <v/>
      </c>
      <c r="AK16" s="656"/>
      <c r="AL16" s="656"/>
      <c r="AM16" s="656"/>
      <c r="AN16" s="656"/>
      <c r="AO16" s="657"/>
    </row>
    <row r="17" spans="8:41" ht="15.95" customHeight="1">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row>
    <row r="18" spans="8:41" ht="15.95" customHeight="1" thickBot="1">
      <c r="H18" s="654" t="s">
        <v>1542</v>
      </c>
      <c r="I18" s="654"/>
      <c r="J18" s="654"/>
      <c r="K18" s="654"/>
      <c r="L18" s="654"/>
      <c r="M18" s="654"/>
      <c r="N18" s="94"/>
      <c r="O18" s="654" t="s">
        <v>1541</v>
      </c>
      <c r="P18" s="654"/>
      <c r="Q18" s="654"/>
      <c r="R18" s="654"/>
      <c r="S18" s="654"/>
      <c r="T18" s="654"/>
      <c r="U18" s="94"/>
      <c r="V18" s="654" t="s">
        <v>1540</v>
      </c>
      <c r="W18" s="654"/>
      <c r="X18" s="654"/>
      <c r="Y18" s="654"/>
      <c r="Z18" s="654"/>
      <c r="AA18" s="654"/>
      <c r="AC18" s="654" t="s">
        <v>1364</v>
      </c>
      <c r="AD18" s="654"/>
      <c r="AE18" s="654"/>
      <c r="AF18" s="654"/>
      <c r="AG18" s="654"/>
      <c r="AH18" s="654"/>
      <c r="AI18" s="94"/>
      <c r="AJ18" s="654" t="s">
        <v>1798</v>
      </c>
      <c r="AK18" s="654"/>
      <c r="AL18" s="654"/>
      <c r="AM18" s="654"/>
      <c r="AN18" s="654"/>
      <c r="AO18" s="654"/>
    </row>
    <row r="19" spans="8:41" ht="15.95" customHeight="1" thickBot="1">
      <c r="H19" s="655" t="str">
        <f>IF(M05S01F01="","",INDEX(PAYMENT[First],MATCH(M05S01F01,PAYMENT[Payment to],0)))</f>
        <v/>
      </c>
      <c r="I19" s="656"/>
      <c r="J19" s="656"/>
      <c r="K19" s="656"/>
      <c r="L19" s="656"/>
      <c r="M19" s="657"/>
      <c r="N19" s="98"/>
      <c r="O19" s="655" t="str">
        <f>IF(M05S01F01="","",INDEX(PAYMENT[Last],MATCH(M05S01F01,PAYMENT[Payment to],0)))</f>
        <v/>
      </c>
      <c r="P19" s="656"/>
      <c r="Q19" s="656"/>
      <c r="R19" s="656"/>
      <c r="S19" s="656"/>
      <c r="T19" s="657"/>
      <c r="U19" s="98"/>
      <c r="V19" s="662" t="str">
        <f>IF(M05S01F01="","",INDEX(PAYMENT[Phone],MATCH(M05S01F01,PAYMENT[Payment to],0)))</f>
        <v/>
      </c>
      <c r="W19" s="663"/>
      <c r="X19" s="663"/>
      <c r="Y19" s="663"/>
      <c r="Z19" s="663"/>
      <c r="AA19" s="664"/>
      <c r="AB19" s="18"/>
      <c r="AC19" s="655" t="str">
        <f>IF(M05S01F01="","",INDEX(PAYMENT[Email],MATCH(M05S01F01,PAYMENT[Payment to],0)))</f>
        <v/>
      </c>
      <c r="AD19" s="656"/>
      <c r="AE19" s="656"/>
      <c r="AF19" s="656"/>
      <c r="AG19" s="656"/>
      <c r="AH19" s="657"/>
      <c r="AI19" s="98"/>
      <c r="AJ19" s="655" t="str">
        <f>IF(M02S04F03&lt;&gt;"",M02S04F03,IF(M02S04F04&lt;&gt;"",M02S04F04,""))</f>
        <v/>
      </c>
      <c r="AK19" s="656"/>
      <c r="AL19" s="656"/>
      <c r="AM19" s="656"/>
      <c r="AN19" s="656"/>
      <c r="AO19" s="657"/>
    </row>
    <row r="20" spans="8:41" ht="15.95" customHeight="1"/>
    <row r="21" spans="8:41" ht="15.95" customHeight="1" thickBot="1">
      <c r="I21" s="1240" t="s">
        <v>2604</v>
      </c>
      <c r="J21" s="1240"/>
      <c r="K21" s="1240"/>
      <c r="L21" s="1240"/>
      <c r="M21" s="1240"/>
      <c r="N21" s="1240"/>
      <c r="O21" s="1240"/>
      <c r="P21" s="1240"/>
      <c r="Q21" s="1240"/>
      <c r="R21" s="1240"/>
      <c r="S21" s="1240"/>
      <c r="T21" s="1240"/>
      <c r="U21" s="1240"/>
      <c r="V21" s="1240"/>
      <c r="W21" s="1240"/>
      <c r="X21" s="1240"/>
      <c r="Y21" s="1240"/>
      <c r="Z21" s="1240"/>
      <c r="AA21" s="1240"/>
      <c r="AC21" s="654" t="s">
        <v>1539</v>
      </c>
      <c r="AD21" s="654"/>
      <c r="AE21" s="654"/>
      <c r="AF21" s="654"/>
      <c r="AG21" s="654"/>
      <c r="AH21" s="654"/>
      <c r="AJ21" s="654" t="s">
        <v>1543</v>
      </c>
      <c r="AK21" s="654"/>
      <c r="AL21" s="654"/>
      <c r="AM21" s="654"/>
      <c r="AN21" s="654"/>
      <c r="AO21" s="654"/>
    </row>
    <row r="22" spans="8:41" ht="15.95" customHeight="1" thickBot="1">
      <c r="I22" s="1240"/>
      <c r="J22" s="1240"/>
      <c r="K22" s="1240"/>
      <c r="L22" s="1240"/>
      <c r="M22" s="1240"/>
      <c r="N22" s="1240"/>
      <c r="O22" s="1240"/>
      <c r="P22" s="1240"/>
      <c r="Q22" s="1240"/>
      <c r="R22" s="1240"/>
      <c r="S22" s="1240"/>
      <c r="T22" s="1240"/>
      <c r="U22" s="1240"/>
      <c r="V22" s="1240"/>
      <c r="W22" s="1240"/>
      <c r="X22" s="1240"/>
      <c r="Y22" s="1240"/>
      <c r="Z22" s="1240"/>
      <c r="AA22" s="1240"/>
      <c r="AC22" s="655"/>
      <c r="AD22" s="656"/>
      <c r="AE22" s="656"/>
      <c r="AF22" s="656"/>
      <c r="AG22" s="656"/>
      <c r="AH22" s="657"/>
      <c r="AJ22" s="97"/>
      <c r="AK22" s="96" t="s">
        <v>1203</v>
      </c>
      <c r="AL22" s="1237"/>
      <c r="AM22" s="1238"/>
      <c r="AN22" s="1238"/>
      <c r="AO22" s="1239"/>
    </row>
    <row r="23" spans="8:41" ht="15.95" customHeight="1"/>
    <row r="24" spans="8:41" ht="15.95" customHeight="1" thickBot="1">
      <c r="H24" s="93" t="s">
        <v>1720</v>
      </c>
    </row>
    <row r="25" spans="8:41" ht="15.95" customHeight="1">
      <c r="H25" s="1227" t="str">
        <f>IF(M05S01F01="","",INDEX(PAYMENT[Terms],MATCH(M05S01F01,PAYMENT[Payment to],0)))</f>
        <v/>
      </c>
      <c r="I25" s="1228"/>
      <c r="J25" s="1228"/>
      <c r="K25" s="1228"/>
      <c r="L25" s="1228"/>
      <c r="M25" s="1228"/>
      <c r="N25" s="1228"/>
      <c r="O25" s="1228"/>
      <c r="P25" s="1228"/>
      <c r="Q25" s="1228"/>
      <c r="R25" s="1228"/>
      <c r="S25" s="1228"/>
      <c r="T25" s="1228"/>
      <c r="U25" s="1228"/>
      <c r="V25" s="1228"/>
      <c r="W25" s="1228"/>
      <c r="X25" s="1228"/>
      <c r="Y25" s="1228"/>
      <c r="Z25" s="1228"/>
      <c r="AA25" s="1228"/>
      <c r="AB25" s="1228"/>
      <c r="AC25" s="1228"/>
      <c r="AD25" s="1228"/>
      <c r="AE25" s="1228"/>
      <c r="AF25" s="1228"/>
      <c r="AG25" s="1228"/>
      <c r="AH25" s="1228"/>
      <c r="AI25" s="1228"/>
      <c r="AJ25" s="1228"/>
      <c r="AK25" s="1228"/>
      <c r="AL25" s="1228"/>
      <c r="AM25" s="1228"/>
      <c r="AN25" s="1228"/>
      <c r="AO25" s="1229"/>
    </row>
    <row r="26" spans="8:41" ht="15.95" customHeight="1">
      <c r="H26" s="1230"/>
      <c r="I26" s="1231"/>
      <c r="J26" s="1231"/>
      <c r="K26" s="1231"/>
      <c r="L26" s="1231"/>
      <c r="M26" s="1231"/>
      <c r="N26" s="1231"/>
      <c r="O26" s="1231"/>
      <c r="P26" s="1231"/>
      <c r="Q26" s="1231"/>
      <c r="R26" s="1231"/>
      <c r="S26" s="1231"/>
      <c r="T26" s="1231"/>
      <c r="U26" s="1231"/>
      <c r="V26" s="1231"/>
      <c r="W26" s="1231"/>
      <c r="X26" s="1231"/>
      <c r="Y26" s="1231"/>
      <c r="Z26" s="1231"/>
      <c r="AA26" s="1231"/>
      <c r="AB26" s="1231"/>
      <c r="AC26" s="1231"/>
      <c r="AD26" s="1231"/>
      <c r="AE26" s="1231"/>
      <c r="AF26" s="1231"/>
      <c r="AG26" s="1231"/>
      <c r="AH26" s="1231"/>
      <c r="AI26" s="1231"/>
      <c r="AJ26" s="1231"/>
      <c r="AK26" s="1231"/>
      <c r="AL26" s="1231"/>
      <c r="AM26" s="1231"/>
      <c r="AN26" s="1231"/>
      <c r="AO26" s="1232"/>
    </row>
    <row r="27" spans="8:41" ht="15.95" customHeight="1">
      <c r="H27" s="1230"/>
      <c r="I27" s="1231"/>
      <c r="J27" s="1231"/>
      <c r="K27" s="1231"/>
      <c r="L27" s="1231"/>
      <c r="M27" s="1231"/>
      <c r="N27" s="1231"/>
      <c r="O27" s="1231"/>
      <c r="P27" s="1231"/>
      <c r="Q27" s="1231"/>
      <c r="R27" s="1231"/>
      <c r="S27" s="1231"/>
      <c r="T27" s="1231"/>
      <c r="U27" s="1231"/>
      <c r="V27" s="1231"/>
      <c r="W27" s="1231"/>
      <c r="X27" s="1231"/>
      <c r="Y27" s="1231"/>
      <c r="Z27" s="1231"/>
      <c r="AA27" s="1231"/>
      <c r="AB27" s="1231"/>
      <c r="AC27" s="1231"/>
      <c r="AD27" s="1231"/>
      <c r="AE27" s="1231"/>
      <c r="AF27" s="1231"/>
      <c r="AG27" s="1231"/>
      <c r="AH27" s="1231"/>
      <c r="AI27" s="1231"/>
      <c r="AJ27" s="1231"/>
      <c r="AK27" s="1231"/>
      <c r="AL27" s="1231"/>
      <c r="AM27" s="1231"/>
      <c r="AN27" s="1231"/>
      <c r="AO27" s="1232"/>
    </row>
    <row r="28" spans="8:41" ht="15.95" customHeight="1">
      <c r="H28" s="1230"/>
      <c r="I28" s="1231"/>
      <c r="J28" s="1231"/>
      <c r="K28" s="1231"/>
      <c r="L28" s="1231"/>
      <c r="M28" s="1231"/>
      <c r="N28" s="1231"/>
      <c r="O28" s="1231"/>
      <c r="P28" s="1231"/>
      <c r="Q28" s="1231"/>
      <c r="R28" s="1231"/>
      <c r="S28" s="1231"/>
      <c r="T28" s="1231"/>
      <c r="U28" s="1231"/>
      <c r="V28" s="1231"/>
      <c r="W28" s="1231"/>
      <c r="X28" s="1231"/>
      <c r="Y28" s="1231"/>
      <c r="Z28" s="1231"/>
      <c r="AA28" s="1231"/>
      <c r="AB28" s="1231"/>
      <c r="AC28" s="1231"/>
      <c r="AD28" s="1231"/>
      <c r="AE28" s="1231"/>
      <c r="AF28" s="1231"/>
      <c r="AG28" s="1231"/>
      <c r="AH28" s="1231"/>
      <c r="AI28" s="1231"/>
      <c r="AJ28" s="1231"/>
      <c r="AK28" s="1231"/>
      <c r="AL28" s="1231"/>
      <c r="AM28" s="1231"/>
      <c r="AN28" s="1231"/>
      <c r="AO28" s="1232"/>
    </row>
    <row r="29" spans="8:41" ht="15.95" customHeight="1">
      <c r="H29" s="1230"/>
      <c r="I29" s="1231"/>
      <c r="J29" s="1231"/>
      <c r="K29" s="1231"/>
      <c r="L29" s="1231"/>
      <c r="M29" s="1231"/>
      <c r="N29" s="1231"/>
      <c r="O29" s="1231"/>
      <c r="P29" s="1231"/>
      <c r="Q29" s="1231"/>
      <c r="R29" s="1231"/>
      <c r="S29" s="1231"/>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1"/>
      <c r="AO29" s="1232"/>
    </row>
    <row r="30" spans="8:41" ht="15.95" customHeight="1" thickBot="1">
      <c r="H30" s="1233"/>
      <c r="I30" s="1234"/>
      <c r="J30" s="1234"/>
      <c r="K30" s="1234"/>
      <c r="L30" s="1234"/>
      <c r="M30" s="1234"/>
      <c r="N30" s="1234"/>
      <c r="O30" s="1234"/>
      <c r="P30" s="1234"/>
      <c r="Q30" s="1234"/>
      <c r="R30" s="1234"/>
      <c r="S30" s="1234"/>
      <c r="T30" s="1234"/>
      <c r="U30" s="1234"/>
      <c r="V30" s="1234"/>
      <c r="W30" s="1234"/>
      <c r="X30" s="1234"/>
      <c r="Y30" s="1234"/>
      <c r="Z30" s="1234"/>
      <c r="AA30" s="1234"/>
      <c r="AB30" s="1234"/>
      <c r="AC30" s="1234"/>
      <c r="AD30" s="1234"/>
      <c r="AE30" s="1234"/>
      <c r="AF30" s="1234"/>
      <c r="AG30" s="1234"/>
      <c r="AH30" s="1234"/>
      <c r="AI30" s="1234"/>
      <c r="AJ30" s="1234"/>
      <c r="AK30" s="1234"/>
      <c r="AL30" s="1234"/>
      <c r="AM30" s="1234"/>
      <c r="AN30" s="1234"/>
      <c r="AO30" s="1235"/>
    </row>
    <row r="31" spans="8:41" ht="15.95" customHeight="1"/>
    <row r="32" spans="8:41" ht="15.95"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AozWwu59ohVuktFVhXZ9UaGZC2tR7YH1JAqZ+GU0lHc4Pr+bTQhHpCaj+B6fZ/5MaPF0hcGGsPJpUUjEPFg9ZA==" saltValue="IKGGPJllyPYlFTyDi+lrBw==" spinCount="100000" sheet="1" objects="1" scenarios="1" selectLockedCells="1"/>
  <mergeCells count="42">
    <mergeCell ref="AJ18:AO18"/>
    <mergeCell ref="AJ19:AO19"/>
    <mergeCell ref="I21:AA22"/>
    <mergeCell ref="X13:AC13"/>
    <mergeCell ref="S13:W13"/>
    <mergeCell ref="AC19:AH19"/>
    <mergeCell ref="H15:M15"/>
    <mergeCell ref="H18:M18"/>
    <mergeCell ref="O18:T18"/>
    <mergeCell ref="V18:AA18"/>
    <mergeCell ref="AC18:AH18"/>
    <mergeCell ref="H16:M16"/>
    <mergeCell ref="H19:M19"/>
    <mergeCell ref="O19:T19"/>
    <mergeCell ref="V19:AA19"/>
    <mergeCell ref="AJ21:AO21"/>
    <mergeCell ref="AT1:AW3"/>
    <mergeCell ref="J1:M3"/>
    <mergeCell ref="AL1:AO3"/>
    <mergeCell ref="AP1:AS3"/>
    <mergeCell ref="A9:AW10"/>
    <mergeCell ref="AS5:AW6"/>
    <mergeCell ref="AS7:AW7"/>
    <mergeCell ref="AS8:AW8"/>
    <mergeCell ref="F1:I3"/>
    <mergeCell ref="Q1:AG3"/>
    <mergeCell ref="O200:AI201"/>
    <mergeCell ref="AC22:AH22"/>
    <mergeCell ref="AC21:AH21"/>
    <mergeCell ref="A4:E6"/>
    <mergeCell ref="A7:E8"/>
    <mergeCell ref="H25:AO30"/>
    <mergeCell ref="H11:AP12"/>
    <mergeCell ref="O16:T16"/>
    <mergeCell ref="V16:AA16"/>
    <mergeCell ref="AC16:AH16"/>
    <mergeCell ref="AJ16:AO16"/>
    <mergeCell ref="AL22:AO22"/>
    <mergeCell ref="O15:T15"/>
    <mergeCell ref="V15:AA15"/>
    <mergeCell ref="AC15:AH15"/>
    <mergeCell ref="AJ15:AO15"/>
  </mergeCells>
  <conditionalFormatting sqref="AJ18:AO19">
    <cfRule type="expression" dxfId="44" priority="1">
      <formula>M05S01F01&lt;&gt;"Site (Bill Credit)"</formula>
    </cfRule>
  </conditionalFormatting>
  <conditionalFormatting sqref="AS8:AW8">
    <cfRule type="expression" dxfId="43" priority="3">
      <formula>IF($AS$8=PROJSTATMEASURE,FALSE,TRUE)</formula>
    </cfRule>
  </conditionalFormatting>
  <dataValidations count="9">
    <dataValidation type="list" allowBlank="1" showInputMessage="1" showErrorMessage="1" sqref="X13:AC13" xr:uid="{C7FA3D41-70E2-4C60-B065-EF7C3995DE8C}">
      <formula1>PAYMENTLIST</formula1>
    </dataValidation>
    <dataValidation type="list" allowBlank="1" showInputMessage="1" showErrorMessage="1" sqref="AC22:AH22" xr:uid="{51C10E3E-E283-49C3-9A3A-729A26948584}">
      <formula1>TAXLIST</formula1>
    </dataValidation>
    <dataValidation type="textLength" operator="equal" allowBlank="1" showInputMessage="1" showErrorMessage="1" prompt="Please enter only the first 2 digits of the Tax ID" sqref="AJ22" xr:uid="{243F926A-BF30-4D7C-A9BB-9882D0B1A7F7}">
      <formula1>2</formula1>
    </dataValidation>
    <dataValidation type="textLength" operator="equal" allowBlank="1" showInputMessage="1" showErrorMessage="1" error="Please enter only the last 7 digits of the Tax ID" prompt="Please enter only the last 7 digits of the Tax ID" sqref="AL22:AO22" xr:uid="{DAB8AB06-4D54-4128-BF3E-B23139384DD9}">
      <formula1>7</formula1>
    </dataValidation>
    <dataValidation type="list" allowBlank="1" showInputMessage="1" showErrorMessage="1" sqref="AC16:AH16" xr:uid="{A341AEFA-272D-4300-B9F7-93BEAA9ADBC5}">
      <formula1>STATESABBREV</formula1>
    </dataValidation>
    <dataValidation type="custom" allowBlank="1" showInputMessage="1" showErrorMessage="1" error="Please enter a valid email address." sqref="AC19:AH19" xr:uid="{D8106073-DA01-4D94-8B21-E9A252A0FFEB}">
      <formula1>AND(FIND(".",AC19),FIND("@",AC19))</formula1>
    </dataValidation>
    <dataValidation type="textLength" allowBlank="1" showInputMessage="1" showErrorMessage="1" sqref="V19:AA19" xr:uid="{D2DFA2C1-87FB-410B-BF49-E9FD3593FE58}">
      <formula1>7</formula1>
      <formula2>15</formula2>
    </dataValidation>
    <dataValidation type="whole" allowBlank="1" showInputMessage="1" showErrorMessage="1" sqref="AJ16:AO16" xr:uid="{5D375849-F9FC-4770-A42F-33ADAF1B7F9D}">
      <formula1>0</formula1>
      <formula2>99999</formula2>
    </dataValidation>
    <dataValidation type="textLength" operator="lessThanOrEqual" allowBlank="1" showInputMessage="1" showErrorMessage="1" sqref="AJ19:AO19" xr:uid="{629C1AB1-B689-4EB2-85BA-C1C3092C139E}">
      <formula1>10</formula1>
    </dataValidation>
  </dataValidations>
  <hyperlinks>
    <hyperlink ref="B202" r:id="rId1" xr:uid="{A59B0390-ACC8-4E01-96FF-7B6D6FB974F9}"/>
    <hyperlink ref="J1:M3" location="'M01-S02'!J1" tooltip="Instructions" display="'M01-S02'!J1" xr:uid="{C4D32C52-4537-4AB4-A5A5-CD797C223BB5}"/>
    <hyperlink ref="AP1:AS3" location="'M05-S05'!AL1" tooltip=" " display="'M05-S05'!AL1" xr:uid="{0D1B28BD-17AE-4099-B802-976A3F993831}"/>
    <hyperlink ref="AL1:AO3" location="'M05-S04'!AH1" tooltip=" " display="'M05-S04'!AH1" xr:uid="{72555D19-08C8-4198-963E-AE2571A55020}"/>
    <hyperlink ref="AT1:AW3" location="'M01-S03'!AP1" tooltip="Contact" display="'M01-S03'!AP1" xr:uid="{EDC8E4FF-7BC9-4BC4-9413-E7C61A8881B2}"/>
  </hyperlinks>
  <printOptions horizontalCentered="1"/>
  <pageMargins left="0" right="0" top="0" bottom="0" header="0" footer="0"/>
  <pageSetup scale="4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55738" r:id="rId5" name="M05S01TB1">
              <controlPr defaultSize="0" autoFill="0" autoLine="0" autoPict="0">
                <anchor moveWithCells="1">
                  <from>
                    <xdr:col>6</xdr:col>
                    <xdr:colOff>295275</xdr:colOff>
                    <xdr:row>19</xdr:row>
                    <xdr:rowOff>171450</xdr:rowOff>
                  </from>
                  <to>
                    <xdr:col>7</xdr:col>
                    <xdr:colOff>209550</xdr:colOff>
                    <xdr:row>22</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A556-7EE0-4743-906B-EE7AB2E2E5FF}">
  <sheetPr codeName="Sheet14">
    <tabColor theme="8" tint="0.59999389629810485"/>
    <pageSetUpPr fitToPage="1"/>
  </sheetPr>
  <dimension ref="A1:BJ203"/>
  <sheetViews>
    <sheetView showGridLines="0" showRowColHeaders="0" zoomScale="85" zoomScaleNormal="85" workbookViewId="0">
      <selection activeCell="L6" sqref="L6"/>
    </sheetView>
  </sheetViews>
  <sheetFormatPr defaultColWidth="0" defaultRowHeight="0" customHeight="1" zeroHeight="1"/>
  <cols>
    <col min="1" max="49" width="4.7109375" customWidth="1"/>
    <col min="50" max="62" width="1.7109375" hidden="1"/>
    <col min="63" max="16384" width="4.7109375" hidden="1"/>
  </cols>
  <sheetData>
    <row r="1" spans="1:4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49" ht="15.95" customHeight="1">
      <c r="A4" s="652">
        <f>INCENTOTAL</f>
        <v>0</v>
      </c>
      <c r="B4" s="652"/>
      <c r="C4" s="652"/>
      <c r="D4" s="652"/>
      <c r="E4" s="652"/>
      <c r="F4" s="435"/>
      <c r="G4" s="435"/>
      <c r="H4" s="435"/>
      <c r="I4" s="435"/>
    </row>
    <row r="5" spans="1:49" ht="15.95" customHeight="1">
      <c r="A5" s="653"/>
      <c r="B5" s="653"/>
      <c r="C5" s="653"/>
      <c r="D5" s="653"/>
      <c r="E5" s="653"/>
      <c r="F5" s="428"/>
      <c r="G5" s="428"/>
      <c r="H5" s="428"/>
      <c r="I5" s="428"/>
      <c r="AS5" s="630">
        <f ca="1">PROGRESSSTATUS</f>
        <v>0</v>
      </c>
      <c r="AT5" s="630"/>
      <c r="AU5" s="630"/>
      <c r="AV5" s="630"/>
      <c r="AW5" s="630"/>
    </row>
    <row r="6" spans="1:49" ht="15.95" customHeight="1">
      <c r="A6" s="653"/>
      <c r="B6" s="653"/>
      <c r="C6" s="653"/>
      <c r="D6" s="653"/>
      <c r="E6" s="653"/>
      <c r="F6" s="428"/>
      <c r="G6" s="428"/>
      <c r="H6" s="428"/>
      <c r="I6" s="428"/>
      <c r="L6" s="202"/>
      <c r="AS6" s="630"/>
      <c r="AT6" s="630"/>
      <c r="AU6" s="630"/>
      <c r="AV6" s="630"/>
      <c r="AW6" s="630"/>
    </row>
    <row r="7" spans="1:49" ht="15.95" customHeight="1">
      <c r="A7" s="629" t="s">
        <v>83</v>
      </c>
      <c r="B7" s="629"/>
      <c r="C7" s="629"/>
      <c r="D7" s="629"/>
      <c r="E7" s="629"/>
      <c r="F7" s="85"/>
      <c r="G7" s="85"/>
      <c r="H7" s="85"/>
      <c r="I7" s="85"/>
      <c r="AS7" s="629" t="s">
        <v>299</v>
      </c>
      <c r="AT7" s="629"/>
      <c r="AU7" s="629"/>
      <c r="AV7" s="629"/>
      <c r="AW7" s="629"/>
    </row>
    <row r="8" spans="1:49" ht="15.95" customHeight="1" thickBot="1">
      <c r="A8" s="632"/>
      <c r="B8" s="632"/>
      <c r="C8" s="632"/>
      <c r="D8" s="632"/>
      <c r="E8" s="632"/>
      <c r="F8" s="429"/>
      <c r="G8" s="429"/>
      <c r="H8" s="429"/>
      <c r="I8" s="429"/>
      <c r="AS8" s="628" t="str">
        <f ca="1">PROJSTATUS</f>
        <v>Enter Measures</v>
      </c>
      <c r="AT8" s="628"/>
      <c r="AU8" s="628"/>
      <c r="AV8" s="628"/>
      <c r="AW8" s="628"/>
    </row>
    <row r="9" spans="1:49" ht="15.95" customHeight="1">
      <c r="A9" s="631" t="str">
        <f>M5S2</f>
        <v>Project Review</v>
      </c>
      <c r="B9" s="631"/>
      <c r="C9" s="631"/>
      <c r="D9" s="631"/>
      <c r="E9" s="631"/>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c r="AT9" s="631"/>
      <c r="AU9" s="631"/>
      <c r="AV9" s="631"/>
      <c r="AW9" s="631"/>
    </row>
    <row r="10" spans="1:49" ht="15.95" customHeight="1">
      <c r="A10" s="621"/>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21"/>
      <c r="AO10" s="621"/>
      <c r="AP10" s="621"/>
      <c r="AQ10" s="621"/>
      <c r="AR10" s="621"/>
      <c r="AS10" s="621"/>
      <c r="AT10" s="621"/>
      <c r="AU10" s="621"/>
      <c r="AV10" s="621"/>
      <c r="AW10" s="621"/>
    </row>
    <row r="11" spans="1:49" ht="15.95" customHeight="1">
      <c r="H11" s="1277" t="s">
        <v>2224</v>
      </c>
      <c r="I11" s="1277"/>
      <c r="J11" s="1277"/>
      <c r="K11" s="1277"/>
      <c r="L11" s="1277"/>
      <c r="M11" s="1277"/>
      <c r="N11" s="1277"/>
      <c r="O11" s="1277"/>
      <c r="P11" s="1277"/>
      <c r="Q11" s="1277"/>
      <c r="R11" s="1277"/>
      <c r="S11" s="1277"/>
      <c r="T11" s="1277"/>
      <c r="U11" s="1277"/>
      <c r="V11" s="1277"/>
      <c r="W11" s="1277"/>
      <c r="X11" s="1277"/>
      <c r="Y11" s="1277"/>
      <c r="Z11" s="1277"/>
      <c r="AA11" s="1277"/>
      <c r="AB11" s="1277"/>
      <c r="AC11" s="1277"/>
      <c r="AD11" s="1277"/>
      <c r="AE11" s="1277"/>
      <c r="AF11" s="1277"/>
      <c r="AG11" s="1277"/>
      <c r="AH11" s="1277"/>
      <c r="AI11" s="1277"/>
      <c r="AJ11" s="1277"/>
      <c r="AK11" s="1277"/>
      <c r="AL11" s="1277"/>
      <c r="AM11" s="1277"/>
      <c r="AN11" s="221"/>
      <c r="AO11" s="221"/>
      <c r="AP11" s="221"/>
    </row>
    <row r="12" spans="1:49" ht="15.95" customHeight="1">
      <c r="H12" s="1277"/>
      <c r="I12" s="1277"/>
      <c r="J12" s="1277"/>
      <c r="K12" s="1277"/>
      <c r="L12" s="1277"/>
      <c r="M12" s="1277"/>
      <c r="N12" s="1277"/>
      <c r="O12" s="1277"/>
      <c r="P12" s="1277"/>
      <c r="Q12" s="1277"/>
      <c r="R12" s="1277"/>
      <c r="S12" s="1277"/>
      <c r="T12" s="1277"/>
      <c r="U12" s="1277"/>
      <c r="V12" s="1277"/>
      <c r="W12" s="1277"/>
      <c r="X12" s="1277"/>
      <c r="Y12" s="1277"/>
      <c r="Z12" s="1277"/>
      <c r="AA12" s="1277"/>
      <c r="AB12" s="1277"/>
      <c r="AC12" s="1277"/>
      <c r="AD12" s="1277"/>
      <c r="AE12" s="1277"/>
      <c r="AF12" s="1277"/>
      <c r="AG12" s="1277"/>
      <c r="AH12" s="1277"/>
      <c r="AI12" s="1277"/>
      <c r="AJ12" s="1277"/>
      <c r="AK12" s="1277"/>
      <c r="AL12" s="1277"/>
      <c r="AM12" s="1277"/>
      <c r="AN12" s="221"/>
      <c r="AO12" s="221"/>
      <c r="AP12" s="221"/>
      <c r="AQ12" s="22"/>
      <c r="AR12" s="22"/>
      <c r="AS12" s="22"/>
    </row>
    <row r="13" spans="1:49" ht="15.95" customHeight="1">
      <c r="H13" s="290"/>
      <c r="I13" s="290"/>
      <c r="J13" s="290"/>
      <c r="K13" s="290"/>
      <c r="L13" s="290"/>
      <c r="M13" s="290"/>
      <c r="N13" s="290"/>
      <c r="O13" s="290"/>
      <c r="P13" s="290"/>
      <c r="Q13" s="290"/>
      <c r="R13" s="290"/>
      <c r="S13" s="290"/>
      <c r="T13" s="290"/>
      <c r="U13" s="290"/>
      <c r="V13" s="290"/>
      <c r="W13" s="290"/>
      <c r="X13" s="290"/>
      <c r="Y13" s="290"/>
      <c r="Z13" s="290"/>
      <c r="AA13" s="290"/>
      <c r="AB13" s="290"/>
      <c r="AC13" s="290"/>
      <c r="AD13" s="290"/>
      <c r="AE13" s="290"/>
      <c r="AF13" s="290"/>
      <c r="AG13" s="290"/>
      <c r="AH13" s="290"/>
      <c r="AI13" s="290"/>
      <c r="AJ13" s="290"/>
      <c r="AK13" s="290"/>
      <c r="AL13" s="290"/>
      <c r="AM13" s="290"/>
      <c r="AN13" s="290"/>
      <c r="AO13" s="290"/>
      <c r="AP13" s="290"/>
      <c r="AQ13" s="22"/>
      <c r="AR13" s="22"/>
      <c r="AS13" s="22"/>
    </row>
    <row r="14" spans="1:49" ht="15.95" customHeight="1">
      <c r="H14" s="1264" t="str">
        <f>M2S1</f>
        <v>Terms &amp; Conditions</v>
      </c>
      <c r="I14" s="1265"/>
      <c r="J14" s="1265"/>
      <c r="K14" s="1265"/>
      <c r="L14" s="1265"/>
      <c r="M14" s="1265"/>
      <c r="N14" s="1265"/>
      <c r="O14" s="1265"/>
      <c r="P14" s="1265"/>
      <c r="Q14" s="1265"/>
      <c r="R14" s="1248" t="str">
        <f ca="1">IF(COMPTERMS&lt;&gt;1,"Incomplete","")</f>
        <v>Incomplete</v>
      </c>
      <c r="S14" s="1248"/>
      <c r="T14" s="1248"/>
      <c r="U14" s="1248"/>
      <c r="V14" s="1248"/>
      <c r="W14" s="1248"/>
      <c r="X14" s="1248"/>
      <c r="Y14" s="1244" t="s">
        <v>1210</v>
      </c>
      <c r="Z14" s="1244"/>
      <c r="AA14" s="1245"/>
      <c r="AB14" s="290"/>
      <c r="AQ14" s="22"/>
      <c r="AR14" s="22"/>
      <c r="AS14" s="22"/>
    </row>
    <row r="15" spans="1:49" ht="15.95" customHeight="1">
      <c r="H15" s="1252" t="str">
        <f>IF(OR(M02S01F01="",M02S01F02="",M02S01F03=""),"Missing Signature Info",M02S01F01)</f>
        <v>Missing Signature Info</v>
      </c>
      <c r="I15" s="654"/>
      <c r="J15" s="654"/>
      <c r="K15" s="654"/>
      <c r="L15" s="654"/>
      <c r="M15" s="654"/>
      <c r="N15" s="654"/>
      <c r="O15" s="654"/>
      <c r="P15" s="654"/>
      <c r="Q15" s="654" t="str">
        <f>IF(OR(M02S01F01="",M02S01F02="",M02S01F03=""),"",M02S01F02)</f>
        <v/>
      </c>
      <c r="R15" s="654"/>
      <c r="S15" s="654"/>
      <c r="T15" s="654"/>
      <c r="U15" s="654"/>
      <c r="V15" s="654"/>
      <c r="W15" s="654"/>
      <c r="X15" s="654"/>
      <c r="Y15" s="1268" t="str">
        <f>IF(OR(M02S01F01="",M02S01F02="",M02S01F03=""),"",M02S01F03)</f>
        <v/>
      </c>
      <c r="Z15" s="1268"/>
      <c r="AA15" s="1269"/>
      <c r="AB15" s="290"/>
      <c r="AQ15" s="22"/>
      <c r="AR15" s="22"/>
      <c r="AS15" s="22"/>
    </row>
    <row r="16" spans="1:49" ht="15.95" customHeight="1">
      <c r="H16" s="1255" t="str">
        <f>M2S2</f>
        <v>Trade Ally / Contractor Information</v>
      </c>
      <c r="I16" s="1256"/>
      <c r="J16" s="1256"/>
      <c r="K16" s="1256"/>
      <c r="L16" s="1256"/>
      <c r="M16" s="1256"/>
      <c r="N16" s="1256"/>
      <c r="O16" s="1256"/>
      <c r="P16" s="1256"/>
      <c r="Q16" s="1256"/>
      <c r="R16" s="1254" t="str">
        <f ca="1">IF(COMPTA&lt;&gt;1,"Incomplete","")</f>
        <v>Incomplete</v>
      </c>
      <c r="S16" s="1254"/>
      <c r="T16" s="1254"/>
      <c r="U16" s="1254"/>
      <c r="V16" s="1254"/>
      <c r="W16" s="1254"/>
      <c r="X16" s="1254"/>
      <c r="Y16" s="1258" t="s">
        <v>1210</v>
      </c>
      <c r="Z16" s="1258"/>
      <c r="AA16" s="1259"/>
      <c r="AB16" s="290"/>
      <c r="AC16" s="1284" t="s">
        <v>1721</v>
      </c>
      <c r="AD16" s="1285"/>
      <c r="AE16" s="1285"/>
      <c r="AF16" s="1285"/>
      <c r="AG16" s="1285"/>
      <c r="AH16" s="1285"/>
      <c r="AI16" s="1285"/>
      <c r="AJ16" s="1285"/>
      <c r="AK16" s="1285"/>
      <c r="AL16" s="1285"/>
      <c r="AM16" s="1285"/>
      <c r="AN16" s="1248" t="str">
        <f>IF(COMPMEASURE&lt;&gt;1,"Incomplete","")</f>
        <v>Incomplete</v>
      </c>
      <c r="AO16" s="1248"/>
      <c r="AP16" s="1249"/>
      <c r="AQ16" s="22"/>
      <c r="AR16" s="22"/>
      <c r="AS16" s="22"/>
    </row>
    <row r="17" spans="8:62" ht="15.95" customHeight="1">
      <c r="H17" s="1252" t="str">
        <f>IF(OR(M02S02F01="",M02S02F12=""),"Missing TA / Contractor Info",IF(M02S02F01="No","No TA / Contractor",IF(OR(M02S02F02="",),"Missing Company Name",M02S02F02)))</f>
        <v>Missing TA / Contractor Info</v>
      </c>
      <c r="I17" s="654"/>
      <c r="J17" s="654"/>
      <c r="K17" s="654"/>
      <c r="L17" s="654"/>
      <c r="M17" s="654"/>
      <c r="N17" s="654"/>
      <c r="O17" s="654"/>
      <c r="P17" s="654"/>
      <c r="Q17" s="654"/>
      <c r="R17" s="654" t="str">
        <f>IF(M02S02F01="No","",IF(OR(M02S02F07="",M02S02F08="",M02S02F09="",M02S02F10="",M02S02F11=""),"Missing Contact Info",M02S02F07&amp;" "&amp;M02S02F08))</f>
        <v>Missing Contact Info</v>
      </c>
      <c r="S17" s="654"/>
      <c r="T17" s="654"/>
      <c r="U17" s="654"/>
      <c r="V17" s="654"/>
      <c r="W17" s="654" t="str">
        <f>IF(OR(M02S02F07="",M02S02F08="",M02S02F09="",M02S02F10="",M02S02F11=""),"",M02S02F09)</f>
        <v/>
      </c>
      <c r="X17" s="654"/>
      <c r="Y17" s="654"/>
      <c r="Z17" s="654"/>
      <c r="AA17" s="1251"/>
      <c r="AB17" s="22"/>
      <c r="AC17" s="1242" t="s">
        <v>1192</v>
      </c>
      <c r="AD17" s="1243"/>
      <c r="AE17" s="1243"/>
      <c r="AF17" s="1243"/>
      <c r="AG17" s="1243"/>
      <c r="AH17" s="1243"/>
      <c r="AI17" s="1243"/>
      <c r="AJ17" s="1250" t="s">
        <v>1534</v>
      </c>
      <c r="AK17" s="1250"/>
      <c r="AL17" s="1250"/>
      <c r="AM17" s="1246" t="s">
        <v>1722</v>
      </c>
      <c r="AN17" s="1246"/>
      <c r="AO17" s="1246"/>
      <c r="AP17" s="1247"/>
    </row>
    <row r="18" spans="8:62" ht="15.95" customHeight="1">
      <c r="H18" s="1252" t="str">
        <f>IF(M02S02F01="No","",IF(OR(M02S02F03="",M02S02F04="",M02S02F05="",M02S02F06=""),"Missing Address Info",M02S02F03))</f>
        <v>Missing Address Info</v>
      </c>
      <c r="I18" s="654"/>
      <c r="J18" s="654"/>
      <c r="K18" s="654"/>
      <c r="L18" s="654"/>
      <c r="M18" s="654"/>
      <c r="N18" s="654"/>
      <c r="O18" s="654"/>
      <c r="P18" s="654"/>
      <c r="Q18" s="654"/>
      <c r="R18" s="1266" t="str">
        <f>IF(OR(M02S02F07="",M02S02F08="",M02S02F09="",M02S02F10="",M02S02F11=""),"","P: "&amp;TEXT(M02S02F10,"(###) ###-####")&amp;"  E: "&amp;M02S02F11)</f>
        <v/>
      </c>
      <c r="S18" s="1266"/>
      <c r="T18" s="1266"/>
      <c r="U18" s="1266"/>
      <c r="V18" s="1266"/>
      <c r="W18" s="1266"/>
      <c r="X18" s="1266"/>
      <c r="Y18" s="1266"/>
      <c r="Z18" s="1266"/>
      <c r="AA18" s="1267"/>
      <c r="AB18" s="22"/>
      <c r="AC18" s="1260" t="str">
        <f>M3S3</f>
        <v>Lighting Controls</v>
      </c>
      <c r="AD18" s="1261"/>
      <c r="AE18" s="1261"/>
      <c r="AF18" s="1261"/>
      <c r="AG18" s="1261"/>
      <c r="AH18" s="1261"/>
      <c r="AI18" s="1261"/>
      <c r="AJ18" s="1263">
        <f>COUNT('M03-S03'!$AO$18:$AQ$199)</f>
        <v>0</v>
      </c>
      <c r="AK18" s="1263">
        <f>COUNT('M03-S03'!$AO$18:$AQ$199)</f>
        <v>0</v>
      </c>
      <c r="AL18" s="1263">
        <f>COUNT('M03-S03'!$AO$18:$AQ$199)</f>
        <v>0</v>
      </c>
      <c r="AM18" s="1278">
        <f>SUM('M03-S03'!AR18:AU199)</f>
        <v>0</v>
      </c>
      <c r="AN18" s="1278"/>
      <c r="AO18" s="1278"/>
      <c r="AP18" s="1279"/>
      <c r="AU18" s="22"/>
      <c r="AV18" s="22"/>
      <c r="AW18" s="22"/>
      <c r="AX18" s="22"/>
      <c r="BH18" s="22"/>
      <c r="BI18" s="22"/>
      <c r="BJ18" s="22"/>
    </row>
    <row r="19" spans="8:62" ht="15.95" customHeight="1">
      <c r="H19" s="1252" t="str">
        <f>IF(OR(M02S02F03="",M02S02F04="",M02S02F05="",M02S02F06=""),"",M02S02F04)</f>
        <v/>
      </c>
      <c r="I19" s="654"/>
      <c r="J19" s="654"/>
      <c r="K19" s="654"/>
      <c r="L19" s="654"/>
      <c r="M19" s="654" t="str">
        <f>IF(OR(M02S02F03="",M02S02F04="",M02S02F05="",M02S02F06=""),"",M02S02F05)</f>
        <v/>
      </c>
      <c r="N19" s="654"/>
      <c r="O19" s="654" t="str">
        <f>IF(OR(M02S02F03="",M02S02F04="",M02S02F05="",M02S02F06=""),"",M02S02F06)</f>
        <v/>
      </c>
      <c r="P19" s="654"/>
      <c r="Q19" s="654"/>
      <c r="R19" s="654" t="str">
        <f>IF(M02S02F01="No","",IF(AND(M02S02F13="",M02S02F14="",M02S02F15="",M02S02F16="",M02S02F17=""),"",IF(AND(OR(M02S02F13&lt;&gt;"",M02S02F14&lt;&gt;"",M02S02F15&lt;&gt;"",M02S02F16&lt;&gt;"",M02S02F17&lt;&gt;""),OR(M02S02F13="",M02S02F14="",M02S02F15="",M02S02F16="",M02S02F17="")),"Missing Contact Info",M02S02F13&amp;" "&amp;M02S02F14)))</f>
        <v/>
      </c>
      <c r="S19" s="654"/>
      <c r="T19" s="654"/>
      <c r="U19" s="654"/>
      <c r="V19" s="654"/>
      <c r="W19" s="654" t="str">
        <f>IF(M02S02F01="No","",IF(AND(M02S02F13="",M02S02F14="",M02S02F15="",M02S02F16="",M02S02F17=""),"",IF(AND(OR(M02S02F13&lt;&gt;"",M02S02F14&lt;&gt;"",M02S02F15&lt;&gt;"",M02S02F16&lt;&gt;"",M02S02F17&lt;&gt;""),OR(M02S02F13="",M02S02F14="",M02S02F15="",M02S02F16="",M02S02F17="")),"",M02S02F15)))</f>
        <v/>
      </c>
      <c r="X19" s="654"/>
      <c r="Y19" s="654"/>
      <c r="Z19" s="654"/>
      <c r="AA19" s="1251"/>
      <c r="AB19" s="22"/>
      <c r="AC19" s="1260" t="str">
        <f>M3S4</f>
        <v>Refrigeration</v>
      </c>
      <c r="AD19" s="1261"/>
      <c r="AE19" s="1261"/>
      <c r="AF19" s="1261"/>
      <c r="AG19" s="1261"/>
      <c r="AH19" s="1261"/>
      <c r="AI19" s="1261"/>
      <c r="AJ19" s="1263">
        <f>COUNT('M03-S04'!$AO$18:$AQ$199)</f>
        <v>0</v>
      </c>
      <c r="AK19" s="1263">
        <f>COUNT('M03-S04'!$AO$18:$AQ$199)</f>
        <v>0</v>
      </c>
      <c r="AL19" s="1263">
        <f>COUNT('M03-S04'!$AO$18:$AQ$199)</f>
        <v>0</v>
      </c>
      <c r="AM19" s="1278">
        <f>SUM('M03-S04'!AR18:AU199)</f>
        <v>0</v>
      </c>
      <c r="AN19" s="1278"/>
      <c r="AO19" s="1278"/>
      <c r="AP19" s="1279"/>
    </row>
    <row r="20" spans="8:62" ht="15.95" customHeight="1">
      <c r="H20" s="102"/>
      <c r="R20" s="1266" t="str">
        <f>IF(M02S02F01="No","",IF(AND(M02S02F13="",M02S02F14="",M02S02F15="",M02S02F16="",M02S02F17=""),"",IF(AND(OR(M02S02F13&lt;&gt;"",M02S02F14&lt;&gt;"",M02S02F15&lt;&gt;"",M02S02F16&lt;&gt;"",M02S02F17&lt;&gt;""),OR(M02S02F13="",M02S02F14="",M02S02F15="",M02S02F16="",M02S02F17="")),"","P: "&amp;TEXT(M02S02F16,"(###) ###-####")&amp;"  E: "&amp;M02S02F17)))</f>
        <v/>
      </c>
      <c r="S20" s="1266"/>
      <c r="T20" s="1266"/>
      <c r="U20" s="1266"/>
      <c r="V20" s="1266"/>
      <c r="W20" s="1266"/>
      <c r="X20" s="1266"/>
      <c r="Y20" s="1266"/>
      <c r="Z20" s="1266"/>
      <c r="AA20" s="1267"/>
      <c r="AB20" s="22"/>
      <c r="AC20" s="1260" t="str">
        <f>M3S5</f>
        <v>HVAC</v>
      </c>
      <c r="AD20" s="1261"/>
      <c r="AE20" s="1261"/>
      <c r="AF20" s="1261"/>
      <c r="AG20" s="1261"/>
      <c r="AH20" s="1261"/>
      <c r="AI20" s="1261"/>
      <c r="AJ20" s="1262">
        <f>COUNT('M03-S05'!$AO$18:$AQ$199)</f>
        <v>0</v>
      </c>
      <c r="AK20" s="1262">
        <f>COUNT('M03-S05'!$AO$18:$AQ$199)</f>
        <v>0</v>
      </c>
      <c r="AL20" s="1262">
        <f>COUNT('M03-S05'!$AO$18:$AQ$199)</f>
        <v>0</v>
      </c>
      <c r="AM20" s="1278">
        <f>SUM('M03-S05'!AR18:AU199)</f>
        <v>0</v>
      </c>
      <c r="AN20" s="1278"/>
      <c r="AO20" s="1278"/>
      <c r="AP20" s="1279"/>
    </row>
    <row r="21" spans="8:62" ht="15.95" customHeight="1">
      <c r="H21" s="1255" t="str">
        <f>M2S3</f>
        <v>Customer Information</v>
      </c>
      <c r="I21" s="1256"/>
      <c r="J21" s="1256"/>
      <c r="K21" s="1256"/>
      <c r="L21" s="1256"/>
      <c r="M21" s="1256"/>
      <c r="N21" s="1256"/>
      <c r="O21" s="1256"/>
      <c r="P21" s="1256"/>
      <c r="Q21" s="1256"/>
      <c r="R21" s="1254" t="str">
        <f ca="1">IF(COMPCUSTOMER&lt;&gt;1,"Incomplete","")</f>
        <v>Incomplete</v>
      </c>
      <c r="S21" s="1254"/>
      <c r="T21" s="1254"/>
      <c r="U21" s="1254"/>
      <c r="V21" s="1254"/>
      <c r="W21" s="1254"/>
      <c r="X21" s="1254"/>
      <c r="Y21" s="1258" t="s">
        <v>1210</v>
      </c>
      <c r="Z21" s="1258"/>
      <c r="AA21" s="1259"/>
      <c r="AB21" s="52"/>
      <c r="AC21" s="1260" t="str">
        <f>M3S8</f>
        <v>Motors and Drives</v>
      </c>
      <c r="AD21" s="1261"/>
      <c r="AE21" s="1261"/>
      <c r="AF21" s="1261"/>
      <c r="AG21" s="1261"/>
      <c r="AH21" s="1261"/>
      <c r="AI21" s="1261"/>
      <c r="AJ21" s="1262">
        <f>COUNT('M03-S08'!$AO$18:$AQ$199)</f>
        <v>0</v>
      </c>
      <c r="AK21" s="1262">
        <f>COUNT(#REF!)</f>
        <v>0</v>
      </c>
      <c r="AL21" s="1262">
        <f>COUNT(#REF!)</f>
        <v>0</v>
      </c>
      <c r="AM21" s="1278">
        <f>SUM('M03-S08'!AR18:AU199)</f>
        <v>0</v>
      </c>
      <c r="AN21" s="1278"/>
      <c r="AO21" s="1278"/>
      <c r="AP21" s="1279"/>
    </row>
    <row r="22" spans="8:62" ht="15.95" customHeight="1">
      <c r="H22" s="1252" t="str">
        <f>IF(M02S03F01="","Missing Site Name",M02S03F01)</f>
        <v>Missing Site Name</v>
      </c>
      <c r="I22" s="654"/>
      <c r="J22" s="654"/>
      <c r="K22" s="654"/>
      <c r="L22" s="654"/>
      <c r="M22" s="654"/>
      <c r="N22" s="654"/>
      <c r="O22" s="654"/>
      <c r="P22" s="654"/>
      <c r="Q22" s="654"/>
      <c r="R22" s="654" t="str">
        <f>IF(OR(M02S03F06="",M02S03F07="",M02S03F08="",M02S03F09="",M02S03F10=""),"Missing Contact Info",M02S03F06&amp;" "&amp;M02S03F07)</f>
        <v>Missing Contact Info</v>
      </c>
      <c r="S22" s="654"/>
      <c r="T22" s="654"/>
      <c r="U22" s="654"/>
      <c r="V22" s="654"/>
      <c r="W22" s="654"/>
      <c r="X22" s="654"/>
      <c r="Y22" s="654"/>
      <c r="Z22" s="654"/>
      <c r="AA22" s="1251"/>
      <c r="AB22" s="22"/>
      <c r="AC22" s="1260" t="str">
        <f>M3S6</f>
        <v>Compressed Air / Process</v>
      </c>
      <c r="AD22" s="1261"/>
      <c r="AE22" s="1261"/>
      <c r="AF22" s="1261"/>
      <c r="AG22" s="1261"/>
      <c r="AH22" s="1261"/>
      <c r="AI22" s="1261"/>
      <c r="AJ22" s="1262">
        <f>COUNT('M03-S06'!$AO$18:$AQ$199)</f>
        <v>0</v>
      </c>
      <c r="AK22" s="1262">
        <f>COUNT('M03-S06'!$AO$18:$AQ$199)</f>
        <v>0</v>
      </c>
      <c r="AL22" s="1262">
        <f>COUNT('M03-S06'!$AO$18:$AQ$199)</f>
        <v>0</v>
      </c>
      <c r="AM22" s="1278">
        <f>SUM('M03-S06'!AR18:AU199)</f>
        <v>0</v>
      </c>
      <c r="AN22" s="1278"/>
      <c r="AO22" s="1278"/>
      <c r="AP22" s="1279"/>
    </row>
    <row r="23" spans="8:62" ht="15.95" customHeight="1">
      <c r="H23" s="1252" t="str">
        <f>IF(OR(M02S03F02="",M02S03F03="",M02S03F04="",M02S03F05=""),"Missing Address Info",M02S03F02)</f>
        <v>Missing Address Info</v>
      </c>
      <c r="I23" s="654"/>
      <c r="J23" s="654"/>
      <c r="K23" s="654"/>
      <c r="L23" s="654"/>
      <c r="M23" s="654"/>
      <c r="N23" s="654"/>
      <c r="O23" s="654"/>
      <c r="P23" s="654"/>
      <c r="Q23" s="654"/>
      <c r="R23" s="654" t="str">
        <f>IF(OR(M02S03F06="",M02S03F07="",M02S03F08="",M02S03F09="",M02S03F10=""),"",M02S03F08)</f>
        <v/>
      </c>
      <c r="S23" s="654"/>
      <c r="T23" s="654"/>
      <c r="U23" s="654"/>
      <c r="V23" s="654"/>
      <c r="W23" s="1253" t="str">
        <f>IF(OR(M02S03F06="",M02S03F07="",M02S03F08="",M02S03F09="",M02S03F10=""),"",M02S03F09)</f>
        <v/>
      </c>
      <c r="X23" s="1253"/>
      <c r="Y23" s="1253"/>
      <c r="Z23" s="1253"/>
      <c r="AA23" s="1257"/>
      <c r="AB23" s="22"/>
      <c r="AC23" s="1260" t="str">
        <f>M3S7</f>
        <v>Water Heating / Food Services</v>
      </c>
      <c r="AD23" s="1261"/>
      <c r="AE23" s="1261"/>
      <c r="AF23" s="1261"/>
      <c r="AG23" s="1261"/>
      <c r="AH23" s="1261"/>
      <c r="AI23" s="1261"/>
      <c r="AJ23" s="1262">
        <f>COUNT('M03-S07'!$AO$18:$AQ$199)</f>
        <v>0</v>
      </c>
      <c r="AK23" s="1262">
        <f>COUNT('M03-S07'!$AO$18:$AQ$199)</f>
        <v>0</v>
      </c>
      <c r="AL23" s="1262">
        <f>COUNT('M03-S07'!$AO$18:$AQ$199)</f>
        <v>0</v>
      </c>
      <c r="AM23" s="1280">
        <f>SUM('M03-S07'!AR18:AU199)</f>
        <v>0</v>
      </c>
      <c r="AN23" s="1280"/>
      <c r="AO23" s="1280"/>
      <c r="AP23" s="1281"/>
    </row>
    <row r="24" spans="8:62" ht="15.95" customHeight="1">
      <c r="H24" s="1252" t="str">
        <f>IF(OR(M02S03F02="",M02S03F03="",M02S03F04="",M02S03F05=""),"",M02S03F03)</f>
        <v/>
      </c>
      <c r="I24" s="654"/>
      <c r="J24" s="654"/>
      <c r="K24" s="654"/>
      <c r="L24" s="654"/>
      <c r="M24" s="654" t="str">
        <f>IF(OR(M02S03F02="",M02S03F03="",M02S03F04="",M02S03F05=""),"",M02S03F04)</f>
        <v/>
      </c>
      <c r="N24" s="654"/>
      <c r="O24" s="654" t="str">
        <f>IF(OR(M02S03F02="",M02S03F03="",M02S03F04="",M02S03F05=""),"",M02S03F05)</f>
        <v/>
      </c>
      <c r="P24" s="654"/>
      <c r="Q24" s="654"/>
      <c r="R24" s="654" t="str">
        <f>IF(OR(M02S03F06="",M02S03F07="",M02S03F08="",M02S03F09="",M02S03F10=""),"",M02S03F10)</f>
        <v/>
      </c>
      <c r="S24" s="654"/>
      <c r="T24" s="654"/>
      <c r="U24" s="654"/>
      <c r="V24" s="654"/>
      <c r="W24" s="654"/>
      <c r="X24" s="654"/>
      <c r="Y24" s="654"/>
      <c r="Z24" s="654"/>
      <c r="AA24" s="1251"/>
      <c r="AB24" s="22"/>
      <c r="AC24" s="1242" t="s">
        <v>1193</v>
      </c>
      <c r="AD24" s="1243"/>
      <c r="AE24" s="1243"/>
      <c r="AF24" s="1243"/>
      <c r="AG24" s="1243"/>
      <c r="AH24" s="1243"/>
      <c r="AI24" s="1243"/>
      <c r="AJ24" s="1250" t="s">
        <v>1534</v>
      </c>
      <c r="AK24" s="1250"/>
      <c r="AL24" s="1250"/>
      <c r="AM24" s="1286" t="s">
        <v>1722</v>
      </c>
      <c r="AN24" s="1286"/>
      <c r="AO24" s="1286"/>
      <c r="AP24" s="1287"/>
    </row>
    <row r="25" spans="8:62" ht="15.95" customHeight="1">
      <c r="H25" s="1255" t="str">
        <f>M2S4</f>
        <v>Building Information</v>
      </c>
      <c r="I25" s="1256"/>
      <c r="J25" s="1256"/>
      <c r="K25" s="1256"/>
      <c r="L25" s="1256"/>
      <c r="M25" s="1256"/>
      <c r="N25" s="1256"/>
      <c r="O25" s="1256"/>
      <c r="P25" s="1256"/>
      <c r="Q25" s="1256"/>
      <c r="R25" s="1254" t="str">
        <f ca="1">IF(COMPBUILD&lt;&gt;1,"Incomplete","")</f>
        <v>Incomplete</v>
      </c>
      <c r="S25" s="1254"/>
      <c r="T25" s="1254"/>
      <c r="U25" s="1254"/>
      <c r="V25" s="1254"/>
      <c r="W25" s="1254"/>
      <c r="X25" s="1254"/>
      <c r="Y25" s="1258" t="s">
        <v>1210</v>
      </c>
      <c r="Z25" s="1258"/>
      <c r="AA25" s="1259"/>
      <c r="AB25" s="22"/>
      <c r="AC25" s="1260" t="str">
        <f>M4S3</f>
        <v>Lighting Controls</v>
      </c>
      <c r="AD25" s="1261"/>
      <c r="AE25" s="1261"/>
      <c r="AF25" s="1261"/>
      <c r="AG25" s="1261"/>
      <c r="AH25" s="1261"/>
      <c r="AI25" s="1261"/>
      <c r="AJ25" s="1263">
        <f>COUNT('M04-S03'!$AO$18:$AQ$199)</f>
        <v>0</v>
      </c>
      <c r="AK25" s="1263">
        <f>COUNT('M04-S03'!$AO$18:$AQ$199)</f>
        <v>0</v>
      </c>
      <c r="AL25" s="1263">
        <f>COUNT('M04-S03'!$AO$18:$AQ$199)</f>
        <v>0</v>
      </c>
      <c r="AM25" s="1278">
        <f>SUM('M04-S03'!AR18:AU184)</f>
        <v>0</v>
      </c>
      <c r="AN25" s="1278"/>
      <c r="AO25" s="1278"/>
      <c r="AP25" s="1279"/>
    </row>
    <row r="26" spans="8:62" ht="15.95" customHeight="1">
      <c r="H26" s="1252" t="str">
        <f>IF(M02S04F07="","Missing Site Name",M02S04F07)</f>
        <v>Missing Site Name</v>
      </c>
      <c r="I26" s="654"/>
      <c r="J26" s="654"/>
      <c r="K26" s="654"/>
      <c r="L26" s="654"/>
      <c r="M26" s="654"/>
      <c r="N26" s="654"/>
      <c r="O26" s="654"/>
      <c r="P26" s="654"/>
      <c r="Q26" s="654"/>
      <c r="R26" s="654" t="str">
        <f>IF(OR(M02S04F12="",M02S04F13="",M02S04F14="",M02S04F15="",M02S04F16=""),"Missing Contact Info",M02S04F12&amp;" "&amp;M02S04F13)</f>
        <v>Missing Contact Info</v>
      </c>
      <c r="S26" s="654"/>
      <c r="T26" s="654"/>
      <c r="U26" s="654"/>
      <c r="V26" s="654"/>
      <c r="W26" s="654"/>
      <c r="X26" s="654"/>
      <c r="Y26" s="654"/>
      <c r="Z26" s="654"/>
      <c r="AA26" s="1251"/>
      <c r="AB26" s="22"/>
      <c r="AC26" s="1260" t="str">
        <f>M4S4</f>
        <v>Refrigeration</v>
      </c>
      <c r="AD26" s="1261"/>
      <c r="AE26" s="1261"/>
      <c r="AF26" s="1261"/>
      <c r="AG26" s="1261"/>
      <c r="AH26" s="1261"/>
      <c r="AI26" s="1261"/>
      <c r="AJ26" s="1263">
        <f>COUNT('M04-S04'!$AO$18:$AQ$199)</f>
        <v>0</v>
      </c>
      <c r="AK26" s="1263">
        <f>COUNT('M04-S04'!$AO$18:$AQ$199)</f>
        <v>0</v>
      </c>
      <c r="AL26" s="1263">
        <f>COUNT('M04-S04'!$AO$18:$AQ$199)</f>
        <v>0</v>
      </c>
      <c r="AM26" s="1278">
        <f>SUM('M04-S04'!AR18:AU184)</f>
        <v>0</v>
      </c>
      <c r="AN26" s="1278"/>
      <c r="AO26" s="1278"/>
      <c r="AP26" s="1279"/>
    </row>
    <row r="27" spans="8:62" ht="15.95" customHeight="1">
      <c r="H27" s="1252" t="str">
        <f>IF(OR(M02S04F08="",M02S04F09="",M02S04F10="",M02S04F11=""),"Missing Address Info",M02S04F08)</f>
        <v>Missing Address Info</v>
      </c>
      <c r="I27" s="654"/>
      <c r="J27" s="654"/>
      <c r="K27" s="654"/>
      <c r="L27" s="654"/>
      <c r="M27" s="654"/>
      <c r="N27" s="654"/>
      <c r="O27" s="654"/>
      <c r="P27" s="654"/>
      <c r="Q27" s="654"/>
      <c r="R27" s="654" t="str">
        <f>IF(OR(M02S04F12="",M02S04F13="",M02S04F14="",M02S04F15="",M02S04F16=""),"",M02S04F14)</f>
        <v/>
      </c>
      <c r="S27" s="654"/>
      <c r="T27" s="654"/>
      <c r="U27" s="654"/>
      <c r="V27" s="654"/>
      <c r="W27" s="1253" t="str">
        <f>IF(OR(M02S04F12="",M02S04F13="",M02S04F14="",M02S04F15="",M02S04F16=""),"",M02S04F15)</f>
        <v/>
      </c>
      <c r="X27" s="1253"/>
      <c r="Y27" s="1253"/>
      <c r="Z27" s="1253"/>
      <c r="AA27" s="1257"/>
      <c r="AB27" s="22"/>
      <c r="AC27" s="1260" t="str">
        <f>M4S5</f>
        <v>HVAC</v>
      </c>
      <c r="AD27" s="1261"/>
      <c r="AE27" s="1261"/>
      <c r="AF27" s="1261"/>
      <c r="AG27" s="1261"/>
      <c r="AH27" s="1261"/>
      <c r="AI27" s="1261"/>
      <c r="AJ27" s="1263">
        <f>COUNT('M04-S05'!$AO$18:$AQ$199)</f>
        <v>0</v>
      </c>
      <c r="AK27" s="1263">
        <f>COUNT('M04-S05'!$AO$18:$AQ$199)</f>
        <v>0</v>
      </c>
      <c r="AL27" s="1263">
        <f>COUNT('M04-S05'!$AO$18:$AQ$199)</f>
        <v>0</v>
      </c>
      <c r="AM27" s="1278">
        <f>SUM('M04-S05'!AR18:AU184)</f>
        <v>0</v>
      </c>
      <c r="AN27" s="1278"/>
      <c r="AO27" s="1278"/>
      <c r="AP27" s="1279"/>
    </row>
    <row r="28" spans="8:62" ht="15.95" customHeight="1">
      <c r="H28" s="1252" t="str">
        <f>IF(OR(M02S04F08="",M02S04F09="",M02S04F10="",M02S04F11=""),"",M02S04F09)</f>
        <v/>
      </c>
      <c r="I28" s="654"/>
      <c r="J28" s="654"/>
      <c r="K28" s="654"/>
      <c r="L28" s="654"/>
      <c r="M28" s="654" t="str">
        <f>IF(OR(M02S04F08="",M02S04F09="",M02S04F10="",M02S04F11=""),"",M02S04F10)</f>
        <v/>
      </c>
      <c r="N28" s="654"/>
      <c r="O28" s="654" t="str">
        <f>IF(OR(M02S04F08="",M02S04F09="",M02S04F10="",M02S04F11=""),"",M02S04F11)</f>
        <v/>
      </c>
      <c r="P28" s="654"/>
      <c r="Q28" s="654"/>
      <c r="R28" s="654" t="str">
        <f>IF(OR(M02S04F12="",M02S04F13="",M02S04F14="",M02S04F15="",M02S04F16=""),"",M02S04F16)</f>
        <v/>
      </c>
      <c r="S28" s="654"/>
      <c r="T28" s="654"/>
      <c r="U28" s="654"/>
      <c r="V28" s="654"/>
      <c r="W28" s="654"/>
      <c r="X28" s="654"/>
      <c r="Y28" s="654"/>
      <c r="Z28" s="654"/>
      <c r="AA28" s="1251"/>
      <c r="AB28" s="22"/>
      <c r="AC28" s="1260" t="str">
        <f>M4S8</f>
        <v>Motors and Drives</v>
      </c>
      <c r="AD28" s="1261"/>
      <c r="AE28" s="1261"/>
      <c r="AF28" s="1261"/>
      <c r="AG28" s="1261"/>
      <c r="AH28" s="1261"/>
      <c r="AI28" s="1261"/>
      <c r="AJ28" s="1263">
        <f>COUNT('M04-S08'!$AO$18:$AQ$199)</f>
        <v>0</v>
      </c>
      <c r="AK28" s="1263">
        <f>COUNT('M04-S08'!$AO$18:$AQ$199)</f>
        <v>0</v>
      </c>
      <c r="AL28" s="1263">
        <f>COUNT('M04-S08'!$AO$18:$AQ$199)</f>
        <v>0</v>
      </c>
      <c r="AM28" s="1278">
        <f>SUM('M04-S08'!AR18:AU184)</f>
        <v>0</v>
      </c>
      <c r="AN28" s="1278"/>
      <c r="AO28" s="1278"/>
      <c r="AP28" s="1279"/>
    </row>
    <row r="29" spans="8:62" ht="15.95" customHeight="1">
      <c r="H29" s="102"/>
      <c r="AA29" s="101"/>
      <c r="AB29" s="22"/>
      <c r="AC29" s="1260" t="str">
        <f>M4S6</f>
        <v>Compressed Air / Process</v>
      </c>
      <c r="AD29" s="1261"/>
      <c r="AE29" s="1261"/>
      <c r="AF29" s="1261"/>
      <c r="AG29" s="1261"/>
      <c r="AH29" s="1261"/>
      <c r="AI29" s="1261"/>
      <c r="AJ29" s="1263">
        <f>COUNT('M04-S06'!$AO$18:$AQ$199)</f>
        <v>0</v>
      </c>
      <c r="AK29" s="1263">
        <f>COUNT('M04-S06'!$AO$18:$AQ$199)</f>
        <v>0</v>
      </c>
      <c r="AL29" s="1263">
        <f>COUNT('M04-S06'!$AO$18:$AQ$199)</f>
        <v>0</v>
      </c>
      <c r="AM29" s="1278">
        <f>SUM('M04-S06'!AR18:AU184)</f>
        <v>0</v>
      </c>
      <c r="AN29" s="1278"/>
      <c r="AO29" s="1278"/>
      <c r="AP29" s="1279"/>
    </row>
    <row r="30" spans="8:62" ht="15.95" customHeight="1">
      <c r="H30" s="99" t="str">
        <f>IF(OR(M02S04F18="",M02S04F19="",M02S04F20="",M02S04F21="",M02S04F22="",M02S04F23="",M02S04F24="",M02S04F25=""),"Missing Additional Info","Project ID: "&amp;M02S04F18)</f>
        <v>Missing Additional Info</v>
      </c>
      <c r="I30" s="93"/>
      <c r="J30" s="93"/>
      <c r="K30" s="93"/>
      <c r="L30" s="93"/>
      <c r="M30" s="93"/>
      <c r="N30" s="93"/>
      <c r="P30" s="93"/>
      <c r="Q30" s="93"/>
      <c r="R30" s="93" t="str">
        <f>IF(OR(M02S04F18="",M02S04F19="",M02S04F20="",M02S04F21="",M02S04F22="",M02S04F23="",M02S04F24="",M02S04F25=""),"","Space Conditioning: "&amp;M02S04F22)</f>
        <v/>
      </c>
      <c r="S30" s="93"/>
      <c r="T30" s="93"/>
      <c r="U30" s="93"/>
      <c r="V30" s="93"/>
      <c r="W30" s="93"/>
      <c r="X30" s="93"/>
      <c r="Y30" s="93"/>
      <c r="Z30" s="93"/>
      <c r="AA30" s="100"/>
      <c r="AB30" s="22"/>
      <c r="AC30" s="1260" t="str">
        <f>M4S7</f>
        <v>Water Heating / Food Services</v>
      </c>
      <c r="AD30" s="1261"/>
      <c r="AE30" s="1261"/>
      <c r="AF30" s="1261"/>
      <c r="AG30" s="1261"/>
      <c r="AH30" s="1261"/>
      <c r="AI30" s="1261"/>
      <c r="AJ30" s="1263">
        <f>COUNT('M04-S07'!$AO$18:$AQ$199)</f>
        <v>0</v>
      </c>
      <c r="AK30" s="1263">
        <f>COUNT('M04-S07'!$AO$18:$AQ$199)</f>
        <v>0</v>
      </c>
      <c r="AL30" s="1263">
        <f>COUNT('M04-S07'!$AO$18:$AQ$199)</f>
        <v>0</v>
      </c>
      <c r="AM30" s="1278">
        <f>SUM('M04-S07'!AR18:AU184)</f>
        <v>0</v>
      </c>
      <c r="AN30" s="1278"/>
      <c r="AO30" s="1278"/>
      <c r="AP30" s="1279"/>
    </row>
    <row r="31" spans="8:62" ht="15.95" customHeight="1">
      <c r="H31" s="99" t="str">
        <f>IF(OR(M02S04F18="",M02S04F19="",M02S04F20="",M02S04F21="",M02S04F22="",M02S04F23="",M02S04F24="",M02S04F25=""),"","Building Type: "&amp;M02S04F19)</f>
        <v/>
      </c>
      <c r="I31" s="93"/>
      <c r="J31" s="93"/>
      <c r="K31" s="93"/>
      <c r="L31" s="93"/>
      <c r="M31" s="93"/>
      <c r="N31" s="93"/>
      <c r="P31" s="93"/>
      <c r="Q31" s="93"/>
      <c r="R31" s="93" t="str">
        <f>IF(OR(M02S04F18="",M02S04F19="",M02S04F20="",M02S04F21="",M02S04F22="",M02S04F23="",M02S04F24="",M02S04F25=""),"","Project Description: Complete")</f>
        <v/>
      </c>
      <c r="S31" s="93"/>
      <c r="T31" s="93"/>
      <c r="U31" s="93"/>
      <c r="V31" s="93"/>
      <c r="W31" s="93"/>
      <c r="X31" s="93"/>
      <c r="Y31" s="93"/>
      <c r="Z31" s="93"/>
      <c r="AA31" s="100"/>
      <c r="AB31" s="22"/>
      <c r="AC31" s="1260" t="str">
        <f>M4S9</f>
        <v>Miscellaneous</v>
      </c>
      <c r="AD31" s="1261"/>
      <c r="AE31" s="1261"/>
      <c r="AF31" s="1261"/>
      <c r="AG31" s="1261"/>
      <c r="AH31" s="1261"/>
      <c r="AI31" s="1261"/>
      <c r="AJ31" s="1262">
        <f>COUNT('M04-S09'!$AO$18:$AQ$199)</f>
        <v>0</v>
      </c>
      <c r="AK31" s="1262">
        <f>COUNT('M04-S09'!$AO$18:$AQ$199)</f>
        <v>0</v>
      </c>
      <c r="AL31" s="1262">
        <f>COUNT('M04-S09'!$AO$18:$AQ$199)</f>
        <v>0</v>
      </c>
      <c r="AM31" s="1280">
        <f>SUM('M04-S09'!AR18:AU195)</f>
        <v>0</v>
      </c>
      <c r="AN31" s="1280"/>
      <c r="AO31" s="1280"/>
      <c r="AP31" s="1281"/>
    </row>
    <row r="32" spans="8:62" ht="15.95" customHeight="1">
      <c r="H32" s="1252" t="str">
        <f>IF(OR(M02S04F18="",M02S04F19="",M02S04F20="",M02S04F21="",M02S04F22="",M02S04F23="",M02S04F24="",M02S04F25=""),"","Op Hours: "&amp;M02S04F20)</f>
        <v/>
      </c>
      <c r="I32" s="654"/>
      <c r="J32" s="654"/>
      <c r="K32" s="654"/>
      <c r="L32" s="654"/>
      <c r="M32" s="93"/>
      <c r="N32" s="93"/>
      <c r="P32" s="93"/>
      <c r="Q32" s="93"/>
      <c r="R32" s="93" t="str">
        <f>IF(OR(M02S04F18="",M02S04F19="",M02S04F20="",M02S04F21="",M02S04F22="",M02S04F23="",M02S04F24="",M02S04F25=""),"","Evergy Contact: "&amp;M02S04F24)</f>
        <v/>
      </c>
      <c r="S32" s="93"/>
      <c r="T32" s="93"/>
      <c r="U32" s="93"/>
      <c r="V32" s="93"/>
      <c r="W32" s="93"/>
      <c r="X32" s="93"/>
      <c r="Y32" s="93"/>
      <c r="Z32" s="93"/>
      <c r="AA32" s="100"/>
      <c r="AB32" s="22"/>
      <c r="AC32" s="1273" t="s">
        <v>1768</v>
      </c>
      <c r="AD32" s="1274"/>
      <c r="AE32" s="1274"/>
      <c r="AF32" s="1274"/>
      <c r="AG32" s="1274"/>
      <c r="AH32" s="1274"/>
      <c r="AI32" s="1274"/>
      <c r="AJ32" s="1274"/>
      <c r="AK32" s="1274"/>
      <c r="AL32" s="1274"/>
      <c r="AM32" s="1282">
        <f>SUM(AM18:AM23,AM25:AM31)</f>
        <v>0</v>
      </c>
      <c r="AN32" s="1282"/>
      <c r="AO32" s="1282"/>
      <c r="AP32" s="1283"/>
    </row>
    <row r="33" spans="8:45" ht="15.95" customHeight="1">
      <c r="H33" s="99" t="str">
        <f>IF(OR(M02S04F18="",M02S04F19="",M02S04F20="",M02S04F21="",M02S04F22="",M02S04F23="",M02S04F24="",M02S04F25=""),"","Sq Ft: "&amp;M02S04F21)</f>
        <v/>
      </c>
      <c r="I33" s="93"/>
      <c r="J33" s="93"/>
      <c r="K33" s="93"/>
      <c r="L33" s="93"/>
      <c r="M33" s="93"/>
      <c r="N33" s="93"/>
      <c r="P33" s="93"/>
      <c r="Q33" s="93"/>
      <c r="R33" s="93" t="str">
        <f>IF(OR(M02S04F18="",M02S04F19="",M02S04F20="",M02S04F21="",M02S04F22="",M02S04F23="",M02S04F24="",M02S04F25=""),"","How did you hear?: "&amp;M02S04F25)</f>
        <v/>
      </c>
      <c r="S33" s="93"/>
      <c r="T33" s="93"/>
      <c r="U33" s="93"/>
      <c r="V33" s="93"/>
      <c r="W33" s="93"/>
      <c r="X33" s="93"/>
      <c r="Y33" s="93"/>
      <c r="Z33" s="93"/>
      <c r="AA33" s="100"/>
      <c r="AB33" s="22"/>
    </row>
    <row r="34" spans="8:45" ht="15.95" customHeight="1">
      <c r="H34" s="1255" t="str">
        <f>M5S1</f>
        <v>Payment</v>
      </c>
      <c r="I34" s="1256"/>
      <c r="J34" s="1256"/>
      <c r="K34" s="1256"/>
      <c r="L34" s="1256"/>
      <c r="M34" s="1256"/>
      <c r="N34" s="1256"/>
      <c r="O34" s="1256"/>
      <c r="P34" s="1256"/>
      <c r="Q34" s="1256"/>
      <c r="R34" s="1254" t="str">
        <f ca="1">IF(COMPPAY&lt;&gt;1,"Incomplete","")</f>
        <v>Incomplete</v>
      </c>
      <c r="S34" s="1254"/>
      <c r="T34" s="1254"/>
      <c r="U34" s="1254"/>
      <c r="V34" s="1254"/>
      <c r="W34" s="1254"/>
      <c r="X34" s="1254"/>
      <c r="Y34" s="1258" t="s">
        <v>1210</v>
      </c>
      <c r="Z34" s="1258"/>
      <c r="AA34" s="1259"/>
      <c r="AB34" s="22"/>
    </row>
    <row r="35" spans="8:45" ht="15.95" customHeight="1">
      <c r="H35" s="1252" t="str">
        <f>IF(OR(M05S01F02=0,M05S01F02=""),"Missing Company Name",M05S01F02)</f>
        <v>Missing Company Name</v>
      </c>
      <c r="I35" s="654"/>
      <c r="J35" s="654"/>
      <c r="K35" s="654"/>
      <c r="L35" s="654"/>
      <c r="M35" s="654"/>
      <c r="N35" s="654"/>
      <c r="O35" s="654"/>
      <c r="P35" s="654"/>
      <c r="Q35" s="654"/>
      <c r="R35" s="654" t="str">
        <f>IF(OR(M05S01F07=0,M05S01F08=0,M05S01F09=0,M05S01F10=0,M05S01F07="",M05S01F08="",M05S01F09="",M05S01F10=""),"Missing Contact Info",M05S01F07&amp;" "&amp;M05S01F08)</f>
        <v>Missing Contact Info</v>
      </c>
      <c r="S35" s="654"/>
      <c r="T35" s="654"/>
      <c r="U35" s="654"/>
      <c r="V35" s="654"/>
      <c r="W35" s="654"/>
      <c r="X35" s="654"/>
      <c r="Y35" s="654"/>
      <c r="Z35" s="654"/>
      <c r="AA35" s="1251"/>
      <c r="AB35" s="22"/>
      <c r="AC35" s="1275" t="str">
        <f>IF(AM32&gt;250000,"The total incentive total exceeds $250,000. This project may be subject to a reduced rate upon review.","")</f>
        <v/>
      </c>
      <c r="AD35" s="1275"/>
      <c r="AE35" s="1275"/>
      <c r="AF35" s="1275"/>
      <c r="AG35" s="1275"/>
      <c r="AH35" s="1275"/>
      <c r="AI35" s="1275"/>
      <c r="AJ35" s="1275"/>
      <c r="AK35" s="1275"/>
      <c r="AL35" s="1275"/>
      <c r="AM35" s="1275"/>
      <c r="AN35" s="1275"/>
      <c r="AO35" s="1275"/>
      <c r="AP35" s="1275"/>
    </row>
    <row r="36" spans="8:45" ht="15.95" customHeight="1">
      <c r="H36" s="1252" t="str">
        <f>IF(OR(M05S01F03=0,M05S01F04=0,M05S01F05=0,M05S01F06=0,M05S01F03="",M05S01F04="",M05S01F05="",M05S01F06=""),"Missing Address Info",M05S01F03)</f>
        <v>Missing Address Info</v>
      </c>
      <c r="I36" s="654"/>
      <c r="J36" s="654"/>
      <c r="K36" s="654"/>
      <c r="L36" s="654"/>
      <c r="M36" s="654"/>
      <c r="N36" s="654"/>
      <c r="O36" s="654"/>
      <c r="P36" s="654"/>
      <c r="Q36" s="654"/>
      <c r="R36" s="1253" t="str">
        <f>IF(OR(M05S01F07=0,M05S01F08=0,M05S01F09=0,M05S01F10=0,M05S01F07="",M05S01F08="",M05S01F09="",M05S01F10=""),"",M05S01F09)</f>
        <v/>
      </c>
      <c r="S36" s="1253"/>
      <c r="T36" s="1253"/>
      <c r="U36" s="1253"/>
      <c r="V36" s="1253"/>
      <c r="AA36" s="101"/>
      <c r="AC36" s="1276"/>
      <c r="AD36" s="1276"/>
      <c r="AE36" s="1276"/>
      <c r="AF36" s="1276"/>
      <c r="AG36" s="1276"/>
      <c r="AH36" s="1276"/>
      <c r="AI36" s="1276"/>
      <c r="AJ36" s="1276"/>
      <c r="AK36" s="1276"/>
      <c r="AL36" s="1276"/>
      <c r="AM36" s="1276"/>
      <c r="AN36" s="1276"/>
      <c r="AO36" s="1276"/>
      <c r="AP36" s="1276"/>
      <c r="AQ36" s="291"/>
      <c r="AR36" s="291"/>
      <c r="AS36" s="291"/>
    </row>
    <row r="37" spans="8:45" ht="15.95" customHeight="1" thickBot="1">
      <c r="H37" s="1252" t="str">
        <f>IF(OR(M05S01F03=0,M05S01F04=0,M05S01F05=0,M05S01F06=0,M05S01F03="",M05S01F04="",M05S01F05="",M05S01F06=""),"",M05S01F04)</f>
        <v/>
      </c>
      <c r="I37" s="654"/>
      <c r="J37" s="654"/>
      <c r="K37" s="654"/>
      <c r="L37" s="654"/>
      <c r="M37" s="654" t="str">
        <f>IF(OR(M05S01F03=0,M05S01F04=0,M05S01F05=0,M05S01F06=0,M05S01F03="",M05S01F04="",M05S01F05="",M05S01F06=""),"",M05S01F05)</f>
        <v/>
      </c>
      <c r="N37" s="654"/>
      <c r="O37" s="654" t="str">
        <f>IF(OR(M05S01F03=0,M05S01F04=0,M05S01F05=0,M05S01F06=0,M05S01F03="",M05S01F04="",M05S01F05="",M05S01F06=""),"",M05S01F06)</f>
        <v/>
      </c>
      <c r="P37" s="654"/>
      <c r="Q37" s="654"/>
      <c r="R37" s="654" t="str">
        <f>IF(OR(M05S01F07=0,M05S01F08=0,M05S01F09=0,M05S01F10=0,M05S01F07="",M05S01F08="",M05S01F09="",M05S01F10=""),"",M05S01F10)</f>
        <v/>
      </c>
      <c r="S37" s="654"/>
      <c r="T37" s="654"/>
      <c r="U37" s="654"/>
      <c r="V37" s="654"/>
      <c r="W37" s="654"/>
      <c r="X37" s="654"/>
      <c r="Y37" s="654"/>
      <c r="Z37" s="654"/>
      <c r="AA37" s="1251"/>
      <c r="AD37" s="93" t="s">
        <v>1428</v>
      </c>
      <c r="AE37" s="22"/>
      <c r="AF37" s="22"/>
      <c r="AG37" s="22"/>
      <c r="AH37" s="22"/>
      <c r="AJ37" s="294"/>
      <c r="AK37" s="93" t="s">
        <v>1429</v>
      </c>
      <c r="AL37" s="22"/>
      <c r="AM37" s="22"/>
      <c r="AN37" s="22"/>
      <c r="AO37" s="22"/>
      <c r="AQ37" s="291"/>
      <c r="AR37" s="291"/>
      <c r="AS37" s="291"/>
    </row>
    <row r="38" spans="8:45" ht="15.95" customHeight="1" thickBot="1">
      <c r="H38" s="102"/>
      <c r="I38" s="93"/>
      <c r="J38" s="93"/>
      <c r="K38" s="93"/>
      <c r="N38" s="93"/>
      <c r="O38" s="93"/>
      <c r="P38" s="93"/>
      <c r="Q38" s="93"/>
      <c r="T38" s="93"/>
      <c r="U38" s="93"/>
      <c r="V38" s="93"/>
      <c r="W38" s="93"/>
      <c r="X38" s="93"/>
      <c r="Y38" s="93"/>
      <c r="Z38" s="93"/>
      <c r="AA38" s="100"/>
      <c r="AD38" s="1270"/>
      <c r="AE38" s="1271"/>
      <c r="AF38" s="1271"/>
      <c r="AG38" s="1271"/>
      <c r="AH38" s="1272"/>
      <c r="AJ38" s="294"/>
      <c r="AK38" s="1270"/>
      <c r="AL38" s="1271"/>
      <c r="AM38" s="1271"/>
      <c r="AN38" s="1271"/>
      <c r="AO38" s="1272"/>
    </row>
    <row r="39" spans="8:45" ht="15.95" customHeight="1">
      <c r="H39" s="99" t="s">
        <v>1208</v>
      </c>
      <c r="I39" s="93"/>
      <c r="J39" s="93"/>
      <c r="K39" s="93"/>
      <c r="L39" s="93"/>
      <c r="M39" s="93"/>
      <c r="N39" s="93"/>
      <c r="O39" s="93"/>
      <c r="P39" s="93"/>
      <c r="Q39" s="93"/>
      <c r="S39" s="93"/>
      <c r="T39" s="93"/>
      <c r="U39" s="93"/>
      <c r="V39" s="93"/>
      <c r="W39" s="93"/>
      <c r="X39" s="93"/>
      <c r="Y39" s="93"/>
      <c r="Z39" s="93"/>
      <c r="AA39" s="100"/>
      <c r="AB39" s="22"/>
      <c r="AC39" s="294"/>
      <c r="AD39" s="1276" t="s">
        <v>2221</v>
      </c>
      <c r="AE39" s="1276"/>
      <c r="AF39" s="1276"/>
      <c r="AG39" s="1276"/>
      <c r="AH39" s="1276"/>
      <c r="AI39" s="1276"/>
      <c r="AJ39" s="1276"/>
      <c r="AK39" s="1276"/>
      <c r="AL39" s="1276"/>
      <c r="AM39" s="1276"/>
      <c r="AN39" s="1276"/>
      <c r="AO39" s="1276"/>
      <c r="AP39" s="293"/>
    </row>
    <row r="40" spans="8:45" ht="15.95" customHeight="1">
      <c r="H40" s="103" t="str">
        <f>IF(M05S01F11="","Missing Tax Entity","Tax Entity: "&amp;M05S01F11)</f>
        <v>Missing Tax Entity</v>
      </c>
      <c r="I40" s="104"/>
      <c r="J40" s="104"/>
      <c r="K40" s="104"/>
      <c r="L40" s="104"/>
      <c r="M40" s="104"/>
      <c r="N40" s="104"/>
      <c r="O40" s="104"/>
      <c r="P40" s="104" t="str">
        <f>IF(OR(M05S01F12="",M05S01F13=""),"Missing Tax ID","Tax ID: "&amp;M05S01F12&amp;"-"&amp;M05S01F13)</f>
        <v>Missing Tax ID</v>
      </c>
      <c r="Q40" s="104"/>
      <c r="R40" s="254"/>
      <c r="S40" s="104"/>
      <c r="T40" s="104"/>
      <c r="U40" s="104" t="str">
        <f>IF(AND(M05S01F01="Site (Bill Credit)",M05S01F14=""),"Missing Bill Credit Account",IF(AND(M05S01F01="Site (Bill Credit)",M05S01F14&lt;&gt;""),"Bill Credit Account: "&amp;M05S01F14,""))</f>
        <v/>
      </c>
      <c r="V40" s="104"/>
      <c r="W40" s="104"/>
      <c r="X40" s="104"/>
      <c r="Y40" s="104"/>
      <c r="Z40" s="104"/>
      <c r="AA40" s="105"/>
      <c r="AB40" s="22"/>
      <c r="AD40" s="1276"/>
      <c r="AE40" s="1276"/>
      <c r="AF40" s="1276"/>
      <c r="AG40" s="1276"/>
      <c r="AH40" s="1276"/>
      <c r="AI40" s="1276"/>
      <c r="AJ40" s="1276"/>
      <c r="AK40" s="1276"/>
      <c r="AL40" s="1276"/>
      <c r="AM40" s="1276"/>
      <c r="AN40" s="1276"/>
      <c r="AO40" s="1276"/>
      <c r="AP40" s="293"/>
    </row>
    <row r="41" spans="8:45" ht="15.95" customHeight="1">
      <c r="AB41" s="22"/>
    </row>
    <row r="42" spans="8:45" ht="15.95" hidden="1" customHeight="1">
      <c r="AD42" s="22"/>
    </row>
    <row r="43" spans="8:45" ht="15.95" hidden="1" customHeight="1">
      <c r="AD43" s="22"/>
      <c r="AS43" s="292"/>
    </row>
    <row r="44" spans="8:45" ht="15.95" hidden="1" customHeight="1"/>
    <row r="45" spans="8:45" ht="15.95" hidden="1" customHeight="1"/>
    <row r="46" spans="8:45" ht="15.95" hidden="1" customHeight="1"/>
    <row r="47" spans="8:45" ht="15.95" hidden="1" customHeight="1"/>
    <row r="48" spans="8:45" ht="15.95" hidden="1" customHeight="1"/>
    <row r="49" spans="30:45" ht="15.95" hidden="1" customHeight="1"/>
    <row r="50" spans="30:45" ht="15.95" hidden="1" customHeight="1">
      <c r="AS50" s="22"/>
    </row>
    <row r="51" spans="30:45" ht="15.95" hidden="1" customHeight="1">
      <c r="AS51" s="22"/>
    </row>
    <row r="52" spans="30:45" ht="15.95" hidden="1" customHeight="1">
      <c r="AD52" s="22"/>
      <c r="AS52" s="22"/>
    </row>
    <row r="53" spans="30:45" ht="15.95" hidden="1" customHeight="1">
      <c r="AD53" s="22"/>
      <c r="AS53" s="22"/>
    </row>
    <row r="54" spans="30:45" ht="15.95" hidden="1" customHeight="1">
      <c r="AD54" s="22"/>
      <c r="AS54" s="22"/>
    </row>
    <row r="55" spans="30:45" ht="15.95" hidden="1" customHeight="1">
      <c r="AD55" s="22"/>
      <c r="AS55" s="22"/>
    </row>
    <row r="56" spans="30:45" ht="15.95" hidden="1" customHeight="1">
      <c r="AD56" s="22"/>
    </row>
    <row r="57" spans="30:45" ht="15.95" hidden="1" customHeight="1">
      <c r="AD57" s="22"/>
    </row>
    <row r="58" spans="30:45" ht="15.95" hidden="1" customHeight="1">
      <c r="AD58" s="22"/>
    </row>
    <row r="59" spans="30:45" ht="15.95" hidden="1" customHeight="1"/>
    <row r="60" spans="30:45" ht="15.95" hidden="1" customHeight="1"/>
    <row r="61" spans="30:45" ht="15.95" hidden="1" customHeight="1"/>
    <row r="62" spans="30:45" ht="15.95" hidden="1" customHeight="1"/>
    <row r="63" spans="30:45" ht="15.95" hidden="1" customHeight="1"/>
    <row r="64" spans="30: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49" ht="15.95" hidden="1" customHeight="1"/>
  </sheetData>
  <sheetProtection algorithmName="SHA-512" hashValue="AfBBfdV7ytDmdqOHW09ifPAhVTH4LwgtQ1dspT2kP9Y/hu+/Whlzt/nI1q8nXlnr3iNfuU7+Rrv3TCSP44RhtA==" saltValue="wmN7dae8zwDY9T+n4n3NZA==" spinCount="100000" sheet="1" objects="1" scenarios="1" selectLockedCells="1"/>
  <mergeCells count="123">
    <mergeCell ref="AC35:AP36"/>
    <mergeCell ref="AD39:AO40"/>
    <mergeCell ref="R17:V17"/>
    <mergeCell ref="R19:V19"/>
    <mergeCell ref="W19:AA19"/>
    <mergeCell ref="R20:AA20"/>
    <mergeCell ref="H11:AM12"/>
    <mergeCell ref="AM25:AP25"/>
    <mergeCell ref="AM26:AP26"/>
    <mergeCell ref="AM27:AP27"/>
    <mergeCell ref="AM28:AP28"/>
    <mergeCell ref="AM29:AP29"/>
    <mergeCell ref="AM30:AP30"/>
    <mergeCell ref="AM31:AP31"/>
    <mergeCell ref="AM32:AP32"/>
    <mergeCell ref="AC16:AM16"/>
    <mergeCell ref="AM18:AP18"/>
    <mergeCell ref="AM19:AP19"/>
    <mergeCell ref="AM20:AP20"/>
    <mergeCell ref="AM21:AP21"/>
    <mergeCell ref="AM22:AP22"/>
    <mergeCell ref="AM23:AP23"/>
    <mergeCell ref="AM24:AP24"/>
    <mergeCell ref="AJ30:AL30"/>
    <mergeCell ref="O200:AI201"/>
    <mergeCell ref="AC21:AI21"/>
    <mergeCell ref="AJ21:AL21"/>
    <mergeCell ref="AC22:AI22"/>
    <mergeCell ref="AJ22:AL22"/>
    <mergeCell ref="AC23:AI23"/>
    <mergeCell ref="AJ23:AL23"/>
    <mergeCell ref="H27:Q27"/>
    <mergeCell ref="R27:V27"/>
    <mergeCell ref="W27:AA27"/>
    <mergeCell ref="AD38:AH38"/>
    <mergeCell ref="AK38:AO38"/>
    <mergeCell ref="AC26:AI26"/>
    <mergeCell ref="AC27:AI27"/>
    <mergeCell ref="AC28:AI28"/>
    <mergeCell ref="AC29:AI29"/>
    <mergeCell ref="AC30:AI30"/>
    <mergeCell ref="AC31:AI31"/>
    <mergeCell ref="H37:L37"/>
    <mergeCell ref="M37:N37"/>
    <mergeCell ref="O37:Q37"/>
    <mergeCell ref="R37:AA37"/>
    <mergeCell ref="H35:Q35"/>
    <mergeCell ref="AC32:AL32"/>
    <mergeCell ref="AJ31:AL31"/>
    <mergeCell ref="AJ27:AL27"/>
    <mergeCell ref="AJ28:AL28"/>
    <mergeCell ref="AJ29:AL29"/>
    <mergeCell ref="R14:X14"/>
    <mergeCell ref="H16:Q16"/>
    <mergeCell ref="H14:Q14"/>
    <mergeCell ref="R16:X16"/>
    <mergeCell ref="H17:Q17"/>
    <mergeCell ref="O19:Q19"/>
    <mergeCell ref="M19:N19"/>
    <mergeCell ref="H19:L19"/>
    <mergeCell ref="W17:AA17"/>
    <mergeCell ref="Y16:AA16"/>
    <mergeCell ref="R18:AA18"/>
    <mergeCell ref="H18:Q18"/>
    <mergeCell ref="Y15:AA15"/>
    <mergeCell ref="H15:P15"/>
    <mergeCell ref="Q15:X15"/>
    <mergeCell ref="AJ18:AL18"/>
    <mergeCell ref="AJ19:AL19"/>
    <mergeCell ref="AC19:AI19"/>
    <mergeCell ref="AJ25:AL25"/>
    <mergeCell ref="AJ26:AL26"/>
    <mergeCell ref="AC20:AI20"/>
    <mergeCell ref="AC18:AI18"/>
    <mergeCell ref="AJ20:AL20"/>
    <mergeCell ref="AJ24:AL24"/>
    <mergeCell ref="H28:L28"/>
    <mergeCell ref="Y21:AA21"/>
    <mergeCell ref="Y25:AA25"/>
    <mergeCell ref="M28:N28"/>
    <mergeCell ref="O28:Q28"/>
    <mergeCell ref="R28:AA28"/>
    <mergeCell ref="H22:Q22"/>
    <mergeCell ref="R21:X21"/>
    <mergeCell ref="H21:Q21"/>
    <mergeCell ref="H23:Q23"/>
    <mergeCell ref="R22:AA22"/>
    <mergeCell ref="AC24:AI24"/>
    <mergeCell ref="AC25:AI25"/>
    <mergeCell ref="R35:AA35"/>
    <mergeCell ref="H36:Q36"/>
    <mergeCell ref="R36:V36"/>
    <mergeCell ref="R34:X34"/>
    <mergeCell ref="H34:Q34"/>
    <mergeCell ref="R23:V23"/>
    <mergeCell ref="W23:AA23"/>
    <mergeCell ref="H24:L24"/>
    <mergeCell ref="M24:N24"/>
    <mergeCell ref="O24:Q24"/>
    <mergeCell ref="R24:AA24"/>
    <mergeCell ref="H26:Q26"/>
    <mergeCell ref="R26:AA26"/>
    <mergeCell ref="R25:X25"/>
    <mergeCell ref="H25:Q25"/>
    <mergeCell ref="Y34:AA34"/>
    <mergeCell ref="H32:L32"/>
    <mergeCell ref="F1:I3"/>
    <mergeCell ref="J1:M3"/>
    <mergeCell ref="Q1:AG3"/>
    <mergeCell ref="AL1:AO3"/>
    <mergeCell ref="AP1:AS3"/>
    <mergeCell ref="AT1:AW3"/>
    <mergeCell ref="AC17:AI17"/>
    <mergeCell ref="Y14:AA14"/>
    <mergeCell ref="AM17:AP17"/>
    <mergeCell ref="A9:AW10"/>
    <mergeCell ref="AS5:AW6"/>
    <mergeCell ref="AS7:AW7"/>
    <mergeCell ref="AS8:AW8"/>
    <mergeCell ref="AN16:AP16"/>
    <mergeCell ref="AJ17:AL17"/>
    <mergeCell ref="A4:E6"/>
    <mergeCell ref="A7:E8"/>
  </mergeCells>
  <conditionalFormatting sqref="H15:AA15 H17:R17 H18:AA18 H22:AA24 H26:AA28 H30:N33 P30:AA33 H35:AA39 H40:Q40 S40:AA40">
    <cfRule type="expression" dxfId="42" priority="5">
      <formula>IF(ISNUMBER(SEARCH("Missing",H15)),TRUE,FALSE)</formula>
    </cfRule>
  </conditionalFormatting>
  <conditionalFormatting sqref="W17:AA20 H19:R19 R20:V20">
    <cfRule type="expression" dxfId="41" priority="1">
      <formula>IF(ISNUMBER(SEARCH("Missing",H17)),TRUE,FALSE)</formula>
    </cfRule>
  </conditionalFormatting>
  <conditionalFormatting sqref="AD38:AH38 AK38:AO38">
    <cfRule type="expression" dxfId="40" priority="3">
      <formula>IF(OR(AND(MEASTOTALCUSE=0, INCENTOTAL &lt;=10000), ACTIVECOMPL="Yes"),TRUE,FALSE)</formula>
    </cfRule>
  </conditionalFormatting>
  <conditionalFormatting sqref="AK37:AK38 AD37:AD39">
    <cfRule type="expression" dxfId="39" priority="2">
      <formula>IF(OR(AND(MEASTOTALCUSE = 0, INCENTOTAL &lt;= INCPREAPPROVAL), ACTIVECOMPL = "Yes"),FALSE,TRUE)</formula>
    </cfRule>
  </conditionalFormatting>
  <conditionalFormatting sqref="AS8:AW8">
    <cfRule type="expression" dxfId="38" priority="4">
      <formula>IF($AS$8=PROJSTATMEASURE,FALSE,TRUE)</formula>
    </cfRule>
  </conditionalFormatting>
  <dataValidations count="1">
    <dataValidation type="date" operator="greaterThan" allowBlank="1" showInputMessage="1" showErrorMessage="1" error="Please enter date. Format: xx/xx/xxx" sqref="AK38:AO38 AD38:AH38" xr:uid="{A952109B-74A0-43D6-B998-6FE30A8DBAD9}">
      <formula1>36526</formula1>
    </dataValidation>
  </dataValidations>
  <hyperlinks>
    <hyperlink ref="AC18:AI18" location="'M03-S03'!C18" tooltip="View: Lighting Controls" display="'M03-S03'!C18" xr:uid="{B695D4D9-D0D6-466C-B634-066248DBD00D}"/>
    <hyperlink ref="AC19:AI19" location="'M03-S04'!C18" tooltip="View: Standard Refrigeration" display="'M03-S04'!C18" xr:uid="{8BB9FBEE-F7F8-40AC-97E4-AA84C02B0B8A}"/>
    <hyperlink ref="AC20:AI20" location="'M03-S05'!C18" tooltip="View: Standard HVAC" display="'M03-S05'!C18" xr:uid="{A6F370A5-6DA1-4CB1-B899-29C1F80C876A}"/>
    <hyperlink ref="AC21:AI21" location="'M03-S08'!C18" tooltip="View: Standard Motors and Drives" display="'M03-S08'!C18" xr:uid="{8DEE1A84-9D57-41AE-BE8E-E36DEE1DBDB6}"/>
    <hyperlink ref="AC22:AI22" location="'M03-S06'!C18" tooltip="View: Standard Compressed Air / Process" display="'M03-S06'!C18" xr:uid="{03A916E2-FAD8-4A3F-A9E4-95DDE9436D30}"/>
    <hyperlink ref="AC23:AI23" location="'M03-S07'!C18" tooltip="View: Standard Water Heating / Cooking" display="'M03-S07'!C18" xr:uid="{49275D18-AC04-4FD9-BE28-61B5E5E4197E}"/>
    <hyperlink ref="AC25:AI25" location="'M04-S03'!C18" tooltip="View: Custom Lighting Controls" display="'M04-S03'!C18" xr:uid="{0A2ED40B-95D8-443A-8068-518DAF818444}"/>
    <hyperlink ref="AC26:AI26" location="'M04-S04'!C18" tooltip="View: Custom Refrigeration" display="'M04-S04'!C18" xr:uid="{3B67CACC-B5E9-412A-AE90-F7B2D32D12D1}"/>
    <hyperlink ref="AC27:AI27" location="'M04-S05'!C18" tooltip="View: Custom HVAC" display="'M04-S05'!C18" xr:uid="{7DFA6AE8-C160-4EA7-88DF-E38D8285DCEA}"/>
    <hyperlink ref="AC28:AI28" location="'M04-S08'!C18" tooltip="View: Custom Motors and Drives" display="'M04-S08'!C18" xr:uid="{F00E9ECF-CD14-404E-8994-2F49053E499C}"/>
    <hyperlink ref="AC29:AI29" location="'M04-S06'!C18" tooltip="View: Custom Compressed Air / Process" display="'M04-S06'!C18" xr:uid="{71CC8C35-C95D-45D0-BFE2-317A4822D6DD}"/>
    <hyperlink ref="AC30:AI30" location="'M04-S07'!C18" tooltip="View: Custom Water Heating / Cooking" display="'M04-S07'!C18" xr:uid="{B4CD4E88-7BA3-40C6-8A09-337A1FE45E95}"/>
    <hyperlink ref="AC31:AI31" location="'M04-S09'!C18" tooltip="View: Custom Miscellaneous" display="'M04-S09'!C18" xr:uid="{8C2F8462-E0BA-48F0-8471-F5F6C0B88776}"/>
    <hyperlink ref="Y14:AA14" location="'M02-S01'!A1" tooltip="Update: Terms &amp; Conditions" display=" ✎ Update" xr:uid="{398CD1AD-3469-4BD1-8444-A818E5DF26DF}"/>
    <hyperlink ref="Y16:AA16" location="'M02-S02'!A1" tooltip="Update: Trade Ally / Vendor Information" display=" ✎ Update" xr:uid="{E7955452-2A55-4EEB-8B92-8AAD104DF504}"/>
    <hyperlink ref="Y21:AA21" location="'M02-S03'!A1" tooltip="Update: Customer Information" display=" ✎ Update" xr:uid="{B38BEA78-9C81-4AA4-B00B-E887499B6F7D}"/>
    <hyperlink ref="Y25:AA25" location="'M02-S04'!A1" tooltip="Update: Building Information" display=" ✎ Update" xr:uid="{DA88AAD8-68D4-42BF-823E-37ACA0042CE7}"/>
    <hyperlink ref="Y34:AA34" location="'M05-S01'!A1" tooltip="Update: Payment" display=" ✎ Update" xr:uid="{609B4E3E-05F9-459B-843B-53C337F54CC1}"/>
    <hyperlink ref="B202" r:id="rId1" xr:uid="{0202C31A-3508-41A5-80E8-246F6B1D9083}"/>
    <hyperlink ref="J1:M3" location="'M01-S02'!J1" tooltip="Instructions" display="'M01-S02'!J1" xr:uid="{89F04253-FD8C-4D9C-B46F-82816C9C79AD}"/>
    <hyperlink ref="AP1:AS3" location="'M05-S05'!AL1" tooltip=" " display="'M05-S05'!AL1" xr:uid="{3659EC85-579B-42DE-9520-80B167A05087}"/>
    <hyperlink ref="AL1:AO3" location="'M05-S04'!AH1" tooltip=" " display="'M05-S04'!AH1" xr:uid="{CD972D69-A228-4CCC-8110-B4DEC8D97353}"/>
    <hyperlink ref="AT1:AW3" location="'M01-S03'!AP1" tooltip="Contact" display="'M01-S03'!AP1" xr:uid="{1DD73238-6EBC-4AC4-B385-CDA423578D64}"/>
  </hyperlinks>
  <printOptions horizontalCentered="1"/>
  <pageMargins left="0" right="0" top="0" bottom="0" header="0" footer="0"/>
  <pageSetup scale="4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3ECE-503D-4CEB-A448-43C4CEA1E016}">
  <sheetPr codeName="Sheet18">
    <tabColor theme="8" tint="0.59999389629810485"/>
    <pageSetUpPr fitToPage="1"/>
  </sheetPr>
  <dimension ref="A1:AW203"/>
  <sheetViews>
    <sheetView showGridLines="0" showRowColHeaders="0" zoomScale="85" zoomScaleNormal="85" workbookViewId="0">
      <selection activeCell="AJ15" sqref="AJ15:AR17"/>
    </sheetView>
  </sheetViews>
  <sheetFormatPr defaultColWidth="0" defaultRowHeight="15" zeroHeight="1"/>
  <cols>
    <col min="1" max="49" width="4.7109375" customWidth="1"/>
    <col min="50" max="16384" width="4.7109375" hidden="1"/>
  </cols>
  <sheetData>
    <row r="1" spans="1:4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49" ht="15.95" customHeight="1">
      <c r="A4" s="652">
        <f>INCENTOTAL</f>
        <v>0</v>
      </c>
      <c r="B4" s="652"/>
      <c r="C4" s="652"/>
      <c r="D4" s="652"/>
      <c r="E4" s="652"/>
      <c r="F4" s="435"/>
      <c r="G4" s="435"/>
      <c r="H4" s="435"/>
      <c r="I4" s="435"/>
    </row>
    <row r="5" spans="1:49" ht="15.95" customHeight="1">
      <c r="A5" s="653"/>
      <c r="B5" s="653"/>
      <c r="C5" s="653"/>
      <c r="D5" s="653"/>
      <c r="E5" s="653"/>
      <c r="F5" s="428"/>
      <c r="G5" s="428"/>
      <c r="H5" s="428"/>
      <c r="I5" s="428"/>
      <c r="AS5" s="630">
        <f ca="1">PROGRESSSTATUS</f>
        <v>0</v>
      </c>
      <c r="AT5" s="630"/>
      <c r="AU5" s="630"/>
      <c r="AV5" s="630"/>
      <c r="AW5" s="630"/>
    </row>
    <row r="6" spans="1:49" ht="15.95" customHeight="1">
      <c r="A6" s="653"/>
      <c r="B6" s="653"/>
      <c r="C6" s="653"/>
      <c r="D6" s="653"/>
      <c r="E6" s="653"/>
      <c r="F6" s="428"/>
      <c r="G6" s="428"/>
      <c r="H6" s="428"/>
      <c r="I6" s="428"/>
      <c r="L6" s="202"/>
      <c r="AS6" s="630"/>
      <c r="AT6" s="630"/>
      <c r="AU6" s="630"/>
      <c r="AV6" s="630"/>
      <c r="AW6" s="630"/>
    </row>
    <row r="7" spans="1:49" ht="15.95" customHeight="1">
      <c r="A7" s="629" t="s">
        <v>83</v>
      </c>
      <c r="B7" s="629"/>
      <c r="C7" s="629"/>
      <c r="D7" s="629"/>
      <c r="E7" s="629"/>
      <c r="F7" s="85"/>
      <c r="G7" s="85"/>
      <c r="H7" s="85"/>
      <c r="I7" s="85"/>
      <c r="AS7" s="629" t="s">
        <v>299</v>
      </c>
      <c r="AT7" s="629"/>
      <c r="AU7" s="629"/>
      <c r="AV7" s="629"/>
      <c r="AW7" s="629"/>
    </row>
    <row r="8" spans="1:49" ht="15.95" customHeight="1" thickBot="1">
      <c r="A8" s="632"/>
      <c r="B8" s="632"/>
      <c r="C8" s="632"/>
      <c r="D8" s="632"/>
      <c r="E8" s="632"/>
      <c r="F8" s="429"/>
      <c r="G8" s="429"/>
      <c r="H8" s="429"/>
      <c r="I8" s="429"/>
      <c r="AS8" s="1296" t="str">
        <f ca="1">PROJSTATUS</f>
        <v>Enter Measures</v>
      </c>
      <c r="AT8" s="1296"/>
      <c r="AU8" s="1296"/>
      <c r="AV8" s="1296"/>
      <c r="AW8" s="1296"/>
    </row>
    <row r="9" spans="1:49" ht="15.95" customHeight="1">
      <c r="A9" s="631" t="s">
        <v>1434</v>
      </c>
      <c r="B9" s="631"/>
      <c r="C9" s="631"/>
      <c r="D9" s="631"/>
      <c r="E9" s="631"/>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c r="AT9" s="631"/>
      <c r="AU9" s="631"/>
      <c r="AV9" s="631"/>
      <c r="AW9" s="631"/>
    </row>
    <row r="10" spans="1:49" ht="15.95" customHeight="1">
      <c r="A10" s="621"/>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21"/>
      <c r="AO10" s="621"/>
      <c r="AP10" s="621"/>
      <c r="AQ10" s="621"/>
      <c r="AR10" s="621"/>
      <c r="AS10" s="621"/>
      <c r="AT10" s="621"/>
      <c r="AU10" s="621"/>
      <c r="AV10" s="621"/>
      <c r="AW10" s="621"/>
    </row>
    <row r="11" spans="1:49" ht="15.95" customHeight="1">
      <c r="A11" s="106"/>
      <c r="B11" s="106"/>
      <c r="C11" s="106"/>
      <c r="D11" s="106"/>
      <c r="E11" s="106"/>
      <c r="AK11" s="365"/>
      <c r="AL11" s="365"/>
      <c r="AM11" s="365"/>
      <c r="AN11" s="365"/>
      <c r="AO11" s="365"/>
      <c r="AP11" s="365"/>
      <c r="AQ11" s="365"/>
      <c r="AR11" s="365"/>
    </row>
    <row r="12" spans="1:49" ht="15.95" customHeight="1">
      <c r="H12" s="1298" t="s">
        <v>1432</v>
      </c>
      <c r="I12" s="1299"/>
      <c r="J12" s="1299"/>
      <c r="K12" s="1299"/>
      <c r="L12" s="1299"/>
      <c r="M12" s="1299"/>
      <c r="N12" s="1299"/>
      <c r="O12" s="1299"/>
      <c r="P12" s="1299"/>
      <c r="Q12" s="1299"/>
      <c r="R12" s="1299"/>
      <c r="S12" s="1299"/>
      <c r="T12" s="1300"/>
      <c r="U12" s="22"/>
      <c r="V12" s="1301" t="s">
        <v>1433</v>
      </c>
      <c r="W12" s="1302"/>
      <c r="X12" s="1302"/>
      <c r="Y12" s="1302"/>
      <c r="Z12" s="1302"/>
      <c r="AA12" s="1302"/>
      <c r="AB12" s="1302"/>
      <c r="AC12" s="1302"/>
      <c r="AD12" s="1302"/>
      <c r="AE12" s="1302"/>
      <c r="AF12" s="1302"/>
      <c r="AG12" s="1302"/>
      <c r="AH12" s="1303"/>
      <c r="AJ12" s="365"/>
      <c r="AK12" s="365"/>
      <c r="AL12" s="365"/>
      <c r="AM12" s="365"/>
      <c r="AN12" s="365"/>
      <c r="AO12" s="365"/>
      <c r="AP12" s="365"/>
      <c r="AQ12" s="365"/>
      <c r="AR12" s="365"/>
    </row>
    <row r="13" spans="1:49" ht="15.95" customHeight="1">
      <c r="H13" s="166"/>
      <c r="I13" s="22"/>
      <c r="J13" s="22"/>
      <c r="K13" s="22"/>
      <c r="L13" s="22"/>
      <c r="M13" s="22"/>
      <c r="N13" s="22"/>
      <c r="O13" s="22"/>
      <c r="P13" s="22"/>
      <c r="Q13" s="22"/>
      <c r="R13" s="22"/>
      <c r="S13" s="22"/>
      <c r="T13" s="167"/>
      <c r="V13" s="166"/>
      <c r="W13" s="22"/>
      <c r="X13" s="22"/>
      <c r="Y13" s="22"/>
      <c r="Z13" s="22"/>
      <c r="AA13" s="22"/>
      <c r="AB13" s="22"/>
      <c r="AC13" s="22"/>
      <c r="AD13" s="22"/>
      <c r="AE13" s="22"/>
      <c r="AF13" s="22"/>
      <c r="AG13" s="22"/>
      <c r="AH13" s="172"/>
      <c r="AJ13" s="1313" t="s">
        <v>2603</v>
      </c>
      <c r="AK13" s="1313"/>
      <c r="AL13" s="1313"/>
      <c r="AM13" s="1313"/>
      <c r="AN13" s="1313"/>
      <c r="AO13" s="1313"/>
      <c r="AP13" s="1313"/>
      <c r="AQ13" s="1313"/>
      <c r="AR13" s="1313"/>
    </row>
    <row r="14" spans="1:49" ht="15.95" customHeight="1">
      <c r="H14" s="168" t="s">
        <v>1415</v>
      </c>
      <c r="I14" s="22" t="s">
        <v>1416</v>
      </c>
      <c r="J14" s="22"/>
      <c r="K14" s="22"/>
      <c r="L14" s="22"/>
      <c r="M14" s="22"/>
      <c r="N14" s="22"/>
      <c r="O14" s="22"/>
      <c r="P14" s="22"/>
      <c r="Q14" s="22"/>
      <c r="R14" s="22"/>
      <c r="S14" s="22"/>
      <c r="T14" s="167"/>
      <c r="V14" s="168" t="s">
        <v>1415</v>
      </c>
      <c r="W14" s="1292" t="s">
        <v>1785</v>
      </c>
      <c r="X14" s="1292"/>
      <c r="Y14" s="1292"/>
      <c r="Z14" s="1292"/>
      <c r="AA14" s="1292"/>
      <c r="AB14" s="1292"/>
      <c r="AC14" s="1292"/>
      <c r="AD14" s="1292"/>
      <c r="AE14" s="1292"/>
      <c r="AF14" s="1292"/>
      <c r="AG14" s="1292"/>
      <c r="AH14" s="1293"/>
      <c r="AJ14" s="1313"/>
      <c r="AK14" s="1313"/>
      <c r="AL14" s="1313"/>
      <c r="AM14" s="1313"/>
      <c r="AN14" s="1313"/>
      <c r="AO14" s="1313"/>
      <c r="AP14" s="1313"/>
      <c r="AQ14" s="1313"/>
      <c r="AR14" s="1313"/>
    </row>
    <row r="15" spans="1:49" ht="15.95" customHeight="1">
      <c r="H15" s="169"/>
      <c r="Q15" s="22"/>
      <c r="R15" s="22"/>
      <c r="S15" s="22"/>
      <c r="T15" s="167"/>
      <c r="V15" s="168"/>
      <c r="W15" s="1292"/>
      <c r="X15" s="1292"/>
      <c r="Y15" s="1292"/>
      <c r="Z15" s="1292"/>
      <c r="AA15" s="1292"/>
      <c r="AB15" s="1292"/>
      <c r="AC15" s="1292"/>
      <c r="AD15" s="1292"/>
      <c r="AE15" s="1292"/>
      <c r="AF15" s="1292"/>
      <c r="AG15" s="1292"/>
      <c r="AH15" s="1293"/>
      <c r="AJ15" s="1304" t="str" cm="1">
        <f t="array" aca="1" ref="AJ15" ca="1">IF(AND(ACTIVEOFFER &lt;&gt; "Yes", ACTIVECOMPL &lt;&gt; "Yes"), IF(PROJSTATUS = PROJSTATMEASURE, "Enter measure(s) before submitting", IF(PROGRESSSTATUS &gt;= 1, _xlfn.SWITCH(PROJSTATUS, "", HYPERLINK(JotForm_FT, "Submit Completed Project"), PROJSTATPREAPPROVE, HYPERLINK(JotForm_PA, "Submit Project for Pre-Approval"), "Error in application"), "Application is not complete")), "✉  Draft Email")</f>
        <v>Enter measure(s) before submitting</v>
      </c>
      <c r="AK15" s="1305"/>
      <c r="AL15" s="1305"/>
      <c r="AM15" s="1305"/>
      <c r="AN15" s="1305"/>
      <c r="AO15" s="1305"/>
      <c r="AP15" s="1305"/>
      <c r="AQ15" s="1305"/>
      <c r="AR15" s="1306"/>
    </row>
    <row r="16" spans="1:49" ht="15.95" customHeight="1">
      <c r="H16" s="168" t="s">
        <v>1417</v>
      </c>
      <c r="I16" s="22" t="s">
        <v>1418</v>
      </c>
      <c r="J16" s="22"/>
      <c r="K16" s="22"/>
      <c r="L16" s="22"/>
      <c r="M16" s="22"/>
      <c r="N16" s="22"/>
      <c r="O16" s="22"/>
      <c r="P16" s="22"/>
      <c r="Q16" s="22"/>
      <c r="R16" s="22"/>
      <c r="S16" s="22"/>
      <c r="T16" s="167"/>
      <c r="V16" s="166"/>
      <c r="W16" s="1292"/>
      <c r="X16" s="1292"/>
      <c r="Y16" s="1292"/>
      <c r="Z16" s="1292"/>
      <c r="AA16" s="1292"/>
      <c r="AB16" s="1292"/>
      <c r="AC16" s="1292"/>
      <c r="AD16" s="1292"/>
      <c r="AE16" s="1292"/>
      <c r="AF16" s="1292"/>
      <c r="AG16" s="1292"/>
      <c r="AH16" s="1293"/>
      <c r="AJ16" s="1307"/>
      <c r="AK16" s="1308"/>
      <c r="AL16" s="1308"/>
      <c r="AM16" s="1308"/>
      <c r="AN16" s="1308"/>
      <c r="AO16" s="1308"/>
      <c r="AP16" s="1308"/>
      <c r="AQ16" s="1308"/>
      <c r="AR16" s="1309"/>
    </row>
    <row r="17" spans="8:44" ht="15.95" customHeight="1">
      <c r="H17" s="168"/>
      <c r="I17" s="1288" t="s">
        <v>300</v>
      </c>
      <c r="J17" s="1288"/>
      <c r="K17" s="1288"/>
      <c r="L17" s="1288" t="s">
        <v>1419</v>
      </c>
      <c r="M17" s="1288"/>
      <c r="N17" s="1288"/>
      <c r="O17" s="1288"/>
      <c r="P17" s="1288"/>
      <c r="Q17" s="1288"/>
      <c r="R17" s="1288"/>
      <c r="S17" s="1288"/>
      <c r="T17" s="1289"/>
      <c r="U17" s="174"/>
      <c r="V17" s="168" t="s">
        <v>1417</v>
      </c>
      <c r="W17" s="1292" t="s">
        <v>2129</v>
      </c>
      <c r="X17" s="1292"/>
      <c r="Y17" s="1292"/>
      <c r="Z17" s="1292"/>
      <c r="AA17" s="1292"/>
      <c r="AB17" s="1292"/>
      <c r="AC17" s="1292"/>
      <c r="AD17" s="1292"/>
      <c r="AE17" s="1292"/>
      <c r="AF17" s="1292"/>
      <c r="AG17" s="1292"/>
      <c r="AH17" s="1293"/>
      <c r="AJ17" s="1310"/>
      <c r="AK17" s="1311"/>
      <c r="AL17" s="1311"/>
      <c r="AM17" s="1311"/>
      <c r="AN17" s="1311"/>
      <c r="AO17" s="1311"/>
      <c r="AP17" s="1311"/>
      <c r="AQ17" s="1311"/>
      <c r="AR17" s="1312"/>
    </row>
    <row r="18" spans="8:44" ht="15.95" customHeight="1">
      <c r="H18" s="168"/>
      <c r="I18" s="1290" t="s">
        <v>300</v>
      </c>
      <c r="J18" s="1290"/>
      <c r="K18" s="1290"/>
      <c r="L18" s="1290" t="s">
        <v>1420</v>
      </c>
      <c r="M18" s="1290"/>
      <c r="N18" s="1290"/>
      <c r="O18" s="1290"/>
      <c r="P18" s="1290"/>
      <c r="Q18" s="1290"/>
      <c r="R18" s="1290"/>
      <c r="S18" s="1290"/>
      <c r="T18" s="1291"/>
      <c r="V18" s="166"/>
      <c r="W18" s="1292"/>
      <c r="X18" s="1292"/>
      <c r="Y18" s="1292"/>
      <c r="Z18" s="1292"/>
      <c r="AA18" s="1292"/>
      <c r="AB18" s="1292"/>
      <c r="AC18" s="1292"/>
      <c r="AD18" s="1292"/>
      <c r="AE18" s="1292"/>
      <c r="AF18" s="1292"/>
      <c r="AG18" s="1292"/>
      <c r="AH18" s="1293"/>
      <c r="AM18" s="597" t="s">
        <v>227</v>
      </c>
      <c r="AN18" s="597"/>
      <c r="AO18" s="597"/>
    </row>
    <row r="19" spans="8:44" ht="15.95" customHeight="1">
      <c r="H19" s="168"/>
      <c r="I19" s="1290" t="s">
        <v>300</v>
      </c>
      <c r="J19" s="1290"/>
      <c r="K19" s="1290"/>
      <c r="L19" s="1290" t="s">
        <v>2598</v>
      </c>
      <c r="M19" s="1290"/>
      <c r="N19" s="1290"/>
      <c r="O19" s="1290"/>
      <c r="P19" s="1290"/>
      <c r="Q19" s="1290"/>
      <c r="R19" s="1290"/>
      <c r="S19" s="1290"/>
      <c r="T19" s="1291"/>
      <c r="V19" s="166"/>
      <c r="W19" s="1292"/>
      <c r="X19" s="1292"/>
      <c r="Y19" s="1292"/>
      <c r="Z19" s="1292"/>
      <c r="AA19" s="1292"/>
      <c r="AB19" s="1292"/>
      <c r="AC19" s="1292"/>
      <c r="AD19" s="1292"/>
      <c r="AE19" s="1292"/>
      <c r="AF19" s="1292"/>
      <c r="AG19" s="1292"/>
      <c r="AH19" s="1293"/>
      <c r="AM19" s="597"/>
      <c r="AN19" s="597"/>
      <c r="AO19" s="597"/>
    </row>
    <row r="20" spans="8:44" ht="15.95" customHeight="1">
      <c r="H20" s="169"/>
      <c r="I20" s="1290" t="s">
        <v>1421</v>
      </c>
      <c r="J20" s="1290"/>
      <c r="K20" s="1290"/>
      <c r="L20" s="1290" t="s">
        <v>1422</v>
      </c>
      <c r="M20" s="1290"/>
      <c r="N20" s="1290"/>
      <c r="O20" s="1290"/>
      <c r="P20" s="1290"/>
      <c r="Q20" s="1290"/>
      <c r="R20" s="1290"/>
      <c r="S20" s="1290"/>
      <c r="T20" s="1291"/>
      <c r="V20" s="166"/>
      <c r="W20" s="1292"/>
      <c r="X20" s="1292"/>
      <c r="Y20" s="1292"/>
      <c r="Z20" s="1292"/>
      <c r="AA20" s="1292"/>
      <c r="AB20" s="1292"/>
      <c r="AC20" s="1292"/>
      <c r="AD20" s="1292"/>
      <c r="AE20" s="1292"/>
      <c r="AF20" s="1292"/>
      <c r="AG20" s="1292"/>
      <c r="AH20" s="1293"/>
      <c r="AL20" s="1314" t="s">
        <v>2602</v>
      </c>
      <c r="AM20" s="1314"/>
      <c r="AN20" s="1314"/>
      <c r="AO20" s="1314"/>
      <c r="AP20" s="1314"/>
      <c r="AQ20" s="364"/>
      <c r="AR20" s="364"/>
    </row>
    <row r="21" spans="8:44" ht="15.95" customHeight="1">
      <c r="H21" s="169"/>
      <c r="I21" s="1290" t="s">
        <v>1421</v>
      </c>
      <c r="J21" s="1290"/>
      <c r="K21" s="1290"/>
      <c r="L21" s="1290" t="s">
        <v>1423</v>
      </c>
      <c r="M21" s="1290"/>
      <c r="N21" s="1290"/>
      <c r="O21" s="1290"/>
      <c r="P21" s="1290"/>
      <c r="Q21" s="1290"/>
      <c r="R21" s="1290"/>
      <c r="S21" s="1290"/>
      <c r="T21" s="1291"/>
      <c r="V21" s="166"/>
      <c r="W21" s="1292"/>
      <c r="X21" s="1292"/>
      <c r="Y21" s="1292"/>
      <c r="Z21" s="1292"/>
      <c r="AA21" s="1292"/>
      <c r="AB21" s="1292"/>
      <c r="AC21" s="1292"/>
      <c r="AD21" s="1292"/>
      <c r="AE21" s="1292"/>
      <c r="AF21" s="1292"/>
      <c r="AG21" s="1292"/>
      <c r="AH21" s="1293"/>
      <c r="AL21" s="1314"/>
      <c r="AM21" s="1314"/>
      <c r="AN21" s="1314"/>
      <c r="AO21" s="1314"/>
      <c r="AP21" s="1314"/>
      <c r="AQ21" s="364"/>
      <c r="AR21" s="364"/>
    </row>
    <row r="22" spans="8:44" ht="15.95" customHeight="1">
      <c r="H22" s="169"/>
      <c r="I22" s="1290" t="s">
        <v>1421</v>
      </c>
      <c r="J22" s="1290"/>
      <c r="K22" s="1290"/>
      <c r="L22" s="1290" t="s">
        <v>1424</v>
      </c>
      <c r="M22" s="1290"/>
      <c r="N22" s="1290"/>
      <c r="O22" s="1290"/>
      <c r="P22" s="1290"/>
      <c r="Q22" s="1290"/>
      <c r="R22" s="1290"/>
      <c r="S22" s="1290"/>
      <c r="T22" s="1291"/>
      <c r="V22" s="168" t="s">
        <v>1425</v>
      </c>
      <c r="W22" s="1292" t="s">
        <v>1430</v>
      </c>
      <c r="X22" s="1292"/>
      <c r="Y22" s="1292"/>
      <c r="Z22" s="1292"/>
      <c r="AA22" s="1292"/>
      <c r="AB22" s="1292"/>
      <c r="AC22" s="1292"/>
      <c r="AD22" s="1292"/>
      <c r="AE22" s="1292"/>
      <c r="AF22" s="1292"/>
      <c r="AG22" s="1292"/>
      <c r="AH22" s="1293"/>
      <c r="AJ22" s="364"/>
      <c r="AK22" s="364"/>
      <c r="AL22" s="364"/>
      <c r="AM22" s="364"/>
      <c r="AN22" s="364"/>
      <c r="AO22" s="364"/>
      <c r="AP22" s="364"/>
      <c r="AQ22" s="364"/>
      <c r="AR22" s="364"/>
    </row>
    <row r="23" spans="8:44" ht="15.95" customHeight="1">
      <c r="H23" s="166"/>
      <c r="T23" s="167"/>
      <c r="V23" s="166"/>
      <c r="W23" s="1292"/>
      <c r="X23" s="1292"/>
      <c r="Y23" s="1292"/>
      <c r="Z23" s="1292"/>
      <c r="AA23" s="1292"/>
      <c r="AB23" s="1292"/>
      <c r="AC23" s="1292"/>
      <c r="AD23" s="1292"/>
      <c r="AE23" s="1292"/>
      <c r="AF23" s="1292"/>
      <c r="AG23" s="1292"/>
      <c r="AH23" s="1293"/>
      <c r="AJ23" s="1297" t="s">
        <v>2605</v>
      </c>
      <c r="AK23" s="1297"/>
      <c r="AL23" s="1297"/>
      <c r="AM23" s="1297"/>
      <c r="AN23" s="1297"/>
      <c r="AO23" s="1297"/>
      <c r="AP23" s="1297"/>
      <c r="AQ23" s="1297"/>
      <c r="AR23" s="1297"/>
    </row>
    <row r="24" spans="8:44" ht="15.95" customHeight="1">
      <c r="H24" s="168" t="s">
        <v>1425</v>
      </c>
      <c r="I24" s="1292" t="s">
        <v>1426</v>
      </c>
      <c r="J24" s="1292"/>
      <c r="K24" s="1292"/>
      <c r="L24" s="1292"/>
      <c r="M24" s="1292"/>
      <c r="N24" s="1292"/>
      <c r="O24" s="1292"/>
      <c r="P24" s="1292"/>
      <c r="Q24" s="1292"/>
      <c r="R24" s="1292"/>
      <c r="S24" s="1292"/>
      <c r="T24" s="1293"/>
      <c r="V24" s="168"/>
      <c r="W24" s="1292"/>
      <c r="X24" s="1292"/>
      <c r="Y24" s="1292"/>
      <c r="Z24" s="1292"/>
      <c r="AA24" s="1292"/>
      <c r="AB24" s="1292"/>
      <c r="AC24" s="1292"/>
      <c r="AD24" s="1292"/>
      <c r="AE24" s="1292"/>
      <c r="AF24" s="1292"/>
      <c r="AG24" s="1292"/>
      <c r="AH24" s="1293"/>
      <c r="AJ24" s="1297"/>
      <c r="AK24" s="1297"/>
      <c r="AL24" s="1297"/>
      <c r="AM24" s="1297"/>
      <c r="AN24" s="1297"/>
      <c r="AO24" s="1297"/>
      <c r="AP24" s="1297"/>
      <c r="AQ24" s="1297"/>
      <c r="AR24" s="1297"/>
    </row>
    <row r="25" spans="8:44" ht="15.95" customHeight="1">
      <c r="H25" s="166"/>
      <c r="I25" s="1292"/>
      <c r="J25" s="1292"/>
      <c r="K25" s="1292"/>
      <c r="L25" s="1292"/>
      <c r="M25" s="1292"/>
      <c r="N25" s="1292"/>
      <c r="O25" s="1292"/>
      <c r="P25" s="1292"/>
      <c r="Q25" s="1292"/>
      <c r="R25" s="1292"/>
      <c r="S25" s="1292"/>
      <c r="T25" s="1293"/>
      <c r="V25" s="166"/>
      <c r="W25" s="1292"/>
      <c r="X25" s="1292"/>
      <c r="Y25" s="1292"/>
      <c r="Z25" s="1292"/>
      <c r="AA25" s="1292"/>
      <c r="AB25" s="1292"/>
      <c r="AC25" s="1292"/>
      <c r="AD25" s="1292"/>
      <c r="AE25" s="1292"/>
      <c r="AF25" s="1292"/>
      <c r="AG25" s="1292"/>
      <c r="AH25" s="1293"/>
      <c r="AJ25" s="1297"/>
      <c r="AK25" s="1297"/>
      <c r="AL25" s="1297"/>
      <c r="AM25" s="1297"/>
      <c r="AN25" s="1297"/>
      <c r="AO25" s="1297"/>
      <c r="AP25" s="1297"/>
      <c r="AQ25" s="1297"/>
      <c r="AR25" s="1297"/>
    </row>
    <row r="26" spans="8:44" ht="15.95" customHeight="1">
      <c r="H26" s="168"/>
      <c r="J26" s="22"/>
      <c r="K26" s="22"/>
      <c r="L26" s="22"/>
      <c r="M26" s="22"/>
      <c r="N26" s="22"/>
      <c r="O26" s="22"/>
      <c r="P26" s="22"/>
      <c r="Q26" s="22"/>
      <c r="R26" s="22"/>
      <c r="S26" s="22"/>
      <c r="T26" s="167"/>
      <c r="V26" s="166"/>
      <c r="W26" s="1292"/>
      <c r="X26" s="1292"/>
      <c r="Y26" s="1292"/>
      <c r="Z26" s="1292"/>
      <c r="AA26" s="1292"/>
      <c r="AB26" s="1292"/>
      <c r="AC26" s="1292"/>
      <c r="AD26" s="1292"/>
      <c r="AE26" s="1292"/>
      <c r="AF26" s="1292"/>
      <c r="AG26" s="1292"/>
      <c r="AH26" s="1293"/>
      <c r="AJ26" s="255"/>
      <c r="AK26" s="255"/>
      <c r="AL26" s="255"/>
      <c r="AM26" s="255"/>
      <c r="AN26" s="255"/>
      <c r="AO26" s="255"/>
      <c r="AP26" s="255"/>
      <c r="AQ26" s="255"/>
      <c r="AR26" s="255"/>
    </row>
    <row r="27" spans="8:44" ht="15.95" customHeight="1">
      <c r="H27" s="168"/>
      <c r="T27" s="167"/>
      <c r="V27" s="168" t="s">
        <v>1427</v>
      </c>
      <c r="W27" s="1292" t="s">
        <v>1431</v>
      </c>
      <c r="X27" s="1292"/>
      <c r="Y27" s="1292"/>
      <c r="Z27" s="1292"/>
      <c r="AA27" s="1292"/>
      <c r="AB27" s="1292"/>
      <c r="AC27" s="1292"/>
      <c r="AD27" s="1292"/>
      <c r="AE27" s="1292"/>
      <c r="AF27" s="1292"/>
      <c r="AG27" s="1292"/>
      <c r="AH27" s="1293"/>
    </row>
    <row r="28" spans="8:44" ht="15.95" customHeight="1">
      <c r="H28" s="166"/>
      <c r="T28" s="167"/>
      <c r="V28" s="166"/>
      <c r="W28" s="1292"/>
      <c r="X28" s="1292"/>
      <c r="Y28" s="1292"/>
      <c r="Z28" s="1292"/>
      <c r="AA28" s="1292"/>
      <c r="AB28" s="1292"/>
      <c r="AC28" s="1292"/>
      <c r="AD28" s="1292"/>
      <c r="AE28" s="1292"/>
      <c r="AF28" s="1292"/>
      <c r="AG28" s="1292"/>
      <c r="AH28" s="1293"/>
    </row>
    <row r="29" spans="8:44" ht="15.95" customHeight="1">
      <c r="H29" s="166"/>
      <c r="T29" s="167"/>
      <c r="V29" s="166"/>
      <c r="W29" s="1292"/>
      <c r="X29" s="1292"/>
      <c r="Y29" s="1292"/>
      <c r="Z29" s="1292"/>
      <c r="AA29" s="1292"/>
      <c r="AB29" s="1292"/>
      <c r="AC29" s="1292"/>
      <c r="AD29" s="1292"/>
      <c r="AE29" s="1292"/>
      <c r="AF29" s="1292"/>
      <c r="AG29" s="1292"/>
      <c r="AH29" s="1293"/>
    </row>
    <row r="30" spans="8:44" ht="15.95" customHeight="1">
      <c r="H30" s="166"/>
      <c r="T30" s="167"/>
      <c r="V30" s="166"/>
      <c r="W30" s="1292"/>
      <c r="X30" s="1292"/>
      <c r="Y30" s="1292"/>
      <c r="Z30" s="1292"/>
      <c r="AA30" s="1292"/>
      <c r="AB30" s="1292"/>
      <c r="AC30" s="1292"/>
      <c r="AD30" s="1292"/>
      <c r="AE30" s="1292"/>
      <c r="AF30" s="1292"/>
      <c r="AG30" s="1292"/>
      <c r="AH30" s="1293"/>
    </row>
    <row r="31" spans="8:44" ht="15.95" customHeight="1">
      <c r="H31" s="169"/>
      <c r="T31" s="172"/>
      <c r="V31" s="169"/>
      <c r="W31" s="1292"/>
      <c r="X31" s="1292"/>
      <c r="Y31" s="1292"/>
      <c r="Z31" s="1292"/>
      <c r="AA31" s="1292"/>
      <c r="AB31" s="1292"/>
      <c r="AC31" s="1292"/>
      <c r="AD31" s="1292"/>
      <c r="AE31" s="1292"/>
      <c r="AF31" s="1292"/>
      <c r="AG31" s="1292"/>
      <c r="AH31" s="1293"/>
    </row>
    <row r="32" spans="8:44" ht="15.95" customHeight="1">
      <c r="H32" s="170"/>
      <c r="I32" s="295"/>
      <c r="J32" s="295"/>
      <c r="K32" s="295"/>
      <c r="L32" s="295"/>
      <c r="M32" s="295"/>
      <c r="N32" s="295"/>
      <c r="O32" s="295"/>
      <c r="P32" s="295"/>
      <c r="Q32" s="295"/>
      <c r="R32" s="295"/>
      <c r="S32" s="295"/>
      <c r="T32" s="171"/>
      <c r="V32" s="173"/>
      <c r="W32" s="1294"/>
      <c r="X32" s="1294"/>
      <c r="Y32" s="1294"/>
      <c r="Z32" s="1294"/>
      <c r="AA32" s="1294"/>
      <c r="AB32" s="1294"/>
      <c r="AC32" s="1294"/>
      <c r="AD32" s="1294"/>
      <c r="AE32" s="1294"/>
      <c r="AF32" s="1294"/>
      <c r="AG32" s="1294"/>
      <c r="AH32" s="1295"/>
    </row>
    <row r="33" spans="10:45" ht="15.95" customHeight="1"/>
    <row r="34" spans="10:45" ht="15.95" hidden="1" customHeight="1"/>
    <row r="35" spans="10:45" ht="15.95" hidden="1" customHeight="1"/>
    <row r="36" spans="10:45" ht="15.95" hidden="1" customHeight="1">
      <c r="AD36" s="22"/>
      <c r="AE36" s="22"/>
      <c r="AF36" s="22"/>
      <c r="AG36" s="22"/>
      <c r="AQ36" s="22"/>
      <c r="AR36" s="22"/>
      <c r="AS36" s="22"/>
    </row>
    <row r="37" spans="10:45" ht="15.95" hidden="1" customHeight="1">
      <c r="AD37" s="22"/>
      <c r="AE37" s="22"/>
      <c r="AF37" s="22"/>
      <c r="AG37" s="22"/>
      <c r="AH37" s="22"/>
      <c r="AI37" s="22"/>
      <c r="AJ37" s="22"/>
      <c r="AK37" s="22"/>
      <c r="AL37" s="22"/>
      <c r="AM37" s="22"/>
      <c r="AN37" s="22"/>
      <c r="AO37" s="22"/>
      <c r="AP37" s="22"/>
      <c r="AQ37" s="22"/>
      <c r="AR37" s="22"/>
      <c r="AS37" s="22"/>
    </row>
    <row r="38" spans="10:45" ht="15.95" hidden="1" customHeight="1">
      <c r="J38" s="93"/>
      <c r="K38" s="93"/>
      <c r="L38" s="93"/>
      <c r="M38" s="93"/>
      <c r="N38" s="93"/>
      <c r="O38" s="93"/>
      <c r="P38" s="93"/>
      <c r="Q38" s="93"/>
      <c r="R38" s="93"/>
      <c r="S38" s="93"/>
      <c r="T38" s="93"/>
      <c r="U38" s="93"/>
      <c r="V38" s="93"/>
      <c r="W38" s="93"/>
      <c r="X38" s="93"/>
      <c r="Y38" s="93"/>
      <c r="Z38" s="93"/>
      <c r="AA38" s="93"/>
      <c r="AB38" s="93"/>
      <c r="AC38" s="93"/>
      <c r="AD38" s="22"/>
      <c r="AE38" s="22"/>
      <c r="AF38" s="22"/>
      <c r="AG38" s="22"/>
      <c r="AH38" s="22"/>
      <c r="AI38" s="22"/>
      <c r="AJ38" s="22"/>
      <c r="AK38" s="22"/>
      <c r="AL38" s="22"/>
      <c r="AM38" s="22"/>
      <c r="AN38" s="22"/>
      <c r="AO38" s="22"/>
      <c r="AP38" s="22"/>
      <c r="AQ38" s="22"/>
      <c r="AR38" s="22"/>
      <c r="AS38" s="22"/>
    </row>
    <row r="39" spans="10:45" ht="15.95" hidden="1" customHeight="1">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row>
    <row r="40" spans="10:45" ht="15.95" hidden="1" customHeight="1">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row>
    <row r="41" spans="10:45" ht="15.95" hidden="1" customHeight="1">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row>
    <row r="42" spans="10:45" ht="15.95" hidden="1" customHeight="1">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row>
    <row r="43" spans="10:45" ht="15.95" hidden="1" customHeight="1">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row>
    <row r="44" spans="10:45" ht="15.95" hidden="1" customHeight="1">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row>
    <row r="45" spans="10:45" ht="15.95" hidden="1" customHeight="1">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row>
    <row r="46" spans="10:45" ht="15.95" hidden="1" customHeight="1">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row>
    <row r="47" spans="10:45" ht="15.95" hidden="1" customHeight="1">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row>
    <row r="48" spans="10:45" ht="15.95" hidden="1" customHeight="1">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row>
    <row r="49" spans="10:45" ht="15.95" hidden="1" customHeight="1">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row>
    <row r="50" spans="10:45" ht="15.95" hidden="1" customHeight="1">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row>
    <row r="51" spans="10:45" ht="15.95" hidden="1" customHeight="1">
      <c r="AD51" s="22"/>
      <c r="AE51" s="22"/>
      <c r="AF51" s="22"/>
      <c r="AG51" s="22"/>
      <c r="AH51" s="22"/>
      <c r="AI51" s="22"/>
      <c r="AJ51" s="22"/>
      <c r="AK51" s="22"/>
      <c r="AL51" s="22"/>
      <c r="AM51" s="22"/>
      <c r="AN51" s="22"/>
      <c r="AO51" s="22"/>
      <c r="AP51" s="22"/>
      <c r="AQ51" s="22"/>
      <c r="AR51" s="22"/>
      <c r="AS51" s="22"/>
    </row>
    <row r="52" spans="10:45" ht="15.95" hidden="1" customHeight="1">
      <c r="AD52" s="22"/>
    </row>
    <row r="53" spans="10:45" ht="15.95" hidden="1" customHeight="1">
      <c r="AD53" s="22"/>
    </row>
    <row r="54" spans="10:45" ht="15.95" hidden="1" customHeight="1">
      <c r="AD54" s="22"/>
    </row>
    <row r="55" spans="10:45" ht="15.95" hidden="1" customHeight="1"/>
    <row r="56" spans="10:45" ht="15.95" hidden="1" customHeight="1"/>
    <row r="57" spans="10:45" ht="15.95" hidden="1" customHeight="1"/>
    <row r="58" spans="10:45" ht="15.95" hidden="1" customHeight="1"/>
    <row r="59" spans="10:45" ht="15.95" hidden="1" customHeight="1"/>
    <row r="60" spans="10:45" ht="15.95" hidden="1" customHeight="1"/>
    <row r="61" spans="10:45" ht="15.95" hidden="1" customHeight="1"/>
    <row r="62" spans="10:45" ht="15.95" hidden="1" customHeight="1"/>
    <row r="63" spans="10:45" ht="15.95" hidden="1" customHeight="1"/>
    <row r="64" spans="10: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49" ht="15.95" hidden="1" customHeight="1"/>
  </sheetData>
  <sheetProtection algorithmName="SHA-512" hashValue="hBush/C0uwaB/Xj+2z1rT80GBkKJgTg9p0mn4O9doNENTN5m+XoBexAI6ZwvtvEPuhbBI6HGNrWWnlI5tIuhwg==" saltValue="96BN3hq6Ya+y6wd1cxyOjA==" spinCount="100000" sheet="1" objects="1" scenarios="1" selectLockedCells="1"/>
  <mergeCells count="37">
    <mergeCell ref="AJ23:AR25"/>
    <mergeCell ref="H12:T12"/>
    <mergeCell ref="V12:AH12"/>
    <mergeCell ref="W14:AH16"/>
    <mergeCell ref="W22:AH26"/>
    <mergeCell ref="AJ15:AR17"/>
    <mergeCell ref="AJ13:AR14"/>
    <mergeCell ref="AM18:AO19"/>
    <mergeCell ref="AL20:AP21"/>
    <mergeCell ref="A9:AW10"/>
    <mergeCell ref="AS5:AW6"/>
    <mergeCell ref="AS7:AW7"/>
    <mergeCell ref="AS8:AW8"/>
    <mergeCell ref="A4:E6"/>
    <mergeCell ref="A7:E8"/>
    <mergeCell ref="O200:AI201"/>
    <mergeCell ref="I17:K17"/>
    <mergeCell ref="L17:T17"/>
    <mergeCell ref="I18:K18"/>
    <mergeCell ref="L18:T18"/>
    <mergeCell ref="I19:K19"/>
    <mergeCell ref="L19:T19"/>
    <mergeCell ref="I20:K20"/>
    <mergeCell ref="L20:T20"/>
    <mergeCell ref="I21:K21"/>
    <mergeCell ref="I24:T25"/>
    <mergeCell ref="I22:K22"/>
    <mergeCell ref="L22:T22"/>
    <mergeCell ref="L21:T21"/>
    <mergeCell ref="W27:AH32"/>
    <mergeCell ref="W17:AH21"/>
    <mergeCell ref="AT1:AW3"/>
    <mergeCell ref="F1:I3"/>
    <mergeCell ref="J1:M3"/>
    <mergeCell ref="Q1:AG3"/>
    <mergeCell ref="AL1:AO3"/>
    <mergeCell ref="AP1:AS3"/>
  </mergeCells>
  <conditionalFormatting sqref="I17">
    <cfRule type="expression" dxfId="37" priority="3">
      <formula>IF(AND(INCENTOTALPRESE&gt;0,INCENTOTALPRESE&lt;=10000,INCENTOTALCUSE=0),FALSE,TRUE)</formula>
    </cfRule>
  </conditionalFormatting>
  <conditionalFormatting sqref="L17:T17">
    <cfRule type="expression" dxfId="36" priority="5">
      <formula>IF(AND(INCENTOTALPRESE&gt;0,INCENTOTALPRESE&lt;10000,INCENTOTALCUSE=0),FALSE,TRUE)</formula>
    </cfRule>
  </conditionalFormatting>
  <conditionalFormatting sqref="AJ13:AR17 AL18:AP19">
    <cfRule type="expression" dxfId="35" priority="1">
      <formula>OR(ACTIVEOFFER= "Yes", ACTIVECOMPL = "Yes")</formula>
    </cfRule>
  </conditionalFormatting>
  <conditionalFormatting sqref="AS8:AW8">
    <cfRule type="expression" dxfId="34" priority="4">
      <formula>IF($AS$8=PROJSTATMEASURE,FALSE,TRUE)</formula>
    </cfRule>
  </conditionalFormatting>
  <hyperlinks>
    <hyperlink ref="B202" r:id="rId1" xr:uid="{8555F273-FA4E-4F67-B35D-FDEC1FDBA525}"/>
    <hyperlink ref="AL20:AP21" r:id="rId2" display="✉  Draft Email" xr:uid="{04175097-7BEE-44CA-A7E2-FBAD363934C7}"/>
    <hyperlink ref="J1:M3" location="'M01-S02'!J1" tooltip="Instructions" display="'M01-S02'!J1" xr:uid="{E6B2207D-CD72-4F80-98A7-E034DA6E0F62}"/>
    <hyperlink ref="AP1:AS3" location="'M05-S05'!AL1" tooltip=" " display="'M05-S05'!AL1" xr:uid="{DD6D1DE4-5794-4F32-8DC3-497911A23862}"/>
    <hyperlink ref="AL1:AO3" location="'M05-S04'!AH1" tooltip=" " display="'M05-S04'!AH1" xr:uid="{714C0594-20D1-455C-A20B-187D400A602A}"/>
    <hyperlink ref="AT1:AW3" location="'M01-S03'!AP1" tooltip="Contact" display="'M01-S03'!AP1" xr:uid="{B1D480FC-9835-49A0-B0CE-F8FCB2934C21}"/>
  </hyperlinks>
  <printOptions horizontalCentered="1"/>
  <pageMargins left="0" right="0" top="0" bottom="0" header="0" footer="0"/>
  <pageSetup scale="49" orientation="portrait"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theme="8" tint="0.59999389629810485"/>
    <pageSetUpPr fitToPage="1"/>
  </sheetPr>
  <dimension ref="A1:BA202"/>
  <sheetViews>
    <sheetView showGridLines="0" showRowColHeaders="0" zoomScale="85" zoomScaleNormal="85" workbookViewId="0"/>
  </sheetViews>
  <sheetFormatPr defaultColWidth="0" defaultRowHeight="0" customHeight="1" zeroHeight="1"/>
  <cols>
    <col min="1" max="49" width="4.7109375" customWidth="1"/>
    <col min="50" max="53" width="8.85546875" hidden="1"/>
    <col min="54" max="16384" width="4.7109375" hidden="1"/>
  </cols>
  <sheetData>
    <row r="1" spans="1:4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49" ht="15.95" customHeight="1">
      <c r="A4" s="652">
        <f>INCENTOTAL</f>
        <v>0</v>
      </c>
      <c r="B4" s="652"/>
      <c r="C4" s="652"/>
      <c r="D4" s="652"/>
      <c r="E4" s="652"/>
      <c r="F4" s="435"/>
      <c r="G4" s="435"/>
      <c r="H4" s="435"/>
      <c r="I4" s="435"/>
    </row>
    <row r="5" spans="1:49" ht="15.95" customHeight="1">
      <c r="A5" s="653"/>
      <c r="B5" s="653"/>
      <c r="C5" s="653"/>
      <c r="D5" s="653"/>
      <c r="E5" s="653"/>
      <c r="F5" s="428"/>
      <c r="G5" s="428"/>
      <c r="H5" s="428"/>
      <c r="I5" s="428"/>
      <c r="AS5" s="630">
        <f ca="1">PROGRESSSTATUS</f>
        <v>0</v>
      </c>
      <c r="AT5" s="630"/>
      <c r="AU5" s="630"/>
      <c r="AV5" s="630"/>
      <c r="AW5" s="630"/>
    </row>
    <row r="6" spans="1:49" ht="15.95" customHeight="1">
      <c r="A6" s="653"/>
      <c r="B6" s="653"/>
      <c r="C6" s="653"/>
      <c r="D6" s="653"/>
      <c r="E6" s="653"/>
      <c r="F6" s="428"/>
      <c r="G6" s="428"/>
      <c r="H6" s="428"/>
      <c r="I6" s="428"/>
      <c r="AS6" s="630"/>
      <c r="AT6" s="630"/>
      <c r="AU6" s="630"/>
      <c r="AV6" s="630"/>
      <c r="AW6" s="630"/>
    </row>
    <row r="7" spans="1:49" ht="15.95" customHeight="1">
      <c r="A7" s="629" t="s">
        <v>83</v>
      </c>
      <c r="B7" s="629"/>
      <c r="C7" s="629"/>
      <c r="D7" s="629"/>
      <c r="E7" s="629"/>
      <c r="F7" s="85"/>
      <c r="G7" s="85"/>
      <c r="H7" s="85"/>
      <c r="I7" s="85"/>
      <c r="AS7" s="629" t="s">
        <v>299</v>
      </c>
      <c r="AT7" s="629"/>
      <c r="AU7" s="629"/>
      <c r="AV7" s="629"/>
      <c r="AW7" s="629"/>
    </row>
    <row r="8" spans="1:49" ht="15.95" customHeight="1" thickBot="1">
      <c r="A8" s="632"/>
      <c r="B8" s="632"/>
      <c r="C8" s="632"/>
      <c r="D8" s="632"/>
      <c r="E8" s="632"/>
      <c r="F8" s="429"/>
      <c r="G8" s="429"/>
      <c r="H8" s="429"/>
      <c r="I8" s="429"/>
      <c r="AS8" s="628" t="str">
        <f ca="1">PROJSTATUS</f>
        <v>Enter Measures</v>
      </c>
      <c r="AT8" s="628"/>
      <c r="AU8" s="628"/>
      <c r="AV8" s="628"/>
      <c r="AW8" s="628"/>
    </row>
    <row r="9" spans="1:49" ht="15.95" customHeight="1">
      <c r="A9" s="631" t="str">
        <f>M5S3</f>
        <v>Project Summary</v>
      </c>
      <c r="B9" s="631"/>
      <c r="C9" s="631"/>
      <c r="D9" s="631"/>
      <c r="E9" s="631"/>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c r="AT9" s="631"/>
      <c r="AU9" s="631"/>
      <c r="AV9" s="631"/>
      <c r="AW9" s="631"/>
    </row>
    <row r="10" spans="1:49" ht="15.95" customHeight="1">
      <c r="A10" s="621"/>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21"/>
      <c r="AO10" s="621"/>
      <c r="AP10" s="621"/>
      <c r="AQ10" s="621"/>
      <c r="AR10" s="621"/>
      <c r="AS10" s="621"/>
      <c r="AT10" s="621"/>
      <c r="AU10" s="621"/>
      <c r="AV10" s="621"/>
      <c r="AW10" s="621"/>
    </row>
    <row r="11" spans="1:49" ht="15.95" customHeight="1">
      <c r="A11" s="106"/>
      <c r="B11" s="106"/>
      <c r="C11" s="106"/>
      <c r="D11" s="106"/>
      <c r="E11" s="106"/>
      <c r="F11" s="106"/>
      <c r="G11" s="106"/>
      <c r="H11" s="106"/>
      <c r="I11" s="106"/>
      <c r="J11" s="106"/>
      <c r="L11" s="1353" t="s">
        <v>2222</v>
      </c>
      <c r="M11" s="1353"/>
      <c r="N11" s="1353"/>
      <c r="O11" s="1353"/>
      <c r="P11" s="1353"/>
      <c r="Q11" s="1353"/>
      <c r="R11" s="1353"/>
      <c r="S11" s="1350" t="s">
        <v>2223</v>
      </c>
      <c r="T11" s="1350"/>
      <c r="U11" s="1350"/>
      <c r="V11" s="1350"/>
      <c r="W11" s="1350"/>
      <c r="X11" s="1350"/>
      <c r="Y11" s="1350"/>
      <c r="Z11" s="1350"/>
      <c r="AA11" s="1350"/>
      <c r="AB11" s="1350"/>
      <c r="AC11" s="1350"/>
      <c r="AD11" s="1350"/>
      <c r="AE11" s="1350"/>
      <c r="AF11" s="1350"/>
      <c r="AG11" s="1350"/>
      <c r="AH11" s="1350"/>
      <c r="AI11" s="1350"/>
      <c r="AJ11" s="1350"/>
      <c r="AK11" s="1350"/>
      <c r="AL11" s="1350"/>
      <c r="AM11" s="296"/>
      <c r="AN11" s="106"/>
      <c r="AO11" s="221"/>
      <c r="AP11" s="221"/>
      <c r="AQ11" s="221"/>
      <c r="AR11" s="221"/>
    </row>
    <row r="12" spans="1:49" ht="15.95" customHeight="1">
      <c r="L12" s="1353"/>
      <c r="M12" s="1353"/>
      <c r="N12" s="1353"/>
      <c r="O12" s="1353"/>
      <c r="P12" s="1353"/>
      <c r="Q12" s="1353"/>
      <c r="R12" s="1353"/>
      <c r="S12" s="1350"/>
      <c r="T12" s="1350"/>
      <c r="U12" s="1350"/>
      <c r="V12" s="1350"/>
      <c r="W12" s="1350"/>
      <c r="X12" s="1350"/>
      <c r="Y12" s="1350"/>
      <c r="Z12" s="1350"/>
      <c r="AA12" s="1350"/>
      <c r="AB12" s="1350"/>
      <c r="AC12" s="1350"/>
      <c r="AD12" s="1350"/>
      <c r="AE12" s="1350"/>
      <c r="AF12" s="1350"/>
      <c r="AG12" s="1350"/>
      <c r="AH12" s="1350"/>
      <c r="AI12" s="1350"/>
      <c r="AJ12" s="1350"/>
      <c r="AK12" s="1350"/>
      <c r="AL12" s="1350"/>
      <c r="AM12" s="296"/>
      <c r="AN12" s="184"/>
      <c r="AO12" s="221"/>
      <c r="AP12" s="221"/>
      <c r="AQ12" s="221"/>
      <c r="AR12" s="221"/>
      <c r="AS12" s="22"/>
    </row>
    <row r="13" spans="1:49" ht="15.95" customHeight="1">
      <c r="L13" s="1353"/>
      <c r="M13" s="1353"/>
      <c r="N13" s="1353"/>
      <c r="O13" s="1353"/>
      <c r="P13" s="1353"/>
      <c r="Q13" s="1353"/>
      <c r="R13" s="1353"/>
      <c r="S13" s="1350"/>
      <c r="T13" s="1350"/>
      <c r="U13" s="1350"/>
      <c r="V13" s="1350"/>
      <c r="W13" s="1350"/>
      <c r="X13" s="1350"/>
      <c r="Y13" s="1350"/>
      <c r="Z13" s="1350"/>
      <c r="AA13" s="1350"/>
      <c r="AB13" s="1350"/>
      <c r="AC13" s="1350"/>
      <c r="AD13" s="1350"/>
      <c r="AE13" s="1350"/>
      <c r="AF13" s="1350"/>
      <c r="AG13" s="1350"/>
      <c r="AH13" s="1350"/>
      <c r="AI13" s="1350"/>
      <c r="AJ13" s="1350"/>
      <c r="AK13" s="1350"/>
      <c r="AL13" s="1350"/>
      <c r="AM13" s="296"/>
      <c r="AN13" s="184"/>
      <c r="AO13" s="290"/>
      <c r="AP13" s="290"/>
      <c r="AQ13" s="290"/>
      <c r="AR13" s="290"/>
      <c r="AS13" s="22"/>
    </row>
    <row r="14" spans="1:49" ht="15.95" customHeight="1">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row>
    <row r="15" spans="1:49" ht="15.95" customHeight="1">
      <c r="K15" s="50"/>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51"/>
      <c r="AV15" s="22"/>
    </row>
    <row r="16" spans="1:49" ht="15.95" customHeight="1">
      <c r="K16" s="33"/>
      <c r="L16" s="1347" t="s">
        <v>1723</v>
      </c>
      <c r="M16" s="1347"/>
      <c r="N16" s="1347"/>
      <c r="O16" s="1347"/>
      <c r="P16" s="1347"/>
      <c r="Q16" s="1347"/>
      <c r="R16" s="1347"/>
      <c r="S16" s="1347"/>
      <c r="T16" s="1347"/>
      <c r="U16" s="1347"/>
      <c r="V16" s="1347"/>
      <c r="W16" s="1347"/>
      <c r="X16" s="1347"/>
      <c r="Y16" s="1347"/>
      <c r="Z16" s="1347"/>
      <c r="AA16" s="1347"/>
      <c r="AB16" s="1347"/>
      <c r="AC16" s="1347"/>
      <c r="AD16" s="1347"/>
      <c r="AE16" s="236"/>
      <c r="AF16" s="237"/>
      <c r="AG16" s="237"/>
      <c r="AH16" s="238"/>
      <c r="AI16" s="238"/>
      <c r="AJ16" s="238"/>
      <c r="AK16" s="238"/>
      <c r="AL16" s="239"/>
      <c r="AM16" s="61"/>
      <c r="AN16" s="59"/>
      <c r="AV16" s="22"/>
    </row>
    <row r="17" spans="2:48" ht="15.95" customHeight="1">
      <c r="B17" s="22"/>
      <c r="C17" s="22"/>
      <c r="D17" s="22"/>
      <c r="E17" s="22"/>
      <c r="F17" s="22"/>
      <c r="K17" s="33"/>
      <c r="L17" s="1347"/>
      <c r="M17" s="1347"/>
      <c r="N17" s="1347"/>
      <c r="O17" s="1347"/>
      <c r="P17" s="1347"/>
      <c r="Q17" s="1347"/>
      <c r="R17" s="1347"/>
      <c r="S17" s="1347"/>
      <c r="T17" s="1347"/>
      <c r="U17" s="1347"/>
      <c r="V17" s="1347"/>
      <c r="W17" s="1347"/>
      <c r="X17" s="1347"/>
      <c r="Y17" s="1347"/>
      <c r="Z17" s="1347"/>
      <c r="AA17" s="1347"/>
      <c r="AB17" s="1347"/>
      <c r="AC17" s="1347"/>
      <c r="AD17" s="1347"/>
      <c r="AE17" s="240"/>
      <c r="AF17" s="304"/>
      <c r="AG17" s="304"/>
      <c r="AH17" s="305"/>
      <c r="AI17" s="305"/>
      <c r="AJ17" s="305"/>
      <c r="AK17" s="305"/>
      <c r="AL17" s="241"/>
      <c r="AM17" s="61"/>
      <c r="AN17" s="59"/>
    </row>
    <row r="18" spans="2:48" ht="15.95" customHeight="1">
      <c r="B18" s="22"/>
      <c r="C18" s="22"/>
      <c r="D18" s="22"/>
      <c r="E18" s="22"/>
      <c r="F18" s="22"/>
      <c r="K18" s="33"/>
      <c r="L18" s="1347"/>
      <c r="M18" s="1347"/>
      <c r="N18" s="1347"/>
      <c r="O18" s="1347"/>
      <c r="P18" s="1347"/>
      <c r="Q18" s="1347"/>
      <c r="R18" s="1347"/>
      <c r="S18" s="1347"/>
      <c r="T18" s="1347"/>
      <c r="U18" s="1347"/>
      <c r="V18" s="1347"/>
      <c r="W18" s="1347"/>
      <c r="X18" s="1347"/>
      <c r="Y18" s="1347"/>
      <c r="Z18" s="1347"/>
      <c r="AA18" s="1347"/>
      <c r="AB18" s="1347"/>
      <c r="AC18" s="1347"/>
      <c r="AD18" s="1347"/>
      <c r="AE18" s="240"/>
      <c r="AF18" s="304"/>
      <c r="AG18" s="304"/>
      <c r="AH18" s="305"/>
      <c r="AI18" s="305"/>
      <c r="AJ18" s="305"/>
      <c r="AK18" s="305"/>
      <c r="AL18" s="241"/>
      <c r="AM18" s="61"/>
      <c r="AN18" s="59"/>
    </row>
    <row r="19" spans="2:48" ht="15.95" customHeight="1">
      <c r="B19" s="22"/>
      <c r="C19" s="22"/>
      <c r="D19" s="22"/>
      <c r="E19" s="22"/>
      <c r="F19" s="22"/>
      <c r="K19" s="33"/>
      <c r="L19" s="1347"/>
      <c r="M19" s="1347"/>
      <c r="N19" s="1347"/>
      <c r="O19" s="1347"/>
      <c r="P19" s="1347"/>
      <c r="Q19" s="1347"/>
      <c r="R19" s="1347"/>
      <c r="S19" s="1347"/>
      <c r="T19" s="1347"/>
      <c r="U19" s="1347"/>
      <c r="V19" s="1347"/>
      <c r="W19" s="1347"/>
      <c r="X19" s="1347"/>
      <c r="Y19" s="1347"/>
      <c r="Z19" s="1347"/>
      <c r="AA19" s="1347"/>
      <c r="AB19" s="1347"/>
      <c r="AC19" s="1347"/>
      <c r="AD19" s="1347"/>
      <c r="AE19" s="242"/>
      <c r="AF19" s="243"/>
      <c r="AG19" s="243"/>
      <c r="AH19" s="244"/>
      <c r="AI19" s="244"/>
      <c r="AJ19" s="244"/>
      <c r="AK19" s="244"/>
      <c r="AL19" s="245"/>
      <c r="AM19" s="61"/>
      <c r="AN19" s="59"/>
    </row>
    <row r="20" spans="2:48" ht="15.95" customHeight="1">
      <c r="B20" s="22"/>
      <c r="C20" s="22"/>
      <c r="D20" s="22"/>
      <c r="E20" s="22"/>
      <c r="F20" s="22"/>
      <c r="K20" s="33"/>
      <c r="L20" s="1349" t="str">
        <f>IF(M02S03F01="","",M02S03F01)</f>
        <v/>
      </c>
      <c r="M20" s="1349"/>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c r="AL20" s="1349"/>
      <c r="AM20" s="55"/>
    </row>
    <row r="21" spans="2:48" ht="15.95" customHeight="1">
      <c r="B21" s="22"/>
      <c r="C21" s="22"/>
      <c r="D21" s="22"/>
      <c r="E21" s="22"/>
      <c r="F21" s="22"/>
      <c r="K21" s="33"/>
      <c r="L21" s="1349"/>
      <c r="M21" s="1349"/>
      <c r="N21" s="1349"/>
      <c r="O21" s="1349"/>
      <c r="P21" s="1349"/>
      <c r="Q21" s="1349"/>
      <c r="R21" s="1349"/>
      <c r="S21" s="1349"/>
      <c r="T21" s="1349"/>
      <c r="U21" s="1349"/>
      <c r="V21" s="1349"/>
      <c r="W21" s="1349"/>
      <c r="X21" s="1349"/>
      <c r="Y21" s="1349"/>
      <c r="Z21" s="1349"/>
      <c r="AA21" s="1349"/>
      <c r="AB21" s="1349"/>
      <c r="AC21" s="1349"/>
      <c r="AD21" s="1349"/>
      <c r="AE21" s="1349"/>
      <c r="AF21" s="1349"/>
      <c r="AG21" s="1349"/>
      <c r="AH21" s="1349"/>
      <c r="AI21" s="1349"/>
      <c r="AJ21" s="1349"/>
      <c r="AK21" s="1349"/>
      <c r="AL21" s="1349"/>
      <c r="AM21" s="55"/>
    </row>
    <row r="22" spans="2:48" ht="15.95" customHeight="1">
      <c r="B22" s="22"/>
      <c r="C22" s="22"/>
      <c r="D22" s="22"/>
      <c r="E22" s="22"/>
      <c r="F22" s="22"/>
      <c r="K22" s="33"/>
      <c r="L22" s="65" t="s">
        <v>1515</v>
      </c>
      <c r="M22" s="22"/>
      <c r="N22" s="22"/>
      <c r="O22" s="22"/>
      <c r="P22" s="22"/>
      <c r="Q22" s="1348" t="str">
        <f>IF(M02S04F18="","",M02S04F18)</f>
        <v/>
      </c>
      <c r="R22" s="1348"/>
      <c r="S22" s="1348"/>
      <c r="T22" s="1348"/>
      <c r="U22" s="1348"/>
      <c r="V22" s="1348"/>
      <c r="W22" s="1348"/>
      <c r="X22" s="1348"/>
      <c r="Y22" s="1348"/>
      <c r="Z22" s="1348"/>
      <c r="AA22" s="67" t="s">
        <v>1511</v>
      </c>
      <c r="AC22" s="185"/>
      <c r="AD22" s="1348" t="str">
        <f>IF(M02S02F02="","",M02S02F02)</f>
        <v/>
      </c>
      <c r="AE22" s="1348"/>
      <c r="AF22" s="1348"/>
      <c r="AG22" s="1348"/>
      <c r="AH22" s="1348"/>
      <c r="AI22" s="1348"/>
      <c r="AJ22" s="1348"/>
      <c r="AK22" s="1348"/>
      <c r="AL22" s="1348"/>
      <c r="AM22" s="55"/>
    </row>
    <row r="23" spans="2:48" ht="15.95" customHeight="1">
      <c r="B23" s="22"/>
      <c r="C23" s="22"/>
      <c r="D23" s="22"/>
      <c r="E23" s="22"/>
      <c r="F23" s="22"/>
      <c r="K23" s="33"/>
      <c r="L23" s="65" t="s">
        <v>1100</v>
      </c>
      <c r="M23" s="66"/>
      <c r="N23" s="66"/>
      <c r="Q23" s="1348" t="str">
        <f>IF(OR(M02S04F08="",M02S04F09="",M02S04F10="",M02S04F11=""),"",CONCATENATE(M02S04F08,", ",M02S04F09, ", ", M02S04F10, " ", M02S04F11 ))</f>
        <v/>
      </c>
      <c r="R23" s="1348"/>
      <c r="S23" s="1348"/>
      <c r="T23" s="1348"/>
      <c r="U23" s="1348"/>
      <c r="V23" s="1348"/>
      <c r="W23" s="1348"/>
      <c r="X23" s="1348"/>
      <c r="Y23" s="1348"/>
      <c r="Z23" s="1348"/>
      <c r="AA23" s="67" t="s">
        <v>1512</v>
      </c>
      <c r="AC23" s="66"/>
      <c r="AD23" s="1348" t="str">
        <f>IF(OR(M02S02F03="",M02S02F04="",M02S02F05="",M02S02F06=""),"",CONCATENATE(M02S02F03,", ",M02S02F04, ", ", M02S02F05, " ", M02S02F06 ))</f>
        <v/>
      </c>
      <c r="AE23" s="1348"/>
      <c r="AF23" s="1348"/>
      <c r="AG23" s="1348"/>
      <c r="AH23" s="1348"/>
      <c r="AI23" s="1348"/>
      <c r="AJ23" s="1348"/>
      <c r="AK23" s="1348"/>
      <c r="AL23" s="1348"/>
      <c r="AM23" s="55"/>
    </row>
    <row r="24" spans="2:48" ht="15.95" customHeight="1">
      <c r="B24" s="22"/>
      <c r="C24" s="22"/>
      <c r="D24" s="22"/>
      <c r="E24" s="22"/>
      <c r="F24" s="22"/>
      <c r="K24" s="33"/>
      <c r="L24" s="65" t="s">
        <v>1101</v>
      </c>
      <c r="Q24" s="1348" t="str">
        <f>PROPER(M02S04F12&amp;" "&amp;M02S04F13)</f>
        <v xml:space="preserve"> </v>
      </c>
      <c r="R24" s="1348"/>
      <c r="S24" s="1348"/>
      <c r="T24" s="1348"/>
      <c r="U24" s="1348"/>
      <c r="V24" s="1348"/>
      <c r="W24" s="1348"/>
      <c r="X24" s="1348"/>
      <c r="Y24" s="1348"/>
      <c r="Z24" s="1348"/>
      <c r="AA24" s="67" t="s">
        <v>1101</v>
      </c>
      <c r="AC24" s="66"/>
      <c r="AD24" s="1348" t="str">
        <f>PROPER(M02S02F07&amp;" "&amp;M02S02F08)</f>
        <v xml:space="preserve"> </v>
      </c>
      <c r="AE24" s="1348"/>
      <c r="AF24" s="1348"/>
      <c r="AG24" s="1348"/>
      <c r="AH24" s="1348"/>
      <c r="AI24" s="1348"/>
      <c r="AJ24" s="1348"/>
      <c r="AK24" s="1348"/>
      <c r="AL24" s="1348"/>
      <c r="AM24" s="55"/>
    </row>
    <row r="25" spans="2:48" ht="15.95" customHeight="1">
      <c r="B25" s="22"/>
      <c r="C25" s="22"/>
      <c r="D25" s="22"/>
      <c r="E25" s="22"/>
      <c r="F25" s="22"/>
      <c r="K25" s="33"/>
      <c r="L25" s="65" t="s">
        <v>1513</v>
      </c>
      <c r="Q25" s="1346" t="str">
        <f>IF(M02S04F15="","",M02S04F15)</f>
        <v/>
      </c>
      <c r="R25" s="1346"/>
      <c r="S25" s="1346"/>
      <c r="T25" s="1346"/>
      <c r="U25" s="1346"/>
      <c r="V25" s="1346"/>
      <c r="W25" s="1346"/>
      <c r="X25" s="1346"/>
      <c r="Y25" s="1346"/>
      <c r="Z25" s="1346"/>
      <c r="AA25" s="67" t="s">
        <v>1102</v>
      </c>
      <c r="AC25" s="66"/>
      <c r="AD25" s="1346">
        <f>M02S02F10</f>
        <v>0</v>
      </c>
      <c r="AE25" s="1346"/>
      <c r="AF25" s="1346"/>
      <c r="AG25" s="1346"/>
      <c r="AH25" s="1346"/>
      <c r="AI25" s="1346"/>
      <c r="AJ25" s="1346"/>
      <c r="AK25" s="1346"/>
      <c r="AL25" s="1346"/>
      <c r="AM25" s="55"/>
    </row>
    <row r="26" spans="2:48" ht="15.95" customHeight="1">
      <c r="B26" s="22"/>
      <c r="C26" s="22"/>
      <c r="D26" s="22"/>
      <c r="E26" s="22"/>
      <c r="F26" s="22"/>
      <c r="K26" s="33"/>
      <c r="L26" s="65" t="s">
        <v>1514</v>
      </c>
      <c r="Q26" s="1348" t="str">
        <f>IF(M02S04F16="","",M02S04F16)</f>
        <v/>
      </c>
      <c r="R26" s="1348"/>
      <c r="S26" s="1348"/>
      <c r="T26" s="1348"/>
      <c r="U26" s="1348"/>
      <c r="V26" s="1348"/>
      <c r="W26" s="1348"/>
      <c r="X26" s="1348"/>
      <c r="Y26" s="1348"/>
      <c r="Z26" s="1348"/>
      <c r="AA26" s="67" t="s">
        <v>1107</v>
      </c>
      <c r="AB26" s="22"/>
      <c r="AC26" s="22"/>
      <c r="AD26" s="1346" t="str">
        <f>IF(M02S02F11="","",M02S02F11)</f>
        <v/>
      </c>
      <c r="AE26" s="1346"/>
      <c r="AF26" s="1346"/>
      <c r="AG26" s="1346"/>
      <c r="AH26" s="1346"/>
      <c r="AI26" s="1346"/>
      <c r="AJ26" s="1346"/>
      <c r="AK26" s="1346"/>
      <c r="AL26" s="1346"/>
      <c r="AM26" s="55"/>
    </row>
    <row r="27" spans="2:48" ht="15.95" customHeight="1">
      <c r="B27" s="22"/>
      <c r="C27" s="22"/>
      <c r="D27" s="22"/>
      <c r="E27" s="22"/>
      <c r="F27" s="22"/>
      <c r="K27" s="33"/>
      <c r="AM27" s="55"/>
      <c r="AV27" s="22"/>
    </row>
    <row r="28" spans="2:48" ht="15.95" customHeight="1" thickBot="1">
      <c r="B28" s="22"/>
      <c r="C28" s="22"/>
      <c r="D28" s="22"/>
      <c r="E28" s="22"/>
      <c r="F28" s="22"/>
      <c r="K28" s="33"/>
      <c r="AM28" s="55"/>
      <c r="AV28" s="22"/>
    </row>
    <row r="29" spans="2:48" ht="15.95" customHeight="1" thickBot="1">
      <c r="B29" s="22"/>
      <c r="C29" s="22"/>
      <c r="D29" s="22"/>
      <c r="E29" s="22"/>
      <c r="F29" s="22"/>
      <c r="K29" s="33"/>
      <c r="L29" s="246"/>
      <c r="M29" s="1351" t="s">
        <v>1103</v>
      </c>
      <c r="N29" s="1352"/>
      <c r="O29" s="1352"/>
      <c r="P29" s="1352"/>
      <c r="Q29" s="1352"/>
      <c r="R29" s="1352"/>
      <c r="S29" s="1352"/>
      <c r="T29" s="1352"/>
      <c r="U29" s="1352"/>
      <c r="V29" s="1352"/>
      <c r="W29" s="1352"/>
      <c r="X29" s="1352"/>
      <c r="Y29" s="1352"/>
      <c r="Z29" s="1352"/>
      <c r="AA29" s="1352"/>
      <c r="AB29" s="1352"/>
      <c r="AC29" s="1352"/>
      <c r="AD29" s="1352"/>
      <c r="AE29" s="1352"/>
      <c r="AF29" s="1318" t="str">
        <f ca="1">IFERROR(IF(KWHSTATUS*M02S04F06=0,"---",KWHSTATUS*M02S04F06*5),"---")</f>
        <v>---</v>
      </c>
      <c r="AG29" s="1317"/>
      <c r="AH29" s="1317"/>
      <c r="AI29" s="1317"/>
      <c r="AJ29" s="1317"/>
      <c r="AK29" s="1317"/>
      <c r="AL29" s="1317"/>
      <c r="AM29" s="55"/>
      <c r="AV29" s="22"/>
    </row>
    <row r="30" spans="2:48" ht="15.95" customHeight="1" thickBot="1">
      <c r="B30" s="22"/>
      <c r="C30" s="22"/>
      <c r="D30" s="22"/>
      <c r="E30" s="22"/>
      <c r="F30" s="22"/>
      <c r="K30" s="33"/>
      <c r="L30" s="247"/>
      <c r="M30" s="1351"/>
      <c r="N30" s="1352"/>
      <c r="O30" s="1352"/>
      <c r="P30" s="1352"/>
      <c r="Q30" s="1352"/>
      <c r="R30" s="1352"/>
      <c r="S30" s="1352"/>
      <c r="T30" s="1352"/>
      <c r="U30" s="1352"/>
      <c r="V30" s="1352"/>
      <c r="W30" s="1352"/>
      <c r="X30" s="1352"/>
      <c r="Y30" s="1352"/>
      <c r="Z30" s="1352"/>
      <c r="AA30" s="1352"/>
      <c r="AB30" s="1352"/>
      <c r="AC30" s="1352"/>
      <c r="AD30" s="1352"/>
      <c r="AE30" s="1352"/>
      <c r="AF30" s="1317"/>
      <c r="AG30" s="1317"/>
      <c r="AH30" s="1317"/>
      <c r="AI30" s="1317"/>
      <c r="AJ30" s="1317"/>
      <c r="AK30" s="1317"/>
      <c r="AL30" s="1317"/>
      <c r="AM30" s="55"/>
      <c r="AV30" s="22"/>
    </row>
    <row r="31" spans="2:48" ht="15.95" customHeight="1" thickBot="1">
      <c r="B31" s="22"/>
      <c r="C31" s="22"/>
      <c r="D31" s="22"/>
      <c r="E31" s="22"/>
      <c r="F31" s="22"/>
      <c r="K31" s="33"/>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55"/>
      <c r="AV31" s="22"/>
    </row>
    <row r="32" spans="2:48" ht="15.95" customHeight="1">
      <c r="B32" s="22"/>
      <c r="C32" s="22"/>
      <c r="D32" s="22"/>
      <c r="E32" s="22"/>
      <c r="F32" s="22"/>
      <c r="K32" s="33"/>
      <c r="L32" s="1315" t="s">
        <v>69</v>
      </c>
      <c r="M32" s="1315"/>
      <c r="N32" s="1315"/>
      <c r="O32" s="1315"/>
      <c r="P32" s="1315"/>
      <c r="Q32" s="1315"/>
      <c r="R32" s="1315"/>
      <c r="S32" s="1315"/>
      <c r="T32" s="1315"/>
      <c r="U32" s="1315"/>
      <c r="V32" s="1315"/>
      <c r="W32" s="1315"/>
      <c r="X32" s="1315"/>
      <c r="Y32" s="1315"/>
      <c r="Z32" s="1315"/>
      <c r="AA32" s="1315"/>
      <c r="AB32" s="1315"/>
      <c r="AC32" s="1315"/>
      <c r="AD32" s="1315"/>
      <c r="AE32" s="1315"/>
      <c r="AF32" s="1315"/>
      <c r="AG32" s="1315"/>
      <c r="AH32" s="1315"/>
      <c r="AI32" s="1315"/>
      <c r="AJ32" s="1315"/>
      <c r="AK32" s="1315"/>
      <c r="AL32" s="1315"/>
      <c r="AM32" s="55"/>
      <c r="AV32" s="22"/>
    </row>
    <row r="33" spans="2:48" ht="15.95" customHeight="1">
      <c r="B33" s="22"/>
      <c r="C33" s="22"/>
      <c r="D33" s="22"/>
      <c r="E33" s="22"/>
      <c r="F33" s="22"/>
      <c r="K33" s="33"/>
      <c r="L33" s="1316"/>
      <c r="M33" s="1316"/>
      <c r="N33" s="1316"/>
      <c r="O33" s="1316"/>
      <c r="P33" s="1316"/>
      <c r="Q33" s="1316"/>
      <c r="R33" s="1316"/>
      <c r="S33" s="1316"/>
      <c r="T33" s="1316"/>
      <c r="U33" s="1316"/>
      <c r="V33" s="1316"/>
      <c r="W33" s="1316"/>
      <c r="X33" s="1316"/>
      <c r="Y33" s="1316"/>
      <c r="Z33" s="1316"/>
      <c r="AA33" s="1316"/>
      <c r="AB33" s="1316"/>
      <c r="AC33" s="1316"/>
      <c r="AD33" s="1316"/>
      <c r="AE33" s="1316"/>
      <c r="AF33" s="1316"/>
      <c r="AG33" s="1316"/>
      <c r="AH33" s="1316"/>
      <c r="AI33" s="1316"/>
      <c r="AJ33" s="1316"/>
      <c r="AK33" s="1316"/>
      <c r="AL33" s="1316"/>
      <c r="AM33" s="55"/>
      <c r="AV33" s="22"/>
    </row>
    <row r="34" spans="2:48" ht="15.95" customHeight="1">
      <c r="B34" s="22"/>
      <c r="C34" s="22"/>
      <c r="D34" s="22"/>
      <c r="E34" s="22"/>
      <c r="F34" s="22"/>
      <c r="K34" s="33"/>
      <c r="L34" s="22"/>
      <c r="M34" s="22"/>
      <c r="N34" s="22"/>
      <c r="O34" s="22"/>
      <c r="P34" s="22"/>
      <c r="Q34" s="22"/>
      <c r="R34" s="22"/>
      <c r="S34" s="22"/>
      <c r="T34" s="22"/>
      <c r="U34" s="22"/>
      <c r="V34" s="22"/>
      <c r="W34" s="759"/>
      <c r="X34" s="759"/>
      <c r="Y34" s="759"/>
      <c r="Z34" s="759"/>
      <c r="AA34" s="759"/>
      <c r="AB34" s="22"/>
      <c r="AC34" s="22"/>
      <c r="AD34" s="22"/>
      <c r="AE34" s="22"/>
      <c r="AF34" s="22"/>
      <c r="AG34" s="22"/>
      <c r="AH34" s="22"/>
      <c r="AI34" s="22"/>
      <c r="AJ34" s="22"/>
      <c r="AK34" s="22"/>
      <c r="AL34" s="22"/>
      <c r="AM34" s="55"/>
      <c r="AV34" s="22"/>
    </row>
    <row r="35" spans="2:48" ht="15.95" customHeight="1">
      <c r="B35" s="22"/>
      <c r="C35" s="22"/>
      <c r="D35" s="22"/>
      <c r="E35" s="22"/>
      <c r="F35" s="22"/>
      <c r="K35" s="33"/>
      <c r="L35" s="22"/>
      <c r="N35" s="22"/>
      <c r="T35" s="22"/>
      <c r="U35" s="22"/>
      <c r="V35" s="22"/>
      <c r="W35" s="759"/>
      <c r="X35" s="759"/>
      <c r="Y35" s="759"/>
      <c r="Z35" s="759"/>
      <c r="AA35" s="759"/>
      <c r="AB35" s="22"/>
      <c r="AC35" s="22"/>
      <c r="AD35" s="60"/>
      <c r="AE35" s="60"/>
      <c r="AH35" s="60"/>
      <c r="AI35" s="60"/>
      <c r="AJ35" s="60"/>
      <c r="AK35" s="60"/>
      <c r="AL35" s="22"/>
      <c r="AM35" s="55"/>
      <c r="AV35" s="22"/>
    </row>
    <row r="36" spans="2:48" ht="15.95" customHeight="1">
      <c r="B36" s="22"/>
      <c r="C36" s="22"/>
      <c r="D36" s="22"/>
      <c r="E36" s="22"/>
      <c r="F36" s="22"/>
      <c r="K36" s="33"/>
      <c r="M36" s="1345" t="str">
        <f ca="1">IFERROR(IF(KWHSTATUS*M02S04F06=0,"---",KWHSTATUS*M02S04F06),"---")</f>
        <v>---</v>
      </c>
      <c r="N36" s="1345"/>
      <c r="O36" s="1345"/>
      <c r="P36" s="1345"/>
      <c r="Q36" s="1345"/>
      <c r="R36" s="1345"/>
      <c r="S36" s="1345"/>
      <c r="T36" s="1345"/>
      <c r="U36" s="1345"/>
      <c r="V36" s="1345"/>
      <c r="W36" s="759"/>
      <c r="X36" s="759"/>
      <c r="Y36" s="759"/>
      <c r="Z36" s="759"/>
      <c r="AA36" s="759"/>
      <c r="AB36" s="1345" t="str">
        <f>IF(INCENTOTAL=0,"---",INCENTOTAL)</f>
        <v>---</v>
      </c>
      <c r="AC36" s="1345"/>
      <c r="AD36" s="1345"/>
      <c r="AE36" s="1345"/>
      <c r="AF36" s="1345"/>
      <c r="AG36" s="1345"/>
      <c r="AH36" s="1345"/>
      <c r="AI36" s="1345"/>
      <c r="AJ36" s="1345"/>
      <c r="AK36" s="1345"/>
      <c r="AM36" s="55"/>
    </row>
    <row r="37" spans="2:48" ht="15.95" customHeight="1">
      <c r="B37" s="22"/>
      <c r="C37" s="22"/>
      <c r="D37" s="22"/>
      <c r="E37" s="22"/>
      <c r="F37" s="22"/>
      <c r="K37" s="33"/>
      <c r="M37" s="1345"/>
      <c r="N37" s="1345"/>
      <c r="O37" s="1345"/>
      <c r="P37" s="1345"/>
      <c r="Q37" s="1345"/>
      <c r="R37" s="1345"/>
      <c r="S37" s="1345"/>
      <c r="T37" s="1345"/>
      <c r="U37" s="1345"/>
      <c r="V37" s="1345"/>
      <c r="W37" s="759"/>
      <c r="X37" s="759"/>
      <c r="Y37" s="759"/>
      <c r="Z37" s="759"/>
      <c r="AA37" s="759"/>
      <c r="AB37" s="1345"/>
      <c r="AC37" s="1345"/>
      <c r="AD37" s="1345"/>
      <c r="AE37" s="1345"/>
      <c r="AF37" s="1345"/>
      <c r="AG37" s="1345"/>
      <c r="AH37" s="1345"/>
      <c r="AI37" s="1345"/>
      <c r="AJ37" s="1345"/>
      <c r="AK37" s="1345"/>
      <c r="AM37" s="55"/>
    </row>
    <row r="38" spans="2:48" ht="15.95" customHeight="1">
      <c r="B38" s="22"/>
      <c r="C38" s="22"/>
      <c r="D38" s="22"/>
      <c r="E38" s="22"/>
      <c r="F38" s="22"/>
      <c r="K38" s="33"/>
      <c r="M38" s="1344" t="s">
        <v>1667</v>
      </c>
      <c r="N38" s="1344"/>
      <c r="O38" s="1344"/>
      <c r="P38" s="1344"/>
      <c r="Q38" s="1344"/>
      <c r="R38" s="1344"/>
      <c r="S38" s="1344"/>
      <c r="T38" s="1344"/>
      <c r="U38" s="1344"/>
      <c r="V38" s="1344"/>
      <c r="W38" s="759"/>
      <c r="X38" s="759"/>
      <c r="Y38" s="759"/>
      <c r="Z38" s="759"/>
      <c r="AA38" s="759"/>
      <c r="AB38" s="1344" t="s">
        <v>1722</v>
      </c>
      <c r="AC38" s="1344"/>
      <c r="AD38" s="1344"/>
      <c r="AE38" s="1344"/>
      <c r="AF38" s="1344"/>
      <c r="AG38" s="1344"/>
      <c r="AH38" s="1344"/>
      <c r="AI38" s="1344"/>
      <c r="AJ38" s="1344"/>
      <c r="AK38" s="1344"/>
      <c r="AM38" s="55"/>
    </row>
    <row r="39" spans="2:48" ht="15.95" customHeight="1">
      <c r="B39" s="22"/>
      <c r="C39" s="22"/>
      <c r="D39" s="22"/>
      <c r="E39" s="22"/>
      <c r="F39" s="22"/>
      <c r="K39" s="33"/>
      <c r="M39" s="1344"/>
      <c r="N39" s="1344"/>
      <c r="O39" s="1344"/>
      <c r="P39" s="1344"/>
      <c r="Q39" s="1344"/>
      <c r="R39" s="1344"/>
      <c r="S39" s="1344"/>
      <c r="T39" s="1344"/>
      <c r="U39" s="1344"/>
      <c r="V39" s="1344"/>
      <c r="W39" s="759"/>
      <c r="X39" s="759"/>
      <c r="Y39" s="759"/>
      <c r="Z39" s="759"/>
      <c r="AA39" s="759"/>
      <c r="AB39" s="1344"/>
      <c r="AC39" s="1344"/>
      <c r="AD39" s="1344"/>
      <c r="AE39" s="1344"/>
      <c r="AF39" s="1344"/>
      <c r="AG39" s="1344"/>
      <c r="AH39" s="1344"/>
      <c r="AI39" s="1344"/>
      <c r="AJ39" s="1344"/>
      <c r="AK39" s="1344"/>
      <c r="AM39" s="55"/>
    </row>
    <row r="40" spans="2:48" ht="15.95" customHeight="1">
      <c r="B40" s="22"/>
      <c r="C40" s="22"/>
      <c r="D40" s="22"/>
      <c r="E40" s="22"/>
      <c r="F40" s="22"/>
      <c r="K40" s="33"/>
      <c r="W40" s="759"/>
      <c r="X40" s="759"/>
      <c r="Y40" s="759"/>
      <c r="Z40" s="759"/>
      <c r="AA40" s="759"/>
      <c r="AB40" s="22"/>
      <c r="AM40" s="55"/>
    </row>
    <row r="41" spans="2:48" ht="15.95" customHeight="1">
      <c r="B41" s="22"/>
      <c r="C41" s="22"/>
      <c r="D41" s="22"/>
      <c r="E41" s="22"/>
      <c r="F41" s="22"/>
      <c r="K41" s="33"/>
      <c r="W41" s="759"/>
      <c r="X41" s="759"/>
      <c r="Y41" s="759"/>
      <c r="Z41" s="759"/>
      <c r="AA41" s="759"/>
      <c r="AB41" s="22"/>
      <c r="AM41" s="55"/>
    </row>
    <row r="42" spans="2:48" ht="15.95" customHeight="1" thickBot="1">
      <c r="B42" s="22"/>
      <c r="C42" s="22"/>
      <c r="D42" s="22"/>
      <c r="E42" s="22"/>
      <c r="F42" s="22"/>
      <c r="K42" s="33"/>
      <c r="L42" s="22"/>
      <c r="M42" s="22"/>
      <c r="N42" s="22"/>
      <c r="T42" s="22"/>
      <c r="U42" s="48"/>
      <c r="V42" s="48"/>
      <c r="W42" s="759"/>
      <c r="X42" s="759"/>
      <c r="Y42" s="759"/>
      <c r="Z42" s="759"/>
      <c r="AA42" s="759"/>
      <c r="AB42" s="48"/>
      <c r="AC42" s="48"/>
      <c r="AD42" s="60"/>
      <c r="AE42" s="60"/>
      <c r="AF42" s="60"/>
      <c r="AG42" s="60"/>
      <c r="AH42" s="60"/>
      <c r="AI42" s="60"/>
      <c r="AJ42" s="60"/>
      <c r="AK42" s="60"/>
      <c r="AL42" s="22"/>
      <c r="AM42" s="55"/>
    </row>
    <row r="43" spans="2:48" ht="18.75" customHeight="1" thickBot="1">
      <c r="B43" s="22"/>
      <c r="C43" s="22"/>
      <c r="D43" s="22"/>
      <c r="E43" s="22"/>
      <c r="F43" s="22"/>
      <c r="K43" s="33"/>
      <c r="L43" s="22"/>
      <c r="M43" s="22"/>
      <c r="N43" s="22"/>
      <c r="O43" s="22"/>
      <c r="P43" s="22"/>
      <c r="Q43" s="1322" t="s">
        <v>1724</v>
      </c>
      <c r="R43" s="1322"/>
      <c r="S43" s="1322"/>
      <c r="T43" s="1322"/>
      <c r="U43" s="1322"/>
      <c r="V43" s="1322"/>
      <c r="W43" s="1322"/>
      <c r="X43" s="1322"/>
      <c r="Y43" s="1322"/>
      <c r="Z43" s="1317" t="s">
        <v>1725</v>
      </c>
      <c r="AA43" s="1317"/>
      <c r="AB43" s="1317"/>
      <c r="AC43" s="1317"/>
      <c r="AD43" s="1317"/>
      <c r="AE43" s="1317"/>
      <c r="AF43" s="1317"/>
      <c r="AG43" s="1317"/>
      <c r="AH43" s="1317"/>
      <c r="AL43" s="47"/>
      <c r="AM43" s="55"/>
    </row>
    <row r="44" spans="2:48" ht="15.95" customHeight="1" thickBot="1">
      <c r="K44" s="33"/>
      <c r="L44" s="22"/>
      <c r="M44" s="1328" t="s">
        <v>314</v>
      </c>
      <c r="N44" s="1328"/>
      <c r="O44" s="1328"/>
      <c r="P44" s="1328"/>
      <c r="Q44" s="1323" t="str">
        <f>IF(COSTTOTALALL=0,"",COSTTOTALALL)</f>
        <v/>
      </c>
      <c r="R44" s="1323"/>
      <c r="S44" s="1323"/>
      <c r="T44" s="1323"/>
      <c r="U44" s="1323"/>
      <c r="V44" s="1323"/>
      <c r="W44" s="1323"/>
      <c r="X44" s="1323"/>
      <c r="Y44" s="1323"/>
      <c r="Z44" s="1318" t="str">
        <f>IF(COSTTOTALALL-INCENTOTAL=0,"",IF('M01-S01'!T62&lt;&gt;"","---",COSTTOTALALL-INCENTOTAL))</f>
        <v/>
      </c>
      <c r="AA44" s="1318"/>
      <c r="AB44" s="1318"/>
      <c r="AC44" s="1318"/>
      <c r="AD44" s="1318"/>
      <c r="AE44" s="1318"/>
      <c r="AF44" s="1318"/>
      <c r="AG44" s="1318"/>
      <c r="AH44" s="1318"/>
      <c r="AL44" s="47"/>
      <c r="AM44" s="55"/>
    </row>
    <row r="45" spans="2:48" ht="15.95" customHeight="1" thickBot="1">
      <c r="K45" s="33"/>
      <c r="L45" s="22"/>
      <c r="M45" s="1321"/>
      <c r="N45" s="1321"/>
      <c r="O45" s="1321"/>
      <c r="P45" s="1321"/>
      <c r="Q45" s="1323"/>
      <c r="R45" s="1323"/>
      <c r="S45" s="1323"/>
      <c r="T45" s="1323"/>
      <c r="U45" s="1323"/>
      <c r="V45" s="1323"/>
      <c r="W45" s="1323"/>
      <c r="X45" s="1323"/>
      <c r="Y45" s="1323"/>
      <c r="Z45" s="1318"/>
      <c r="AA45" s="1318"/>
      <c r="AB45" s="1318"/>
      <c r="AC45" s="1318"/>
      <c r="AD45" s="1318"/>
      <c r="AE45" s="1318"/>
      <c r="AF45" s="1318"/>
      <c r="AG45" s="1318"/>
      <c r="AH45" s="1318"/>
      <c r="AL45" s="47"/>
      <c r="AM45" s="55"/>
    </row>
    <row r="46" spans="2:48" ht="15.95" customHeight="1" thickBot="1">
      <c r="K46" s="33"/>
      <c r="L46" s="22"/>
      <c r="M46" s="1320" t="s">
        <v>1123</v>
      </c>
      <c r="N46" s="1320"/>
      <c r="O46" s="1320"/>
      <c r="P46" s="1320"/>
      <c r="Q46" s="1324" t="str">
        <f ca="1">IFERROR(M36/Q44,"")</f>
        <v/>
      </c>
      <c r="R46" s="1324"/>
      <c r="S46" s="1324"/>
      <c r="T46" s="1324"/>
      <c r="U46" s="1324"/>
      <c r="V46" s="1324"/>
      <c r="W46" s="1324"/>
      <c r="X46" s="1324"/>
      <c r="Y46" s="1324"/>
      <c r="Z46" s="1319" t="str">
        <f ca="1">IFERROR(M36/Z44,"")</f>
        <v/>
      </c>
      <c r="AA46" s="1319"/>
      <c r="AB46" s="1319"/>
      <c r="AC46" s="1319"/>
      <c r="AD46" s="1319"/>
      <c r="AE46" s="1319"/>
      <c r="AF46" s="1319"/>
      <c r="AG46" s="1319"/>
      <c r="AH46" s="1319"/>
      <c r="AL46" s="47"/>
      <c r="AM46" s="55"/>
    </row>
    <row r="47" spans="2:48" ht="15.95" customHeight="1" thickBot="1">
      <c r="K47" s="33"/>
      <c r="L47" s="22"/>
      <c r="M47" s="1321"/>
      <c r="N47" s="1321"/>
      <c r="O47" s="1321"/>
      <c r="P47" s="1321"/>
      <c r="Q47" s="1324"/>
      <c r="R47" s="1324"/>
      <c r="S47" s="1324"/>
      <c r="T47" s="1324"/>
      <c r="U47" s="1324"/>
      <c r="V47" s="1324"/>
      <c r="W47" s="1324"/>
      <c r="X47" s="1324"/>
      <c r="Y47" s="1324"/>
      <c r="Z47" s="1319"/>
      <c r="AA47" s="1319"/>
      <c r="AB47" s="1319"/>
      <c r="AC47" s="1319"/>
      <c r="AD47" s="1319"/>
      <c r="AE47" s="1319"/>
      <c r="AF47" s="1319"/>
      <c r="AG47" s="1319"/>
      <c r="AH47" s="1319"/>
      <c r="AL47" s="47"/>
      <c r="AM47" s="55"/>
    </row>
    <row r="48" spans="2:48" ht="15.95" customHeight="1" thickBot="1">
      <c r="K48" s="33"/>
      <c r="L48" s="22"/>
      <c r="M48" s="1320" t="s">
        <v>325</v>
      </c>
      <c r="N48" s="1320"/>
      <c r="O48" s="1320"/>
      <c r="P48" s="1320"/>
      <c r="Q48" s="1338" t="str">
        <f ca="1">IFERROR(Q44/M36,"")</f>
        <v/>
      </c>
      <c r="R48" s="1338"/>
      <c r="S48" s="1338"/>
      <c r="T48" s="1338"/>
      <c r="U48" s="1338"/>
      <c r="V48" s="1338"/>
      <c r="W48" s="1338"/>
      <c r="X48" s="1338"/>
      <c r="Y48" s="1338"/>
      <c r="Z48" s="1337" t="str">
        <f ca="1">IFERROR(Z44/M36,"")</f>
        <v/>
      </c>
      <c r="AA48" s="1337"/>
      <c r="AB48" s="1337"/>
      <c r="AC48" s="1337"/>
      <c r="AD48" s="1337"/>
      <c r="AE48" s="1337"/>
      <c r="AF48" s="1337"/>
      <c r="AG48" s="1337"/>
      <c r="AH48" s="1337"/>
      <c r="AL48" s="47"/>
      <c r="AM48" s="55"/>
    </row>
    <row r="49" spans="7:53" ht="15.95" customHeight="1" thickBot="1">
      <c r="K49" s="33"/>
      <c r="L49" s="22"/>
      <c r="M49" s="1328"/>
      <c r="N49" s="1328"/>
      <c r="O49" s="1328"/>
      <c r="P49" s="1328"/>
      <c r="Q49" s="1338"/>
      <c r="R49" s="1338"/>
      <c r="S49" s="1338"/>
      <c r="T49" s="1338"/>
      <c r="U49" s="1338"/>
      <c r="V49" s="1338"/>
      <c r="W49" s="1338"/>
      <c r="X49" s="1338"/>
      <c r="Y49" s="1338"/>
      <c r="Z49" s="1337"/>
      <c r="AA49" s="1337"/>
      <c r="AB49" s="1337"/>
      <c r="AC49" s="1337"/>
      <c r="AD49" s="1337"/>
      <c r="AE49" s="1337"/>
      <c r="AF49" s="1337"/>
      <c r="AG49" s="1337"/>
      <c r="AH49" s="1337"/>
      <c r="AL49" s="47"/>
      <c r="AM49" s="55"/>
    </row>
    <row r="50" spans="7:53" ht="15.95" customHeight="1" thickBot="1">
      <c r="K50" s="33"/>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55"/>
    </row>
    <row r="51" spans="7:53" ht="15.95" customHeight="1">
      <c r="K51" s="33"/>
      <c r="L51" s="1315" t="s">
        <v>1104</v>
      </c>
      <c r="M51" s="1315"/>
      <c r="N51" s="1315"/>
      <c r="O51" s="1315"/>
      <c r="P51" s="1315"/>
      <c r="Q51" s="1315"/>
      <c r="R51" s="1315"/>
      <c r="S51" s="1315"/>
      <c r="T51" s="1315"/>
      <c r="U51" s="1315"/>
      <c r="V51" s="1315"/>
      <c r="W51" s="1315"/>
      <c r="X51" s="1315"/>
      <c r="Y51" s="1315"/>
      <c r="Z51" s="1315"/>
      <c r="AA51" s="1315"/>
      <c r="AB51" s="1315"/>
      <c r="AC51" s="1315"/>
      <c r="AD51" s="1315"/>
      <c r="AE51" s="1315"/>
      <c r="AF51" s="1315"/>
      <c r="AG51" s="1315"/>
      <c r="AH51" s="1315"/>
      <c r="AI51" s="1315"/>
      <c r="AJ51" s="1315"/>
      <c r="AK51" s="1315"/>
      <c r="AL51" s="1315"/>
      <c r="AM51" s="55"/>
    </row>
    <row r="52" spans="7:53" ht="15.95" customHeight="1">
      <c r="K52" s="33"/>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c r="AG52" s="1316"/>
      <c r="AH52" s="1316"/>
      <c r="AI52" s="1316"/>
      <c r="AJ52" s="1316"/>
      <c r="AK52" s="1316"/>
      <c r="AL52" s="1316"/>
      <c r="AM52" s="55"/>
      <c r="AY52" s="186" t="s">
        <v>1516</v>
      </c>
    </row>
    <row r="53" spans="7:53" ht="15.95" customHeight="1">
      <c r="K53" s="33"/>
      <c r="AM53" s="55"/>
      <c r="AY53" t="s">
        <v>1110</v>
      </c>
      <c r="BA53">
        <v>7.7599619999999989E-4</v>
      </c>
    </row>
    <row r="54" spans="7:53" ht="15.95" customHeight="1">
      <c r="K54" s="33"/>
      <c r="AM54" s="55"/>
      <c r="AY54" t="s">
        <v>1108</v>
      </c>
      <c r="BA54" s="14">
        <f>KWHTOTALALL</f>
        <v>0</v>
      </c>
    </row>
    <row r="55" spans="7:53" ht="15.95" customHeight="1">
      <c r="K55" s="33"/>
      <c r="L55" s="1326" t="s">
        <v>1144</v>
      </c>
      <c r="M55" s="1326"/>
      <c r="N55" s="1326"/>
      <c r="O55" s="1326"/>
      <c r="P55" s="1326"/>
      <c r="Q55" s="1326"/>
      <c r="R55" s="1326"/>
      <c r="S55" s="1326"/>
      <c r="T55" s="1326"/>
      <c r="AM55" s="55"/>
      <c r="AY55" s="18" t="s">
        <v>1111</v>
      </c>
      <c r="BA55">
        <f>BA53*BA54</f>
        <v>0</v>
      </c>
    </row>
    <row r="56" spans="7:53" ht="15.95" customHeight="1">
      <c r="G56" s="18"/>
      <c r="H56" s="18"/>
      <c r="I56" s="18"/>
      <c r="K56" s="33"/>
      <c r="L56" s="1326"/>
      <c r="M56" s="1326"/>
      <c r="N56" s="1326"/>
      <c r="O56" s="1326"/>
      <c r="P56" s="1326"/>
      <c r="Q56" s="1326"/>
      <c r="R56" s="1326"/>
      <c r="S56" s="1326"/>
      <c r="T56" s="1326"/>
      <c r="AM56" s="55"/>
      <c r="AY56" t="s">
        <v>1112</v>
      </c>
      <c r="BA56">
        <v>4.67</v>
      </c>
    </row>
    <row r="57" spans="7:53" ht="15.95" customHeight="1">
      <c r="G57" s="18"/>
      <c r="H57" s="18"/>
      <c r="I57" s="18"/>
      <c r="K57" s="33"/>
      <c r="L57" s="1325">
        <f>KWHTOTALALL</f>
        <v>0</v>
      </c>
      <c r="M57" s="1325"/>
      <c r="N57" s="1325"/>
      <c r="O57" s="1325"/>
      <c r="P57" s="1325"/>
      <c r="Q57" s="1325"/>
      <c r="R57" s="1325"/>
      <c r="S57" s="1325"/>
      <c r="T57" s="1325"/>
      <c r="AM57" s="55"/>
      <c r="AY57" t="s">
        <v>1114</v>
      </c>
      <c r="BA57">
        <f>6.672/12</f>
        <v>0.55599999999999994</v>
      </c>
    </row>
    <row r="58" spans="7:53" ht="15.95" customHeight="1">
      <c r="G58" s="18"/>
      <c r="H58" s="18"/>
      <c r="I58" s="18"/>
      <c r="K58" s="33"/>
      <c r="L58" s="1325"/>
      <c r="M58" s="1325"/>
      <c r="N58" s="1325"/>
      <c r="O58" s="1325"/>
      <c r="P58" s="1325"/>
      <c r="Q58" s="1325"/>
      <c r="R58" s="1325"/>
      <c r="S58" s="1325"/>
      <c r="T58" s="1325"/>
      <c r="AM58" s="55"/>
      <c r="AY58" t="s">
        <v>1113</v>
      </c>
      <c r="BA58" s="32">
        <v>2.87</v>
      </c>
    </row>
    <row r="59" spans="7:53" ht="15.95" customHeight="1">
      <c r="G59" s="18"/>
      <c r="H59" s="18"/>
      <c r="I59" s="18"/>
      <c r="K59" s="33"/>
      <c r="M59" s="75"/>
      <c r="N59" s="75"/>
      <c r="O59" s="75"/>
      <c r="P59" s="75"/>
      <c r="Q59" s="75"/>
      <c r="R59" s="75"/>
      <c r="S59" s="75"/>
      <c r="T59" s="75"/>
      <c r="U59" s="75"/>
      <c r="V59" s="1327" t="s">
        <v>1212</v>
      </c>
      <c r="W59" s="1327"/>
      <c r="X59" s="1327"/>
      <c r="Y59" s="1327"/>
      <c r="Z59" s="1327"/>
      <c r="AA59" s="1327"/>
      <c r="AB59" s="1327"/>
      <c r="AC59" s="75"/>
      <c r="AD59" s="75"/>
      <c r="AE59" s="75"/>
      <c r="AF59" s="75"/>
      <c r="AG59" s="75"/>
      <c r="AH59" s="75"/>
      <c r="AI59" s="75"/>
      <c r="AJ59" s="75"/>
      <c r="AK59" s="75"/>
      <c r="AL59" s="75"/>
      <c r="AM59" s="55"/>
      <c r="AY59" s="186" t="s">
        <v>1517</v>
      </c>
    </row>
    <row r="60" spans="7:53" ht="15.95" customHeight="1">
      <c r="G60" s="18"/>
      <c r="H60" s="18"/>
      <c r="I60" s="18"/>
      <c r="K60" s="33"/>
      <c r="L60" s="76"/>
      <c r="M60" s="76"/>
      <c r="N60" s="76"/>
      <c r="O60" s="76"/>
      <c r="P60" s="76"/>
      <c r="Q60" s="76"/>
      <c r="R60" s="76"/>
      <c r="S60" s="76"/>
      <c r="T60" s="76"/>
      <c r="U60" s="76"/>
      <c r="V60" s="1327"/>
      <c r="W60" s="1327"/>
      <c r="X60" s="1327"/>
      <c r="Y60" s="1327"/>
      <c r="Z60" s="1327"/>
      <c r="AA60" s="1327"/>
      <c r="AB60" s="1327"/>
      <c r="AC60" s="76"/>
      <c r="AD60" s="76"/>
      <c r="AE60" s="76"/>
      <c r="AF60" s="76"/>
      <c r="AG60" s="76"/>
      <c r="AH60" s="76"/>
      <c r="AI60" s="76"/>
      <c r="AJ60" s="76"/>
      <c r="AK60" s="76"/>
      <c r="AL60" s="76"/>
      <c r="AM60" s="55"/>
    </row>
    <row r="61" spans="7:53" ht="15.95" customHeight="1">
      <c r="G61" s="18"/>
      <c r="H61" s="18"/>
      <c r="I61" s="18"/>
      <c r="K61" s="33"/>
      <c r="V61" s="1327"/>
      <c r="W61" s="1327"/>
      <c r="X61" s="1327"/>
      <c r="Y61" s="1327"/>
      <c r="Z61" s="1327"/>
      <c r="AA61" s="1327"/>
      <c r="AB61" s="1327"/>
      <c r="AM61" s="55"/>
    </row>
    <row r="62" spans="7:53" ht="15.95" customHeight="1">
      <c r="K62" s="33"/>
      <c r="AM62" s="55"/>
    </row>
    <row r="63" spans="7:53" ht="15.95" customHeight="1">
      <c r="K63" s="33"/>
      <c r="O63" s="1340">
        <f>$BA$55/$BA$56</f>
        <v>0</v>
      </c>
      <c r="P63" s="1340"/>
      <c r="Q63" s="1340"/>
      <c r="R63" s="1340"/>
      <c r="S63" s="1340"/>
      <c r="T63" s="1340"/>
      <c r="U63" s="73"/>
      <c r="V63" s="73"/>
      <c r="X63" s="1340">
        <f>($BA$55/$BA$57)</f>
        <v>0</v>
      </c>
      <c r="Y63" s="1340"/>
      <c r="Z63" s="1340"/>
      <c r="AA63" s="1340"/>
      <c r="AB63" s="1340"/>
      <c r="AC63" s="1340"/>
      <c r="AD63" s="306"/>
      <c r="AE63" s="306"/>
      <c r="AF63" s="306"/>
      <c r="AG63" s="1340">
        <f>$BA$55/$BA$58</f>
        <v>0</v>
      </c>
      <c r="AH63" s="1340"/>
      <c r="AI63" s="1340"/>
      <c r="AJ63" s="1340"/>
      <c r="AK63" s="1340"/>
      <c r="AL63" s="1340"/>
      <c r="AM63" s="55"/>
    </row>
    <row r="64" spans="7:53" ht="15.95" customHeight="1">
      <c r="K64" s="33"/>
      <c r="O64" s="1341" t="s">
        <v>1139</v>
      </c>
      <c r="P64" s="1341"/>
      <c r="Q64" s="1341"/>
      <c r="R64" s="1341"/>
      <c r="S64" s="1341"/>
      <c r="T64" s="1341"/>
      <c r="U64" s="307"/>
      <c r="V64" s="307"/>
      <c r="X64" s="1343" t="s">
        <v>1141</v>
      </c>
      <c r="Y64" s="1343"/>
      <c r="Z64" s="1343"/>
      <c r="AA64" s="1343"/>
      <c r="AB64" s="1343"/>
      <c r="AC64" s="1343"/>
      <c r="AD64" s="308"/>
      <c r="AE64" s="308"/>
      <c r="AF64" s="308"/>
      <c r="AG64" s="1343" t="s">
        <v>1143</v>
      </c>
      <c r="AH64" s="1343"/>
      <c r="AI64" s="1343"/>
      <c r="AJ64" s="1343"/>
      <c r="AK64" s="1343"/>
      <c r="AL64" s="1343"/>
      <c r="AM64" s="55"/>
      <c r="AN64" s="73"/>
    </row>
    <row r="65" spans="7:43" ht="15.95" customHeight="1">
      <c r="K65" s="33"/>
      <c r="O65" s="1341" t="s">
        <v>1140</v>
      </c>
      <c r="P65" s="1341"/>
      <c r="Q65" s="1341"/>
      <c r="R65" s="1341"/>
      <c r="S65" s="1341"/>
      <c r="T65" s="1341"/>
      <c r="U65" s="307"/>
      <c r="V65" s="307"/>
      <c r="X65" s="1339" t="s">
        <v>1142</v>
      </c>
      <c r="Y65" s="1339"/>
      <c r="Z65" s="1339"/>
      <c r="AA65" s="1339"/>
      <c r="AB65" s="1339"/>
      <c r="AC65" s="1339"/>
      <c r="AG65" s="1342" t="s">
        <v>1147</v>
      </c>
      <c r="AH65" s="1342"/>
      <c r="AI65" s="1342"/>
      <c r="AJ65" s="1342"/>
      <c r="AK65" s="1342"/>
      <c r="AL65" s="1342"/>
      <c r="AM65" s="55"/>
      <c r="AN65" s="74"/>
    </row>
    <row r="66" spans="7:43" ht="15.95" customHeight="1">
      <c r="K66" s="33"/>
      <c r="AM66" s="55"/>
    </row>
    <row r="67" spans="7:43" ht="15.95" customHeight="1">
      <c r="K67" s="33"/>
      <c r="AM67" s="55"/>
    </row>
    <row r="68" spans="7:43" ht="15.95" customHeight="1" thickBot="1">
      <c r="K68" s="33"/>
      <c r="W68" s="22"/>
      <c r="X68" s="22"/>
      <c r="Y68" s="22"/>
      <c r="Z68" s="22"/>
      <c r="AA68" s="22"/>
      <c r="AB68" s="22"/>
      <c r="AM68" s="55"/>
    </row>
    <row r="69" spans="7:43" ht="15.95" customHeight="1">
      <c r="K69" s="33"/>
      <c r="L69" s="1315" t="s">
        <v>1105</v>
      </c>
      <c r="M69" s="1315"/>
      <c r="N69" s="1315"/>
      <c r="O69" s="1315"/>
      <c r="P69" s="1315"/>
      <c r="Q69" s="1315"/>
      <c r="R69" s="1315"/>
      <c r="S69" s="1315"/>
      <c r="T69" s="1315"/>
      <c r="U69" s="1315"/>
      <c r="V69" s="1315"/>
      <c r="W69" s="1315"/>
      <c r="X69" s="1315"/>
      <c r="Y69" s="1315"/>
      <c r="Z69" s="1315"/>
      <c r="AA69" s="1315"/>
      <c r="AB69" s="1315"/>
      <c r="AC69" s="1315"/>
      <c r="AD69" s="1315"/>
      <c r="AE69" s="1315"/>
      <c r="AF69" s="1315"/>
      <c r="AG69" s="1315"/>
      <c r="AH69" s="1315"/>
      <c r="AI69" s="1315"/>
      <c r="AJ69" s="1315"/>
      <c r="AK69" s="1315"/>
      <c r="AL69" s="1315"/>
      <c r="AM69" s="55"/>
    </row>
    <row r="70" spans="7:43" ht="15.95" customHeight="1">
      <c r="G70" s="18"/>
      <c r="H70" s="18"/>
      <c r="I70" s="18"/>
      <c r="K70" s="33"/>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c r="AG70" s="1316"/>
      <c r="AH70" s="1316"/>
      <c r="AI70" s="1316"/>
      <c r="AJ70" s="1316"/>
      <c r="AK70" s="1316"/>
      <c r="AL70" s="1316"/>
      <c r="AM70" s="55"/>
    </row>
    <row r="71" spans="7:43" ht="15.95" customHeight="1">
      <c r="G71" s="18"/>
      <c r="H71" s="18"/>
      <c r="I71" s="18"/>
      <c r="K71" s="33"/>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54"/>
      <c r="AK71" s="22"/>
      <c r="AL71" s="22"/>
      <c r="AM71" s="55"/>
    </row>
    <row r="72" spans="7:43" ht="15.95" customHeight="1">
      <c r="G72" s="18"/>
      <c r="H72" s="18"/>
      <c r="I72" s="18"/>
      <c r="K72" s="33"/>
      <c r="L72" s="1329" t="s">
        <v>1115</v>
      </c>
      <c r="M72" s="1329"/>
      <c r="N72" s="1329"/>
      <c r="O72" s="1329"/>
      <c r="P72" s="1329"/>
      <c r="Q72" s="1329"/>
      <c r="R72" s="1329"/>
      <c r="S72" s="1329"/>
      <c r="T72" s="1329"/>
      <c r="U72" s="1329"/>
      <c r="V72" s="1329"/>
      <c r="W72" s="1329"/>
      <c r="X72" s="1329"/>
      <c r="Y72" s="22"/>
      <c r="AA72" s="62" t="s">
        <v>1106</v>
      </c>
      <c r="AB72" s="63"/>
      <c r="AC72" s="64" t="s">
        <v>1796</v>
      </c>
      <c r="AD72" s="47"/>
      <c r="AE72" s="63"/>
      <c r="AF72" s="63"/>
      <c r="AG72" s="63"/>
      <c r="AH72" s="63"/>
      <c r="AI72" s="63"/>
      <c r="AJ72" s="63"/>
      <c r="AK72" s="63"/>
      <c r="AL72" s="63"/>
      <c r="AM72" s="55"/>
    </row>
    <row r="73" spans="7:43" ht="15.95" customHeight="1">
      <c r="G73" s="18"/>
      <c r="H73" s="18"/>
      <c r="I73" s="18"/>
      <c r="K73" s="33"/>
      <c r="L73" s="1336" t="s">
        <v>1109</v>
      </c>
      <c r="M73" s="1336"/>
      <c r="N73" s="1336"/>
      <c r="O73" s="1336"/>
      <c r="P73" s="1336"/>
      <c r="Q73" s="1336"/>
      <c r="R73" s="1336"/>
      <c r="S73" s="1336"/>
      <c r="T73" s="1336"/>
      <c r="U73" s="1336"/>
      <c r="V73" s="1336"/>
      <c r="W73" s="1336"/>
      <c r="X73" s="1336"/>
      <c r="Y73" s="22"/>
      <c r="AA73" s="62" t="s">
        <v>1102</v>
      </c>
      <c r="AB73" s="48"/>
      <c r="AC73" s="64" t="str">
        <f>Hotline</f>
        <v>(844)687-0229</v>
      </c>
      <c r="AD73" s="48"/>
      <c r="AE73" s="48"/>
      <c r="AF73" s="56"/>
      <c r="AG73" s="56"/>
      <c r="AH73" s="48"/>
      <c r="AI73" s="48"/>
      <c r="AJ73" s="48"/>
      <c r="AK73" s="48"/>
      <c r="AL73" s="52"/>
      <c r="AM73" s="55"/>
    </row>
    <row r="74" spans="7:43" ht="15.95" customHeight="1">
      <c r="G74" s="18"/>
      <c r="H74" s="18"/>
      <c r="I74" s="18"/>
      <c r="K74" s="33"/>
      <c r="L74" s="1336"/>
      <c r="M74" s="1336"/>
      <c r="N74" s="1336"/>
      <c r="O74" s="1336"/>
      <c r="P74" s="1336"/>
      <c r="Q74" s="1336"/>
      <c r="R74" s="1336"/>
      <c r="S74" s="1336"/>
      <c r="T74" s="1336"/>
      <c r="U74" s="1336"/>
      <c r="V74" s="1336"/>
      <c r="W74" s="1336"/>
      <c r="X74" s="1336"/>
      <c r="Y74" s="22"/>
      <c r="AA74" s="62" t="s">
        <v>1107</v>
      </c>
      <c r="AB74" s="48"/>
      <c r="AC74" s="253" t="s">
        <v>1784</v>
      </c>
      <c r="AD74" s="48"/>
      <c r="AE74" s="48"/>
      <c r="AF74" s="56"/>
      <c r="AG74" s="56"/>
      <c r="AH74" s="53"/>
      <c r="AI74" s="48"/>
      <c r="AJ74" s="48"/>
      <c r="AK74" s="48"/>
      <c r="AL74" s="52"/>
      <c r="AM74" s="55"/>
    </row>
    <row r="75" spans="7:43" ht="15.95" customHeight="1">
      <c r="G75" s="18"/>
      <c r="H75" s="18"/>
      <c r="I75" s="18"/>
      <c r="K75" s="33"/>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55"/>
    </row>
    <row r="76" spans="7:43" ht="15.95" customHeight="1">
      <c r="G76" s="18"/>
      <c r="H76" s="18"/>
      <c r="I76" s="18"/>
      <c r="K76" s="33"/>
      <c r="L76" s="1330" t="s">
        <v>1795</v>
      </c>
      <c r="M76" s="1331"/>
      <c r="N76" s="1331"/>
      <c r="O76" s="1331"/>
      <c r="P76" s="1331"/>
      <c r="Q76" s="1331"/>
      <c r="R76" s="1331"/>
      <c r="S76" s="1331"/>
      <c r="T76" s="1331"/>
      <c r="U76" s="1331"/>
      <c r="V76" s="1331"/>
      <c r="W76" s="1331"/>
      <c r="X76" s="1331"/>
      <c r="Y76" s="1331"/>
      <c r="Z76" s="1331"/>
      <c r="AA76" s="1331"/>
      <c r="AB76" s="1331"/>
      <c r="AC76" s="1331"/>
      <c r="AD76" s="1331"/>
      <c r="AE76" s="1331"/>
      <c r="AF76" s="1331"/>
      <c r="AG76" s="1331"/>
      <c r="AH76" s="1331"/>
      <c r="AI76" s="1331"/>
      <c r="AJ76" s="1331"/>
      <c r="AK76" s="1331"/>
      <c r="AL76" s="1332"/>
      <c r="AM76" s="55"/>
    </row>
    <row r="77" spans="7:43" ht="15.95" customHeight="1">
      <c r="G77" s="18"/>
      <c r="H77" s="18"/>
      <c r="I77" s="18"/>
      <c r="K77" s="33"/>
      <c r="L77" s="1333"/>
      <c r="M77" s="1334"/>
      <c r="N77" s="1334"/>
      <c r="O77" s="1334"/>
      <c r="P77" s="1334"/>
      <c r="Q77" s="1334"/>
      <c r="R77" s="1334"/>
      <c r="S77" s="1334"/>
      <c r="T77" s="1334"/>
      <c r="U77" s="1334"/>
      <c r="V77" s="1334"/>
      <c r="W77" s="1334"/>
      <c r="X77" s="1334"/>
      <c r="Y77" s="1334"/>
      <c r="Z77" s="1334"/>
      <c r="AA77" s="1334"/>
      <c r="AB77" s="1334"/>
      <c r="AC77" s="1334"/>
      <c r="AD77" s="1334"/>
      <c r="AE77" s="1334"/>
      <c r="AF77" s="1334"/>
      <c r="AG77" s="1334"/>
      <c r="AH77" s="1334"/>
      <c r="AI77" s="1334"/>
      <c r="AJ77" s="1334"/>
      <c r="AK77" s="1334"/>
      <c r="AL77" s="1335"/>
      <c r="AM77" s="55"/>
    </row>
    <row r="78" spans="7:43" ht="15.95" customHeight="1">
      <c r="G78" s="18"/>
      <c r="H78" s="18"/>
      <c r="I78" s="18"/>
      <c r="K78" s="34"/>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5"/>
    </row>
    <row r="79" spans="7:43" ht="15.95" customHeight="1">
      <c r="G79" s="18"/>
      <c r="H79" s="18"/>
      <c r="I79" s="18"/>
    </row>
    <row r="80" spans="7:43" ht="15" customHeight="1">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row>
    <row r="81" spans="7:43" ht="15" hidden="1" customHeight="1">
      <c r="G81" s="18"/>
      <c r="H81" s="18"/>
      <c r="I81" s="18"/>
      <c r="J81" s="18"/>
      <c r="K81" s="18"/>
      <c r="M81" s="18"/>
      <c r="AO81" s="18"/>
      <c r="AQ81" s="18"/>
    </row>
    <row r="82" spans="7:43" ht="15" hidden="1" customHeight="1">
      <c r="G82" s="18"/>
      <c r="H82" s="18"/>
      <c r="I82" s="18"/>
      <c r="J82" s="18"/>
      <c r="K82" s="18"/>
      <c r="M82" s="18"/>
      <c r="AO82" s="18"/>
      <c r="AQ82" s="18"/>
    </row>
    <row r="83" spans="7:43" ht="15" hidden="1" customHeight="1">
      <c r="G83" s="18"/>
      <c r="H83" s="18"/>
      <c r="I83" s="18"/>
      <c r="J83" s="18"/>
      <c r="K83" s="18"/>
    </row>
    <row r="84" spans="7:43" ht="15" hidden="1" customHeight="1">
      <c r="G84" s="18"/>
      <c r="H84" s="18"/>
      <c r="I84" s="18"/>
      <c r="J84" s="18"/>
      <c r="K84" s="18"/>
    </row>
    <row r="85" spans="7:43" ht="15" hidden="1" customHeight="1">
      <c r="G85" s="18"/>
      <c r="H85" s="18"/>
      <c r="I85" s="18"/>
      <c r="J85" s="18"/>
      <c r="K85" s="18"/>
    </row>
    <row r="86" spans="7:43" ht="15" hidden="1" customHeight="1">
      <c r="G86" s="18"/>
      <c r="H86" s="18"/>
      <c r="I86" s="18"/>
      <c r="J86" s="18"/>
      <c r="K86" s="18"/>
    </row>
    <row r="87" spans="7:43" ht="15" hidden="1" customHeight="1">
      <c r="G87" s="18"/>
      <c r="H87" s="18"/>
      <c r="I87" s="18"/>
      <c r="J87" s="18"/>
      <c r="K87" s="18"/>
    </row>
    <row r="88" spans="7:43" ht="15" hidden="1" customHeight="1">
      <c r="G88" s="18"/>
      <c r="H88" s="18"/>
      <c r="I88" s="18"/>
      <c r="J88" s="18"/>
      <c r="K88" s="18"/>
    </row>
    <row r="89" spans="7:43" ht="15" hidden="1" customHeight="1">
      <c r="G89" s="18"/>
      <c r="H89" s="18"/>
      <c r="I89" s="18"/>
      <c r="J89" s="18"/>
      <c r="K89" s="18"/>
    </row>
    <row r="90" spans="7:43" ht="15" hidden="1" customHeight="1">
      <c r="G90" s="18"/>
      <c r="H90" s="18"/>
      <c r="I90" s="18"/>
      <c r="J90" s="18"/>
      <c r="K90" s="18"/>
      <c r="L90" s="18"/>
    </row>
    <row r="91" spans="7:43" ht="15" hidden="1" customHeight="1">
      <c r="G91" s="18"/>
      <c r="H91" s="18"/>
      <c r="I91" s="18"/>
      <c r="J91" s="18"/>
      <c r="K91" s="18"/>
      <c r="L91" s="18"/>
    </row>
    <row r="92" spans="7:43" ht="15" hidden="1" customHeight="1"/>
    <row r="93" spans="7:43" ht="15" hidden="1" customHeight="1"/>
    <row r="94" spans="7:43" ht="15" hidden="1" customHeight="1"/>
    <row r="95" spans="7:43" ht="15" hidden="1" customHeight="1"/>
    <row r="96" spans="7:43"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spans="7:19" ht="15" hidden="1" customHeight="1"/>
    <row r="162" spans="7:19" ht="15" hidden="1" customHeight="1"/>
    <row r="163" spans="7:19" ht="15" hidden="1" customHeight="1"/>
    <row r="164" spans="7:19" ht="15" hidden="1" customHeight="1"/>
    <row r="165" spans="7:19" ht="15" hidden="1" customHeight="1"/>
    <row r="166" spans="7:19" ht="15" hidden="1" customHeight="1"/>
    <row r="167" spans="7:19" ht="15" hidden="1" customHeight="1"/>
    <row r="168" spans="7:19" ht="15" hidden="1" customHeight="1"/>
    <row r="169" spans="7:19" ht="15" hidden="1" customHeight="1"/>
    <row r="170" spans="7:19" ht="15" hidden="1" customHeight="1"/>
    <row r="171" spans="7:19" ht="15" hidden="1" customHeight="1"/>
    <row r="172" spans="7:19" ht="15" hidden="1" customHeight="1"/>
    <row r="173" spans="7:19" ht="15" hidden="1" customHeight="1">
      <c r="G173" s="18"/>
      <c r="H173" s="18"/>
      <c r="I173" s="18"/>
      <c r="J173" s="18"/>
      <c r="K173" s="18"/>
      <c r="L173" s="18"/>
      <c r="N173" s="18"/>
      <c r="O173" s="18"/>
      <c r="P173" s="18"/>
      <c r="Q173" s="18"/>
      <c r="R173" s="18"/>
      <c r="S173" s="18"/>
    </row>
    <row r="174" spans="7:19" ht="15" hidden="1" customHeight="1">
      <c r="G174" s="18"/>
      <c r="H174" s="18"/>
      <c r="I174" s="18"/>
      <c r="J174" s="18"/>
      <c r="K174" s="18"/>
      <c r="L174" s="18"/>
      <c r="N174" s="18"/>
      <c r="O174" s="18"/>
      <c r="P174" s="18"/>
      <c r="Q174" s="18"/>
      <c r="R174" s="18"/>
      <c r="S174" s="18"/>
    </row>
    <row r="175" spans="7:19" ht="15" hidden="1" customHeight="1">
      <c r="G175" s="18"/>
      <c r="H175" s="18"/>
      <c r="I175" s="18"/>
      <c r="J175" s="18"/>
      <c r="K175" s="18"/>
      <c r="L175" s="18"/>
      <c r="N175" s="18"/>
      <c r="O175" s="18"/>
      <c r="P175" s="18"/>
      <c r="Q175" s="18"/>
      <c r="R175" s="18"/>
      <c r="S175" s="18"/>
    </row>
    <row r="176" spans="7:19" ht="15" hidden="1" customHeight="1">
      <c r="G176" s="18"/>
      <c r="H176" s="18"/>
      <c r="I176" s="18"/>
      <c r="J176" s="18"/>
      <c r="K176" s="18"/>
      <c r="L176" s="18"/>
      <c r="N176" s="18"/>
      <c r="O176" s="18"/>
      <c r="P176" s="18"/>
      <c r="Q176" s="18"/>
      <c r="R176" s="18"/>
      <c r="S176" s="18"/>
    </row>
    <row r="177" spans="7:19" ht="15" hidden="1" customHeight="1">
      <c r="G177" s="18"/>
      <c r="H177" s="18"/>
      <c r="I177" s="18"/>
      <c r="J177" s="18"/>
      <c r="K177" s="18"/>
      <c r="L177" s="18"/>
      <c r="N177" s="18"/>
      <c r="O177" s="18"/>
      <c r="P177" s="18"/>
      <c r="Q177" s="18"/>
      <c r="R177" s="18"/>
      <c r="S177" s="18"/>
    </row>
    <row r="178" spans="7:19" ht="15" hidden="1" customHeight="1">
      <c r="G178" s="18"/>
      <c r="H178" s="18"/>
      <c r="I178" s="18"/>
      <c r="J178" s="18"/>
      <c r="K178" s="18"/>
      <c r="L178" s="18"/>
      <c r="N178" s="18"/>
      <c r="O178" s="18"/>
      <c r="P178" s="18"/>
      <c r="Q178" s="18"/>
      <c r="R178" s="18"/>
      <c r="S178" s="18"/>
    </row>
    <row r="179" spans="7:19" ht="15" hidden="1" customHeight="1">
      <c r="G179" s="18"/>
      <c r="H179" s="18"/>
      <c r="I179" s="18"/>
      <c r="J179" s="18"/>
      <c r="K179" s="18"/>
      <c r="L179" s="18"/>
      <c r="N179" s="18"/>
      <c r="O179" s="18"/>
      <c r="P179" s="18"/>
      <c r="Q179" s="18"/>
      <c r="R179" s="18"/>
      <c r="S179" s="18"/>
    </row>
    <row r="180" spans="7:19" ht="15" hidden="1" customHeight="1">
      <c r="G180" s="18"/>
      <c r="H180" s="18"/>
      <c r="I180" s="18"/>
      <c r="J180" s="18"/>
      <c r="K180" s="18"/>
      <c r="L180" s="18"/>
      <c r="N180" s="18"/>
      <c r="O180" s="18"/>
      <c r="P180" s="18"/>
      <c r="Q180" s="18"/>
      <c r="R180" s="18"/>
      <c r="S180" s="18"/>
    </row>
    <row r="181" spans="7:19" ht="15" hidden="1" customHeight="1">
      <c r="G181" s="18"/>
      <c r="H181" s="18"/>
      <c r="I181" s="18"/>
      <c r="J181" s="18"/>
      <c r="K181" s="18"/>
      <c r="L181" s="18"/>
      <c r="N181" s="18"/>
      <c r="O181" s="18"/>
      <c r="P181" s="18"/>
      <c r="Q181" s="18"/>
      <c r="R181" s="18"/>
      <c r="S181" s="18"/>
    </row>
    <row r="182" spans="7:19" ht="15" hidden="1" customHeight="1">
      <c r="G182" s="18"/>
      <c r="H182" s="18"/>
      <c r="I182" s="18"/>
      <c r="J182" s="18"/>
      <c r="K182" s="18"/>
      <c r="L182" s="18"/>
      <c r="N182" s="18"/>
      <c r="O182" s="18"/>
      <c r="P182" s="18"/>
      <c r="Q182" s="18"/>
      <c r="R182" s="18"/>
      <c r="S182" s="18"/>
    </row>
    <row r="183" spans="7:19" ht="15" hidden="1" customHeight="1">
      <c r="G183" s="18"/>
      <c r="H183" s="18"/>
      <c r="I183" s="18"/>
      <c r="J183" s="18"/>
      <c r="K183" s="18"/>
      <c r="L183" s="18"/>
      <c r="N183" s="18"/>
      <c r="O183" s="18"/>
      <c r="P183" s="18"/>
      <c r="Q183" s="18"/>
      <c r="R183" s="18"/>
      <c r="S183" s="18"/>
    </row>
    <row r="184" spans="7:19" ht="15" hidden="1" customHeight="1">
      <c r="G184" s="18"/>
      <c r="H184" s="18"/>
      <c r="I184" s="18"/>
      <c r="J184" s="18"/>
      <c r="K184" s="18"/>
      <c r="L184" s="18"/>
      <c r="N184" s="18"/>
      <c r="O184" s="18"/>
      <c r="P184" s="18"/>
      <c r="Q184" s="18"/>
      <c r="R184" s="18"/>
      <c r="S184" s="18"/>
    </row>
    <row r="185" spans="7:19" ht="15" hidden="1" customHeight="1">
      <c r="G185" s="18"/>
      <c r="H185" s="18"/>
      <c r="I185" s="18"/>
      <c r="J185" s="18"/>
      <c r="K185" s="18"/>
      <c r="L185" s="18"/>
      <c r="N185" s="18"/>
      <c r="O185" s="18"/>
      <c r="P185" s="18"/>
      <c r="Q185" s="18"/>
      <c r="R185" s="18"/>
      <c r="S185" s="18"/>
    </row>
    <row r="186" spans="7:19" ht="15" hidden="1" customHeight="1">
      <c r="G186" s="18"/>
      <c r="H186" s="18"/>
      <c r="I186" s="18"/>
      <c r="J186" s="18"/>
      <c r="K186" s="18"/>
      <c r="L186" s="18"/>
      <c r="N186" s="18"/>
      <c r="O186" s="18"/>
      <c r="P186" s="18"/>
      <c r="Q186" s="18"/>
      <c r="R186" s="18"/>
      <c r="S186" s="18"/>
    </row>
    <row r="187" spans="7:19" ht="15" hidden="1" customHeight="1">
      <c r="G187" s="18"/>
      <c r="H187" s="18"/>
      <c r="I187" s="18"/>
      <c r="J187" s="18"/>
      <c r="K187" s="18"/>
      <c r="L187" s="18"/>
      <c r="N187" s="18"/>
      <c r="O187" s="18"/>
      <c r="P187" s="18"/>
      <c r="Q187" s="18"/>
      <c r="R187" s="18"/>
      <c r="S187" s="18"/>
    </row>
    <row r="188" spans="7:19" ht="15" hidden="1" customHeight="1">
      <c r="G188" s="18"/>
      <c r="H188" s="18"/>
      <c r="I188" s="18"/>
      <c r="J188" s="18"/>
      <c r="K188" s="18"/>
      <c r="L188" s="18"/>
      <c r="N188" s="18"/>
      <c r="O188" s="18"/>
      <c r="P188" s="18"/>
      <c r="Q188" s="18"/>
      <c r="R188" s="18"/>
      <c r="S188" s="18"/>
    </row>
    <row r="189" spans="7:19" ht="15" hidden="1" customHeight="1">
      <c r="G189" s="18"/>
      <c r="H189" s="18"/>
      <c r="I189" s="18"/>
      <c r="J189" s="18"/>
      <c r="K189" s="18"/>
      <c r="L189" s="18"/>
      <c r="N189" s="18"/>
      <c r="O189" s="18"/>
      <c r="P189" s="18"/>
      <c r="Q189" s="18"/>
      <c r="R189" s="18"/>
      <c r="S189" s="18"/>
    </row>
    <row r="190" spans="7:19" ht="15" hidden="1" customHeight="1">
      <c r="G190" s="18"/>
      <c r="H190" s="18"/>
      <c r="I190" s="18"/>
      <c r="J190" s="18"/>
      <c r="K190" s="18"/>
      <c r="L190" s="18"/>
      <c r="N190" s="18"/>
      <c r="O190" s="18"/>
      <c r="P190" s="18"/>
      <c r="Q190" s="18"/>
      <c r="R190" s="18"/>
      <c r="S190" s="18"/>
    </row>
    <row r="191" spans="7:19" ht="15" hidden="1" customHeight="1">
      <c r="G191" s="18"/>
      <c r="H191" s="18"/>
      <c r="I191" s="18"/>
      <c r="J191" s="18"/>
      <c r="K191" s="18"/>
      <c r="L191" s="18"/>
      <c r="N191" s="18"/>
      <c r="O191" s="18"/>
      <c r="P191" s="18"/>
      <c r="Q191" s="18"/>
      <c r="R191" s="18"/>
      <c r="S191" s="18"/>
    </row>
    <row r="192" spans="7:19" ht="15" hidden="1" customHeight="1">
      <c r="G192" s="18"/>
      <c r="H192" s="18"/>
      <c r="I192" s="18"/>
      <c r="J192" s="18"/>
      <c r="K192" s="18"/>
      <c r="L192" s="18"/>
      <c r="N192" s="18"/>
      <c r="O192" s="18"/>
      <c r="P192" s="18"/>
      <c r="Q192" s="18"/>
      <c r="R192" s="18"/>
      <c r="S192" s="18"/>
    </row>
    <row r="193" spans="1:49" ht="15" hidden="1" customHeight="1">
      <c r="G193" s="18"/>
      <c r="H193" s="18"/>
      <c r="I193" s="18"/>
      <c r="J193" s="18"/>
      <c r="K193" s="18"/>
      <c r="L193" s="18"/>
      <c r="N193" s="18"/>
      <c r="O193" s="18"/>
      <c r="P193" s="18"/>
      <c r="Q193" s="18"/>
      <c r="R193" s="18"/>
      <c r="S193" s="18"/>
    </row>
    <row r="194" spans="1:49" ht="15" hidden="1" customHeight="1">
      <c r="G194" s="18"/>
      <c r="H194" s="18"/>
      <c r="I194" s="18"/>
      <c r="J194" s="18"/>
      <c r="K194" s="18"/>
      <c r="L194" s="18"/>
      <c r="N194" s="18"/>
      <c r="O194" s="18"/>
      <c r="P194" s="18"/>
      <c r="Q194" s="18"/>
      <c r="R194" s="18"/>
      <c r="S194" s="18"/>
    </row>
    <row r="195" spans="1:49" ht="15" hidden="1" customHeight="1">
      <c r="G195" s="18"/>
      <c r="H195" s="18"/>
      <c r="I195" s="18"/>
      <c r="J195" s="18"/>
      <c r="K195" s="18"/>
      <c r="L195" s="18"/>
      <c r="N195" s="18"/>
      <c r="O195" s="18"/>
      <c r="P195" s="18"/>
      <c r="Q195" s="18"/>
      <c r="R195" s="18"/>
      <c r="S195" s="18"/>
    </row>
    <row r="196" spans="1:49" ht="15" hidden="1" customHeight="1">
      <c r="G196" s="18"/>
      <c r="H196" s="18"/>
      <c r="I196" s="18"/>
      <c r="J196" s="18"/>
      <c r="K196" s="18"/>
      <c r="L196" s="18"/>
      <c r="N196" s="18"/>
      <c r="O196" s="18"/>
      <c r="P196" s="18"/>
      <c r="Q196" s="18"/>
      <c r="R196" s="18"/>
      <c r="S196" s="18"/>
    </row>
    <row r="197" spans="1:49" ht="15" hidden="1" customHeight="1">
      <c r="G197" s="18"/>
      <c r="H197" s="18"/>
      <c r="I197" s="18"/>
      <c r="J197" s="18"/>
      <c r="K197" s="18"/>
      <c r="L197" s="18"/>
      <c r="N197" s="18"/>
      <c r="O197" s="18"/>
      <c r="P197" s="18"/>
      <c r="Q197" s="18"/>
      <c r="R197" s="18"/>
      <c r="S197" s="18"/>
    </row>
    <row r="198" spans="1:49" ht="15" hidden="1" customHeight="1">
      <c r="G198" s="18"/>
      <c r="H198" s="18"/>
      <c r="I198" s="18"/>
      <c r="J198" s="18"/>
      <c r="K198" s="18"/>
      <c r="L198" s="18"/>
      <c r="N198" s="18"/>
      <c r="O198" s="18"/>
      <c r="P198" s="18"/>
      <c r="Q198" s="18"/>
      <c r="R198" s="18"/>
      <c r="S198" s="18"/>
    </row>
    <row r="199" spans="1:49" ht="15" hidden="1" customHeight="1">
      <c r="G199" s="18"/>
      <c r="H199" s="18"/>
      <c r="I199" s="18"/>
      <c r="J199" s="18"/>
      <c r="K199" s="18"/>
      <c r="L199" s="18"/>
      <c r="N199" s="18"/>
      <c r="O199" s="18"/>
      <c r="P199" s="18"/>
      <c r="Q199" s="18"/>
      <c r="R199" s="18"/>
      <c r="S199" s="18"/>
    </row>
    <row r="200" spans="1:49" ht="15" customHeight="1">
      <c r="A200" s="230"/>
      <c r="B200" s="231" t="str">
        <f>FOOT1</f>
        <v>Evergy Business Energy Savings Program</v>
      </c>
      <c r="C200" s="231"/>
      <c r="D200" s="231"/>
      <c r="E200" s="231"/>
      <c r="F200" s="231"/>
      <c r="G200" s="231"/>
      <c r="H200" s="231"/>
      <c r="I200" s="231"/>
      <c r="J200" s="231"/>
      <c r="K200" s="231"/>
      <c r="L200" s="231"/>
      <c r="M200" s="231"/>
      <c r="N200" s="231"/>
      <c r="O200" s="231"/>
      <c r="P200" s="231"/>
      <c r="Q200" s="603" t="str">
        <f>FOOTDISCLAIM</f>
        <v/>
      </c>
      <c r="R200" s="603"/>
      <c r="S200" s="603"/>
      <c r="T200" s="603"/>
      <c r="U200" s="603"/>
      <c r="V200" s="603"/>
      <c r="W200" s="603"/>
      <c r="X200" s="603"/>
      <c r="Y200" s="603"/>
      <c r="Z200" s="603"/>
      <c r="AA200" s="603"/>
      <c r="AB200" s="603"/>
      <c r="AC200" s="603"/>
      <c r="AD200" s="603"/>
      <c r="AE200" s="603"/>
      <c r="AF200" s="603"/>
      <c r="AG200" s="603"/>
      <c r="AH200" s="603"/>
      <c r="AI200" s="603"/>
      <c r="AJ200" s="603"/>
      <c r="AK200" s="603"/>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231"/>
      <c r="P201" s="231"/>
      <c r="Q201" s="603"/>
      <c r="R201" s="603"/>
      <c r="S201" s="603"/>
      <c r="T201" s="603"/>
      <c r="U201" s="603"/>
      <c r="V201" s="603"/>
      <c r="W201" s="603"/>
      <c r="X201" s="603"/>
      <c r="Y201" s="603"/>
      <c r="Z201" s="603"/>
      <c r="AA201" s="603"/>
      <c r="AB201" s="603"/>
      <c r="AC201" s="603"/>
      <c r="AD201" s="603"/>
      <c r="AE201" s="603"/>
      <c r="AF201" s="603"/>
      <c r="AG201" s="603"/>
      <c r="AH201" s="603"/>
      <c r="AI201" s="603"/>
      <c r="AJ201" s="603"/>
      <c r="AK201" s="603"/>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1"/>
      <c r="P202" s="231"/>
      <c r="Q202" s="233"/>
      <c r="R202" s="231"/>
      <c r="S202" s="231"/>
      <c r="T202" s="233"/>
      <c r="U202" s="233"/>
      <c r="V202" s="233"/>
      <c r="W202" s="233"/>
      <c r="X202" s="233"/>
      <c r="Y202" s="233"/>
      <c r="Z202" s="233"/>
      <c r="AA202" s="234" t="str">
        <f>VERSION</f>
        <v>v3.0.0</v>
      </c>
      <c r="AB202" s="233"/>
      <c r="AC202" s="233"/>
      <c r="AD202" s="233"/>
      <c r="AE202" s="233"/>
      <c r="AF202" s="233"/>
      <c r="AG202" s="233"/>
      <c r="AH202" s="233"/>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Wy6ritjHEHELDafJJm1v7qPOcftp55NsAle2N0Xxw7Dse0mjGoso3Y/9/hc/5ggRbIWKNdSrcSGlsGSXxNQczA==" saltValue="l3k+C8nUfYa2IO8PVm4T9g==" spinCount="100000" sheet="1" objects="1" scenarios="1" selectLockedCells="1"/>
  <mergeCells count="63">
    <mergeCell ref="AD25:AL25"/>
    <mergeCell ref="L11:R13"/>
    <mergeCell ref="AP1:AS3"/>
    <mergeCell ref="F1:I3"/>
    <mergeCell ref="AS5:AW6"/>
    <mergeCell ref="AS7:AW7"/>
    <mergeCell ref="AS8:AW8"/>
    <mergeCell ref="J1:M3"/>
    <mergeCell ref="AL1:AO3"/>
    <mergeCell ref="Q1:AG3"/>
    <mergeCell ref="AT1:AW3"/>
    <mergeCell ref="A4:E6"/>
    <mergeCell ref="L16:AD19"/>
    <mergeCell ref="AF29:AL30"/>
    <mergeCell ref="AD22:AL22"/>
    <mergeCell ref="Q22:Z22"/>
    <mergeCell ref="L20:AL21"/>
    <mergeCell ref="Q23:Z23"/>
    <mergeCell ref="Q24:Z24"/>
    <mergeCell ref="A7:E8"/>
    <mergeCell ref="S11:AL13"/>
    <mergeCell ref="M29:AE30"/>
    <mergeCell ref="Q26:Z26"/>
    <mergeCell ref="A9:AW10"/>
    <mergeCell ref="Q25:Z25"/>
    <mergeCell ref="AD23:AL23"/>
    <mergeCell ref="AD24:AL24"/>
    <mergeCell ref="AB38:AK39"/>
    <mergeCell ref="M38:V39"/>
    <mergeCell ref="AB36:AK37"/>
    <mergeCell ref="M36:V37"/>
    <mergeCell ref="AD26:AL26"/>
    <mergeCell ref="W34:AA42"/>
    <mergeCell ref="L32:AL33"/>
    <mergeCell ref="Q200:AK201"/>
    <mergeCell ref="L72:X72"/>
    <mergeCell ref="L76:AL77"/>
    <mergeCell ref="L73:X74"/>
    <mergeCell ref="Z48:AH49"/>
    <mergeCell ref="M48:P49"/>
    <mergeCell ref="Q48:Y49"/>
    <mergeCell ref="X65:AC65"/>
    <mergeCell ref="O63:T63"/>
    <mergeCell ref="O64:T64"/>
    <mergeCell ref="O65:T65"/>
    <mergeCell ref="AG63:AL63"/>
    <mergeCell ref="AG65:AL65"/>
    <mergeCell ref="AG64:AL64"/>
    <mergeCell ref="X63:AC63"/>
    <mergeCell ref="X64:AC64"/>
    <mergeCell ref="L69:AL70"/>
    <mergeCell ref="L51:AL52"/>
    <mergeCell ref="Z43:AH43"/>
    <mergeCell ref="Z44:AH45"/>
    <mergeCell ref="Z46:AH47"/>
    <mergeCell ref="M46:P47"/>
    <mergeCell ref="Q43:Y43"/>
    <mergeCell ref="Q44:Y45"/>
    <mergeCell ref="Q46:Y47"/>
    <mergeCell ref="L57:T58"/>
    <mergeCell ref="L55:T56"/>
    <mergeCell ref="V59:AB61"/>
    <mergeCell ref="M44:P45"/>
  </mergeCells>
  <conditionalFormatting sqref="AS8:AW8">
    <cfRule type="expression" dxfId="30" priority="1">
      <formula>IF($AS$8=PROJSTATMEASURE,FALSE,TRUE)</formula>
    </cfRule>
  </conditionalFormatting>
  <hyperlinks>
    <hyperlink ref="AC74" r:id="rId1" xr:uid="{00000000-0004-0000-1000-000001000000}"/>
    <hyperlink ref="AY59" r:id="rId2" xr:uid="{BB4D2701-8032-4B82-A432-61780740EEE8}"/>
    <hyperlink ref="AY52" r:id="rId3" xr:uid="{8AE24C3C-3A48-4A3C-B6D7-5A49715A57CD}"/>
    <hyperlink ref="B202" r:id="rId4" xr:uid="{999D9534-F787-437E-B9B6-5786524C6DCD}"/>
    <hyperlink ref="J1:M3" location="'M01-S02'!J1" tooltip="Instructions" display="'M01-S02'!J1" xr:uid="{9E198052-AC96-4D58-9D65-E46C11208AEB}"/>
    <hyperlink ref="AP1:AS3" location="'M05-S05'!AL1" tooltip=" " display="'M05-S05'!AL1" xr:uid="{E7F27D39-8149-441A-BF25-F5D6070E1F25}"/>
    <hyperlink ref="AL1:AO3" location="'M05-S04'!AH1" tooltip=" " display="'M05-S04'!AH1" xr:uid="{4AEEB9C8-B472-47ED-B1EB-0674518617A9}"/>
    <hyperlink ref="AT1:AW3" location="'M01-S03'!AP1" tooltip="Contact" display="'M01-S03'!AP1" xr:uid="{DD93DE77-925B-46F4-B1BB-5CDD602DB617}"/>
  </hyperlinks>
  <printOptions horizontalCentered="1"/>
  <pageMargins left="0" right="0" top="0" bottom="0" header="0" footer="0"/>
  <pageSetup scale="77" orientation="portrait" r:id="rId5"/>
  <colBreaks count="1" manualBreakCount="1">
    <brk id="40" max="1048575" man="1"/>
  </colBreaks>
  <drawing r:id="rId6"/>
  <extLst>
    <ext xmlns:x14="http://schemas.microsoft.com/office/spreadsheetml/2009/9/main" uri="{78C0D931-6437-407d-A8EE-F0AAD7539E65}">
      <x14:conditionalFormattings>
        <x14:conditionalFormatting xmlns:xm="http://schemas.microsoft.com/office/excel/2006/main">
          <x14:cfRule type="expression" priority="798" id="{A92D400A-BA73-45BD-B0FB-AEEA08936BE3}">
            <xm:f>'M01-S01'!Q62-TODAY()&gt;=7</xm:f>
            <x14:dxf>
              <font>
                <b val="0"/>
                <i val="0"/>
                <color theme="1"/>
              </font>
            </x14:dxf>
          </x14:cfRule>
          <x14:cfRule type="expression" priority="799" id="{DF5BE1B5-151F-4191-9DDE-9812A30F0259}">
            <xm:f>AND('M01-S01'!Q62-TODAY()&lt;7,'M01-S01'!Q62-TODAY()&gt;2)</xm:f>
            <x14:dxf>
              <font>
                <b/>
                <i val="0"/>
                <color rgb="FFFF0000"/>
              </font>
            </x14:dxf>
          </x14:cfRule>
          <x14:cfRule type="expression" priority="801" id="{F6DAAC88-B8D6-415B-B7A9-77BF6AEEEEE1}">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S11</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09D62-F621-4C02-BD3B-FBFED369F35F}">
  <sheetPr codeName="Sheet16">
    <tabColor theme="8" tint="0.59999389629810485"/>
    <pageSetUpPr fitToPage="1"/>
  </sheetPr>
  <dimension ref="A1:AW202"/>
  <sheetViews>
    <sheetView showGridLines="0" showRowColHeaders="0" topLeftCell="A4" zoomScale="85" zoomScaleNormal="85" workbookViewId="0">
      <selection activeCell="M51" sqref="M51:Q52"/>
    </sheetView>
  </sheetViews>
  <sheetFormatPr defaultColWidth="0" defaultRowHeight="15.95" customHeight="1" zeroHeight="1"/>
  <cols>
    <col min="1" max="49" width="4.7109375" customWidth="1"/>
    <col min="50" max="16384" width="4.7109375" hidden="1"/>
  </cols>
  <sheetData>
    <row r="1" spans="1:4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49" ht="15.95" customHeight="1">
      <c r="A4" s="652">
        <f>INCENTOTAL</f>
        <v>0</v>
      </c>
      <c r="B4" s="652"/>
      <c r="C4" s="652"/>
      <c r="D4" s="652"/>
      <c r="E4" s="652"/>
      <c r="F4" s="435"/>
      <c r="G4" s="435"/>
      <c r="H4" s="435"/>
      <c r="I4" s="435"/>
    </row>
    <row r="5" spans="1:49" ht="15.95" customHeight="1">
      <c r="A5" s="653"/>
      <c r="B5" s="653"/>
      <c r="C5" s="653"/>
      <c r="D5" s="653"/>
      <c r="E5" s="653"/>
      <c r="F5" s="428"/>
      <c r="G5" s="428"/>
      <c r="H5" s="428"/>
      <c r="I5" s="428"/>
      <c r="AS5" s="630">
        <f ca="1">PROGRESSSTATUS</f>
        <v>0</v>
      </c>
      <c r="AT5" s="630"/>
      <c r="AU5" s="630"/>
      <c r="AV5" s="630"/>
      <c r="AW5" s="630"/>
    </row>
    <row r="6" spans="1:49" ht="15.95" customHeight="1">
      <c r="A6" s="653"/>
      <c r="B6" s="653"/>
      <c r="C6" s="653"/>
      <c r="D6" s="653"/>
      <c r="E6" s="653"/>
      <c r="F6" s="428"/>
      <c r="G6" s="428"/>
      <c r="H6" s="428"/>
      <c r="I6" s="428"/>
      <c r="AS6" s="630"/>
      <c r="AT6" s="630"/>
      <c r="AU6" s="630"/>
      <c r="AV6" s="630"/>
      <c r="AW6" s="630"/>
    </row>
    <row r="7" spans="1:49" ht="15.95" customHeight="1">
      <c r="A7" s="629" t="s">
        <v>83</v>
      </c>
      <c r="B7" s="629"/>
      <c r="C7" s="629"/>
      <c r="D7" s="629"/>
      <c r="E7" s="629"/>
      <c r="F7" s="85"/>
      <c r="G7" s="85"/>
      <c r="H7" s="85"/>
      <c r="I7" s="85"/>
      <c r="AS7" s="629" t="s">
        <v>299</v>
      </c>
      <c r="AT7" s="629"/>
      <c r="AU7" s="629"/>
      <c r="AV7" s="629"/>
      <c r="AW7" s="629"/>
    </row>
    <row r="8" spans="1:49" ht="15.95" customHeight="1" thickBot="1">
      <c r="A8" s="632"/>
      <c r="B8" s="632"/>
      <c r="C8" s="632"/>
      <c r="D8" s="632"/>
      <c r="E8" s="632"/>
      <c r="F8" s="429"/>
      <c r="G8" s="429"/>
      <c r="H8" s="429"/>
      <c r="I8" s="429"/>
      <c r="AS8" s="628" t="str">
        <f ca="1">PROJSTATUS</f>
        <v>Enter Measures</v>
      </c>
      <c r="AT8" s="628"/>
      <c r="AU8" s="628"/>
      <c r="AV8" s="628"/>
      <c r="AW8" s="628"/>
    </row>
    <row r="9" spans="1:49" ht="15.95" customHeight="1">
      <c r="A9" s="631" t="str">
        <f>M5S4</f>
        <v>Offer Form</v>
      </c>
      <c r="B9" s="631"/>
      <c r="C9" s="631"/>
      <c r="D9" s="631"/>
      <c r="E9" s="631"/>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c r="AT9" s="631"/>
      <c r="AU9" s="631"/>
      <c r="AV9" s="631"/>
      <c r="AW9" s="631"/>
    </row>
    <row r="10" spans="1:49" ht="15.95" customHeight="1">
      <c r="A10" s="621"/>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21"/>
      <c r="AO10" s="621"/>
      <c r="AP10" s="621"/>
      <c r="AQ10" s="621"/>
      <c r="AR10" s="621"/>
      <c r="AS10" s="621"/>
      <c r="AT10" s="621"/>
      <c r="AU10" s="621"/>
      <c r="AV10" s="621"/>
      <c r="AW10" s="621"/>
    </row>
    <row r="11" spans="1:49" ht="15.95" customHeight="1">
      <c r="H11" s="1393" t="s">
        <v>1406</v>
      </c>
      <c r="I11" s="1393"/>
      <c r="J11" s="1393"/>
      <c r="K11" s="1393"/>
      <c r="L11" s="1393"/>
      <c r="M11" s="1393"/>
      <c r="N11" s="1393"/>
      <c r="O11" s="1393"/>
      <c r="P11" s="1393"/>
      <c r="Q11" s="1393"/>
      <c r="R11" s="1393"/>
      <c r="S11" s="1393"/>
      <c r="T11" s="1393"/>
      <c r="U11" s="1393"/>
      <c r="V11" s="1393"/>
      <c r="W11" s="1393"/>
      <c r="X11" s="1393"/>
      <c r="Y11" s="1393"/>
      <c r="Z11" s="1393"/>
      <c r="AA11" s="1393"/>
      <c r="AB11" s="1393"/>
      <c r="AC11" s="1393"/>
      <c r="AD11" s="1393"/>
      <c r="AE11" s="1393"/>
      <c r="AF11" s="1393"/>
      <c r="AG11" s="1393"/>
      <c r="AH11" s="1393"/>
      <c r="AI11" s="1393"/>
      <c r="AJ11" s="1393"/>
      <c r="AK11" s="1393"/>
      <c r="AL11" s="1393"/>
      <c r="AM11" s="1393"/>
      <c r="AN11" s="1393"/>
      <c r="AO11" s="1393"/>
      <c r="AP11" s="1393"/>
      <c r="AQ11" s="436"/>
      <c r="AR11" s="436"/>
    </row>
    <row r="12" spans="1:49" ht="15.95" customHeight="1">
      <c r="H12" s="1393"/>
      <c r="I12" s="1393"/>
      <c r="J12" s="1393"/>
      <c r="K12" s="1393"/>
      <c r="L12" s="1393"/>
      <c r="M12" s="1393"/>
      <c r="N12" s="1393"/>
      <c r="O12" s="1393"/>
      <c r="P12" s="1393"/>
      <c r="Q12" s="1393"/>
      <c r="R12" s="1393"/>
      <c r="S12" s="1393"/>
      <c r="T12" s="1393"/>
      <c r="U12" s="1393"/>
      <c r="V12" s="1393"/>
      <c r="W12" s="1393"/>
      <c r="X12" s="1393"/>
      <c r="Y12" s="1393"/>
      <c r="Z12" s="1393"/>
      <c r="AA12" s="1393"/>
      <c r="AB12" s="1393"/>
      <c r="AC12" s="1393"/>
      <c r="AD12" s="1393"/>
      <c r="AE12" s="1393"/>
      <c r="AF12" s="1393"/>
      <c r="AG12" s="1393"/>
      <c r="AH12" s="1393"/>
      <c r="AI12" s="1393"/>
      <c r="AJ12" s="1393"/>
      <c r="AK12" s="1393"/>
      <c r="AL12" s="1393"/>
      <c r="AM12" s="1393"/>
      <c r="AN12" s="1393"/>
      <c r="AO12" s="1393"/>
      <c r="AP12" s="1393"/>
      <c r="AQ12" s="436"/>
      <c r="AR12" s="436"/>
    </row>
    <row r="13" spans="1:49" ht="15.95" customHeight="1">
      <c r="K13" s="122"/>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4"/>
    </row>
    <row r="14" spans="1:49" ht="15.95" customHeight="1">
      <c r="K14" s="125"/>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55"/>
    </row>
    <row r="15" spans="1:49" ht="15.95" customHeight="1">
      <c r="K15" s="125"/>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55"/>
    </row>
    <row r="16" spans="1:49" ht="15.95" customHeight="1">
      <c r="K16" s="125"/>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55"/>
    </row>
    <row r="17" spans="11:39" ht="15.95" customHeight="1">
      <c r="K17" s="125"/>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55"/>
    </row>
    <row r="18" spans="11:39" ht="15.95" customHeight="1">
      <c r="K18" s="125"/>
      <c r="L18" s="1391" t="s">
        <v>77</v>
      </c>
      <c r="M18" s="1391"/>
      <c r="N18" s="1391"/>
      <c r="O18" s="1391"/>
      <c r="P18" s="1391"/>
      <c r="Q18" s="1391"/>
      <c r="R18" s="1391"/>
      <c r="S18" s="1391"/>
      <c r="T18" s="1391"/>
      <c r="U18" s="1391"/>
      <c r="V18" s="1391"/>
      <c r="W18" s="1391"/>
      <c r="X18" s="1391"/>
      <c r="Y18" s="1391"/>
      <c r="Z18" s="252"/>
      <c r="AA18" s="252"/>
      <c r="AB18" s="252"/>
      <c r="AC18" s="252"/>
      <c r="AD18" s="252"/>
      <c r="AE18" s="1392" t="str">
        <f>CONCATENATE("Project # ",PROJID)</f>
        <v xml:space="preserve">Project # </v>
      </c>
      <c r="AF18" s="1392"/>
      <c r="AG18" s="1392"/>
      <c r="AH18" s="1392"/>
      <c r="AI18" s="1392"/>
      <c r="AJ18" s="1392"/>
      <c r="AK18" s="1392"/>
      <c r="AL18" s="1392"/>
      <c r="AM18" s="55"/>
    </row>
    <row r="19" spans="11:39" ht="15.95" customHeight="1">
      <c r="K19" s="125"/>
      <c r="L19" s="1391"/>
      <c r="M19" s="1391"/>
      <c r="N19" s="1391"/>
      <c r="O19" s="1391"/>
      <c r="P19" s="1391"/>
      <c r="Q19" s="1391"/>
      <c r="R19" s="1391"/>
      <c r="S19" s="1391"/>
      <c r="T19" s="1391"/>
      <c r="U19" s="1391"/>
      <c r="V19" s="1391"/>
      <c r="W19" s="1391"/>
      <c r="X19" s="1391"/>
      <c r="Y19" s="1391"/>
      <c r="Z19" s="252"/>
      <c r="AA19" s="252"/>
      <c r="AB19" s="252"/>
      <c r="AC19" s="252"/>
      <c r="AD19" s="252"/>
      <c r="AE19" s="1392"/>
      <c r="AF19" s="1392"/>
      <c r="AG19" s="1392"/>
      <c r="AH19" s="1392"/>
      <c r="AI19" s="1392"/>
      <c r="AJ19" s="1392"/>
      <c r="AK19" s="1392"/>
      <c r="AL19" s="1392"/>
      <c r="AM19" s="55"/>
    </row>
    <row r="20" spans="11:39" ht="15.95" customHeight="1">
      <c r="K20" s="125"/>
      <c r="L20" s="1391"/>
      <c r="M20" s="1391"/>
      <c r="N20" s="1391"/>
      <c r="O20" s="1391"/>
      <c r="P20" s="1391"/>
      <c r="Q20" s="1391"/>
      <c r="R20" s="1391"/>
      <c r="S20" s="1391"/>
      <c r="T20" s="1391"/>
      <c r="U20" s="1391"/>
      <c r="V20" s="1391"/>
      <c r="W20" s="1391"/>
      <c r="X20" s="1391"/>
      <c r="Y20" s="1391"/>
      <c r="Z20" s="252"/>
      <c r="AA20" s="252"/>
      <c r="AB20" s="252"/>
      <c r="AC20" s="252"/>
      <c r="AD20" s="252"/>
      <c r="AE20" s="1392"/>
      <c r="AF20" s="1392"/>
      <c r="AG20" s="1392"/>
      <c r="AH20" s="1392"/>
      <c r="AI20" s="1392"/>
      <c r="AJ20" s="1392"/>
      <c r="AK20" s="1392"/>
      <c r="AL20" s="1392"/>
      <c r="AM20" s="55"/>
    </row>
    <row r="21" spans="11:39" ht="15.95" customHeight="1">
      <c r="K21" s="125"/>
      <c r="L21" s="1394">
        <f>M02S03F01</f>
        <v>0</v>
      </c>
      <c r="M21" s="1394"/>
      <c r="N21" s="1394"/>
      <c r="O21" s="1394"/>
      <c r="P21" s="1394"/>
      <c r="Q21" s="1394"/>
      <c r="R21" s="1394"/>
      <c r="S21" s="1394"/>
      <c r="T21" s="1394"/>
      <c r="U21" s="1394"/>
      <c r="V21" s="1394"/>
      <c r="W21" s="1394"/>
      <c r="X21" s="1394"/>
      <c r="Y21" s="1394"/>
      <c r="Z21" s="1395">
        <f>M02S04F18</f>
        <v>0</v>
      </c>
      <c r="AA21" s="1395"/>
      <c r="AB21" s="1395"/>
      <c r="AC21" s="1395"/>
      <c r="AD21" s="1395"/>
      <c r="AE21" s="1395"/>
      <c r="AF21" s="1395"/>
      <c r="AG21" s="1395"/>
      <c r="AH21" s="1395"/>
      <c r="AI21" s="1395"/>
      <c r="AJ21" s="1395"/>
      <c r="AK21" s="1395"/>
      <c r="AL21" s="1395"/>
      <c r="AM21" s="55"/>
    </row>
    <row r="22" spans="11:39" ht="15.95" customHeight="1">
      <c r="K22" s="125"/>
      <c r="L22" s="1394"/>
      <c r="M22" s="1394"/>
      <c r="N22" s="1394"/>
      <c r="O22" s="1394"/>
      <c r="P22" s="1394"/>
      <c r="Q22" s="1394"/>
      <c r="R22" s="1394"/>
      <c r="S22" s="1394"/>
      <c r="T22" s="1394"/>
      <c r="U22" s="1394"/>
      <c r="V22" s="1394"/>
      <c r="W22" s="1394"/>
      <c r="X22" s="1394"/>
      <c r="Y22" s="1394"/>
      <c r="Z22" s="1395"/>
      <c r="AA22" s="1395"/>
      <c r="AB22" s="1395"/>
      <c r="AC22" s="1395"/>
      <c r="AD22" s="1395"/>
      <c r="AE22" s="1395"/>
      <c r="AF22" s="1395"/>
      <c r="AG22" s="1395"/>
      <c r="AH22" s="1395"/>
      <c r="AI22" s="1395"/>
      <c r="AJ22" s="1395"/>
      <c r="AK22" s="1395"/>
      <c r="AL22" s="1395"/>
      <c r="AM22" s="55"/>
    </row>
    <row r="23" spans="11:39" ht="15.95" customHeight="1">
      <c r="K23" s="125"/>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55"/>
    </row>
    <row r="24" spans="11:39" ht="15.95" customHeight="1">
      <c r="K24" s="125"/>
      <c r="L24" s="1396" t="s">
        <v>1390</v>
      </c>
      <c r="M24" s="1396"/>
      <c r="N24" s="1396"/>
      <c r="O24" s="1396"/>
      <c r="P24" s="1396"/>
      <c r="Q24" s="126"/>
      <c r="R24" s="1397" t="s">
        <v>1391</v>
      </c>
      <c r="S24" s="1397"/>
      <c r="T24" s="1397"/>
      <c r="U24" s="1397"/>
      <c r="V24" s="1397"/>
      <c r="W24" s="1397"/>
      <c r="X24" s="127"/>
      <c r="Y24" s="1397" t="s">
        <v>1392</v>
      </c>
      <c r="Z24" s="1397"/>
      <c r="AA24" s="1397"/>
      <c r="AB24" s="1397"/>
      <c r="AC24" s="1397"/>
      <c r="AD24" s="1397"/>
      <c r="AE24" s="127"/>
      <c r="AF24" s="1398" t="s">
        <v>2741</v>
      </c>
      <c r="AG24" s="1398"/>
      <c r="AH24" s="1398"/>
      <c r="AI24" s="1398"/>
      <c r="AJ24" s="1398"/>
      <c r="AK24" s="1398"/>
      <c r="AL24" s="127"/>
      <c r="AM24" s="55"/>
    </row>
    <row r="25" spans="11:39" ht="15.95" customHeight="1">
      <c r="K25" s="125"/>
      <c r="L25" s="1396"/>
      <c r="M25" s="1396"/>
      <c r="N25" s="1396"/>
      <c r="O25" s="1396"/>
      <c r="P25" s="1396"/>
      <c r="Q25" s="126"/>
      <c r="R25" s="1399">
        <f>M02S04F07</f>
        <v>0</v>
      </c>
      <c r="S25" s="1399"/>
      <c r="T25" s="1399"/>
      <c r="U25" s="1399"/>
      <c r="V25" s="1399"/>
      <c r="W25" s="1399"/>
      <c r="X25" s="128"/>
      <c r="Y25" s="1399" t="str">
        <f>CONCATENATE(M02S04F12," ",M02S04F13)</f>
        <v xml:space="preserve"> </v>
      </c>
      <c r="Z25" s="1399"/>
      <c r="AA25" s="1399"/>
      <c r="AB25" s="1399"/>
      <c r="AC25" s="1399"/>
      <c r="AD25" s="1399"/>
      <c r="AE25" s="128"/>
      <c r="AF25" s="1399" t="str">
        <f>CONCATENATE(M02S03F06," ",M02S03F07)</f>
        <v xml:space="preserve"> </v>
      </c>
      <c r="AG25" s="1399"/>
      <c r="AH25" s="1399"/>
      <c r="AI25" s="1399"/>
      <c r="AJ25" s="1399"/>
      <c r="AK25" s="1399"/>
      <c r="AL25" s="129"/>
      <c r="AM25" s="55"/>
    </row>
    <row r="26" spans="11:39" ht="15.95" customHeight="1">
      <c r="K26" s="125"/>
      <c r="L26" s="1396"/>
      <c r="M26" s="1396"/>
      <c r="N26" s="1396"/>
      <c r="O26" s="1396"/>
      <c r="P26" s="1396"/>
      <c r="Q26" s="126"/>
      <c r="R26" s="1399">
        <f>M02S04F08</f>
        <v>0</v>
      </c>
      <c r="S26" s="1399"/>
      <c r="T26" s="1399"/>
      <c r="U26" s="1399"/>
      <c r="V26" s="1399"/>
      <c r="W26" s="1399"/>
      <c r="X26" s="128"/>
      <c r="Y26" s="1400" t="str">
        <f>M02S04F15</f>
        <v/>
      </c>
      <c r="Z26" s="1400"/>
      <c r="AA26" s="1400"/>
      <c r="AB26" s="1400"/>
      <c r="AC26" s="1400"/>
      <c r="AD26" s="1400"/>
      <c r="AE26" s="130"/>
      <c r="AF26" s="1400">
        <f>M02S03F09</f>
        <v>0</v>
      </c>
      <c r="AG26" s="1400"/>
      <c r="AH26" s="1400"/>
      <c r="AI26" s="1400"/>
      <c r="AJ26" s="1400"/>
      <c r="AK26" s="1400"/>
      <c r="AL26" s="131"/>
      <c r="AM26" s="55"/>
    </row>
    <row r="27" spans="11:39" ht="15.95" customHeight="1">
      <c r="K27" s="125"/>
      <c r="L27" s="1396"/>
      <c r="M27" s="1396"/>
      <c r="N27" s="1396"/>
      <c r="O27" s="1396"/>
      <c r="P27" s="1396"/>
      <c r="Q27" s="126"/>
      <c r="R27" s="1399" t="str">
        <f>CONCATENATE(M02S04F09,", ",M02S04F10," ",M02S04F11)</f>
        <v xml:space="preserve">, MO </v>
      </c>
      <c r="S27" s="1399"/>
      <c r="T27" s="1399"/>
      <c r="U27" s="1399"/>
      <c r="V27" s="1399"/>
      <c r="W27" s="1399"/>
      <c r="X27" s="128"/>
      <c r="Y27" s="1399" t="str">
        <f>M02S04F16</f>
        <v/>
      </c>
      <c r="Z27" s="1399"/>
      <c r="AA27" s="1399"/>
      <c r="AB27" s="1399"/>
      <c r="AC27" s="1399"/>
      <c r="AD27" s="1399"/>
      <c r="AE27" s="128"/>
      <c r="AF27" s="1399">
        <f>M02S03F10</f>
        <v>0</v>
      </c>
      <c r="AG27" s="1399"/>
      <c r="AH27" s="1399"/>
      <c r="AI27" s="1399"/>
      <c r="AJ27" s="1399"/>
      <c r="AK27" s="1399"/>
      <c r="AL27" s="129"/>
      <c r="AM27" s="55"/>
    </row>
    <row r="28" spans="11:39" ht="15.95" customHeight="1">
      <c r="K28" s="125"/>
      <c r="L28" s="22"/>
      <c r="M28" s="22"/>
      <c r="N28" s="22"/>
      <c r="O28" s="22"/>
      <c r="P28" s="22"/>
      <c r="Q28" s="22"/>
      <c r="R28" s="132"/>
      <c r="S28" s="132"/>
      <c r="T28" s="132"/>
      <c r="U28" s="132"/>
      <c r="V28" s="132"/>
      <c r="W28" s="132"/>
      <c r="X28" s="132"/>
      <c r="Y28" s="132"/>
      <c r="Z28" s="132"/>
      <c r="AA28" s="132"/>
      <c r="AB28" s="132"/>
      <c r="AC28" s="132"/>
      <c r="AD28" s="132"/>
      <c r="AE28" s="132"/>
      <c r="AF28" s="132"/>
      <c r="AG28" s="132"/>
      <c r="AH28" s="132"/>
      <c r="AI28" s="132"/>
      <c r="AJ28" s="132"/>
      <c r="AK28" s="132"/>
      <c r="AL28" s="132"/>
      <c r="AM28" s="55"/>
    </row>
    <row r="29" spans="11:39" ht="15.95" customHeight="1">
      <c r="K29" s="125"/>
      <c r="L29" s="1354" t="s">
        <v>1393</v>
      </c>
      <c r="M29" s="1354"/>
      <c r="N29" s="1354"/>
      <c r="O29" s="1354"/>
      <c r="P29" s="1354"/>
      <c r="Q29" s="133"/>
      <c r="R29" s="1386" t="s">
        <v>76</v>
      </c>
      <c r="S29" s="1386"/>
      <c r="T29" s="1386"/>
      <c r="U29" s="1386"/>
      <c r="V29" s="1386"/>
      <c r="W29" s="1386"/>
      <c r="X29" s="134"/>
      <c r="Y29" s="1387" t="s">
        <v>79</v>
      </c>
      <c r="Z29" s="1387"/>
      <c r="AA29" s="1387"/>
      <c r="AB29" s="1387"/>
      <c r="AC29" s="1387"/>
      <c r="AD29" s="1387"/>
      <c r="AE29" s="134"/>
      <c r="AF29" s="134"/>
      <c r="AG29" s="134"/>
      <c r="AH29" s="134"/>
      <c r="AI29" s="134"/>
      <c r="AJ29" s="134"/>
      <c r="AK29" s="134"/>
      <c r="AL29" s="134"/>
      <c r="AM29" s="55"/>
    </row>
    <row r="30" spans="11:39" ht="15.95" customHeight="1">
      <c r="K30" s="125"/>
      <c r="L30" s="1354"/>
      <c r="M30" s="1354"/>
      <c r="N30" s="1354"/>
      <c r="O30" s="1354"/>
      <c r="P30" s="1354"/>
      <c r="Q30" s="133"/>
      <c r="R30" s="1388">
        <f>M02S02F02</f>
        <v>0</v>
      </c>
      <c r="S30" s="1388"/>
      <c r="T30" s="1388"/>
      <c r="U30" s="1388"/>
      <c r="V30" s="1388"/>
      <c r="W30" s="1388"/>
      <c r="X30" s="135"/>
      <c r="Y30" s="1388" t="str">
        <f>CONCATENATE(M02S02F07," ",M02S02F08)</f>
        <v xml:space="preserve"> </v>
      </c>
      <c r="Z30" s="1388"/>
      <c r="AA30" s="1388"/>
      <c r="AB30" s="1388"/>
      <c r="AC30" s="1388"/>
      <c r="AD30" s="1388"/>
      <c r="AE30" s="136"/>
      <c r="AF30" s="136"/>
      <c r="AG30" s="135"/>
      <c r="AH30" s="135"/>
      <c r="AI30" s="135"/>
      <c r="AJ30" s="135"/>
      <c r="AK30" s="135"/>
      <c r="AL30" s="137"/>
      <c r="AM30" s="55"/>
    </row>
    <row r="31" spans="11:39" ht="15.95" customHeight="1">
      <c r="K31" s="125"/>
      <c r="L31" s="1354"/>
      <c r="M31" s="1354"/>
      <c r="N31" s="1354"/>
      <c r="O31" s="1354"/>
      <c r="P31" s="1354"/>
      <c r="Q31" s="133"/>
      <c r="R31" s="1388">
        <f>M02S02F03</f>
        <v>0</v>
      </c>
      <c r="S31" s="1388"/>
      <c r="T31" s="1388"/>
      <c r="U31" s="1388"/>
      <c r="V31" s="1388"/>
      <c r="W31" s="1388"/>
      <c r="X31" s="135"/>
      <c r="Y31" s="1389">
        <f>M02S02F10</f>
        <v>0</v>
      </c>
      <c r="Z31" s="1389"/>
      <c r="AA31" s="1389"/>
      <c r="AB31" s="1389"/>
      <c r="AC31" s="1389"/>
      <c r="AD31" s="1389"/>
      <c r="AE31" s="136"/>
      <c r="AF31" s="136"/>
      <c r="AG31" s="138"/>
      <c r="AH31" s="138"/>
      <c r="AI31" s="138"/>
      <c r="AJ31" s="138"/>
      <c r="AK31" s="138"/>
      <c r="AL31" s="139"/>
      <c r="AM31" s="55"/>
    </row>
    <row r="32" spans="11:39" ht="15.95" customHeight="1">
      <c r="K32" s="125"/>
      <c r="L32" s="1354"/>
      <c r="M32" s="1354"/>
      <c r="N32" s="1354"/>
      <c r="O32" s="1354"/>
      <c r="P32" s="1354"/>
      <c r="Q32" s="133"/>
      <c r="R32" s="1388" t="str">
        <f>CONCATENATE(M02S02F04,", ",M02S02F05," ",M02S02F06)</f>
        <v xml:space="preserve">,  </v>
      </c>
      <c r="S32" s="1388"/>
      <c r="T32" s="1388"/>
      <c r="U32" s="1388"/>
      <c r="V32" s="1388"/>
      <c r="W32" s="1388"/>
      <c r="X32" s="135"/>
      <c r="Y32" s="1388">
        <f>M02S02F11</f>
        <v>0</v>
      </c>
      <c r="Z32" s="1388"/>
      <c r="AA32" s="1388"/>
      <c r="AB32" s="1388"/>
      <c r="AC32" s="1388"/>
      <c r="AD32" s="1388"/>
      <c r="AE32" s="136"/>
      <c r="AF32" s="136"/>
      <c r="AG32" s="135"/>
      <c r="AH32" s="135"/>
      <c r="AI32" s="135"/>
      <c r="AJ32" s="135"/>
      <c r="AK32" s="135"/>
      <c r="AL32" s="140"/>
      <c r="AM32" s="55"/>
    </row>
    <row r="33" spans="11:39" ht="15.95" customHeight="1">
      <c r="K33" s="125"/>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55"/>
    </row>
    <row r="34" spans="11:39" ht="15.95" customHeight="1">
      <c r="K34" s="125"/>
      <c r="L34" s="1354" t="s">
        <v>1721</v>
      </c>
      <c r="M34" s="1354"/>
      <c r="N34" s="1354"/>
      <c r="O34" s="1354"/>
      <c r="P34" s="1354"/>
      <c r="Q34" s="133"/>
      <c r="R34" s="1368" t="s">
        <v>2272</v>
      </c>
      <c r="S34" s="1368"/>
      <c r="T34" s="1368"/>
      <c r="U34" s="1368"/>
      <c r="V34" s="1369" t="s">
        <v>1108</v>
      </c>
      <c r="W34" s="1369"/>
      <c r="X34" s="1369"/>
      <c r="Y34" s="1369"/>
      <c r="Z34" s="1369"/>
      <c r="AA34" s="1369" t="s">
        <v>1404</v>
      </c>
      <c r="AB34" s="1369"/>
      <c r="AC34" s="1369"/>
      <c r="AD34" s="1369"/>
      <c r="AE34" s="1369"/>
      <c r="AF34" s="1369" t="s">
        <v>1726</v>
      </c>
      <c r="AG34" s="1369"/>
      <c r="AH34" s="1369"/>
      <c r="AI34" s="1369"/>
      <c r="AJ34" s="1369"/>
      <c r="AK34" s="141"/>
      <c r="AL34" s="141"/>
      <c r="AM34" s="55"/>
    </row>
    <row r="35" spans="11:39" ht="15.95" customHeight="1">
      <c r="K35" s="125"/>
      <c r="L35" s="1354"/>
      <c r="M35" s="1354"/>
      <c r="N35" s="1354"/>
      <c r="O35" s="1354"/>
      <c r="P35" s="1354"/>
      <c r="Q35" s="133"/>
      <c r="R35" s="1380" t="s">
        <v>1320</v>
      </c>
      <c r="S35" s="1381"/>
      <c r="T35" s="1381"/>
      <c r="U35" s="1381"/>
      <c r="V35" s="1390">
        <f ca="1">KWHTOTALPRESE</f>
        <v>0</v>
      </c>
      <c r="W35" s="1390"/>
      <c r="X35" s="1390"/>
      <c r="Y35" s="1390"/>
      <c r="Z35" s="1390"/>
      <c r="AA35" s="1384">
        <f ca="1">COSTTOTALPRESE</f>
        <v>0</v>
      </c>
      <c r="AB35" s="1384"/>
      <c r="AC35" s="1384"/>
      <c r="AD35" s="1384"/>
      <c r="AE35" s="1384"/>
      <c r="AF35" s="1384">
        <f>INCENTOTALPRESE</f>
        <v>0</v>
      </c>
      <c r="AG35" s="1384"/>
      <c r="AH35" s="1384"/>
      <c r="AI35" s="1384"/>
      <c r="AJ35" s="1385"/>
      <c r="AK35" s="137"/>
      <c r="AL35" s="137"/>
      <c r="AM35" s="55"/>
    </row>
    <row r="36" spans="11:39" ht="15.95" customHeight="1">
      <c r="K36" s="125"/>
      <c r="L36" s="1354"/>
      <c r="M36" s="1354"/>
      <c r="N36" s="1354"/>
      <c r="O36" s="1354"/>
      <c r="P36" s="1354"/>
      <c r="Q36" s="133"/>
      <c r="R36" s="1380" t="s">
        <v>135</v>
      </c>
      <c r="S36" s="1381"/>
      <c r="T36" s="1381"/>
      <c r="U36" s="1381"/>
      <c r="V36" s="1362">
        <f ca="1">KWHTOTALCUSE</f>
        <v>0</v>
      </c>
      <c r="W36" s="1362"/>
      <c r="X36" s="1362"/>
      <c r="Y36" s="1362"/>
      <c r="Z36" s="1362"/>
      <c r="AA36" s="1364">
        <f ca="1">COSTTOTALCUSE</f>
        <v>0</v>
      </c>
      <c r="AB36" s="1364"/>
      <c r="AC36" s="1364"/>
      <c r="AD36" s="1364"/>
      <c r="AE36" s="1364"/>
      <c r="AF36" s="1364">
        <f>INCENTOTALCUSE</f>
        <v>0</v>
      </c>
      <c r="AG36" s="1364"/>
      <c r="AH36" s="1364"/>
      <c r="AI36" s="1364"/>
      <c r="AJ36" s="1365"/>
      <c r="AK36" s="137"/>
      <c r="AL36" s="137"/>
      <c r="AM36" s="55"/>
    </row>
    <row r="37" spans="11:39" ht="15.95" customHeight="1">
      <c r="K37" s="125"/>
      <c r="L37" s="1354"/>
      <c r="M37" s="1354"/>
      <c r="N37" s="1354"/>
      <c r="O37" s="1354"/>
      <c r="P37" s="1354"/>
      <c r="Q37" s="133"/>
      <c r="R37" s="1382" t="s">
        <v>84</v>
      </c>
      <c r="S37" s="1383"/>
      <c r="T37" s="1383"/>
      <c r="U37" s="1383"/>
      <c r="V37" s="1363">
        <f ca="1">KWHTOTAL</f>
        <v>0</v>
      </c>
      <c r="W37" s="1363"/>
      <c r="X37" s="1363"/>
      <c r="Y37" s="1363"/>
      <c r="Z37" s="1363"/>
      <c r="AA37" s="1366">
        <f ca="1">COSTTOTAL</f>
        <v>0</v>
      </c>
      <c r="AB37" s="1366"/>
      <c r="AC37" s="1366"/>
      <c r="AD37" s="1366"/>
      <c r="AE37" s="1366"/>
      <c r="AF37" s="1366">
        <f>INCENTOTAL</f>
        <v>0</v>
      </c>
      <c r="AG37" s="1366"/>
      <c r="AH37" s="1366"/>
      <c r="AI37" s="1366"/>
      <c r="AJ37" s="1367"/>
      <c r="AK37" s="142"/>
      <c r="AL37" s="142"/>
      <c r="AM37" s="55"/>
    </row>
    <row r="38" spans="11:39" ht="15.95" customHeight="1">
      <c r="K38" s="125"/>
      <c r="AM38" s="55"/>
    </row>
    <row r="39" spans="11:39" ht="15.95" customHeight="1">
      <c r="K39" s="125"/>
      <c r="L39" s="1354" t="s">
        <v>1794</v>
      </c>
      <c r="M39" s="1354"/>
      <c r="N39" s="1354"/>
      <c r="O39" s="1354"/>
      <c r="P39" s="1354"/>
      <c r="Q39" s="143"/>
      <c r="R39" s="143"/>
      <c r="S39" s="143"/>
      <c r="T39" s="143"/>
      <c r="U39" s="143"/>
      <c r="V39" s="143"/>
      <c r="W39" s="143"/>
      <c r="X39" s="143"/>
      <c r="Y39" s="143"/>
      <c r="Z39" s="143"/>
      <c r="AA39" s="143"/>
      <c r="AB39" s="143"/>
      <c r="AC39" s="143"/>
      <c r="AD39" s="143"/>
      <c r="AE39" s="143"/>
      <c r="AF39" s="143"/>
      <c r="AG39" s="143"/>
      <c r="AH39" s="143"/>
      <c r="AI39" s="143"/>
      <c r="AJ39" s="144"/>
      <c r="AK39" s="144"/>
      <c r="AL39" s="144"/>
      <c r="AM39" s="55"/>
    </row>
    <row r="40" spans="11:39" ht="15.95" customHeight="1">
      <c r="K40" s="125"/>
      <c r="L40" s="1354"/>
      <c r="M40" s="1354"/>
      <c r="N40" s="1354"/>
      <c r="O40" s="1354"/>
      <c r="P40" s="1354"/>
      <c r="Q40" s="143"/>
      <c r="R40" s="143"/>
      <c r="S40" s="143"/>
      <c r="T40" s="143"/>
      <c r="U40" s="143"/>
      <c r="V40" s="143"/>
      <c r="W40" s="143"/>
      <c r="X40" s="143"/>
      <c r="Y40" s="143"/>
      <c r="Z40" s="143"/>
      <c r="AA40" s="143"/>
      <c r="AB40" s="143"/>
      <c r="AC40" s="143"/>
      <c r="AD40" s="143"/>
      <c r="AE40" s="143"/>
      <c r="AF40" s="143"/>
      <c r="AG40" s="143"/>
      <c r="AH40" s="143"/>
      <c r="AI40" s="143"/>
      <c r="AJ40" s="144"/>
      <c r="AK40" s="144"/>
      <c r="AL40" s="144"/>
      <c r="AM40" s="55"/>
    </row>
    <row r="41" spans="11:39" ht="15.95" customHeight="1">
      <c r="K41" s="125"/>
      <c r="L41" s="1354"/>
      <c r="M41" s="1354"/>
      <c r="N41" s="1354"/>
      <c r="O41" s="1354"/>
      <c r="P41" s="1354"/>
      <c r="Q41" s="136" t="s">
        <v>1394</v>
      </c>
      <c r="R41" s="135"/>
      <c r="S41" s="135"/>
      <c r="T41" s="135"/>
      <c r="U41" s="135"/>
      <c r="V41" s="135"/>
      <c r="W41" s="135"/>
      <c r="X41" s="135"/>
      <c r="Y41" s="135"/>
      <c r="Z41" s="136" t="s">
        <v>1395</v>
      </c>
      <c r="AA41" s="136"/>
      <c r="AB41" s="135"/>
      <c r="AC41" s="135"/>
      <c r="AD41" s="135"/>
      <c r="AE41" s="135"/>
      <c r="AF41" s="135"/>
      <c r="AG41" s="135"/>
      <c r="AH41" s="143"/>
      <c r="AI41" s="136" t="s">
        <v>1396</v>
      </c>
      <c r="AJ41" s="135"/>
      <c r="AK41" s="135"/>
      <c r="AL41" s="135"/>
      <c r="AM41" s="55"/>
    </row>
    <row r="42" spans="11:39" ht="15.95" customHeight="1">
      <c r="K42" s="125"/>
      <c r="L42" s="1354"/>
      <c r="M42" s="1354"/>
      <c r="N42" s="1354"/>
      <c r="O42" s="1354"/>
      <c r="P42" s="1354"/>
      <c r="Q42" s="1355"/>
      <c r="R42" s="1355"/>
      <c r="S42" s="1355"/>
      <c r="T42" s="1355"/>
      <c r="U42" s="1355"/>
      <c r="V42" s="1355"/>
      <c r="W42" s="1355"/>
      <c r="X42" s="1355"/>
      <c r="Y42" s="372"/>
      <c r="Z42" s="1359" t="str">
        <f>IF(Q42="","",Q42)</f>
        <v/>
      </c>
      <c r="AA42" s="1359"/>
      <c r="AB42" s="1359"/>
      <c r="AC42" s="1359"/>
      <c r="AD42" s="1359"/>
      <c r="AE42" s="1359"/>
      <c r="AF42" s="1359"/>
      <c r="AG42" s="1359"/>
      <c r="AH42" s="373"/>
      <c r="AI42" s="1360"/>
      <c r="AJ42" s="1360"/>
      <c r="AK42" s="1360"/>
      <c r="AL42" s="145"/>
      <c r="AM42" s="55"/>
    </row>
    <row r="43" spans="11:39" ht="15.95" customHeight="1">
      <c r="K43" s="125"/>
      <c r="L43" s="1354"/>
      <c r="M43" s="1354"/>
      <c r="N43" s="1354"/>
      <c r="O43" s="1354"/>
      <c r="P43" s="1354"/>
      <c r="Q43" s="1361" t="str">
        <f ca="1">IF(CELL("protect",Q42)=1,"eSignature Signed","")</f>
        <v>eSignature Signed</v>
      </c>
      <c r="R43" s="1361"/>
      <c r="S43" s="1361"/>
      <c r="T43" s="1361"/>
      <c r="U43" s="1361"/>
      <c r="V43" s="143"/>
      <c r="W43" s="143"/>
      <c r="X43" s="143"/>
      <c r="Y43" s="143"/>
      <c r="Z43" s="143"/>
      <c r="AA43" s="143"/>
      <c r="AB43" s="143"/>
      <c r="AC43" s="143"/>
      <c r="AD43" s="143"/>
      <c r="AE43" s="143"/>
      <c r="AF43" s="143"/>
      <c r="AG43" s="143"/>
      <c r="AH43" s="143"/>
      <c r="AI43" s="143"/>
      <c r="AJ43" s="143"/>
      <c r="AK43" s="143"/>
      <c r="AL43" s="143"/>
      <c r="AM43" s="55"/>
    </row>
    <row r="44" spans="11:39" ht="15.95" customHeight="1">
      <c r="K44" s="125"/>
      <c r="AM44" s="55"/>
    </row>
    <row r="45" spans="11:39" ht="15.95" customHeight="1">
      <c r="K45" s="125"/>
      <c r="L45" s="146"/>
      <c r="M45" s="1372" t="s">
        <v>1397</v>
      </c>
      <c r="N45" s="1372"/>
      <c r="O45" s="1372"/>
      <c r="P45" s="1372"/>
      <c r="Q45" s="1372"/>
      <c r="R45" s="1372"/>
      <c r="S45" s="1372"/>
      <c r="T45" s="1372"/>
      <c r="U45" s="1372"/>
      <c r="V45" s="1372"/>
      <c r="W45" s="1372"/>
      <c r="X45" s="147"/>
      <c r="Z45" s="146"/>
      <c r="AA45" s="1372" t="s">
        <v>1398</v>
      </c>
      <c r="AB45" s="1372"/>
      <c r="AC45" s="1372"/>
      <c r="AD45" s="1372"/>
      <c r="AE45" s="1372"/>
      <c r="AF45" s="1372"/>
      <c r="AG45" s="1372"/>
      <c r="AH45" s="1372"/>
      <c r="AI45" s="1372"/>
      <c r="AJ45" s="1372"/>
      <c r="AK45" s="1372"/>
      <c r="AL45" s="147"/>
      <c r="AM45" s="55"/>
    </row>
    <row r="46" spans="11:39" ht="15.95" customHeight="1">
      <c r="K46" s="125"/>
      <c r="L46" s="148"/>
      <c r="M46" s="1372"/>
      <c r="N46" s="1372"/>
      <c r="O46" s="1372"/>
      <c r="P46" s="1372"/>
      <c r="Q46" s="1372"/>
      <c r="R46" s="1372"/>
      <c r="S46" s="1372"/>
      <c r="T46" s="1372"/>
      <c r="U46" s="1372"/>
      <c r="V46" s="1372"/>
      <c r="W46" s="1372"/>
      <c r="X46" s="148"/>
      <c r="Z46" s="148"/>
      <c r="AA46" s="1372"/>
      <c r="AB46" s="1372"/>
      <c r="AC46" s="1372"/>
      <c r="AD46" s="1372"/>
      <c r="AE46" s="1372"/>
      <c r="AF46" s="1372"/>
      <c r="AG46" s="1372"/>
      <c r="AH46" s="1372"/>
      <c r="AI46" s="1372"/>
      <c r="AJ46" s="1372"/>
      <c r="AK46" s="1372"/>
      <c r="AL46" s="148"/>
      <c r="AM46" s="55"/>
    </row>
    <row r="47" spans="11:39" ht="15.95" customHeight="1">
      <c r="K47" s="125"/>
      <c r="L47" s="1373" t="s">
        <v>1399</v>
      </c>
      <c r="M47" s="1373"/>
      <c r="N47" s="1373"/>
      <c r="O47" s="1373"/>
      <c r="P47" s="1373"/>
      <c r="Q47" s="1373"/>
      <c r="R47" s="1373"/>
      <c r="S47" s="1373"/>
      <c r="T47" s="1373"/>
      <c r="U47" s="1373"/>
      <c r="V47" s="1373"/>
      <c r="W47" s="1373"/>
      <c r="X47" s="1373"/>
      <c r="Z47" s="1373" t="s">
        <v>1400</v>
      </c>
      <c r="AA47" s="1373"/>
      <c r="AB47" s="1373"/>
      <c r="AC47" s="1373"/>
      <c r="AD47" s="1373"/>
      <c r="AE47" s="1373"/>
      <c r="AF47" s="1373"/>
      <c r="AG47" s="1373"/>
      <c r="AH47" s="1373"/>
      <c r="AI47" s="1373"/>
      <c r="AJ47" s="1373"/>
      <c r="AK47" s="1373"/>
      <c r="AL47" s="1373"/>
      <c r="AM47" s="55"/>
    </row>
    <row r="48" spans="11:39" ht="15.95" customHeight="1">
      <c r="K48" s="125"/>
      <c r="L48" s="1373"/>
      <c r="M48" s="1373"/>
      <c r="N48" s="1373"/>
      <c r="O48" s="1373"/>
      <c r="P48" s="1373"/>
      <c r="Q48" s="1373"/>
      <c r="R48" s="1373"/>
      <c r="S48" s="1373"/>
      <c r="T48" s="1373"/>
      <c r="U48" s="1373"/>
      <c r="V48" s="1373"/>
      <c r="W48" s="1373"/>
      <c r="X48" s="1373"/>
      <c r="Z48" s="1373"/>
      <c r="AA48" s="1373"/>
      <c r="AB48" s="1373"/>
      <c r="AC48" s="1373"/>
      <c r="AD48" s="1373"/>
      <c r="AE48" s="1373"/>
      <c r="AF48" s="1373"/>
      <c r="AG48" s="1373"/>
      <c r="AH48" s="1373"/>
      <c r="AI48" s="1373"/>
      <c r="AJ48" s="1373"/>
      <c r="AK48" s="1373"/>
      <c r="AL48" s="1373"/>
      <c r="AM48" s="55"/>
    </row>
    <row r="49" spans="11:48" ht="15.95" customHeight="1">
      <c r="K49" s="125"/>
      <c r="L49" s="1373"/>
      <c r="M49" s="1373"/>
      <c r="N49" s="1373"/>
      <c r="O49" s="1373"/>
      <c r="P49" s="1373"/>
      <c r="Q49" s="1373"/>
      <c r="R49" s="1373"/>
      <c r="S49" s="1373"/>
      <c r="T49" s="1373"/>
      <c r="U49" s="1373"/>
      <c r="V49" s="1373"/>
      <c r="W49" s="1373"/>
      <c r="X49" s="1373"/>
      <c r="Z49" s="1373"/>
      <c r="AA49" s="1373"/>
      <c r="AB49" s="1373"/>
      <c r="AC49" s="1373"/>
      <c r="AD49" s="1373"/>
      <c r="AE49" s="1373"/>
      <c r="AF49" s="1373"/>
      <c r="AG49" s="1373"/>
      <c r="AH49" s="1373"/>
      <c r="AI49" s="1373"/>
      <c r="AJ49" s="1373"/>
      <c r="AK49" s="1373"/>
      <c r="AL49" s="1373"/>
      <c r="AM49" s="55"/>
    </row>
    <row r="50" spans="11:48" ht="15.95" customHeight="1">
      <c r="K50" s="125"/>
      <c r="L50" s="1373"/>
      <c r="M50" s="1373"/>
      <c r="N50" s="1373"/>
      <c r="O50" s="1373"/>
      <c r="P50" s="1373"/>
      <c r="Q50" s="1373"/>
      <c r="R50" s="1373"/>
      <c r="S50" s="1373"/>
      <c r="T50" s="1373"/>
      <c r="U50" s="1373"/>
      <c r="V50" s="1373"/>
      <c r="W50" s="1373"/>
      <c r="X50" s="1373"/>
      <c r="Z50" s="146"/>
      <c r="AA50" s="146"/>
      <c r="AB50" s="146"/>
      <c r="AC50" s="146"/>
      <c r="AD50" s="146"/>
      <c r="AE50" s="146"/>
      <c r="AF50" s="146"/>
      <c r="AG50" s="146"/>
      <c r="AH50" s="146"/>
      <c r="AI50" s="146"/>
      <c r="AJ50" s="146"/>
      <c r="AK50" s="146"/>
      <c r="AL50" s="146"/>
      <c r="AM50" s="55"/>
    </row>
    <row r="51" spans="11:48" ht="15.95" customHeight="1">
      <c r="K51" s="125"/>
      <c r="L51" s="146"/>
      <c r="M51" s="1374" t="s">
        <v>1467</v>
      </c>
      <c r="N51" s="1374"/>
      <c r="O51" s="1374"/>
      <c r="P51" s="1374"/>
      <c r="Q51" s="1374"/>
      <c r="R51" s="146"/>
      <c r="S51" s="1374" t="s">
        <v>1468</v>
      </c>
      <c r="T51" s="1374"/>
      <c r="U51" s="1374"/>
      <c r="V51" s="1374"/>
      <c r="W51" s="1374"/>
      <c r="X51" s="146"/>
      <c r="Z51" s="146"/>
      <c r="AA51" s="1376" t="s">
        <v>1401</v>
      </c>
      <c r="AB51" s="1376"/>
      <c r="AC51" s="1376"/>
      <c r="AD51" s="1376"/>
      <c r="AE51" s="1376"/>
      <c r="AF51" s="1376"/>
      <c r="AG51" s="1376"/>
      <c r="AH51" s="146"/>
      <c r="AI51" s="1374" t="s">
        <v>1396</v>
      </c>
      <c r="AJ51" s="1374"/>
      <c r="AK51" s="1374"/>
      <c r="AL51" s="146"/>
      <c r="AM51" s="55"/>
    </row>
    <row r="52" spans="11:48" ht="15.95" customHeight="1">
      <c r="K52" s="125"/>
      <c r="L52" s="146"/>
      <c r="M52" s="1375"/>
      <c r="N52" s="1375"/>
      <c r="O52" s="1375"/>
      <c r="P52" s="1375"/>
      <c r="Q52" s="1375"/>
      <c r="R52" s="146"/>
      <c r="S52" s="1375"/>
      <c r="T52" s="1375"/>
      <c r="U52" s="1375"/>
      <c r="V52" s="1375"/>
      <c r="W52" s="1375"/>
      <c r="X52" s="146"/>
      <c r="Z52" s="146"/>
      <c r="AA52" s="1377"/>
      <c r="AB52" s="1377"/>
      <c r="AC52" s="1377"/>
      <c r="AD52" s="1377"/>
      <c r="AE52" s="1377"/>
      <c r="AF52" s="1377"/>
      <c r="AG52" s="1377"/>
      <c r="AH52" s="146"/>
      <c r="AI52" s="1375"/>
      <c r="AJ52" s="1375"/>
      <c r="AK52" s="1375"/>
      <c r="AL52" s="146"/>
      <c r="AM52" s="55"/>
    </row>
    <row r="53" spans="11:48" ht="15.95" customHeight="1">
      <c r="K53" s="125"/>
      <c r="L53" s="146"/>
      <c r="M53" s="146"/>
      <c r="N53" s="146"/>
      <c r="O53" s="146"/>
      <c r="P53" s="146"/>
      <c r="Q53" s="146"/>
      <c r="R53" s="146"/>
      <c r="S53" s="146"/>
      <c r="T53" s="146"/>
      <c r="U53" s="146"/>
      <c r="V53" s="146"/>
      <c r="W53" s="146"/>
      <c r="X53" s="146"/>
      <c r="Z53" s="146"/>
      <c r="AA53" s="146"/>
      <c r="AB53" s="146"/>
      <c r="AC53" s="146"/>
      <c r="AD53" s="146"/>
      <c r="AE53" s="146"/>
      <c r="AF53" s="146"/>
      <c r="AG53" s="146"/>
      <c r="AH53" s="146"/>
      <c r="AI53" s="146"/>
      <c r="AJ53" s="146"/>
      <c r="AK53" s="146"/>
      <c r="AL53" s="146"/>
      <c r="AM53" s="55"/>
    </row>
    <row r="54" spans="11:48" ht="15.95" customHeight="1">
      <c r="K54" s="125"/>
      <c r="L54" s="146"/>
      <c r="M54" s="146"/>
      <c r="N54" s="146"/>
      <c r="O54" s="146"/>
      <c r="P54" s="146"/>
      <c r="Q54" s="146"/>
      <c r="R54" s="146"/>
      <c r="S54" s="146"/>
      <c r="T54" s="146"/>
      <c r="U54" s="146"/>
      <c r="V54" s="146"/>
      <c r="W54" s="146"/>
      <c r="X54" s="146"/>
      <c r="Z54" s="146"/>
      <c r="AA54" s="146"/>
      <c r="AB54" s="146"/>
      <c r="AC54" s="146"/>
      <c r="AD54" s="146"/>
      <c r="AE54" s="146"/>
      <c r="AF54" s="146"/>
      <c r="AG54" s="146"/>
      <c r="AH54" s="146"/>
      <c r="AI54" s="146"/>
      <c r="AJ54" s="146"/>
      <c r="AK54" s="146"/>
      <c r="AL54" s="146"/>
      <c r="AM54" s="55"/>
    </row>
    <row r="55" spans="11:48" ht="15.95" customHeight="1">
      <c r="K55" s="125"/>
      <c r="AM55" s="55"/>
    </row>
    <row r="56" spans="11:48" ht="15.95" customHeight="1">
      <c r="K56" s="125"/>
      <c r="L56" s="1370" t="s">
        <v>1402</v>
      </c>
      <c r="M56" s="1354" t="s">
        <v>1403</v>
      </c>
      <c r="N56" s="1354"/>
      <c r="O56" s="1354"/>
      <c r="P56" s="1354"/>
      <c r="Q56" s="256"/>
      <c r="R56" s="256"/>
      <c r="S56" s="256"/>
      <c r="T56" s="256"/>
      <c r="U56" s="256"/>
      <c r="V56" s="256"/>
      <c r="W56" s="256"/>
      <c r="X56" s="256"/>
      <c r="Y56" s="256"/>
      <c r="Z56" s="256"/>
      <c r="AA56" s="256"/>
      <c r="AB56" s="256"/>
      <c r="AC56" s="256"/>
      <c r="AD56" s="256"/>
      <c r="AE56" s="149"/>
      <c r="AF56" s="149"/>
      <c r="AG56" s="149"/>
      <c r="AH56" s="149"/>
      <c r="AI56" s="149"/>
      <c r="AJ56" s="149"/>
      <c r="AK56" s="149"/>
      <c r="AL56" s="149"/>
      <c r="AM56" s="55"/>
    </row>
    <row r="57" spans="11:48" ht="15.95" customHeight="1">
      <c r="K57" s="125"/>
      <c r="L57" s="1370"/>
      <c r="M57" s="1354"/>
      <c r="N57" s="1354"/>
      <c r="O57" s="1354"/>
      <c r="P57" s="1354"/>
      <c r="Q57" s="256"/>
      <c r="R57" s="1357" t="s">
        <v>1820</v>
      </c>
      <c r="S57" s="1357"/>
      <c r="T57" s="1357"/>
      <c r="U57" s="1357"/>
      <c r="V57" s="1357"/>
      <c r="W57" s="1357"/>
      <c r="X57" s="1357"/>
      <c r="Y57" s="1357"/>
      <c r="Z57" s="1357"/>
      <c r="AA57" s="1357"/>
      <c r="AB57" s="1357"/>
      <c r="AC57" s="1357"/>
      <c r="AD57" s="256"/>
      <c r="AE57" s="1358" t="s">
        <v>1786</v>
      </c>
      <c r="AF57" s="1358"/>
      <c r="AG57" s="1358"/>
      <c r="AH57" s="1358"/>
      <c r="AI57" s="1358"/>
      <c r="AJ57" s="1358"/>
      <c r="AK57" s="129"/>
      <c r="AL57" s="149"/>
      <c r="AM57" s="55"/>
    </row>
    <row r="58" spans="11:48" ht="15.95" customHeight="1">
      <c r="K58" s="125"/>
      <c r="L58" s="1370"/>
      <c r="M58" s="1354"/>
      <c r="N58" s="1354"/>
      <c r="O58" s="1354"/>
      <c r="P58" s="1354"/>
      <c r="Q58" s="256"/>
      <c r="R58" s="1357"/>
      <c r="S58" s="1357"/>
      <c r="T58" s="1357"/>
      <c r="U58" s="1357"/>
      <c r="V58" s="1357"/>
      <c r="W58" s="1357"/>
      <c r="X58" s="1357"/>
      <c r="Y58" s="1357"/>
      <c r="Z58" s="1357"/>
      <c r="AA58" s="1357"/>
      <c r="AB58" s="1357"/>
      <c r="AC58" s="1357"/>
      <c r="AD58" s="256"/>
      <c r="AE58" s="1358"/>
      <c r="AF58" s="1358"/>
      <c r="AG58" s="1358"/>
      <c r="AH58" s="1358"/>
      <c r="AI58" s="1358"/>
      <c r="AJ58" s="1358"/>
      <c r="AK58" s="129"/>
      <c r="AL58" s="146"/>
      <c r="AM58" s="55"/>
    </row>
    <row r="59" spans="11:48" ht="15.95" customHeight="1">
      <c r="K59" s="125"/>
      <c r="L59" s="1370"/>
      <c r="M59" s="1354"/>
      <c r="N59" s="1354"/>
      <c r="O59" s="1354"/>
      <c r="P59" s="1354"/>
      <c r="Q59" s="256"/>
      <c r="R59" s="1357"/>
      <c r="S59" s="1357"/>
      <c r="T59" s="1357"/>
      <c r="U59" s="1357"/>
      <c r="V59" s="1357"/>
      <c r="W59" s="1357"/>
      <c r="X59" s="1357"/>
      <c r="Y59" s="1357"/>
      <c r="Z59" s="1357"/>
      <c r="AA59" s="1357"/>
      <c r="AB59" s="1357"/>
      <c r="AC59" s="1357"/>
      <c r="AD59" s="256"/>
      <c r="AE59" s="1358"/>
      <c r="AF59" s="1358"/>
      <c r="AG59" s="1358"/>
      <c r="AH59" s="1358"/>
      <c r="AI59" s="1358"/>
      <c r="AJ59" s="1358"/>
      <c r="AK59" s="129"/>
      <c r="AL59" s="146"/>
      <c r="AM59" s="55"/>
      <c r="AO59" s="255"/>
      <c r="AP59" s="255"/>
      <c r="AQ59" s="255"/>
      <c r="AR59" s="255"/>
      <c r="AS59" s="255"/>
      <c r="AT59" s="255"/>
      <c r="AU59" s="255"/>
      <c r="AV59" s="255"/>
    </row>
    <row r="60" spans="11:48" ht="15.95" customHeight="1">
      <c r="K60" s="125"/>
      <c r="L60" s="1370"/>
      <c r="M60" s="1354"/>
      <c r="N60" s="1354"/>
      <c r="O60" s="1354"/>
      <c r="P60" s="1354"/>
      <c r="Q60" s="1356"/>
      <c r="R60" s="1356"/>
      <c r="S60" s="1356"/>
      <c r="T60" s="1356"/>
      <c r="U60" s="1356"/>
      <c r="V60" s="1356"/>
      <c r="W60" s="1356"/>
      <c r="X60" s="1356"/>
      <c r="Y60" s="1356"/>
      <c r="Z60" s="1356"/>
      <c r="AA60" s="1356"/>
      <c r="AB60" s="1356"/>
      <c r="AC60" s="1356"/>
      <c r="AD60" s="1356"/>
      <c r="AE60" s="1356"/>
      <c r="AF60" s="1356"/>
      <c r="AG60" s="1356"/>
      <c r="AH60" s="1356"/>
      <c r="AI60" s="1356"/>
      <c r="AJ60" s="1356"/>
      <c r="AK60" s="1356"/>
      <c r="AL60" s="1356"/>
      <c r="AM60" s="55"/>
      <c r="AO60" s="255"/>
      <c r="AP60" s="255"/>
      <c r="AQ60" s="255"/>
      <c r="AR60" s="255"/>
      <c r="AS60" s="255"/>
      <c r="AT60" s="255"/>
      <c r="AU60" s="255"/>
      <c r="AV60" s="255"/>
    </row>
    <row r="61" spans="11:48" ht="15.95" customHeight="1">
      <c r="K61" s="125"/>
      <c r="L61" s="1378" t="str">
        <f>"Please do not order or purchase anything before returning this signed Offer Form. For questions email or call at " &amp; Hotline &amp; "."</f>
        <v>Please do not order or purchase anything before returning this signed Offer Form. For questions email or call at (844)687-0229.</v>
      </c>
      <c r="M61" s="1378"/>
      <c r="N61" s="1378"/>
      <c r="O61" s="1378"/>
      <c r="P61" s="1378"/>
      <c r="Q61" s="1378"/>
      <c r="R61" s="1378"/>
      <c r="S61" s="1378"/>
      <c r="T61" s="1378"/>
      <c r="U61" s="1378"/>
      <c r="V61" s="1378"/>
      <c r="W61" s="1378"/>
      <c r="X61" s="1378"/>
      <c r="Y61" s="1378"/>
      <c r="Z61" s="1378"/>
      <c r="AA61" s="1378"/>
      <c r="AB61" s="1378"/>
      <c r="AC61" s="1378"/>
      <c r="AD61" s="1378"/>
      <c r="AE61" s="1378"/>
      <c r="AF61" s="1378"/>
      <c r="AG61" s="1378"/>
      <c r="AH61" s="1378"/>
      <c r="AI61" s="1378"/>
      <c r="AJ61" s="1378"/>
      <c r="AK61" s="1378"/>
      <c r="AL61" s="1378"/>
      <c r="AM61" s="55"/>
      <c r="AO61" s="255"/>
      <c r="AP61" s="255"/>
      <c r="AQ61" s="255"/>
      <c r="AR61" s="255"/>
      <c r="AS61" s="255"/>
      <c r="AT61" s="255"/>
      <c r="AU61" s="255"/>
      <c r="AV61" s="255"/>
    </row>
    <row r="62" spans="11:48" ht="15.95" customHeight="1">
      <c r="K62" s="125"/>
      <c r="L62" s="1379" t="s">
        <v>3046</v>
      </c>
      <c r="M62" s="1379"/>
      <c r="N62" s="1379"/>
      <c r="O62" s="1379"/>
      <c r="P62" s="1379"/>
      <c r="Q62" s="1379"/>
      <c r="R62" s="1379"/>
      <c r="S62" s="1379"/>
      <c r="T62" s="1379"/>
      <c r="U62" s="1379"/>
      <c r="V62" s="1379"/>
      <c r="W62" s="1379"/>
      <c r="X62" s="1379"/>
      <c r="Y62" s="1379"/>
      <c r="Z62" s="1379"/>
      <c r="AA62" s="1379"/>
      <c r="AB62" s="1379"/>
      <c r="AC62" s="1379"/>
      <c r="AD62" s="1379"/>
      <c r="AE62" s="1379"/>
      <c r="AF62" s="1379"/>
      <c r="AG62" s="1379"/>
      <c r="AH62" s="1379"/>
      <c r="AI62" s="1379"/>
      <c r="AJ62" s="1379"/>
      <c r="AK62" s="1379"/>
      <c r="AL62" s="1379"/>
      <c r="AM62" s="55"/>
      <c r="AO62" s="255"/>
      <c r="AP62" s="255"/>
      <c r="AQ62" s="255"/>
      <c r="AR62" s="255"/>
      <c r="AS62" s="255"/>
      <c r="AT62" s="255"/>
      <c r="AU62" s="255"/>
      <c r="AV62" s="255"/>
    </row>
    <row r="63" spans="11:48" ht="15.95" customHeight="1">
      <c r="K63" s="125"/>
      <c r="L63" s="1379"/>
      <c r="M63" s="1379"/>
      <c r="N63" s="1379"/>
      <c r="O63" s="1379"/>
      <c r="P63" s="1379"/>
      <c r="Q63" s="1379"/>
      <c r="R63" s="1379"/>
      <c r="S63" s="1379"/>
      <c r="T63" s="1379"/>
      <c r="U63" s="1379"/>
      <c r="V63" s="1379"/>
      <c r="W63" s="1379"/>
      <c r="X63" s="1379"/>
      <c r="Y63" s="1379"/>
      <c r="Z63" s="1379"/>
      <c r="AA63" s="1379"/>
      <c r="AB63" s="1379"/>
      <c r="AC63" s="1379"/>
      <c r="AD63" s="1379"/>
      <c r="AE63" s="1379"/>
      <c r="AF63" s="1379"/>
      <c r="AG63" s="1379"/>
      <c r="AH63" s="1379"/>
      <c r="AI63" s="1379"/>
      <c r="AJ63" s="1379"/>
      <c r="AK63" s="1379"/>
      <c r="AL63" s="1379"/>
      <c r="AM63" s="55"/>
    </row>
    <row r="64" spans="11:48" ht="15.95" customHeight="1">
      <c r="K64" s="125"/>
      <c r="L64" s="1379"/>
      <c r="M64" s="1379"/>
      <c r="N64" s="1379"/>
      <c r="O64" s="1379"/>
      <c r="P64" s="1379"/>
      <c r="Q64" s="1379"/>
      <c r="R64" s="1379"/>
      <c r="S64" s="1379"/>
      <c r="T64" s="1379"/>
      <c r="U64" s="1379"/>
      <c r="V64" s="1379"/>
      <c r="W64" s="1379"/>
      <c r="X64" s="1379"/>
      <c r="Y64" s="1379"/>
      <c r="Z64" s="1379"/>
      <c r="AA64" s="1379"/>
      <c r="AB64" s="1379"/>
      <c r="AC64" s="1379"/>
      <c r="AD64" s="1379"/>
      <c r="AE64" s="1379"/>
      <c r="AF64" s="1379"/>
      <c r="AG64" s="1379"/>
      <c r="AH64" s="1379"/>
      <c r="AI64" s="1379"/>
      <c r="AJ64" s="1379"/>
      <c r="AK64" s="1379"/>
      <c r="AL64" s="1379"/>
      <c r="AM64" s="55"/>
    </row>
    <row r="65" spans="11:49" ht="15.95" customHeight="1">
      <c r="K65" s="125"/>
      <c r="L65" s="1379"/>
      <c r="M65" s="1379"/>
      <c r="N65" s="1379"/>
      <c r="O65" s="1379"/>
      <c r="P65" s="1379"/>
      <c r="Q65" s="1379"/>
      <c r="R65" s="1379"/>
      <c r="S65" s="1379"/>
      <c r="T65" s="1379"/>
      <c r="U65" s="1379"/>
      <c r="V65" s="1379"/>
      <c r="W65" s="1379"/>
      <c r="X65" s="1379"/>
      <c r="Y65" s="1379"/>
      <c r="Z65" s="1379"/>
      <c r="AA65" s="1379"/>
      <c r="AB65" s="1379"/>
      <c r="AC65" s="1379"/>
      <c r="AD65" s="1379"/>
      <c r="AE65" s="1379"/>
      <c r="AF65" s="1379"/>
      <c r="AG65" s="1379"/>
      <c r="AH65" s="1379"/>
      <c r="AI65" s="1379"/>
      <c r="AJ65" s="1379"/>
      <c r="AK65" s="1379"/>
      <c r="AL65" s="1379"/>
      <c r="AM65" s="55"/>
    </row>
    <row r="66" spans="11:49" ht="15.95" customHeight="1">
      <c r="K66" s="125"/>
      <c r="L66" s="1379"/>
      <c r="M66" s="1379"/>
      <c r="N66" s="1379"/>
      <c r="O66" s="1379"/>
      <c r="P66" s="1379"/>
      <c r="Q66" s="1379"/>
      <c r="R66" s="1379"/>
      <c r="S66" s="1379"/>
      <c r="T66" s="1379"/>
      <c r="U66" s="1379"/>
      <c r="V66" s="1379"/>
      <c r="W66" s="1379"/>
      <c r="X66" s="1379"/>
      <c r="Y66" s="1379"/>
      <c r="Z66" s="1379"/>
      <c r="AA66" s="1379"/>
      <c r="AB66" s="1379"/>
      <c r="AC66" s="1379"/>
      <c r="AD66" s="1379"/>
      <c r="AE66" s="1379"/>
      <c r="AF66" s="1379"/>
      <c r="AG66" s="1379"/>
      <c r="AH66" s="1379"/>
      <c r="AI66" s="1379"/>
      <c r="AJ66" s="1379"/>
      <c r="AK66" s="1379"/>
      <c r="AL66" s="1379"/>
      <c r="AM66" s="55"/>
    </row>
    <row r="67" spans="11:49" ht="15.95" customHeight="1">
      <c r="K67" s="125"/>
      <c r="L67" s="1379"/>
      <c r="M67" s="1379"/>
      <c r="N67" s="1379"/>
      <c r="O67" s="1379"/>
      <c r="P67" s="1379"/>
      <c r="Q67" s="1379"/>
      <c r="R67" s="1379"/>
      <c r="S67" s="1379"/>
      <c r="T67" s="1379"/>
      <c r="U67" s="1379"/>
      <c r="V67" s="1379"/>
      <c r="W67" s="1379"/>
      <c r="X67" s="1379"/>
      <c r="Y67" s="1379"/>
      <c r="Z67" s="1379"/>
      <c r="AA67" s="1379"/>
      <c r="AB67" s="1379"/>
      <c r="AC67" s="1379"/>
      <c r="AD67" s="1379"/>
      <c r="AE67" s="1379"/>
      <c r="AF67" s="1379"/>
      <c r="AG67" s="1379"/>
      <c r="AH67" s="1379"/>
      <c r="AI67" s="1379"/>
      <c r="AJ67" s="1379"/>
      <c r="AK67" s="1379"/>
      <c r="AL67" s="1379"/>
      <c r="AM67" s="55"/>
    </row>
    <row r="68" spans="11:49" ht="15.95" customHeight="1">
      <c r="K68" s="125"/>
      <c r="L68" s="1379"/>
      <c r="M68" s="1379"/>
      <c r="N68" s="1379"/>
      <c r="O68" s="1379"/>
      <c r="P68" s="1379"/>
      <c r="Q68" s="1379"/>
      <c r="R68" s="1379"/>
      <c r="S68" s="1379"/>
      <c r="T68" s="1379"/>
      <c r="U68" s="1379"/>
      <c r="V68" s="1379"/>
      <c r="W68" s="1379"/>
      <c r="X68" s="1379"/>
      <c r="Y68" s="1379"/>
      <c r="Z68" s="1379"/>
      <c r="AA68" s="1379"/>
      <c r="AB68" s="1379"/>
      <c r="AC68" s="1379"/>
      <c r="AD68" s="1379"/>
      <c r="AE68" s="1379"/>
      <c r="AF68" s="1379"/>
      <c r="AG68" s="1379"/>
      <c r="AH68" s="1379"/>
      <c r="AI68" s="1379"/>
      <c r="AJ68" s="1379"/>
      <c r="AK68" s="1379"/>
      <c r="AL68" s="1379"/>
      <c r="AM68" s="55"/>
    </row>
    <row r="69" spans="11:49" ht="15.95" customHeight="1">
      <c r="K69" s="125"/>
      <c r="L69" s="1379"/>
      <c r="M69" s="1379"/>
      <c r="N69" s="1379"/>
      <c r="O69" s="1379"/>
      <c r="P69" s="1379"/>
      <c r="Q69" s="1379"/>
      <c r="R69" s="1379"/>
      <c r="S69" s="1379"/>
      <c r="T69" s="1379"/>
      <c r="U69" s="1379"/>
      <c r="V69" s="1379"/>
      <c r="W69" s="1379"/>
      <c r="X69" s="1379"/>
      <c r="Y69" s="1379"/>
      <c r="Z69" s="1379"/>
      <c r="AA69" s="1379"/>
      <c r="AB69" s="1379"/>
      <c r="AC69" s="1379"/>
      <c r="AD69" s="1379"/>
      <c r="AE69" s="1379"/>
      <c r="AF69" s="1379"/>
      <c r="AG69" s="1379"/>
      <c r="AH69" s="1379"/>
      <c r="AI69" s="1379"/>
      <c r="AJ69" s="1379"/>
      <c r="AK69" s="1379"/>
      <c r="AL69" s="1379"/>
      <c r="AM69" s="55"/>
    </row>
    <row r="70" spans="11:49" ht="15.95" customHeight="1">
      <c r="K70" s="125"/>
      <c r="L70" s="1379"/>
      <c r="M70" s="1379"/>
      <c r="N70" s="1379"/>
      <c r="O70" s="1379"/>
      <c r="P70" s="1379"/>
      <c r="Q70" s="1379"/>
      <c r="R70" s="1379"/>
      <c r="S70" s="1379"/>
      <c r="T70" s="1379"/>
      <c r="U70" s="1379"/>
      <c r="V70" s="1379"/>
      <c r="W70" s="1379"/>
      <c r="X70" s="1379"/>
      <c r="Y70" s="1379"/>
      <c r="Z70" s="1379"/>
      <c r="AA70" s="1379"/>
      <c r="AB70" s="1379"/>
      <c r="AC70" s="1379"/>
      <c r="AD70" s="1379"/>
      <c r="AE70" s="1379"/>
      <c r="AF70" s="1379"/>
      <c r="AG70" s="1379"/>
      <c r="AH70" s="1379"/>
      <c r="AI70" s="1379"/>
      <c r="AJ70" s="1379"/>
      <c r="AK70" s="1379"/>
      <c r="AL70" s="1379"/>
      <c r="AM70" s="55"/>
    </row>
    <row r="71" spans="11:49" ht="15.95" customHeight="1">
      <c r="K71" s="125"/>
      <c r="L71" s="1379"/>
      <c r="M71" s="1379"/>
      <c r="N71" s="1379"/>
      <c r="O71" s="1379"/>
      <c r="P71" s="1379"/>
      <c r="Q71" s="1379"/>
      <c r="R71" s="1379"/>
      <c r="S71" s="1379"/>
      <c r="T71" s="1379"/>
      <c r="U71" s="1379"/>
      <c r="V71" s="1379"/>
      <c r="W71" s="1379"/>
      <c r="X71" s="1379"/>
      <c r="Y71" s="1379"/>
      <c r="Z71" s="1379"/>
      <c r="AA71" s="1379"/>
      <c r="AB71" s="1379"/>
      <c r="AC71" s="1379"/>
      <c r="AD71" s="1379"/>
      <c r="AE71" s="1379"/>
      <c r="AF71" s="1379"/>
      <c r="AG71" s="1379"/>
      <c r="AH71" s="1379"/>
      <c r="AI71" s="1379"/>
      <c r="AJ71" s="1379"/>
      <c r="AK71" s="1379"/>
      <c r="AL71" s="1379"/>
      <c r="AM71" s="55"/>
    </row>
    <row r="72" spans="11:49" ht="15.95" customHeight="1">
      <c r="K72" s="125"/>
      <c r="L72" s="1371" t="str">
        <f>"Evergy Business Energy Savings Program • " &amp; Hotline &amp; " • businessrebates@evergy.com"</f>
        <v>Evergy Business Energy Savings Program • (844)687-0229 • businessrebates@evergy.com</v>
      </c>
      <c r="M72" s="1371"/>
      <c r="N72" s="1371"/>
      <c r="O72" s="1371"/>
      <c r="P72" s="1371"/>
      <c r="Q72" s="1371"/>
      <c r="R72" s="1371"/>
      <c r="S72" s="1371"/>
      <c r="T72" s="1371"/>
      <c r="U72" s="1371"/>
      <c r="V72" s="1371"/>
      <c r="W72" s="1371"/>
      <c r="X72" s="1371"/>
      <c r="Y72" s="1371"/>
      <c r="Z72" s="1371"/>
      <c r="AA72" s="1371"/>
      <c r="AB72" s="1371"/>
      <c r="AC72" s="1371"/>
      <c r="AD72" s="1371"/>
      <c r="AE72" s="1371"/>
      <c r="AF72" s="1371"/>
      <c r="AG72" s="1371"/>
      <c r="AH72" s="1371"/>
      <c r="AI72" s="1371"/>
      <c r="AJ72" s="1371"/>
      <c r="AK72" s="1371"/>
      <c r="AL72" s="1371"/>
      <c r="AM72" s="55"/>
      <c r="AW72" s="255"/>
    </row>
    <row r="73" spans="11:49" ht="15.95" customHeight="1">
      <c r="K73" s="125"/>
      <c r="L73" s="1371"/>
      <c r="M73" s="1371"/>
      <c r="N73" s="1371"/>
      <c r="O73" s="1371"/>
      <c r="P73" s="1371"/>
      <c r="Q73" s="1371"/>
      <c r="R73" s="1371"/>
      <c r="S73" s="1371"/>
      <c r="T73" s="1371"/>
      <c r="U73" s="1371"/>
      <c r="V73" s="1371"/>
      <c r="W73" s="1371"/>
      <c r="X73" s="1371"/>
      <c r="Y73" s="1371"/>
      <c r="Z73" s="1371"/>
      <c r="AA73" s="1371"/>
      <c r="AB73" s="1371"/>
      <c r="AC73" s="1371"/>
      <c r="AD73" s="1371"/>
      <c r="AE73" s="1371"/>
      <c r="AF73" s="1371"/>
      <c r="AG73" s="1371"/>
      <c r="AH73" s="1371"/>
      <c r="AI73" s="1371"/>
      <c r="AJ73" s="1371"/>
      <c r="AK73" s="1371"/>
      <c r="AL73" s="1371"/>
      <c r="AM73" s="55"/>
      <c r="AW73" s="255"/>
    </row>
    <row r="74" spans="11:49" ht="15.95" customHeight="1">
      <c r="K74" s="151"/>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3"/>
      <c r="AW74" s="255"/>
    </row>
    <row r="75" spans="11:49" ht="15.95" customHeight="1">
      <c r="AW75" s="255"/>
    </row>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4VsD4DWgERGRtzFcY9KSabNF4P7HfSqbQPNvw/0FZs1ahTxuA2iJFS4ZwSufJiT6dItcqCs7yz3Yjnquj5kynA==" saltValue="WF0bNsQMj/Dk8Ow7yfUsLA==" spinCount="100000" sheet="1" objects="1" scenarios="1" selectLockedCells="1"/>
  <mergeCells count="78">
    <mergeCell ref="L21:Y22"/>
    <mergeCell ref="Z21:AL22"/>
    <mergeCell ref="L24:P27"/>
    <mergeCell ref="R24:W24"/>
    <mergeCell ref="Y24:AD24"/>
    <mergeCell ref="AF24:AK24"/>
    <mergeCell ref="R25:W25"/>
    <mergeCell ref="Y25:AD25"/>
    <mergeCell ref="AF25:AK25"/>
    <mergeCell ref="R26:W26"/>
    <mergeCell ref="Y26:AD26"/>
    <mergeCell ref="AF26:AK26"/>
    <mergeCell ref="R27:W27"/>
    <mergeCell ref="Y27:AD27"/>
    <mergeCell ref="AF27:AK27"/>
    <mergeCell ref="AP1:AS3"/>
    <mergeCell ref="F1:I3"/>
    <mergeCell ref="J1:M3"/>
    <mergeCell ref="AL1:AO3"/>
    <mergeCell ref="Q1:AG3"/>
    <mergeCell ref="A9:AW10"/>
    <mergeCell ref="L18:Y20"/>
    <mergeCell ref="AE18:AL20"/>
    <mergeCell ref="AS5:AW6"/>
    <mergeCell ref="AS7:AW7"/>
    <mergeCell ref="AS8:AW8"/>
    <mergeCell ref="A4:E6"/>
    <mergeCell ref="A7:E8"/>
    <mergeCell ref="H11:AP12"/>
    <mergeCell ref="AF34:AJ34"/>
    <mergeCell ref="AF35:AJ35"/>
    <mergeCell ref="V34:Z34"/>
    <mergeCell ref="L29:P32"/>
    <mergeCell ref="R29:W29"/>
    <mergeCell ref="Y29:AD29"/>
    <mergeCell ref="R30:W30"/>
    <mergeCell ref="Y30:AD30"/>
    <mergeCell ref="R31:W31"/>
    <mergeCell ref="Y31:AD31"/>
    <mergeCell ref="R32:W32"/>
    <mergeCell ref="Y32:AD32"/>
    <mergeCell ref="V35:Z35"/>
    <mergeCell ref="AA35:AE35"/>
    <mergeCell ref="AA36:AE36"/>
    <mergeCell ref="AA37:AE37"/>
    <mergeCell ref="R35:U35"/>
    <mergeCell ref="R36:U36"/>
    <mergeCell ref="R37:U37"/>
    <mergeCell ref="O200:AI201"/>
    <mergeCell ref="L56:L60"/>
    <mergeCell ref="M56:P60"/>
    <mergeCell ref="L72:AL73"/>
    <mergeCell ref="M45:W46"/>
    <mergeCell ref="AA45:AK46"/>
    <mergeCell ref="L47:X50"/>
    <mergeCell ref="Z47:AL49"/>
    <mergeCell ref="M51:Q52"/>
    <mergeCell ref="S51:W52"/>
    <mergeCell ref="AA51:AG52"/>
    <mergeCell ref="L61:AL61"/>
    <mergeCell ref="L62:AL71"/>
    <mergeCell ref="AI51:AK52"/>
    <mergeCell ref="AT1:AW3"/>
    <mergeCell ref="L39:P43"/>
    <mergeCell ref="Q42:X42"/>
    <mergeCell ref="Q60:AL60"/>
    <mergeCell ref="R57:AC59"/>
    <mergeCell ref="AE57:AJ59"/>
    <mergeCell ref="Z42:AG42"/>
    <mergeCell ref="AI42:AK42"/>
    <mergeCell ref="Q43:U43"/>
    <mergeCell ref="V36:Z36"/>
    <mergeCell ref="V37:Z37"/>
    <mergeCell ref="AF36:AJ36"/>
    <mergeCell ref="AF37:AJ37"/>
    <mergeCell ref="L34:P37"/>
    <mergeCell ref="R34:U34"/>
    <mergeCell ref="AA34:AE34"/>
  </mergeCells>
  <conditionalFormatting sqref="M51">
    <cfRule type="containsBlanks" dxfId="26" priority="8">
      <formula>LEN(TRIM(M51))=0</formula>
    </cfRule>
    <cfRule type="expression" dxfId="25" priority="9">
      <formula>M51&lt;&gt;"project start date"</formula>
    </cfRule>
  </conditionalFormatting>
  <conditionalFormatting sqref="Q42 AI42">
    <cfRule type="containsBlanks" dxfId="24" priority="17">
      <formula>LEN(TRIM(Q42))=0</formula>
    </cfRule>
  </conditionalFormatting>
  <conditionalFormatting sqref="S51">
    <cfRule type="expression" dxfId="23" priority="6">
      <formula>S51&lt;&gt;"completion paperwork submission date"</formula>
    </cfRule>
    <cfRule type="containsBlanks" dxfId="22" priority="7">
      <formula>LEN(TRIM(S51))=0</formula>
    </cfRule>
  </conditionalFormatting>
  <conditionalFormatting sqref="AA51">
    <cfRule type="containsBlanks" dxfId="21" priority="4">
      <formula>LEN(TRIM(AA51))=0</formula>
    </cfRule>
    <cfRule type="expression" dxfId="20" priority="5">
      <formula>AA51&lt;&gt;"Customer Signature"</formula>
    </cfRule>
  </conditionalFormatting>
  <conditionalFormatting sqref="AI51">
    <cfRule type="containsBlanks" dxfId="19" priority="2">
      <formula>LEN(TRIM(AI51))=0</formula>
    </cfRule>
    <cfRule type="expression" dxfId="18" priority="3">
      <formula>AI51&lt;&gt;"Date"</formula>
    </cfRule>
  </conditionalFormatting>
  <conditionalFormatting sqref="AS8:AW8">
    <cfRule type="expression" dxfId="17" priority="1">
      <formula>IF($AS$8=PROJSTATMEASURE,FALSE,TRUE)</formula>
    </cfRule>
  </conditionalFormatting>
  <hyperlinks>
    <hyperlink ref="B202" r:id="rId1" xr:uid="{ABE9C549-C9FC-47CE-AE0D-7D2FF3B03001}"/>
    <hyperlink ref="AE57:AJ59" r:id="rId2" display="✉ Draft Email" xr:uid="{EB4A0270-9671-4D34-9177-4B46BAFDE71A}"/>
    <hyperlink ref="J1:M3" location="'M01-S02'!J1" tooltip="Instructions" display="'M01-S02'!J1" xr:uid="{6E1E5498-914C-4B88-A91E-0FE756D851E3}"/>
    <hyperlink ref="AP1:AS3" location="'M05-S05'!AL1" tooltip=" " display="'M05-S05'!AL1" xr:uid="{D7907815-646A-4A18-8D3B-2CF5E6BEF693}"/>
    <hyperlink ref="AL1:AO3" location="'M05-S04'!AH1" tooltip=" " display="'M05-S04'!AH1" xr:uid="{8809D877-505E-4000-A039-C887B2EC1EA3}"/>
    <hyperlink ref="AT1:AW3" location="'M01-S03'!AP1" tooltip="Contact" display="'M01-S03'!AP1" xr:uid="{C607FC88-5651-47FE-9930-CAF20001D788}"/>
  </hyperlinks>
  <printOptions horizontalCentered="1"/>
  <pageMargins left="0" right="0" top="0" bottom="0" header="0" footer="0"/>
  <pageSetup scale="80"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10" id="{B9D85186-1912-45A0-914D-00B615D77C57}">
            <xm:f>'M01-S01'!Q62-TODAY()&gt;=7</xm:f>
            <x14:dxf>
              <font>
                <b val="0"/>
                <i val="0"/>
                <color theme="1"/>
              </font>
            </x14:dxf>
          </x14:cfRule>
          <x14:cfRule type="expression" priority="11" id="{1AB1E336-16BD-4E47-8E59-7283F122EBC7}">
            <xm:f>AND('M01-S01'!Q62-TODAY()&lt;7,'M01-S01'!Q62-TODAY()&gt;2)</xm:f>
            <x14:dxf>
              <font>
                <b/>
                <i val="0"/>
                <color rgb="FFFF0000"/>
              </font>
            </x14:dxf>
          </x14:cfRule>
          <x14:cfRule type="expression" priority="12" id="{EF036CDB-59D6-4855-9AAE-3A8ACFC9B96D}">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H11</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1F16E-7DE8-4BC6-A2E5-D5A1C1D48D68}">
  <sheetPr codeName="Sheet17">
    <tabColor theme="8" tint="0.59999389629810485"/>
    <pageSetUpPr fitToPage="1"/>
  </sheetPr>
  <dimension ref="A1:AW202"/>
  <sheetViews>
    <sheetView showGridLines="0" showRowColHeaders="0" zoomScale="85" zoomScaleNormal="85" workbookViewId="0">
      <selection activeCell="M58" sqref="M58:S58"/>
    </sheetView>
  </sheetViews>
  <sheetFormatPr defaultColWidth="0" defaultRowHeight="15.95" customHeight="1" zeroHeight="1"/>
  <cols>
    <col min="1" max="49" width="4.7109375" customWidth="1"/>
    <col min="50" max="16384" width="4.7109375" hidden="1"/>
  </cols>
  <sheetData>
    <row r="1" spans="1:4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49" ht="15.95" customHeight="1">
      <c r="A4" s="652">
        <f>INCENTOTAL</f>
        <v>0</v>
      </c>
      <c r="B4" s="652"/>
      <c r="C4" s="652"/>
      <c r="D4" s="652"/>
      <c r="E4" s="652"/>
      <c r="F4" s="435"/>
      <c r="G4" s="435"/>
      <c r="H4" s="435"/>
      <c r="I4" s="435"/>
    </row>
    <row r="5" spans="1:49" ht="15.95" customHeight="1">
      <c r="A5" s="653"/>
      <c r="B5" s="653"/>
      <c r="C5" s="653"/>
      <c r="D5" s="653"/>
      <c r="E5" s="653"/>
      <c r="F5" s="428"/>
      <c r="G5" s="428"/>
      <c r="H5" s="428"/>
      <c r="I5" s="428"/>
      <c r="AS5" s="630">
        <f ca="1">PROGRESSSTATUS</f>
        <v>0</v>
      </c>
      <c r="AT5" s="630"/>
      <c r="AU5" s="630"/>
      <c r="AV5" s="630"/>
      <c r="AW5" s="630"/>
    </row>
    <row r="6" spans="1:49" ht="15.95" customHeight="1">
      <c r="A6" s="653"/>
      <c r="B6" s="653"/>
      <c r="C6" s="653"/>
      <c r="D6" s="653"/>
      <c r="E6" s="653"/>
      <c r="F6" s="428"/>
      <c r="G6" s="428"/>
      <c r="H6" s="428"/>
      <c r="I6" s="428"/>
      <c r="AS6" s="630"/>
      <c r="AT6" s="630"/>
      <c r="AU6" s="630"/>
      <c r="AV6" s="630"/>
      <c r="AW6" s="630"/>
    </row>
    <row r="7" spans="1:49" ht="15.95" customHeight="1">
      <c r="A7" s="629" t="s">
        <v>83</v>
      </c>
      <c r="B7" s="629"/>
      <c r="C7" s="629"/>
      <c r="D7" s="629"/>
      <c r="E7" s="629"/>
      <c r="F7" s="85"/>
      <c r="G7" s="85"/>
      <c r="H7" s="85"/>
      <c r="I7" s="85"/>
      <c r="AS7" s="629" t="s">
        <v>299</v>
      </c>
      <c r="AT7" s="629"/>
      <c r="AU7" s="629"/>
      <c r="AV7" s="629"/>
      <c r="AW7" s="629"/>
    </row>
    <row r="8" spans="1:49" ht="15.95" customHeight="1" thickBot="1">
      <c r="A8" s="632"/>
      <c r="B8" s="632"/>
      <c r="C8" s="632"/>
      <c r="D8" s="632"/>
      <c r="E8" s="632"/>
      <c r="F8" s="429"/>
      <c r="G8" s="429"/>
      <c r="H8" s="429"/>
      <c r="I8" s="429"/>
      <c r="AS8" s="628" t="str">
        <f ca="1">PROJSTATUS</f>
        <v>Enter Measures</v>
      </c>
      <c r="AT8" s="628"/>
      <c r="AU8" s="628"/>
      <c r="AV8" s="628"/>
      <c r="AW8" s="628"/>
    </row>
    <row r="9" spans="1:49" ht="15.95" customHeight="1">
      <c r="A9" s="631" t="str">
        <f>M5S5</f>
        <v>Completion Form</v>
      </c>
      <c r="B9" s="631"/>
      <c r="C9" s="631"/>
      <c r="D9" s="631"/>
      <c r="E9" s="631"/>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c r="AT9" s="631"/>
      <c r="AU9" s="631"/>
      <c r="AV9" s="631"/>
      <c r="AW9" s="631"/>
    </row>
    <row r="10" spans="1:49" ht="15.95" customHeight="1">
      <c r="A10" s="621"/>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21"/>
      <c r="AO10" s="621"/>
      <c r="AP10" s="621"/>
      <c r="AQ10" s="621"/>
      <c r="AR10" s="621"/>
      <c r="AS10" s="621"/>
      <c r="AT10" s="621"/>
      <c r="AU10" s="621"/>
      <c r="AV10" s="621"/>
      <c r="AW10" s="621"/>
    </row>
    <row r="11" spans="1:49" ht="15.95" customHeight="1">
      <c r="H11" s="1393" t="s">
        <v>1407</v>
      </c>
      <c r="I11" s="1393"/>
      <c r="J11" s="1393"/>
      <c r="K11" s="1393"/>
      <c r="L11" s="1393"/>
      <c r="M11" s="1393"/>
      <c r="N11" s="1393"/>
      <c r="O11" s="1393"/>
      <c r="P11" s="1393"/>
      <c r="Q11" s="1393"/>
      <c r="R11" s="1393"/>
      <c r="S11" s="1393"/>
      <c r="T11" s="1393"/>
      <c r="U11" s="1393"/>
      <c r="V11" s="1393"/>
      <c r="W11" s="1393"/>
      <c r="X11" s="1393"/>
      <c r="Y11" s="1393"/>
      <c r="Z11" s="1393"/>
      <c r="AA11" s="1393"/>
      <c r="AB11" s="1393"/>
      <c r="AC11" s="1393"/>
      <c r="AD11" s="1393"/>
      <c r="AE11" s="1393"/>
      <c r="AF11" s="1393"/>
      <c r="AG11" s="1393"/>
      <c r="AH11" s="1393"/>
      <c r="AI11" s="1393"/>
      <c r="AJ11" s="1393"/>
      <c r="AK11" s="1393"/>
      <c r="AL11" s="1393"/>
      <c r="AM11" s="1393"/>
      <c r="AN11" s="1393"/>
      <c r="AO11" s="1393"/>
      <c r="AP11" s="1393"/>
      <c r="AQ11" s="436"/>
      <c r="AR11" s="436"/>
    </row>
    <row r="12" spans="1:49" ht="15.95" customHeight="1">
      <c r="H12" s="1393"/>
      <c r="I12" s="1393"/>
      <c r="J12" s="1393"/>
      <c r="K12" s="1393"/>
      <c r="L12" s="1393"/>
      <c r="M12" s="1393"/>
      <c r="N12" s="1393"/>
      <c r="O12" s="1393"/>
      <c r="P12" s="1393"/>
      <c r="Q12" s="1393"/>
      <c r="R12" s="1393"/>
      <c r="S12" s="1393"/>
      <c r="T12" s="1393"/>
      <c r="U12" s="1393"/>
      <c r="V12" s="1393"/>
      <c r="W12" s="1393"/>
      <c r="X12" s="1393"/>
      <c r="Y12" s="1393"/>
      <c r="Z12" s="1393"/>
      <c r="AA12" s="1393"/>
      <c r="AB12" s="1393"/>
      <c r="AC12" s="1393"/>
      <c r="AD12" s="1393"/>
      <c r="AE12" s="1393"/>
      <c r="AF12" s="1393"/>
      <c r="AG12" s="1393"/>
      <c r="AH12" s="1393"/>
      <c r="AI12" s="1393"/>
      <c r="AJ12" s="1393"/>
      <c r="AK12" s="1393"/>
      <c r="AL12" s="1393"/>
      <c r="AM12" s="1393"/>
      <c r="AN12" s="1393"/>
      <c r="AO12" s="1393"/>
      <c r="AP12" s="1393"/>
      <c r="AQ12" s="436"/>
      <c r="AR12" s="436"/>
    </row>
    <row r="13" spans="1:49" ht="15.95" customHeight="1">
      <c r="K13" s="122"/>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4"/>
    </row>
    <row r="14" spans="1:49" ht="15.95" customHeight="1">
      <c r="K14" s="33"/>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155"/>
    </row>
    <row r="15" spans="1:49" ht="15.95" customHeight="1">
      <c r="K15" s="33"/>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155"/>
    </row>
    <row r="16" spans="1:49" ht="15.95" customHeight="1">
      <c r="K16" s="33"/>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155"/>
    </row>
    <row r="17" spans="11:45" ht="15.95" customHeight="1">
      <c r="K17" s="33"/>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155"/>
    </row>
    <row r="18" spans="11:45" ht="15.95" customHeight="1">
      <c r="K18" s="33"/>
      <c r="L18" s="1391" t="s">
        <v>78</v>
      </c>
      <c r="M18" s="1391"/>
      <c r="N18" s="1391"/>
      <c r="O18" s="1391"/>
      <c r="P18" s="1391"/>
      <c r="Q18" s="1391"/>
      <c r="R18" s="1391"/>
      <c r="S18" s="1391"/>
      <c r="T18" s="1391"/>
      <c r="U18" s="1391"/>
      <c r="V18" s="1391"/>
      <c r="W18" s="1391"/>
      <c r="X18" s="1391"/>
      <c r="Y18" s="1391"/>
      <c r="Z18" s="252"/>
      <c r="AA18" s="252"/>
      <c r="AB18" s="252"/>
      <c r="AC18" s="252"/>
      <c r="AD18" s="252"/>
      <c r="AE18" s="1392" t="str">
        <f>CONCATENATE("Project # ",PROJID)</f>
        <v xml:space="preserve">Project # </v>
      </c>
      <c r="AF18" s="1392"/>
      <c r="AG18" s="1392"/>
      <c r="AH18" s="1392"/>
      <c r="AI18" s="1392"/>
      <c r="AJ18" s="1392"/>
      <c r="AK18" s="1392"/>
      <c r="AL18" s="1392"/>
      <c r="AM18" s="155"/>
    </row>
    <row r="19" spans="11:45" ht="15.95" customHeight="1">
      <c r="K19" s="33"/>
      <c r="L19" s="1391"/>
      <c r="M19" s="1391"/>
      <c r="N19" s="1391"/>
      <c r="O19" s="1391"/>
      <c r="P19" s="1391"/>
      <c r="Q19" s="1391"/>
      <c r="R19" s="1391"/>
      <c r="S19" s="1391"/>
      <c r="T19" s="1391"/>
      <c r="U19" s="1391"/>
      <c r="V19" s="1391"/>
      <c r="W19" s="1391"/>
      <c r="X19" s="1391"/>
      <c r="Y19" s="1391"/>
      <c r="Z19" s="252"/>
      <c r="AA19" s="252"/>
      <c r="AB19" s="252"/>
      <c r="AC19" s="252"/>
      <c r="AD19" s="252"/>
      <c r="AE19" s="1392"/>
      <c r="AF19" s="1392"/>
      <c r="AG19" s="1392"/>
      <c r="AH19" s="1392"/>
      <c r="AI19" s="1392"/>
      <c r="AJ19" s="1392"/>
      <c r="AK19" s="1392"/>
      <c r="AL19" s="1392"/>
      <c r="AM19" s="155"/>
    </row>
    <row r="20" spans="11:45" ht="15.95" customHeight="1">
      <c r="K20" s="33"/>
      <c r="L20" s="1391"/>
      <c r="M20" s="1391"/>
      <c r="N20" s="1391"/>
      <c r="O20" s="1391"/>
      <c r="P20" s="1391"/>
      <c r="Q20" s="1391"/>
      <c r="R20" s="1391"/>
      <c r="S20" s="1391"/>
      <c r="T20" s="1391"/>
      <c r="U20" s="1391"/>
      <c r="V20" s="1391"/>
      <c r="W20" s="1391"/>
      <c r="X20" s="1391"/>
      <c r="Y20" s="1391"/>
      <c r="Z20" s="252"/>
      <c r="AA20" s="252"/>
      <c r="AB20" s="252"/>
      <c r="AC20" s="252"/>
      <c r="AD20" s="252"/>
      <c r="AE20" s="1392"/>
      <c r="AF20" s="1392"/>
      <c r="AG20" s="1392"/>
      <c r="AH20" s="1392"/>
      <c r="AI20" s="1392"/>
      <c r="AJ20" s="1392"/>
      <c r="AK20" s="1392"/>
      <c r="AL20" s="1392"/>
      <c r="AM20" s="155"/>
    </row>
    <row r="21" spans="11:45" ht="15.95" customHeight="1">
      <c r="K21" s="33"/>
      <c r="L21" s="1394">
        <f>M02S03F01</f>
        <v>0</v>
      </c>
      <c r="M21" s="1394"/>
      <c r="N21" s="1394"/>
      <c r="O21" s="1394"/>
      <c r="P21" s="1394"/>
      <c r="Q21" s="1394"/>
      <c r="R21" s="1394"/>
      <c r="S21" s="1394"/>
      <c r="T21" s="1394"/>
      <c r="U21" s="1394"/>
      <c r="V21" s="1394"/>
      <c r="W21" s="1394"/>
      <c r="X21" s="1394"/>
      <c r="Y21" s="1394"/>
      <c r="Z21" s="1395">
        <f>M02S04F18</f>
        <v>0</v>
      </c>
      <c r="AA21" s="1395"/>
      <c r="AB21" s="1395"/>
      <c r="AC21" s="1395"/>
      <c r="AD21" s="1395"/>
      <c r="AE21" s="1395"/>
      <c r="AF21" s="1395"/>
      <c r="AG21" s="1395"/>
      <c r="AH21" s="1395"/>
      <c r="AI21" s="1395"/>
      <c r="AJ21" s="1395"/>
      <c r="AK21" s="1395"/>
      <c r="AL21" s="1395"/>
      <c r="AM21" s="155"/>
    </row>
    <row r="22" spans="11:45" ht="15.95" customHeight="1">
      <c r="K22" s="33"/>
      <c r="L22" s="1394"/>
      <c r="M22" s="1394"/>
      <c r="N22" s="1394"/>
      <c r="O22" s="1394"/>
      <c r="P22" s="1394"/>
      <c r="Q22" s="1394"/>
      <c r="R22" s="1394"/>
      <c r="S22" s="1394"/>
      <c r="T22" s="1394"/>
      <c r="U22" s="1394"/>
      <c r="V22" s="1394"/>
      <c r="W22" s="1394"/>
      <c r="X22" s="1394"/>
      <c r="Y22" s="1394"/>
      <c r="Z22" s="1395"/>
      <c r="AA22" s="1395"/>
      <c r="AB22" s="1395"/>
      <c r="AC22" s="1395"/>
      <c r="AD22" s="1395"/>
      <c r="AE22" s="1395"/>
      <c r="AF22" s="1395"/>
      <c r="AG22" s="1395"/>
      <c r="AH22" s="1395"/>
      <c r="AI22" s="1395"/>
      <c r="AJ22" s="1395"/>
      <c r="AK22" s="1395"/>
      <c r="AL22" s="1395"/>
      <c r="AM22" s="155"/>
      <c r="AS22" t="s">
        <v>705</v>
      </c>
    </row>
    <row r="23" spans="11:45" ht="15.95" customHeight="1">
      <c r="K23" s="33"/>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155"/>
    </row>
    <row r="24" spans="11:45" ht="15.95" customHeight="1">
      <c r="K24" s="33"/>
      <c r="L24" s="1396" t="s">
        <v>1390</v>
      </c>
      <c r="M24" s="1396"/>
      <c r="N24" s="1396"/>
      <c r="O24" s="1396"/>
      <c r="P24" s="1396"/>
      <c r="Q24" s="126"/>
      <c r="R24" s="1397" t="s">
        <v>1391</v>
      </c>
      <c r="S24" s="1397"/>
      <c r="T24" s="1397"/>
      <c r="U24" s="1397"/>
      <c r="V24" s="1397"/>
      <c r="W24" s="1397"/>
      <c r="X24" s="127"/>
      <c r="Y24" s="1397" t="s">
        <v>1392</v>
      </c>
      <c r="Z24" s="1397"/>
      <c r="AA24" s="1397"/>
      <c r="AB24" s="1397"/>
      <c r="AC24" s="1397"/>
      <c r="AD24" s="1397"/>
      <c r="AE24" s="127"/>
      <c r="AF24" s="1398" t="s">
        <v>2741</v>
      </c>
      <c r="AG24" s="1398"/>
      <c r="AH24" s="1398"/>
      <c r="AI24" s="1398"/>
      <c r="AJ24" s="1398"/>
      <c r="AK24" s="1398"/>
      <c r="AL24" s="127"/>
      <c r="AM24" s="155"/>
    </row>
    <row r="25" spans="11:45" ht="15.95" customHeight="1">
      <c r="K25" s="33"/>
      <c r="L25" s="1396"/>
      <c r="M25" s="1396"/>
      <c r="N25" s="1396"/>
      <c r="O25" s="1396"/>
      <c r="P25" s="1396"/>
      <c r="Q25" s="126"/>
      <c r="R25" s="1399">
        <f>M02S04F07</f>
        <v>0</v>
      </c>
      <c r="S25" s="1399"/>
      <c r="T25" s="1399"/>
      <c r="U25" s="1399"/>
      <c r="V25" s="1399"/>
      <c r="W25" s="1399"/>
      <c r="X25" s="128"/>
      <c r="Y25" s="1399" t="str">
        <f>CONCATENATE(M02S04F12," ",M02S04F13)</f>
        <v xml:space="preserve"> </v>
      </c>
      <c r="Z25" s="1399"/>
      <c r="AA25" s="1399"/>
      <c r="AB25" s="1399"/>
      <c r="AC25" s="1399"/>
      <c r="AD25" s="1399"/>
      <c r="AE25" s="128"/>
      <c r="AF25" s="1399" t="str">
        <f>CONCATENATE(M02S03F06," ",M02S03F07)</f>
        <v xml:space="preserve"> </v>
      </c>
      <c r="AG25" s="1399"/>
      <c r="AH25" s="1399"/>
      <c r="AI25" s="1399"/>
      <c r="AJ25" s="1399"/>
      <c r="AK25" s="1399"/>
      <c r="AL25" s="129"/>
      <c r="AM25" s="155"/>
    </row>
    <row r="26" spans="11:45" ht="15.95" customHeight="1">
      <c r="K26" s="33"/>
      <c r="L26" s="1396"/>
      <c r="M26" s="1396"/>
      <c r="N26" s="1396"/>
      <c r="O26" s="1396"/>
      <c r="P26" s="1396"/>
      <c r="Q26" s="126"/>
      <c r="R26" s="1399">
        <f>M02S04F08</f>
        <v>0</v>
      </c>
      <c r="S26" s="1399"/>
      <c r="T26" s="1399"/>
      <c r="U26" s="1399"/>
      <c r="V26" s="1399"/>
      <c r="W26" s="1399"/>
      <c r="X26" s="128"/>
      <c r="Y26" s="1400" t="str">
        <f>M02S04F15</f>
        <v/>
      </c>
      <c r="Z26" s="1400"/>
      <c r="AA26" s="1400"/>
      <c r="AB26" s="1400"/>
      <c r="AC26" s="1400"/>
      <c r="AD26" s="1400"/>
      <c r="AE26" s="130"/>
      <c r="AF26" s="1400">
        <f>M02S03F09</f>
        <v>0</v>
      </c>
      <c r="AG26" s="1400"/>
      <c r="AH26" s="1400"/>
      <c r="AI26" s="1400"/>
      <c r="AJ26" s="1400"/>
      <c r="AK26" s="1400"/>
      <c r="AL26" s="131"/>
      <c r="AM26" s="155"/>
    </row>
    <row r="27" spans="11:45" ht="15.95" customHeight="1">
      <c r="K27" s="33"/>
      <c r="L27" s="1396"/>
      <c r="M27" s="1396"/>
      <c r="N27" s="1396"/>
      <c r="O27" s="1396"/>
      <c r="P27" s="1396"/>
      <c r="Q27" s="126"/>
      <c r="R27" s="1399" t="str">
        <f>CONCATENATE(M02S04F09,", ",M02S04F10," ",M02S04F11)</f>
        <v xml:space="preserve">, MO </v>
      </c>
      <c r="S27" s="1399"/>
      <c r="T27" s="1399"/>
      <c r="U27" s="1399"/>
      <c r="V27" s="1399"/>
      <c r="W27" s="1399"/>
      <c r="X27" s="128"/>
      <c r="Y27" s="1399" t="str">
        <f>M02S04F16</f>
        <v/>
      </c>
      <c r="Z27" s="1399"/>
      <c r="AA27" s="1399"/>
      <c r="AB27" s="1399"/>
      <c r="AC27" s="1399"/>
      <c r="AD27" s="1399"/>
      <c r="AE27" s="128"/>
      <c r="AF27" s="1399">
        <f>M02S03F10</f>
        <v>0</v>
      </c>
      <c r="AG27" s="1399"/>
      <c r="AH27" s="1399"/>
      <c r="AI27" s="1399"/>
      <c r="AJ27" s="1399"/>
      <c r="AK27" s="1399"/>
      <c r="AL27" s="129"/>
      <c r="AM27" s="155"/>
    </row>
    <row r="28" spans="11:45" ht="15.95" customHeight="1">
      <c r="K28" s="33"/>
      <c r="L28" s="22"/>
      <c r="M28" s="22"/>
      <c r="N28" s="22"/>
      <c r="O28" s="22"/>
      <c r="P28" s="22"/>
      <c r="Q28" s="22"/>
      <c r="R28" s="132"/>
      <c r="S28" s="132"/>
      <c r="T28" s="132"/>
      <c r="U28" s="132"/>
      <c r="V28" s="132"/>
      <c r="W28" s="132"/>
      <c r="X28" s="132"/>
      <c r="Y28" s="132"/>
      <c r="Z28" s="132"/>
      <c r="AA28" s="132"/>
      <c r="AB28" s="132"/>
      <c r="AC28" s="132"/>
      <c r="AD28" s="132"/>
      <c r="AE28" s="132"/>
      <c r="AF28" s="132"/>
      <c r="AG28" s="132"/>
      <c r="AH28" s="132"/>
      <c r="AI28" s="132"/>
      <c r="AJ28" s="132"/>
      <c r="AK28" s="132"/>
      <c r="AL28" s="132"/>
      <c r="AM28" s="155"/>
    </row>
    <row r="29" spans="11:45" ht="15.95" customHeight="1">
      <c r="K29" s="33"/>
      <c r="L29" s="1354" t="s">
        <v>1393</v>
      </c>
      <c r="M29" s="1354"/>
      <c r="N29" s="1354"/>
      <c r="O29" s="1354"/>
      <c r="P29" s="1354"/>
      <c r="Q29" s="133"/>
      <c r="R29" s="1386" t="s">
        <v>76</v>
      </c>
      <c r="S29" s="1386"/>
      <c r="T29" s="1386"/>
      <c r="U29" s="1386"/>
      <c r="V29" s="1386"/>
      <c r="W29" s="1386"/>
      <c r="X29" s="134"/>
      <c r="Y29" s="1387" t="s">
        <v>79</v>
      </c>
      <c r="Z29" s="1387"/>
      <c r="AA29" s="1387"/>
      <c r="AB29" s="1387"/>
      <c r="AC29" s="1387"/>
      <c r="AD29" s="1387"/>
      <c r="AE29" s="134"/>
      <c r="AF29" s="134"/>
      <c r="AG29" s="134"/>
      <c r="AH29" s="134"/>
      <c r="AI29" s="134"/>
      <c r="AJ29" s="134"/>
      <c r="AK29" s="134"/>
      <c r="AL29" s="134"/>
      <c r="AM29" s="155"/>
    </row>
    <row r="30" spans="11:45" ht="15.95" customHeight="1">
      <c r="K30" s="33"/>
      <c r="L30" s="1354"/>
      <c r="M30" s="1354"/>
      <c r="N30" s="1354"/>
      <c r="O30" s="1354"/>
      <c r="P30" s="1354"/>
      <c r="Q30" s="133"/>
      <c r="R30" s="1388">
        <f>M02S02F02</f>
        <v>0</v>
      </c>
      <c r="S30" s="1388"/>
      <c r="T30" s="1388"/>
      <c r="U30" s="1388"/>
      <c r="V30" s="1388"/>
      <c r="W30" s="1388"/>
      <c r="X30" s="135"/>
      <c r="Y30" s="1388" t="str">
        <f>CONCATENATE(M02S02F07," ",M02S02F08)</f>
        <v xml:space="preserve"> </v>
      </c>
      <c r="Z30" s="1388"/>
      <c r="AA30" s="1388"/>
      <c r="AB30" s="1388"/>
      <c r="AC30" s="1388"/>
      <c r="AD30" s="1388"/>
      <c r="AE30" s="136"/>
      <c r="AF30" s="136"/>
      <c r="AG30" s="135"/>
      <c r="AH30" s="135"/>
      <c r="AI30" s="135"/>
      <c r="AJ30" s="135"/>
      <c r="AK30" s="135"/>
      <c r="AL30" s="137"/>
      <c r="AM30" s="155"/>
    </row>
    <row r="31" spans="11:45" ht="15.95" customHeight="1">
      <c r="K31" s="33"/>
      <c r="L31" s="1354"/>
      <c r="M31" s="1354"/>
      <c r="N31" s="1354"/>
      <c r="O31" s="1354"/>
      <c r="P31" s="1354"/>
      <c r="Q31" s="133"/>
      <c r="R31" s="1388">
        <f>M02S02F03</f>
        <v>0</v>
      </c>
      <c r="S31" s="1388"/>
      <c r="T31" s="1388"/>
      <c r="U31" s="1388"/>
      <c r="V31" s="1388"/>
      <c r="W31" s="1388"/>
      <c r="X31" s="135"/>
      <c r="Y31" s="1389">
        <f>M02S02F10</f>
        <v>0</v>
      </c>
      <c r="Z31" s="1389"/>
      <c r="AA31" s="1389"/>
      <c r="AB31" s="1389"/>
      <c r="AC31" s="1389"/>
      <c r="AD31" s="1389"/>
      <c r="AE31" s="136"/>
      <c r="AF31" s="136"/>
      <c r="AG31" s="138"/>
      <c r="AH31" s="138"/>
      <c r="AI31" s="138"/>
      <c r="AJ31" s="138"/>
      <c r="AK31" s="138"/>
      <c r="AL31" s="139"/>
      <c r="AM31" s="155"/>
    </row>
    <row r="32" spans="11:45" ht="15.95" customHeight="1">
      <c r="K32" s="33"/>
      <c r="L32" s="1354"/>
      <c r="M32" s="1354"/>
      <c r="N32" s="1354"/>
      <c r="O32" s="1354"/>
      <c r="P32" s="1354"/>
      <c r="Q32" s="133"/>
      <c r="R32" s="1388" t="str">
        <f>CONCATENATE(M02S02F04,", ",M02S02F05," ",M02S02F06)</f>
        <v xml:space="preserve">,  </v>
      </c>
      <c r="S32" s="1388"/>
      <c r="T32" s="1388"/>
      <c r="U32" s="1388"/>
      <c r="V32" s="1388"/>
      <c r="W32" s="1388"/>
      <c r="X32" s="135"/>
      <c r="Y32" s="1388">
        <f>M02S02F11</f>
        <v>0</v>
      </c>
      <c r="Z32" s="1388"/>
      <c r="AA32" s="1388"/>
      <c r="AB32" s="1388"/>
      <c r="AC32" s="1388"/>
      <c r="AD32" s="1388"/>
      <c r="AE32" s="136"/>
      <c r="AF32" s="136"/>
      <c r="AG32" s="135"/>
      <c r="AH32" s="135"/>
      <c r="AI32" s="135"/>
      <c r="AJ32" s="135"/>
      <c r="AK32" s="135"/>
      <c r="AL32" s="140"/>
      <c r="AM32" s="155"/>
    </row>
    <row r="33" spans="11:39" ht="15.95" customHeight="1">
      <c r="K33" s="33"/>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155"/>
    </row>
    <row r="34" spans="11:39" ht="15.95" customHeight="1">
      <c r="K34" s="33"/>
      <c r="L34" s="1354" t="s">
        <v>1721</v>
      </c>
      <c r="M34" s="1354"/>
      <c r="N34" s="1354"/>
      <c r="O34" s="1354"/>
      <c r="P34" s="1354"/>
      <c r="Q34" s="133"/>
      <c r="R34" s="1368" t="s">
        <v>2272</v>
      </c>
      <c r="S34" s="1368"/>
      <c r="T34" s="1368"/>
      <c r="U34" s="1368"/>
      <c r="V34" s="1369" t="s">
        <v>1108</v>
      </c>
      <c r="W34" s="1369"/>
      <c r="X34" s="1369"/>
      <c r="Y34" s="1369"/>
      <c r="Z34" s="1369"/>
      <c r="AA34" s="1369" t="s">
        <v>1404</v>
      </c>
      <c r="AB34" s="1369"/>
      <c r="AC34" s="1369"/>
      <c r="AD34" s="1369"/>
      <c r="AE34" s="1369"/>
      <c r="AF34" s="1369" t="s">
        <v>1726</v>
      </c>
      <c r="AG34" s="1369"/>
      <c r="AH34" s="1369"/>
      <c r="AI34" s="1369"/>
      <c r="AJ34" s="1369"/>
      <c r="AK34" s="141"/>
      <c r="AL34" s="141"/>
      <c r="AM34" s="155"/>
    </row>
    <row r="35" spans="11:39" ht="15.95" customHeight="1">
      <c r="K35" s="33"/>
      <c r="L35" s="1354"/>
      <c r="M35" s="1354"/>
      <c r="N35" s="1354"/>
      <c r="O35" s="1354"/>
      <c r="P35" s="1354"/>
      <c r="Q35" s="133"/>
      <c r="R35" s="1380" t="s">
        <v>1320</v>
      </c>
      <c r="S35" s="1381"/>
      <c r="T35" s="1381"/>
      <c r="U35" s="1381"/>
      <c r="V35" s="1390">
        <f ca="1">KWHTOTALPRESE</f>
        <v>0</v>
      </c>
      <c r="W35" s="1390"/>
      <c r="X35" s="1390"/>
      <c r="Y35" s="1390"/>
      <c r="Z35" s="1390"/>
      <c r="AA35" s="1384">
        <f ca="1">COSTTOTALPRESE</f>
        <v>0</v>
      </c>
      <c r="AB35" s="1384"/>
      <c r="AC35" s="1384"/>
      <c r="AD35" s="1384"/>
      <c r="AE35" s="1384"/>
      <c r="AF35" s="1384">
        <f>INCENTOTALPRESE</f>
        <v>0</v>
      </c>
      <c r="AG35" s="1384"/>
      <c r="AH35" s="1384"/>
      <c r="AI35" s="1384"/>
      <c r="AJ35" s="1385"/>
      <c r="AK35" s="137"/>
      <c r="AL35" s="137"/>
      <c r="AM35" s="155"/>
    </row>
    <row r="36" spans="11:39" ht="15.95" customHeight="1">
      <c r="K36" s="33"/>
      <c r="L36" s="1354"/>
      <c r="M36" s="1354"/>
      <c r="N36" s="1354"/>
      <c r="O36" s="1354"/>
      <c r="P36" s="1354"/>
      <c r="Q36" s="133"/>
      <c r="R36" s="1380" t="s">
        <v>135</v>
      </c>
      <c r="S36" s="1381"/>
      <c r="T36" s="1381"/>
      <c r="U36" s="1381"/>
      <c r="V36" s="1362">
        <f ca="1">KWHTOTALCUSE</f>
        <v>0</v>
      </c>
      <c r="W36" s="1362"/>
      <c r="X36" s="1362"/>
      <c r="Y36" s="1362"/>
      <c r="Z36" s="1362"/>
      <c r="AA36" s="1364">
        <f ca="1">COSTTOTALCUSE</f>
        <v>0</v>
      </c>
      <c r="AB36" s="1364"/>
      <c r="AC36" s="1364"/>
      <c r="AD36" s="1364"/>
      <c r="AE36" s="1364"/>
      <c r="AF36" s="1364">
        <f>INCENTOTALCUSE</f>
        <v>0</v>
      </c>
      <c r="AG36" s="1364"/>
      <c r="AH36" s="1364"/>
      <c r="AI36" s="1364"/>
      <c r="AJ36" s="1365"/>
      <c r="AK36" s="137"/>
      <c r="AL36" s="137"/>
      <c r="AM36" s="155"/>
    </row>
    <row r="37" spans="11:39" ht="15.95" customHeight="1">
      <c r="K37" s="33"/>
      <c r="L37" s="1354"/>
      <c r="M37" s="1354"/>
      <c r="N37" s="1354"/>
      <c r="O37" s="1354"/>
      <c r="P37" s="1354"/>
      <c r="Q37" s="133"/>
      <c r="R37" s="1382" t="s">
        <v>84</v>
      </c>
      <c r="S37" s="1383"/>
      <c r="T37" s="1383"/>
      <c r="U37" s="1383"/>
      <c r="V37" s="1363">
        <f ca="1">KWHTOTAL</f>
        <v>0</v>
      </c>
      <c r="W37" s="1363"/>
      <c r="X37" s="1363"/>
      <c r="Y37" s="1363"/>
      <c r="Z37" s="1363"/>
      <c r="AA37" s="1366">
        <f ca="1">COSTTOTAL</f>
        <v>0</v>
      </c>
      <c r="AB37" s="1366"/>
      <c r="AC37" s="1366"/>
      <c r="AD37" s="1366"/>
      <c r="AE37" s="1366"/>
      <c r="AF37" s="1366">
        <f>INCENTOTAL</f>
        <v>0</v>
      </c>
      <c r="AG37" s="1366"/>
      <c r="AH37" s="1366"/>
      <c r="AI37" s="1366"/>
      <c r="AJ37" s="1367"/>
      <c r="AK37" s="142"/>
      <c r="AL37" s="142"/>
      <c r="AM37" s="155"/>
    </row>
    <row r="38" spans="11:39" ht="15.95" customHeight="1">
      <c r="K38" s="33"/>
      <c r="N38" s="75"/>
      <c r="O38" s="75"/>
      <c r="P38" s="75"/>
      <c r="Q38" s="75"/>
      <c r="R38" s="75"/>
      <c r="S38" s="75"/>
      <c r="T38" s="75"/>
      <c r="U38" s="75"/>
      <c r="V38" s="75"/>
      <c r="W38" s="75"/>
      <c r="X38" s="156"/>
      <c r="Y38" s="22"/>
      <c r="AB38" s="75"/>
      <c r="AC38" s="75"/>
      <c r="AD38" s="75"/>
      <c r="AE38" s="75"/>
      <c r="AF38" s="75"/>
      <c r="AG38" s="75"/>
      <c r="AH38" s="75"/>
      <c r="AI38" s="75"/>
      <c r="AJ38" s="75"/>
      <c r="AK38" s="75"/>
      <c r="AL38" s="156"/>
      <c r="AM38" s="155"/>
    </row>
    <row r="39" spans="11:39" ht="15.95" customHeight="1">
      <c r="K39" s="33"/>
      <c r="L39" s="146"/>
      <c r="M39" s="1372" t="s">
        <v>1408</v>
      </c>
      <c r="N39" s="1372"/>
      <c r="O39" s="1372"/>
      <c r="P39" s="1372"/>
      <c r="Q39" s="1372"/>
      <c r="R39" s="1372"/>
      <c r="S39" s="1372"/>
      <c r="T39" s="1372"/>
      <c r="U39" s="1372"/>
      <c r="V39" s="1372"/>
      <c r="W39" s="1372"/>
      <c r="X39" s="148"/>
      <c r="Y39" s="22"/>
      <c r="Z39" s="146"/>
      <c r="AA39" s="1372" t="s">
        <v>1409</v>
      </c>
      <c r="AB39" s="1372"/>
      <c r="AC39" s="1372"/>
      <c r="AD39" s="1372"/>
      <c r="AE39" s="1372"/>
      <c r="AF39" s="1372"/>
      <c r="AG39" s="1372"/>
      <c r="AH39" s="1372"/>
      <c r="AI39" s="1372"/>
      <c r="AJ39" s="1372"/>
      <c r="AK39" s="1372"/>
      <c r="AL39" s="148"/>
      <c r="AM39" s="155"/>
    </row>
    <row r="40" spans="11:39" ht="15.95" customHeight="1">
      <c r="K40" s="33"/>
      <c r="L40" s="148"/>
      <c r="M40" s="1372"/>
      <c r="N40" s="1372"/>
      <c r="O40" s="1372"/>
      <c r="P40" s="1372"/>
      <c r="Q40" s="1372"/>
      <c r="R40" s="1372"/>
      <c r="S40" s="1372"/>
      <c r="T40" s="1372"/>
      <c r="U40" s="1372"/>
      <c r="V40" s="1372"/>
      <c r="W40" s="1372"/>
      <c r="X40" s="148"/>
      <c r="Y40" s="22"/>
      <c r="Z40" s="148"/>
      <c r="AA40" s="1372"/>
      <c r="AB40" s="1372"/>
      <c r="AC40" s="1372"/>
      <c r="AD40" s="1372"/>
      <c r="AE40" s="1372"/>
      <c r="AF40" s="1372"/>
      <c r="AG40" s="1372"/>
      <c r="AH40" s="1372"/>
      <c r="AI40" s="1372"/>
      <c r="AJ40" s="1372"/>
      <c r="AK40" s="1372"/>
      <c r="AL40" s="148"/>
      <c r="AM40" s="155"/>
    </row>
    <row r="41" spans="11:39" ht="15.95" customHeight="1">
      <c r="K41" s="33"/>
      <c r="L41" s="1373" t="s">
        <v>2322</v>
      </c>
      <c r="M41" s="1373"/>
      <c r="N41" s="1373"/>
      <c r="O41" s="1373"/>
      <c r="P41" s="1373"/>
      <c r="Q41" s="1373"/>
      <c r="R41" s="1373"/>
      <c r="S41" s="1373"/>
      <c r="T41" s="1373"/>
      <c r="U41" s="1373"/>
      <c r="V41" s="1373"/>
      <c r="W41" s="1373"/>
      <c r="X41" s="1373"/>
      <c r="Z41" s="1373" t="s">
        <v>1410</v>
      </c>
      <c r="AA41" s="1373"/>
      <c r="AB41" s="1373"/>
      <c r="AC41" s="1373"/>
      <c r="AD41" s="1373"/>
      <c r="AE41" s="1373"/>
      <c r="AF41" s="1373"/>
      <c r="AG41" s="1373"/>
      <c r="AH41" s="1373"/>
      <c r="AI41" s="1373"/>
      <c r="AJ41" s="1373"/>
      <c r="AK41" s="1373"/>
      <c r="AL41" s="1373"/>
      <c r="AM41" s="155"/>
    </row>
    <row r="42" spans="11:39" ht="15.95" customHeight="1">
      <c r="K42" s="33"/>
      <c r="L42" s="1373"/>
      <c r="M42" s="1373"/>
      <c r="N42" s="1373"/>
      <c r="O42" s="1373"/>
      <c r="P42" s="1373"/>
      <c r="Q42" s="1373"/>
      <c r="R42" s="1373"/>
      <c r="S42" s="1373"/>
      <c r="T42" s="1373"/>
      <c r="U42" s="1373"/>
      <c r="V42" s="1373"/>
      <c r="W42" s="1373"/>
      <c r="X42" s="1373"/>
      <c r="Z42" s="1373"/>
      <c r="AA42" s="1373"/>
      <c r="AB42" s="1373"/>
      <c r="AC42" s="1373"/>
      <c r="AD42" s="1373"/>
      <c r="AE42" s="1373"/>
      <c r="AF42" s="1373"/>
      <c r="AG42" s="1373"/>
      <c r="AH42" s="1373"/>
      <c r="AI42" s="1373"/>
      <c r="AJ42" s="1373"/>
      <c r="AK42" s="1373"/>
      <c r="AL42" s="1373"/>
      <c r="AM42" s="155"/>
    </row>
    <row r="43" spans="11:39" ht="15.95" customHeight="1">
      <c r="K43" s="33"/>
      <c r="L43" s="1373"/>
      <c r="M43" s="1373"/>
      <c r="N43" s="1373"/>
      <c r="O43" s="1373"/>
      <c r="P43" s="1373"/>
      <c r="Q43" s="1373"/>
      <c r="R43" s="1373"/>
      <c r="S43" s="1373"/>
      <c r="T43" s="1373"/>
      <c r="U43" s="1373"/>
      <c r="V43" s="1373"/>
      <c r="W43" s="1373"/>
      <c r="X43" s="1373"/>
      <c r="Z43" s="134" t="s">
        <v>1194</v>
      </c>
      <c r="AA43" s="146"/>
      <c r="AB43" s="134"/>
      <c r="AC43" s="134"/>
      <c r="AD43" s="1401">
        <f>M05S01F01</f>
        <v>0</v>
      </c>
      <c r="AE43" s="1401"/>
      <c r="AF43" s="1401"/>
      <c r="AG43" s="1401"/>
      <c r="AH43" s="1401" t="str">
        <f>IF(ISNUMBER(SEARCH("Bill Credit",AD43)), CONCATENATE("Account ",M05S01F14), " ")</f>
        <v xml:space="preserve"> </v>
      </c>
      <c r="AI43" s="1401"/>
      <c r="AJ43" s="1401"/>
      <c r="AK43" s="1401"/>
      <c r="AL43" s="137"/>
      <c r="AM43" s="155"/>
    </row>
    <row r="44" spans="11:39" ht="15.95" customHeight="1">
      <c r="K44" s="33"/>
      <c r="L44" s="1373"/>
      <c r="M44" s="1373"/>
      <c r="N44" s="1373"/>
      <c r="O44" s="1373"/>
      <c r="P44" s="1373"/>
      <c r="Q44" s="1373"/>
      <c r="R44" s="1373"/>
      <c r="S44" s="1373"/>
      <c r="T44" s="1373"/>
      <c r="U44" s="1373"/>
      <c r="V44" s="1373"/>
      <c r="W44" s="1373"/>
      <c r="X44" s="1373"/>
      <c r="Z44" s="134" t="s">
        <v>1469</v>
      </c>
      <c r="AA44" s="146"/>
      <c r="AB44" s="134"/>
      <c r="AC44" s="134"/>
      <c r="AD44" s="1401" t="str">
        <f>M05S01F02</f>
        <v/>
      </c>
      <c r="AE44" s="1401"/>
      <c r="AF44" s="1401"/>
      <c r="AG44" s="1401"/>
      <c r="AH44" s="1401"/>
      <c r="AI44" s="1401"/>
      <c r="AJ44" s="137"/>
      <c r="AK44" s="137"/>
      <c r="AL44" s="137"/>
      <c r="AM44" s="155"/>
    </row>
    <row r="45" spans="11:39" ht="15.95" customHeight="1">
      <c r="K45" s="33"/>
      <c r="L45" s="147"/>
      <c r="M45" s="157"/>
      <c r="N45" s="1403" t="s">
        <v>1411</v>
      </c>
      <c r="O45" s="1403"/>
      <c r="P45" s="1403"/>
      <c r="Q45" s="1403"/>
      <c r="R45" s="1403"/>
      <c r="S45" s="1403"/>
      <c r="T45" s="1403"/>
      <c r="U45" s="1403"/>
      <c r="V45" s="1403"/>
      <c r="W45" s="1403"/>
      <c r="X45" s="147"/>
      <c r="Z45" s="140"/>
      <c r="AA45" s="134"/>
      <c r="AB45" s="134"/>
      <c r="AC45" s="134"/>
      <c r="AD45" s="1404" t="str">
        <f>CONCATENATE(M05S01F07," ",M05S01F08)</f>
        <v xml:space="preserve"> </v>
      </c>
      <c r="AE45" s="1404"/>
      <c r="AF45" s="1404"/>
      <c r="AG45" s="1404"/>
      <c r="AH45" s="1404"/>
      <c r="AI45" s="1404"/>
      <c r="AJ45" s="137"/>
      <c r="AK45" s="137"/>
      <c r="AL45" s="137"/>
      <c r="AM45" s="155"/>
    </row>
    <row r="46" spans="11:39" ht="15.95" customHeight="1">
      <c r="K46" s="33"/>
      <c r="L46" s="147"/>
      <c r="M46" s="157"/>
      <c r="N46" s="1403"/>
      <c r="O46" s="1403"/>
      <c r="P46" s="1403"/>
      <c r="Q46" s="1403"/>
      <c r="R46" s="1403"/>
      <c r="S46" s="1403"/>
      <c r="T46" s="1403"/>
      <c r="U46" s="1403"/>
      <c r="V46" s="1403"/>
      <c r="W46" s="1403"/>
      <c r="X46" s="147"/>
      <c r="Z46" s="140"/>
      <c r="AA46" s="134"/>
      <c r="AB46" s="134"/>
      <c r="AC46" s="134"/>
      <c r="AD46" s="1404" t="str">
        <f>M05S01F03</f>
        <v/>
      </c>
      <c r="AE46" s="1404"/>
      <c r="AF46" s="1404"/>
      <c r="AG46" s="1404"/>
      <c r="AH46" s="1404"/>
      <c r="AI46" s="1404"/>
      <c r="AJ46" s="137"/>
      <c r="AK46" s="137"/>
      <c r="AL46" s="137"/>
      <c r="AM46" s="155"/>
    </row>
    <row r="47" spans="11:39" ht="15.95" customHeight="1">
      <c r="K47" s="33"/>
      <c r="L47" s="154"/>
      <c r="M47" s="157"/>
      <c r="N47" s="1399" t="s">
        <v>1412</v>
      </c>
      <c r="O47" s="1405"/>
      <c r="P47" s="1405"/>
      <c r="Q47" s="1405"/>
      <c r="R47" s="1405"/>
      <c r="S47" s="1405"/>
      <c r="T47" s="1405"/>
      <c r="U47" s="1405"/>
      <c r="V47" s="1405"/>
      <c r="W47" s="1405"/>
      <c r="X47" s="154"/>
      <c r="Z47" s="158"/>
      <c r="AA47" s="134"/>
      <c r="AB47" s="134"/>
      <c r="AC47" s="134"/>
      <c r="AD47" s="1404" t="str">
        <f>CONCATENATE(M05S01F04,", ",M05S01F05," ",M05S01F06)</f>
        <v xml:space="preserve">,  </v>
      </c>
      <c r="AE47" s="1404"/>
      <c r="AF47" s="1404"/>
      <c r="AG47" s="1404"/>
      <c r="AH47" s="1404"/>
      <c r="AI47" s="1404"/>
      <c r="AJ47" s="137"/>
      <c r="AK47" s="137"/>
      <c r="AL47" s="159"/>
      <c r="AM47" s="155"/>
    </row>
    <row r="48" spans="11:39" ht="15.95" customHeight="1">
      <c r="K48" s="33"/>
      <c r="L48" s="154"/>
      <c r="M48" s="157"/>
      <c r="N48" s="1405"/>
      <c r="O48" s="1405"/>
      <c r="P48" s="1405"/>
      <c r="Q48" s="1405"/>
      <c r="R48" s="1405"/>
      <c r="S48" s="1405"/>
      <c r="T48" s="1405"/>
      <c r="U48" s="1405"/>
      <c r="V48" s="1405"/>
      <c r="W48" s="1405"/>
      <c r="X48" s="154"/>
      <c r="Z48" s="134" t="s">
        <v>1470</v>
      </c>
      <c r="AA48" s="146"/>
      <c r="AB48" s="134"/>
      <c r="AC48" s="134"/>
      <c r="AD48" s="1401">
        <f>M05S01F11</f>
        <v>0</v>
      </c>
      <c r="AE48" s="1401"/>
      <c r="AF48" s="1401"/>
      <c r="AG48" s="1401"/>
      <c r="AH48" s="1401"/>
      <c r="AI48" s="1401"/>
      <c r="AJ48" s="1401" t="str">
        <f>IF(ISBLANK(M05S01F12),"",CONCATENATE(M05S01F12,"-",M05S01F13))</f>
        <v/>
      </c>
      <c r="AK48" s="1401"/>
      <c r="AL48" s="1401"/>
      <c r="AM48" s="155"/>
    </row>
    <row r="49" spans="11:39" ht="15.95" customHeight="1">
      <c r="K49" s="33"/>
      <c r="N49" s="75"/>
      <c r="O49" s="75"/>
      <c r="P49" s="75"/>
      <c r="Q49" s="75"/>
      <c r="R49" s="75"/>
      <c r="S49" s="75"/>
      <c r="T49" s="75"/>
      <c r="U49" s="75"/>
      <c r="V49" s="75"/>
      <c r="W49" s="75"/>
      <c r="X49" s="160"/>
      <c r="AB49" s="161"/>
      <c r="AC49" s="161"/>
      <c r="AD49" s="161"/>
      <c r="AE49" s="161"/>
      <c r="AF49" s="161"/>
      <c r="AG49" s="161"/>
      <c r="AH49" s="161"/>
      <c r="AI49" s="161"/>
      <c r="AJ49" s="161"/>
      <c r="AK49" s="161"/>
      <c r="AM49" s="155"/>
    </row>
    <row r="50" spans="11:39" ht="15.95" customHeight="1">
      <c r="K50" s="33"/>
      <c r="L50" s="146"/>
      <c r="M50" s="1372" t="s">
        <v>1413</v>
      </c>
      <c r="N50" s="1372"/>
      <c r="O50" s="1372"/>
      <c r="P50" s="1372"/>
      <c r="Q50" s="1372"/>
      <c r="R50" s="1372"/>
      <c r="S50" s="1372"/>
      <c r="T50" s="1372"/>
      <c r="U50" s="1372"/>
      <c r="V50" s="1372"/>
      <c r="W50" s="1372"/>
      <c r="X50" s="147"/>
      <c r="Z50" s="146"/>
      <c r="AA50" s="1402" t="s">
        <v>1414</v>
      </c>
      <c r="AB50" s="1402"/>
      <c r="AC50" s="1402"/>
      <c r="AD50" s="1402"/>
      <c r="AE50" s="1402"/>
      <c r="AF50" s="1402"/>
      <c r="AG50" s="1402"/>
      <c r="AH50" s="1402"/>
      <c r="AI50" s="1402"/>
      <c r="AJ50" s="1402"/>
      <c r="AK50" s="1402"/>
      <c r="AL50" s="146"/>
      <c r="AM50" s="155"/>
    </row>
    <row r="51" spans="11:39" ht="15.95" customHeight="1">
      <c r="K51" s="33"/>
      <c r="L51" s="148"/>
      <c r="M51" s="1372"/>
      <c r="N51" s="1372"/>
      <c r="O51" s="1372"/>
      <c r="P51" s="1372"/>
      <c r="Q51" s="1372"/>
      <c r="R51" s="1372"/>
      <c r="S51" s="1372"/>
      <c r="T51" s="1372"/>
      <c r="U51" s="1372"/>
      <c r="V51" s="1372"/>
      <c r="W51" s="1372"/>
      <c r="X51" s="148"/>
      <c r="Z51" s="146"/>
      <c r="AA51" s="1402"/>
      <c r="AB51" s="1402"/>
      <c r="AC51" s="1402"/>
      <c r="AD51" s="1402"/>
      <c r="AE51" s="1402"/>
      <c r="AF51" s="1402"/>
      <c r="AG51" s="1402"/>
      <c r="AH51" s="1402"/>
      <c r="AI51" s="1402"/>
      <c r="AJ51" s="1402"/>
      <c r="AK51" s="1402"/>
      <c r="AL51" s="146"/>
      <c r="AM51" s="155"/>
    </row>
    <row r="52" spans="11:39" ht="15.95" customHeight="1">
      <c r="K52" s="33"/>
      <c r="L52" s="1373" t="s">
        <v>1400</v>
      </c>
      <c r="M52" s="1373"/>
      <c r="N52" s="1373"/>
      <c r="O52" s="1373"/>
      <c r="P52" s="1373"/>
      <c r="Q52" s="1373"/>
      <c r="R52" s="1373"/>
      <c r="S52" s="1373"/>
      <c r="T52" s="1373"/>
      <c r="U52" s="1373"/>
      <c r="V52" s="1373"/>
      <c r="W52" s="1373"/>
      <c r="X52" s="1373"/>
      <c r="Z52" s="1373" t="s">
        <v>1815</v>
      </c>
      <c r="AA52" s="1373"/>
      <c r="AB52" s="1373"/>
      <c r="AC52" s="1373"/>
      <c r="AD52" s="1373"/>
      <c r="AE52" s="1373"/>
      <c r="AF52" s="1373"/>
      <c r="AG52" s="1373"/>
      <c r="AH52" s="1373"/>
      <c r="AI52" s="1373"/>
      <c r="AJ52" s="1373"/>
      <c r="AK52" s="1373"/>
      <c r="AL52" s="1373"/>
      <c r="AM52" s="155"/>
    </row>
    <row r="53" spans="11:39" ht="15.95" customHeight="1">
      <c r="K53" s="33"/>
      <c r="L53" s="1373"/>
      <c r="M53" s="1373"/>
      <c r="N53" s="1373"/>
      <c r="O53" s="1373"/>
      <c r="P53" s="1373"/>
      <c r="Q53" s="1373"/>
      <c r="R53" s="1373"/>
      <c r="S53" s="1373"/>
      <c r="T53" s="1373"/>
      <c r="U53" s="1373"/>
      <c r="V53" s="1373"/>
      <c r="W53" s="1373"/>
      <c r="X53" s="1373"/>
      <c r="Z53" s="1373"/>
      <c r="AA53" s="1373"/>
      <c r="AB53" s="1373"/>
      <c r="AC53" s="1373"/>
      <c r="AD53" s="1373"/>
      <c r="AE53" s="1373"/>
      <c r="AF53" s="1373"/>
      <c r="AG53" s="1373"/>
      <c r="AH53" s="1373"/>
      <c r="AI53" s="1373"/>
      <c r="AJ53" s="1373"/>
      <c r="AK53" s="1373"/>
      <c r="AL53" s="1373"/>
      <c r="AM53" s="155"/>
    </row>
    <row r="54" spans="11:39" ht="15.95" customHeight="1">
      <c r="K54" s="33"/>
      <c r="L54" s="1373"/>
      <c r="M54" s="1373"/>
      <c r="N54" s="1373"/>
      <c r="O54" s="1373"/>
      <c r="P54" s="1373"/>
      <c r="Q54" s="1373"/>
      <c r="R54" s="1373"/>
      <c r="S54" s="1373"/>
      <c r="T54" s="1373"/>
      <c r="U54" s="1373"/>
      <c r="V54" s="1373"/>
      <c r="W54" s="1373"/>
      <c r="X54" s="1373"/>
      <c r="Y54" s="161"/>
      <c r="Z54" s="147"/>
      <c r="AA54" s="147"/>
      <c r="AB54" s="147"/>
      <c r="AC54" s="147"/>
      <c r="AD54" s="147"/>
      <c r="AE54" s="147"/>
      <c r="AF54" s="147"/>
      <c r="AG54" s="147"/>
      <c r="AH54" s="147"/>
      <c r="AI54" s="147"/>
      <c r="AJ54" s="147"/>
      <c r="AK54" s="147"/>
      <c r="AL54" s="147"/>
      <c r="AM54" s="155"/>
    </row>
    <row r="55" spans="11:39" ht="15.95" customHeight="1">
      <c r="K55" s="33"/>
      <c r="L55" s="146"/>
      <c r="M55" s="146"/>
      <c r="N55" s="146"/>
      <c r="O55" s="146"/>
      <c r="P55" s="146"/>
      <c r="Q55" s="146"/>
      <c r="R55" s="146"/>
      <c r="S55" s="146"/>
      <c r="T55" s="146"/>
      <c r="U55" s="146"/>
      <c r="V55" s="146"/>
      <c r="W55" s="146"/>
      <c r="X55" s="146"/>
      <c r="Y55" s="161"/>
      <c r="Z55" s="259" t="s">
        <v>1816</v>
      </c>
      <c r="AA55" s="162" t="s">
        <v>1819</v>
      </c>
      <c r="AB55" s="257"/>
      <c r="AC55" s="257"/>
      <c r="AD55" s="257"/>
      <c r="AE55" s="257"/>
      <c r="AF55" s="257"/>
      <c r="AG55" s="257"/>
      <c r="AH55" s="257"/>
      <c r="AI55" s="257"/>
      <c r="AJ55" s="257"/>
      <c r="AK55" s="257"/>
      <c r="AL55" s="146"/>
      <c r="AM55" s="155"/>
    </row>
    <row r="56" spans="11:39" ht="15.95" customHeight="1">
      <c r="K56" s="33"/>
      <c r="L56" s="146"/>
      <c r="M56" s="146"/>
      <c r="N56" s="146"/>
      <c r="O56" s="146"/>
      <c r="P56" s="146"/>
      <c r="Q56" s="146"/>
      <c r="R56" s="146"/>
      <c r="S56" s="146"/>
      <c r="T56" s="146"/>
      <c r="U56" s="146"/>
      <c r="V56" s="146"/>
      <c r="W56" s="146"/>
      <c r="X56" s="146"/>
      <c r="Z56" s="260" t="s">
        <v>1817</v>
      </c>
      <c r="AA56" s="258" t="s">
        <v>1818</v>
      </c>
      <c r="AB56" s="257"/>
      <c r="AC56" s="257"/>
      <c r="AD56" s="257"/>
      <c r="AE56" s="257"/>
      <c r="AF56" s="257"/>
      <c r="AG56" s="257"/>
      <c r="AH56" s="257"/>
      <c r="AI56" s="257"/>
      <c r="AJ56" s="257"/>
      <c r="AK56" s="257"/>
      <c r="AL56" s="146"/>
      <c r="AM56" s="155"/>
    </row>
    <row r="57" spans="11:39" ht="15.95" customHeight="1">
      <c r="K57" s="33"/>
      <c r="L57" s="146"/>
      <c r="M57" s="146"/>
      <c r="N57" s="146"/>
      <c r="O57" s="146"/>
      <c r="P57" s="146"/>
      <c r="Q57" s="146"/>
      <c r="R57" s="146"/>
      <c r="S57" s="146"/>
      <c r="T57" s="146"/>
      <c r="U57" s="146"/>
      <c r="V57" s="146"/>
      <c r="W57" s="146"/>
      <c r="X57" s="146"/>
      <c r="Z57" s="146"/>
      <c r="AA57" s="146"/>
      <c r="AB57" s="257"/>
      <c r="AC57" s="257"/>
      <c r="AD57" s="257"/>
      <c r="AE57" s="257"/>
      <c r="AF57" s="257"/>
      <c r="AG57" s="257"/>
      <c r="AH57" s="257"/>
      <c r="AI57" s="257"/>
      <c r="AJ57" s="257"/>
      <c r="AK57" s="257"/>
      <c r="AL57" s="146"/>
      <c r="AM57" s="155"/>
    </row>
    <row r="58" spans="11:39" ht="15.95" customHeight="1">
      <c r="K58" s="33"/>
      <c r="L58" s="146"/>
      <c r="M58" s="1377" t="s">
        <v>1401</v>
      </c>
      <c r="N58" s="1377"/>
      <c r="O58" s="1377"/>
      <c r="P58" s="1377"/>
      <c r="Q58" s="1377"/>
      <c r="R58" s="1377"/>
      <c r="S58" s="1377"/>
      <c r="T58" s="146"/>
      <c r="U58" s="1375" t="s">
        <v>1396</v>
      </c>
      <c r="V58" s="1375"/>
      <c r="W58" s="1375"/>
      <c r="X58" s="146"/>
      <c r="Z58" s="146"/>
      <c r="AA58" s="162"/>
      <c r="AB58" s="257"/>
      <c r="AC58" s="1358" t="s">
        <v>1786</v>
      </c>
      <c r="AD58" s="1358"/>
      <c r="AE58" s="1358"/>
      <c r="AF58" s="1358"/>
      <c r="AG58" s="1358"/>
      <c r="AH58" s="1358"/>
      <c r="AI58" s="257"/>
      <c r="AJ58" s="257"/>
      <c r="AK58" s="257"/>
      <c r="AL58" s="146"/>
      <c r="AM58" s="155"/>
    </row>
    <row r="59" spans="11:39" ht="15.95" customHeight="1">
      <c r="K59" s="33"/>
      <c r="L59" s="146"/>
      <c r="M59" s="146"/>
      <c r="N59" s="146"/>
      <c r="O59" s="146"/>
      <c r="P59" s="146"/>
      <c r="Q59" s="146"/>
      <c r="R59" s="146"/>
      <c r="S59" s="146"/>
      <c r="T59" s="146"/>
      <c r="U59" s="146"/>
      <c r="V59" s="146"/>
      <c r="W59" s="146"/>
      <c r="X59" s="146"/>
      <c r="Z59" s="146"/>
      <c r="AA59" s="163"/>
      <c r="AB59" s="257"/>
      <c r="AC59" s="1358"/>
      <c r="AD59" s="1358"/>
      <c r="AE59" s="1358"/>
      <c r="AF59" s="1358"/>
      <c r="AG59" s="1358"/>
      <c r="AH59" s="1358"/>
      <c r="AI59" s="257"/>
      <c r="AJ59" s="257"/>
      <c r="AK59" s="257"/>
      <c r="AL59" s="146"/>
      <c r="AM59" s="155"/>
    </row>
    <row r="60" spans="11:39" ht="15.95" customHeight="1">
      <c r="K60" s="33"/>
      <c r="L60" s="146"/>
      <c r="M60" s="146"/>
      <c r="N60" s="146"/>
      <c r="O60" s="146"/>
      <c r="P60" s="146"/>
      <c r="Q60" s="146"/>
      <c r="R60" s="146"/>
      <c r="S60" s="146"/>
      <c r="T60" s="146"/>
      <c r="U60" s="146"/>
      <c r="V60" s="146"/>
      <c r="W60" s="146"/>
      <c r="X60" s="146"/>
      <c r="Z60" s="146"/>
      <c r="AA60" s="163"/>
      <c r="AB60" s="257"/>
      <c r="AC60" s="1358"/>
      <c r="AD60" s="1358"/>
      <c r="AE60" s="1358"/>
      <c r="AF60" s="1358"/>
      <c r="AG60" s="1358"/>
      <c r="AH60" s="1358"/>
      <c r="AI60" s="257"/>
      <c r="AJ60" s="257"/>
      <c r="AK60" s="257"/>
      <c r="AL60" s="146"/>
      <c r="AM60" s="155"/>
    </row>
    <row r="61" spans="11:39" ht="15.95" customHeight="1">
      <c r="K61" s="33"/>
      <c r="L61" s="146"/>
      <c r="M61" s="146"/>
      <c r="N61" s="146"/>
      <c r="O61" s="146"/>
      <c r="P61" s="146"/>
      <c r="Q61" s="146"/>
      <c r="R61" s="146"/>
      <c r="S61" s="146"/>
      <c r="T61" s="146"/>
      <c r="U61" s="146"/>
      <c r="V61" s="146"/>
      <c r="W61" s="146"/>
      <c r="X61" s="146"/>
      <c r="Y61" s="150"/>
      <c r="Z61" s="146"/>
      <c r="AA61" s="146"/>
      <c r="AB61" s="146"/>
      <c r="AC61" s="146"/>
      <c r="AD61" s="146"/>
      <c r="AE61" s="146"/>
      <c r="AF61" s="146"/>
      <c r="AG61" s="146"/>
      <c r="AH61" s="146"/>
      <c r="AI61" s="146"/>
      <c r="AJ61" s="146"/>
      <c r="AK61" s="146"/>
      <c r="AL61" s="146"/>
      <c r="AM61" s="155"/>
    </row>
    <row r="62" spans="11:39" ht="15.95" customHeight="1">
      <c r="K62" s="33"/>
      <c r="L62" s="1379" t="s">
        <v>2260</v>
      </c>
      <c r="M62" s="1379"/>
      <c r="N62" s="1379"/>
      <c r="O62" s="1379"/>
      <c r="P62" s="1379"/>
      <c r="Q62" s="1379"/>
      <c r="R62" s="1379"/>
      <c r="S62" s="1379"/>
      <c r="T62" s="1379"/>
      <c r="U62" s="1379"/>
      <c r="V62" s="1379"/>
      <c r="W62" s="1379"/>
      <c r="X62" s="1379"/>
      <c r="Y62" s="1379"/>
      <c r="Z62" s="1379"/>
      <c r="AA62" s="1379"/>
      <c r="AB62" s="1379"/>
      <c r="AC62" s="1379"/>
      <c r="AD62" s="1379"/>
      <c r="AE62" s="1379"/>
      <c r="AF62" s="1379"/>
      <c r="AG62" s="1379"/>
      <c r="AH62" s="1379"/>
      <c r="AI62" s="1379"/>
      <c r="AJ62" s="1379"/>
      <c r="AK62" s="1379"/>
      <c r="AL62" s="1379"/>
      <c r="AM62" s="155"/>
    </row>
    <row r="63" spans="11:39" ht="15.95" customHeight="1">
      <c r="K63" s="33"/>
      <c r="L63" s="1379"/>
      <c r="M63" s="1379"/>
      <c r="N63" s="1379"/>
      <c r="O63" s="1379"/>
      <c r="P63" s="1379"/>
      <c r="Q63" s="1379"/>
      <c r="R63" s="1379"/>
      <c r="S63" s="1379"/>
      <c r="T63" s="1379"/>
      <c r="U63" s="1379"/>
      <c r="V63" s="1379"/>
      <c r="W63" s="1379"/>
      <c r="X63" s="1379"/>
      <c r="Y63" s="1379"/>
      <c r="Z63" s="1379"/>
      <c r="AA63" s="1379"/>
      <c r="AB63" s="1379"/>
      <c r="AC63" s="1379"/>
      <c r="AD63" s="1379"/>
      <c r="AE63" s="1379"/>
      <c r="AF63" s="1379"/>
      <c r="AG63" s="1379"/>
      <c r="AH63" s="1379"/>
      <c r="AI63" s="1379"/>
      <c r="AJ63" s="1379"/>
      <c r="AK63" s="1379"/>
      <c r="AL63" s="1379"/>
      <c r="AM63" s="155"/>
    </row>
    <row r="64" spans="11:39" ht="15.95" customHeight="1">
      <c r="K64" s="33"/>
      <c r="L64" s="1379"/>
      <c r="M64" s="1379"/>
      <c r="N64" s="1379"/>
      <c r="O64" s="1379"/>
      <c r="P64" s="1379"/>
      <c r="Q64" s="1379"/>
      <c r="R64" s="1379"/>
      <c r="S64" s="1379"/>
      <c r="T64" s="1379"/>
      <c r="U64" s="1379"/>
      <c r="V64" s="1379"/>
      <c r="W64" s="1379"/>
      <c r="X64" s="1379"/>
      <c r="Y64" s="1379"/>
      <c r="Z64" s="1379"/>
      <c r="AA64" s="1379"/>
      <c r="AB64" s="1379"/>
      <c r="AC64" s="1379"/>
      <c r="AD64" s="1379"/>
      <c r="AE64" s="1379"/>
      <c r="AF64" s="1379"/>
      <c r="AG64" s="1379"/>
      <c r="AH64" s="1379"/>
      <c r="AI64" s="1379"/>
      <c r="AJ64" s="1379"/>
      <c r="AK64" s="1379"/>
      <c r="AL64" s="1379"/>
      <c r="AM64" s="155"/>
    </row>
    <row r="65" spans="11:39" ht="15.95" customHeight="1">
      <c r="K65" s="33"/>
      <c r="L65" s="1379"/>
      <c r="M65" s="1379"/>
      <c r="N65" s="1379"/>
      <c r="O65" s="1379"/>
      <c r="P65" s="1379"/>
      <c r="Q65" s="1379"/>
      <c r="R65" s="1379"/>
      <c r="S65" s="1379"/>
      <c r="T65" s="1379"/>
      <c r="U65" s="1379"/>
      <c r="V65" s="1379"/>
      <c r="W65" s="1379"/>
      <c r="X65" s="1379"/>
      <c r="Y65" s="1379"/>
      <c r="Z65" s="1379"/>
      <c r="AA65" s="1379"/>
      <c r="AB65" s="1379"/>
      <c r="AC65" s="1379"/>
      <c r="AD65" s="1379"/>
      <c r="AE65" s="1379"/>
      <c r="AF65" s="1379"/>
      <c r="AG65" s="1379"/>
      <c r="AH65" s="1379"/>
      <c r="AI65" s="1379"/>
      <c r="AJ65" s="1379"/>
      <c r="AK65" s="1379"/>
      <c r="AL65" s="1379"/>
      <c r="AM65" s="155"/>
    </row>
    <row r="66" spans="11:39" ht="15.95" customHeight="1">
      <c r="K66" s="33"/>
      <c r="L66" s="1379"/>
      <c r="M66" s="1379"/>
      <c r="N66" s="1379"/>
      <c r="O66" s="1379"/>
      <c r="P66" s="1379"/>
      <c r="Q66" s="1379"/>
      <c r="R66" s="1379"/>
      <c r="S66" s="1379"/>
      <c r="T66" s="1379"/>
      <c r="U66" s="1379"/>
      <c r="V66" s="1379"/>
      <c r="W66" s="1379"/>
      <c r="X66" s="1379"/>
      <c r="Y66" s="1379"/>
      <c r="Z66" s="1379"/>
      <c r="AA66" s="1379"/>
      <c r="AB66" s="1379"/>
      <c r="AC66" s="1379"/>
      <c r="AD66" s="1379"/>
      <c r="AE66" s="1379"/>
      <c r="AF66" s="1379"/>
      <c r="AG66" s="1379"/>
      <c r="AH66" s="1379"/>
      <c r="AI66" s="1379"/>
      <c r="AJ66" s="1379"/>
      <c r="AK66" s="1379"/>
      <c r="AL66" s="1379"/>
      <c r="AM66" s="155"/>
    </row>
    <row r="67" spans="11:39" ht="15.95" customHeight="1">
      <c r="K67" s="33"/>
      <c r="L67" s="1379"/>
      <c r="M67" s="1379"/>
      <c r="N67" s="1379"/>
      <c r="O67" s="1379"/>
      <c r="P67" s="1379"/>
      <c r="Q67" s="1379"/>
      <c r="R67" s="1379"/>
      <c r="S67" s="1379"/>
      <c r="T67" s="1379"/>
      <c r="U67" s="1379"/>
      <c r="V67" s="1379"/>
      <c r="W67" s="1379"/>
      <c r="X67" s="1379"/>
      <c r="Y67" s="1379"/>
      <c r="Z67" s="1379"/>
      <c r="AA67" s="1379"/>
      <c r="AB67" s="1379"/>
      <c r="AC67" s="1379"/>
      <c r="AD67" s="1379"/>
      <c r="AE67" s="1379"/>
      <c r="AF67" s="1379"/>
      <c r="AG67" s="1379"/>
      <c r="AH67" s="1379"/>
      <c r="AI67" s="1379"/>
      <c r="AJ67" s="1379"/>
      <c r="AK67" s="1379"/>
      <c r="AL67" s="1379"/>
      <c r="AM67" s="155"/>
    </row>
    <row r="68" spans="11:39" ht="15.95" customHeight="1">
      <c r="K68" s="33"/>
      <c r="L68" s="1379"/>
      <c r="M68" s="1379"/>
      <c r="N68" s="1379"/>
      <c r="O68" s="1379"/>
      <c r="P68" s="1379"/>
      <c r="Q68" s="1379"/>
      <c r="R68" s="1379"/>
      <c r="S68" s="1379"/>
      <c r="T68" s="1379"/>
      <c r="U68" s="1379"/>
      <c r="V68" s="1379"/>
      <c r="W68" s="1379"/>
      <c r="X68" s="1379"/>
      <c r="Y68" s="1379"/>
      <c r="Z68" s="1379"/>
      <c r="AA68" s="1379"/>
      <c r="AB68" s="1379"/>
      <c r="AC68" s="1379"/>
      <c r="AD68" s="1379"/>
      <c r="AE68" s="1379"/>
      <c r="AF68" s="1379"/>
      <c r="AG68" s="1379"/>
      <c r="AH68" s="1379"/>
      <c r="AI68" s="1379"/>
      <c r="AJ68" s="1379"/>
      <c r="AK68" s="1379"/>
      <c r="AL68" s="1379"/>
      <c r="AM68" s="155"/>
    </row>
    <row r="69" spans="11:39" ht="15.95" customHeight="1">
      <c r="K69" s="33"/>
      <c r="L69" s="1379"/>
      <c r="M69" s="1379"/>
      <c r="N69" s="1379"/>
      <c r="O69" s="1379"/>
      <c r="P69" s="1379"/>
      <c r="Q69" s="1379"/>
      <c r="R69" s="1379"/>
      <c r="S69" s="1379"/>
      <c r="T69" s="1379"/>
      <c r="U69" s="1379"/>
      <c r="V69" s="1379"/>
      <c r="W69" s="1379"/>
      <c r="X69" s="1379"/>
      <c r="Y69" s="1379"/>
      <c r="Z69" s="1379"/>
      <c r="AA69" s="1379"/>
      <c r="AB69" s="1379"/>
      <c r="AC69" s="1379"/>
      <c r="AD69" s="1379"/>
      <c r="AE69" s="1379"/>
      <c r="AF69" s="1379"/>
      <c r="AG69" s="1379"/>
      <c r="AH69" s="1379"/>
      <c r="AI69" s="1379"/>
      <c r="AJ69" s="1379"/>
      <c r="AK69" s="1379"/>
      <c r="AL69" s="1379"/>
      <c r="AM69" s="155"/>
    </row>
    <row r="70" spans="11:39" ht="15.95" customHeight="1">
      <c r="K70" s="33"/>
      <c r="L70" s="1379"/>
      <c r="M70" s="1379"/>
      <c r="N70" s="1379"/>
      <c r="O70" s="1379"/>
      <c r="P70" s="1379"/>
      <c r="Q70" s="1379"/>
      <c r="R70" s="1379"/>
      <c r="S70" s="1379"/>
      <c r="T70" s="1379"/>
      <c r="U70" s="1379"/>
      <c r="V70" s="1379"/>
      <c r="W70" s="1379"/>
      <c r="X70" s="1379"/>
      <c r="Y70" s="1379"/>
      <c r="Z70" s="1379"/>
      <c r="AA70" s="1379"/>
      <c r="AB70" s="1379"/>
      <c r="AC70" s="1379"/>
      <c r="AD70" s="1379"/>
      <c r="AE70" s="1379"/>
      <c r="AF70" s="1379"/>
      <c r="AG70" s="1379"/>
      <c r="AH70" s="1379"/>
      <c r="AI70" s="1379"/>
      <c r="AJ70" s="1379"/>
      <c r="AK70" s="1379"/>
      <c r="AL70" s="1379"/>
      <c r="AM70" s="155"/>
    </row>
    <row r="71" spans="11:39" ht="15.95" customHeight="1">
      <c r="K71" s="33"/>
      <c r="L71" s="1371" t="str">
        <f>"Evergy Business Energy Savings Program • " &amp; Hotline &amp; " • businessrebates@evergy.com"</f>
        <v>Evergy Business Energy Savings Program • (844)687-0229 • businessrebates@evergy.com</v>
      </c>
      <c r="M71" s="1371"/>
      <c r="N71" s="1371"/>
      <c r="O71" s="1371"/>
      <c r="P71" s="1371"/>
      <c r="Q71" s="1371"/>
      <c r="R71" s="1371"/>
      <c r="S71" s="1371"/>
      <c r="T71" s="1371"/>
      <c r="U71" s="1371"/>
      <c r="V71" s="1371"/>
      <c r="W71" s="1371"/>
      <c r="X71" s="1371"/>
      <c r="Y71" s="1371"/>
      <c r="Z71" s="1371"/>
      <c r="AA71" s="1371"/>
      <c r="AB71" s="1371"/>
      <c r="AC71" s="1371"/>
      <c r="AD71" s="1371"/>
      <c r="AE71" s="1371"/>
      <c r="AF71" s="1371"/>
      <c r="AG71" s="1371"/>
      <c r="AH71" s="1371"/>
      <c r="AI71" s="1371"/>
      <c r="AJ71" s="1371"/>
      <c r="AK71" s="1371"/>
      <c r="AL71" s="1371"/>
      <c r="AM71" s="155"/>
    </row>
    <row r="72" spans="11:39" ht="15.95" customHeight="1">
      <c r="K72" s="33"/>
      <c r="L72" s="1371"/>
      <c r="M72" s="1371"/>
      <c r="N72" s="1371"/>
      <c r="O72" s="1371"/>
      <c r="P72" s="1371"/>
      <c r="Q72" s="1371"/>
      <c r="R72" s="1371"/>
      <c r="S72" s="1371"/>
      <c r="T72" s="1371"/>
      <c r="U72" s="1371"/>
      <c r="V72" s="1371"/>
      <c r="W72" s="1371"/>
      <c r="X72" s="1371"/>
      <c r="Y72" s="1371"/>
      <c r="Z72" s="1371"/>
      <c r="AA72" s="1371"/>
      <c r="AB72" s="1371"/>
      <c r="AC72" s="1371"/>
      <c r="AD72" s="1371"/>
      <c r="AE72" s="1371"/>
      <c r="AF72" s="1371"/>
      <c r="AG72" s="1371"/>
      <c r="AH72" s="1371"/>
      <c r="AI72" s="1371"/>
      <c r="AJ72" s="1371"/>
      <c r="AK72" s="1371"/>
      <c r="AL72" s="1371"/>
      <c r="AM72" s="155"/>
    </row>
    <row r="73" spans="11:39" ht="15.95" customHeight="1">
      <c r="K73" s="34"/>
      <c r="L73" s="164"/>
      <c r="M73" s="165"/>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5"/>
    </row>
    <row r="74" spans="11:39" ht="15.95"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uyz+TcpJ/GqNYAzvosmncp12vjpAMub9QVMhfA0BwlhWIXWDYTPwoPc7TrkXPEMwAgpMsHkPPKZ/MdIWjjLcHQ==" saltValue="uDKOcNb+52u2bOlAFpFb8A==" spinCount="100000" sheet="1" objects="1" scenarios="1" selectLockedCells="1"/>
  <mergeCells count="80">
    <mergeCell ref="AP1:AS3"/>
    <mergeCell ref="F1:I3"/>
    <mergeCell ref="J1:M3"/>
    <mergeCell ref="AL1:AO3"/>
    <mergeCell ref="A9:AW10"/>
    <mergeCell ref="AS5:AW6"/>
    <mergeCell ref="AS7:AW7"/>
    <mergeCell ref="AS8:AW8"/>
    <mergeCell ref="A4:E6"/>
    <mergeCell ref="A7:E8"/>
    <mergeCell ref="L18:Y20"/>
    <mergeCell ref="AE18:AL20"/>
    <mergeCell ref="L21:Y22"/>
    <mergeCell ref="Z21:AL22"/>
    <mergeCell ref="L24:P27"/>
    <mergeCell ref="R24:W24"/>
    <mergeCell ref="Y24:AD24"/>
    <mergeCell ref="AF24:AK24"/>
    <mergeCell ref="R25:W25"/>
    <mergeCell ref="Y25:AD25"/>
    <mergeCell ref="AF25:AK25"/>
    <mergeCell ref="R26:W26"/>
    <mergeCell ref="Y26:AD26"/>
    <mergeCell ref="AF26:AK26"/>
    <mergeCell ref="R27:W27"/>
    <mergeCell ref="Y27:AD27"/>
    <mergeCell ref="AF27:AK27"/>
    <mergeCell ref="L29:P32"/>
    <mergeCell ref="R29:W29"/>
    <mergeCell ref="Y29:AD29"/>
    <mergeCell ref="R30:W30"/>
    <mergeCell ref="Y30:AD30"/>
    <mergeCell ref="R31:W31"/>
    <mergeCell ref="Y31:AD31"/>
    <mergeCell ref="R32:W32"/>
    <mergeCell ref="Y32:AD32"/>
    <mergeCell ref="V34:Z34"/>
    <mergeCell ref="AA34:AE34"/>
    <mergeCell ref="AF34:AJ34"/>
    <mergeCell ref="R35:U35"/>
    <mergeCell ref="V35:Z35"/>
    <mergeCell ref="AA35:AE35"/>
    <mergeCell ref="AF35:AJ35"/>
    <mergeCell ref="AF37:AJ37"/>
    <mergeCell ref="AA39:AK40"/>
    <mergeCell ref="L41:X44"/>
    <mergeCell ref="Z41:AL42"/>
    <mergeCell ref="AD44:AI44"/>
    <mergeCell ref="O200:AI201"/>
    <mergeCell ref="L71:AL72"/>
    <mergeCell ref="R34:U34"/>
    <mergeCell ref="M58:S58"/>
    <mergeCell ref="U58:W58"/>
    <mergeCell ref="AJ48:AL48"/>
    <mergeCell ref="M50:W51"/>
    <mergeCell ref="AA50:AK51"/>
    <mergeCell ref="L52:X54"/>
    <mergeCell ref="N45:W46"/>
    <mergeCell ref="L34:P37"/>
    <mergeCell ref="AD45:AI45"/>
    <mergeCell ref="AD46:AI46"/>
    <mergeCell ref="N47:W48"/>
    <mergeCell ref="AD47:AI47"/>
    <mergeCell ref="AD48:AI48"/>
    <mergeCell ref="H11:AP12"/>
    <mergeCell ref="Q1:AG3"/>
    <mergeCell ref="AT1:AW3"/>
    <mergeCell ref="L62:AL70"/>
    <mergeCell ref="AC58:AH60"/>
    <mergeCell ref="Z52:AL53"/>
    <mergeCell ref="M39:W40"/>
    <mergeCell ref="R36:U36"/>
    <mergeCell ref="V36:Z36"/>
    <mergeCell ref="AA36:AE36"/>
    <mergeCell ref="AF36:AJ36"/>
    <mergeCell ref="AD43:AG43"/>
    <mergeCell ref="AH43:AK43"/>
    <mergeCell ref="R37:U37"/>
    <mergeCell ref="V37:Z37"/>
    <mergeCell ref="AA37:AE37"/>
  </mergeCells>
  <conditionalFormatting sqref="M58">
    <cfRule type="containsBlanks" dxfId="13" priority="4">
      <formula>LEN(TRIM(M58))=0</formula>
    </cfRule>
    <cfRule type="expression" dxfId="12" priority="5">
      <formula>M58&lt;&gt;"Customer Signature"</formula>
    </cfRule>
  </conditionalFormatting>
  <conditionalFormatting sqref="U58">
    <cfRule type="containsBlanks" dxfId="11" priority="2">
      <formula>LEN(TRIM(U58))=0</formula>
    </cfRule>
    <cfRule type="expression" dxfId="10" priority="3">
      <formula>U58&lt;&gt;"Date"</formula>
    </cfRule>
  </conditionalFormatting>
  <conditionalFormatting sqref="AS8:AW8">
    <cfRule type="expression" dxfId="9" priority="1">
      <formula>IF($AS$8=PROJSTATMEASURE,FALSE,TRUE)</formula>
    </cfRule>
  </conditionalFormatting>
  <hyperlinks>
    <hyperlink ref="B202" r:id="rId1" xr:uid="{ECC4E7AC-9D0B-48E6-B3ED-C403D65F4D66}"/>
    <hyperlink ref="AC58:AH60" r:id="rId2" display="✉ Draft Email" xr:uid="{77BD6288-C117-4F94-AEBB-023CDF36057C}"/>
    <hyperlink ref="J1:M3" location="'M01-S02'!J1" tooltip="Instructions" display="'M01-S02'!J1" xr:uid="{2D14AC22-4AC6-4A4A-9254-75053069CAE2}"/>
    <hyperlink ref="AP1:AS3" location="'M05-S05'!AL1" tooltip=" " display="'M05-S05'!AL1" xr:uid="{D0221B92-49AF-411D-AEB3-CA3A10FD8AC2}"/>
    <hyperlink ref="AL1:AO3" location="'M05-S04'!AH1" tooltip=" " display="'M05-S04'!AH1" xr:uid="{2614A472-CD9E-4D19-9652-15AE10A7B3D4}"/>
    <hyperlink ref="AT1:AW3" location="'M01-S03'!AP1" tooltip="Contact" display="'M01-S03'!AP1" xr:uid="{FA0EBE7C-F0D5-494B-890C-6BA7D5978A04}"/>
  </hyperlinks>
  <printOptions horizontalCentered="1"/>
  <pageMargins left="0" right="0" top="0" bottom="0" header="0" footer="0"/>
  <pageSetup scale="81"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59393" r:id="rId6" name="Review Std">
              <controlPr defaultSize="0" autoFill="0" autoLine="0" autoPict="0">
                <anchor moveWithCells="1">
                  <from>
                    <xdr:col>12</xdr:col>
                    <xdr:colOff>28575</xdr:colOff>
                    <xdr:row>44</xdr:row>
                    <xdr:rowOff>104775</xdr:rowOff>
                  </from>
                  <to>
                    <xdr:col>12</xdr:col>
                    <xdr:colOff>257175</xdr:colOff>
                    <xdr:row>45</xdr:row>
                    <xdr:rowOff>114300</xdr:rowOff>
                  </to>
                </anchor>
              </controlPr>
            </control>
          </mc:Choice>
        </mc:AlternateContent>
        <mc:AlternateContent xmlns:mc="http://schemas.openxmlformats.org/markup-compatibility/2006">
          <mc:Choice Requires="x14">
            <control shapeId="59394" r:id="rId7" name="Review: Custom">
              <controlPr defaultSize="0" autoFill="0" autoLine="0" autoPict="0">
                <anchor moveWithCells="1">
                  <from>
                    <xdr:col>12</xdr:col>
                    <xdr:colOff>28575</xdr:colOff>
                    <xdr:row>46</xdr:row>
                    <xdr:rowOff>9525</xdr:rowOff>
                  </from>
                  <to>
                    <xdr:col>12</xdr:col>
                    <xdr:colOff>257175</xdr:colOff>
                    <xdr:row>47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041E571E-43F7-4604-8E0B-C74D8ABACBA6}">
            <xm:f>'M01-S01'!Q62-TODAY()&gt;=7</xm:f>
            <x14:dxf>
              <font>
                <b val="0"/>
                <i val="0"/>
                <color theme="1"/>
              </font>
            </x14:dxf>
          </x14:cfRule>
          <x14:cfRule type="expression" priority="7" id="{24AD2262-CADE-433D-B3E2-B401794218E9}">
            <xm:f>AND('M01-S01'!Q62-TODAY()&lt;7,'M01-S01'!Q62-TODAY()&gt;2)</xm:f>
            <x14:dxf>
              <font>
                <b/>
                <i val="0"/>
                <color rgb="FFFF0000"/>
              </font>
            </x14:dxf>
          </x14:cfRule>
          <x14:cfRule type="expression" priority="8" id="{81C0909E-B1E2-4DA1-9766-9AE50367F8B6}">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H11</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6">
    <tabColor theme="8" tint="0.59999389629810485"/>
    <pageSetUpPr fitToPage="1"/>
  </sheetPr>
  <dimension ref="A1:BM202"/>
  <sheetViews>
    <sheetView showGridLines="0" showRowColHeaders="0" zoomScale="85" zoomScaleNormal="85" workbookViewId="0">
      <selection activeCell="AN13" sqref="AN13:AS13"/>
    </sheetView>
  </sheetViews>
  <sheetFormatPr defaultColWidth="0" defaultRowHeight="15" customHeight="1" zeroHeight="1"/>
  <cols>
    <col min="1" max="49" width="4.7109375" customWidth="1"/>
    <col min="50" max="65" width="8.85546875" hidden="1"/>
    <col min="66" max="16384" width="4.7109375" hidden="1"/>
  </cols>
  <sheetData>
    <row r="1" spans="1:4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30"/>
      <c r="B3" s="431"/>
      <c r="C3" s="431"/>
      <c r="D3" s="431"/>
      <c r="E3" s="431"/>
      <c r="F3" s="622"/>
      <c r="G3" s="622"/>
      <c r="H3" s="622"/>
      <c r="I3" s="622"/>
      <c r="J3" s="622"/>
      <c r="K3" s="622"/>
      <c r="L3" s="622"/>
      <c r="M3" s="622"/>
      <c r="N3" s="430"/>
      <c r="O3" s="430"/>
      <c r="P3" s="430"/>
      <c r="Q3" s="625"/>
      <c r="R3" s="625"/>
      <c r="S3" s="625"/>
      <c r="T3" s="625"/>
      <c r="U3" s="625"/>
      <c r="V3" s="625"/>
      <c r="W3" s="625"/>
      <c r="X3" s="625"/>
      <c r="Y3" s="625"/>
      <c r="Z3" s="625"/>
      <c r="AA3" s="625"/>
      <c r="AB3" s="625"/>
      <c r="AC3" s="625"/>
      <c r="AD3" s="625"/>
      <c r="AE3" s="625"/>
      <c r="AF3" s="625"/>
      <c r="AG3" s="625"/>
      <c r="AH3" s="430"/>
      <c r="AI3" s="430"/>
      <c r="AJ3" s="430"/>
      <c r="AK3" s="430"/>
      <c r="AL3" s="624"/>
      <c r="AM3" s="624"/>
      <c r="AN3" s="624"/>
      <c r="AO3" s="624"/>
      <c r="AP3" s="624"/>
      <c r="AQ3" s="624"/>
      <c r="AR3" s="624"/>
      <c r="AS3" s="624"/>
      <c r="AT3" s="623"/>
      <c r="AU3" s="623"/>
      <c r="AV3" s="623"/>
      <c r="AW3" s="623"/>
    </row>
    <row r="4" spans="1:49" ht="15.95" customHeight="1">
      <c r="A4" s="652">
        <f>INCENTOTAL</f>
        <v>0</v>
      </c>
      <c r="B4" s="652"/>
      <c r="C4" s="652"/>
      <c r="D4" s="652"/>
      <c r="E4" s="652"/>
      <c r="F4" s="435"/>
      <c r="G4" s="435"/>
      <c r="H4" s="435"/>
      <c r="I4" s="435"/>
    </row>
    <row r="5" spans="1:49" ht="15.95" customHeight="1">
      <c r="A5" s="653"/>
      <c r="B5" s="653"/>
      <c r="C5" s="653"/>
      <c r="D5" s="653"/>
      <c r="E5" s="653"/>
      <c r="F5" s="428"/>
      <c r="G5" s="428"/>
      <c r="H5" s="428"/>
      <c r="I5" s="428"/>
      <c r="AS5" s="630">
        <f ca="1">PROGRESSSTATUS</f>
        <v>0</v>
      </c>
      <c r="AT5" s="630"/>
      <c r="AU5" s="630"/>
      <c r="AV5" s="630"/>
      <c r="AW5" s="630"/>
    </row>
    <row r="6" spans="1:49" ht="15.95" customHeight="1">
      <c r="A6" s="653"/>
      <c r="B6" s="653"/>
      <c r="C6" s="653"/>
      <c r="D6" s="653"/>
      <c r="E6" s="653"/>
      <c r="F6" s="428"/>
      <c r="G6" s="428"/>
      <c r="H6" s="428"/>
      <c r="I6" s="428"/>
      <c r="AS6" s="630"/>
      <c r="AT6" s="630"/>
      <c r="AU6" s="630"/>
      <c r="AV6" s="630"/>
      <c r="AW6" s="630"/>
    </row>
    <row r="7" spans="1:49" ht="15.95" customHeight="1">
      <c r="A7" s="629" t="s">
        <v>83</v>
      </c>
      <c r="B7" s="629"/>
      <c r="C7" s="629"/>
      <c r="D7" s="629"/>
      <c r="E7" s="629"/>
      <c r="F7" s="85"/>
      <c r="G7" s="85"/>
      <c r="H7" s="85"/>
      <c r="I7" s="85"/>
      <c r="AS7" s="629" t="s">
        <v>299</v>
      </c>
      <c r="AT7" s="629"/>
      <c r="AU7" s="629"/>
      <c r="AV7" s="629"/>
      <c r="AW7" s="629"/>
    </row>
    <row r="8" spans="1:49" ht="15.95" customHeight="1" thickBot="1">
      <c r="A8" s="632"/>
      <c r="B8" s="632"/>
      <c r="C8" s="632"/>
      <c r="D8" s="632"/>
      <c r="E8" s="632"/>
      <c r="F8" s="429"/>
      <c r="G8" s="429"/>
      <c r="H8" s="429"/>
      <c r="I8" s="429"/>
      <c r="AS8" s="628" t="str">
        <f ca="1">PROJSTATUS</f>
        <v>Enter Measures</v>
      </c>
      <c r="AT8" s="628"/>
      <c r="AU8" s="628"/>
      <c r="AV8" s="628"/>
      <c r="AW8" s="628"/>
    </row>
    <row r="9" spans="1:49" ht="15.95" customHeight="1">
      <c r="B9" s="363"/>
      <c r="C9" s="303"/>
      <c r="D9" s="303"/>
      <c r="F9" s="363"/>
      <c r="G9" s="363"/>
      <c r="H9" s="363"/>
      <c r="I9" s="363"/>
      <c r="J9" s="363"/>
      <c r="K9" s="363"/>
      <c r="L9" s="363"/>
      <c r="M9" s="363"/>
      <c r="N9" s="363"/>
      <c r="O9" s="363"/>
      <c r="P9" s="363"/>
      <c r="Q9" s="363"/>
      <c r="R9" s="363"/>
      <c r="S9" s="363"/>
      <c r="T9" s="363"/>
      <c r="U9" s="631" t="str">
        <f>M5S7</f>
        <v>Summary Form</v>
      </c>
      <c r="V9" s="631"/>
      <c r="W9" s="631"/>
      <c r="X9" s="631"/>
      <c r="Y9" s="631"/>
      <c r="Z9" s="631"/>
      <c r="AA9" s="631"/>
      <c r="AB9" s="631"/>
      <c r="AC9" s="363"/>
      <c r="AD9" s="363"/>
      <c r="AE9" s="363"/>
      <c r="AF9" s="363"/>
      <c r="AG9" s="363"/>
      <c r="AH9" s="363"/>
      <c r="AI9" s="363"/>
      <c r="AJ9" s="363"/>
      <c r="AK9" s="363"/>
      <c r="AL9" s="363"/>
      <c r="AM9" s="363"/>
      <c r="AN9" s="363"/>
      <c r="AO9" s="363"/>
      <c r="AP9" s="363"/>
      <c r="AQ9" s="363"/>
      <c r="AR9" s="363"/>
      <c r="AS9" s="363"/>
      <c r="AT9" s="363"/>
      <c r="AU9" s="363"/>
      <c r="AV9" s="363"/>
      <c r="AW9" s="363"/>
    </row>
    <row r="10" spans="1:49" ht="15.95" customHeight="1">
      <c r="A10" s="303"/>
      <c r="B10" s="303"/>
      <c r="C10" s="303"/>
      <c r="D10" s="303"/>
      <c r="E10" s="321" t="s">
        <v>2415</v>
      </c>
      <c r="F10" s="303"/>
      <c r="G10" s="303"/>
      <c r="H10" s="303"/>
      <c r="I10" s="303"/>
      <c r="J10" s="303"/>
      <c r="K10" s="303"/>
      <c r="L10" s="303"/>
      <c r="M10" s="303"/>
      <c r="N10" s="303"/>
      <c r="O10" s="303"/>
      <c r="P10" s="303"/>
      <c r="Q10" s="303"/>
      <c r="R10" s="303"/>
      <c r="S10" s="303"/>
      <c r="T10" s="303"/>
      <c r="U10" s="621"/>
      <c r="V10" s="621"/>
      <c r="W10" s="621"/>
      <c r="X10" s="621"/>
      <c r="Y10" s="621"/>
      <c r="Z10" s="621"/>
      <c r="AA10" s="621"/>
      <c r="AB10" s="621"/>
      <c r="AC10" s="303"/>
      <c r="AD10" s="303"/>
      <c r="AE10" s="303"/>
      <c r="AF10" s="303"/>
      <c r="AG10" s="303"/>
      <c r="AH10" s="303"/>
      <c r="AI10" s="303"/>
      <c r="AJ10" s="303"/>
      <c r="AK10" s="303"/>
      <c r="AL10" s="303"/>
      <c r="AM10" s="303"/>
      <c r="AN10" s="303"/>
      <c r="AO10" s="303"/>
      <c r="AP10" s="303"/>
      <c r="AQ10" s="303"/>
      <c r="AR10" s="303"/>
      <c r="AS10" s="303"/>
      <c r="AT10" s="303"/>
      <c r="AU10" s="303"/>
      <c r="AV10" s="303"/>
      <c r="AW10" s="303"/>
    </row>
    <row r="11" spans="1:49" ht="15.95" customHeight="1" thickBot="1">
      <c r="C11" s="434"/>
      <c r="D11" s="1415" t="s">
        <v>2395</v>
      </c>
      <c r="E11" s="1406" t="str">
        <f>_xlfn.LET( _xlpm.BLDGTYPE, IF(M02S04F19="Other", "Building Type is Other - Verify and update on Building Information tab. ",""), _xlpm.OVERRIDE, IF(OVERRIDETOTAL&gt;0," Incentive has been overridden. ",""), _xlpm.UNIT_M3S5, IF(M3S5ErrorCheck &gt; 0, "Errors in STDHVAC Details.", "" ), _xlpm.UNIT_M4S4, IF(NOT(ISNUMBER(M4S4UNITCHECK)),M4S4UNITCHECK,""), _xlpm.UNIT_M4S5, IF(NOT(ISNUMBER(M4S5UNITCHECK)),M4S5UNITCHECK,""),_xlpm.UNIT_M4S6, IF(NOT(ISNUMBER(M4S6UNITCHECK)),M4S6UNITCHECK,""), _xlpm.UNIT_M4S7, IF(NOT(ISNUMBER(M4S7UNITCHECK)),M4S7UNITCHECK,""), _xlpm.UNIT_M4S8, IF(NOT(ISNUMBER(M4S8UNITCHECK)),M4S8UNITCHECK,""), _xlpm.UNIT_M4S9, IF(NOT(ISNUMBER(M4S9UNITCHECK)),M4S9UNITCHECK,""), _xlpm.BONUS, IF(ACTIVEBONUS = TRUE,"Incentive increase is active. ",""), _xlpm.MSG_GEN, _xlpm.BONUS, _xlpm.MSG_IS, _xlpm.BLDGTYPE, _xlpm.MSG_ENG, _xlpm.OVERRIDE &amp; _xlpm.UNIT_M3S5 &amp; _xlpm.UNIT_M4S4 &amp; _xlpm.UNIT_M4S5 &amp; _xlpm.UNIT_M4S6 &amp; _xlpm.UNIT_M4S7 &amp; _xlpm.UNIT_M4S8 &amp; _xlpm.UNIT_M4S9, IF(_xlpm.MSG_GEN &lt;&gt; "","GENERAL: " &amp; _xlpm.MSG_GEN &amp; CHAR(10),"") &amp; IF(_xlpm.MSG_IS &lt;&gt; "","IS: " &amp; _xlpm.MSG_IS &amp; CHAR(10),"") &amp; IF(_xlpm.MSG_ENG &lt;&gt; "","ENG: " &amp; _xlpm.MSG_ENG,""))</f>
        <v/>
      </c>
      <c r="F11" s="1407"/>
      <c r="G11" s="1407"/>
      <c r="H11" s="1407"/>
      <c r="I11" s="1407"/>
      <c r="J11" s="1407"/>
      <c r="K11" s="1407"/>
      <c r="L11" s="1407"/>
      <c r="M11" s="1407"/>
      <c r="N11" s="1407"/>
      <c r="O11" s="1407"/>
      <c r="P11" s="1407"/>
      <c r="Q11" s="1407"/>
      <c r="R11" s="1407"/>
      <c r="S11" s="1407"/>
      <c r="T11" s="1407"/>
      <c r="U11" s="1407"/>
      <c r="V11" s="1407"/>
      <c r="W11" s="1408"/>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row>
    <row r="12" spans="1:49" ht="15.95" customHeight="1" thickBot="1">
      <c r="C12" s="434"/>
      <c r="D12" s="1415"/>
      <c r="E12" s="1409"/>
      <c r="F12" s="1410"/>
      <c r="G12" s="1410"/>
      <c r="H12" s="1410"/>
      <c r="I12" s="1410"/>
      <c r="J12" s="1410"/>
      <c r="K12" s="1410"/>
      <c r="L12" s="1410"/>
      <c r="M12" s="1410"/>
      <c r="N12" s="1410"/>
      <c r="O12" s="1410"/>
      <c r="P12" s="1410"/>
      <c r="Q12" s="1410"/>
      <c r="R12" s="1410"/>
      <c r="S12" s="1410"/>
      <c r="T12" s="1410"/>
      <c r="U12" s="1410"/>
      <c r="V12" s="1410"/>
      <c r="W12" s="1411"/>
      <c r="Y12" s="1493" t="s">
        <v>1813</v>
      </c>
      <c r="Z12" s="1494"/>
      <c r="AA12" s="1494"/>
      <c r="AB12" s="1494"/>
      <c r="AC12" s="1494"/>
      <c r="AD12" s="1494"/>
      <c r="AE12" s="1494"/>
      <c r="AF12" s="1494"/>
      <c r="AG12" s="1494"/>
      <c r="AH12" s="1495"/>
      <c r="AJ12" s="1441" t="s">
        <v>311</v>
      </c>
      <c r="AK12" s="1442"/>
      <c r="AL12" s="1442"/>
      <c r="AM12" s="1442"/>
      <c r="AN12" s="1442"/>
      <c r="AO12" s="1442"/>
      <c r="AP12" s="1442"/>
      <c r="AQ12" s="1442"/>
      <c r="AR12" s="1442"/>
      <c r="AS12" s="1443"/>
      <c r="AT12" s="22"/>
      <c r="AU12" s="22"/>
      <c r="AV12" s="22"/>
    </row>
    <row r="13" spans="1:49" ht="15.95" customHeight="1" thickBot="1">
      <c r="C13" s="434"/>
      <c r="D13" s="1415"/>
      <c r="E13" s="1412"/>
      <c r="F13" s="1413"/>
      <c r="G13" s="1413"/>
      <c r="H13" s="1413"/>
      <c r="I13" s="1413"/>
      <c r="J13" s="1413"/>
      <c r="K13" s="1413"/>
      <c r="L13" s="1413"/>
      <c r="M13" s="1413"/>
      <c r="N13" s="1413"/>
      <c r="O13" s="1413"/>
      <c r="P13" s="1413"/>
      <c r="Q13" s="1413"/>
      <c r="R13" s="1413"/>
      <c r="S13" s="1413"/>
      <c r="T13" s="1413"/>
      <c r="U13" s="1413"/>
      <c r="V13" s="1413"/>
      <c r="W13" s="1414"/>
      <c r="Y13" s="1496"/>
      <c r="Z13" s="1497"/>
      <c r="AA13" s="1497"/>
      <c r="AB13" s="1497"/>
      <c r="AC13" s="1497"/>
      <c r="AD13" s="1497"/>
      <c r="AE13" s="1497"/>
      <c r="AF13" s="1497"/>
      <c r="AG13" s="1497"/>
      <c r="AH13" s="1498"/>
      <c r="AJ13" s="1490" t="s">
        <v>2293</v>
      </c>
      <c r="AK13" s="1491"/>
      <c r="AL13" s="1491"/>
      <c r="AM13" s="1492"/>
      <c r="AN13" s="1508"/>
      <c r="AO13" s="1509"/>
      <c r="AP13" s="1509"/>
      <c r="AQ13" s="1509"/>
      <c r="AR13" s="1509"/>
      <c r="AS13" s="1510"/>
      <c r="AT13" s="22"/>
      <c r="AU13" s="22"/>
      <c r="AV13" s="22"/>
    </row>
    <row r="14" spans="1:49" ht="15.95" customHeight="1" thickBot="1">
      <c r="B14" s="22"/>
      <c r="C14" s="22"/>
      <c r="D14" s="22"/>
      <c r="Y14" s="1499"/>
      <c r="Z14" s="1500"/>
      <c r="AA14" s="1500"/>
      <c r="AB14" s="1500"/>
      <c r="AC14" s="1500"/>
      <c r="AD14" s="1500"/>
      <c r="AE14" s="1500"/>
      <c r="AF14" s="1500"/>
      <c r="AG14" s="1500"/>
      <c r="AH14" s="1501"/>
      <c r="AJ14" s="1490" t="s">
        <v>600</v>
      </c>
      <c r="AK14" s="1491"/>
      <c r="AL14" s="1491"/>
      <c r="AM14" s="1492"/>
      <c r="AN14" s="1505"/>
      <c r="AO14" s="1506"/>
      <c r="AP14" s="1506"/>
      <c r="AQ14" s="1506"/>
      <c r="AR14" s="1506"/>
      <c r="AS14" s="1507"/>
      <c r="AT14" s="22"/>
      <c r="AU14" s="22"/>
      <c r="AV14" s="22"/>
    </row>
    <row r="15" spans="1:49" ht="15.95" customHeight="1" thickBot="1">
      <c r="B15" s="22"/>
      <c r="C15" s="22"/>
      <c r="D15" s="22"/>
      <c r="E15" s="1493" t="s">
        <v>69</v>
      </c>
      <c r="F15" s="1494"/>
      <c r="G15" s="1494"/>
      <c r="H15" s="1494"/>
      <c r="I15" s="1494"/>
      <c r="J15" s="1494"/>
      <c r="K15" s="1494"/>
      <c r="L15" s="1494"/>
      <c r="M15" s="1494"/>
      <c r="N15" s="1495"/>
      <c r="P15" s="1441" t="s">
        <v>1473</v>
      </c>
      <c r="Q15" s="1442"/>
      <c r="R15" s="1442"/>
      <c r="S15" s="1442"/>
      <c r="T15" s="1442"/>
      <c r="U15" s="1442"/>
      <c r="V15" s="1442"/>
      <c r="W15" s="1443"/>
      <c r="Y15" s="1499"/>
      <c r="Z15" s="1500"/>
      <c r="AA15" s="1500"/>
      <c r="AB15" s="1500"/>
      <c r="AC15" s="1500"/>
      <c r="AD15" s="1500"/>
      <c r="AE15" s="1500"/>
      <c r="AF15" s="1500"/>
      <c r="AG15" s="1500"/>
      <c r="AH15" s="1501"/>
      <c r="AJ15" s="1490" t="s">
        <v>308</v>
      </c>
      <c r="AK15" s="1491"/>
      <c r="AL15" s="1491"/>
      <c r="AM15" s="1492"/>
      <c r="AN15" s="1505"/>
      <c r="AO15" s="1506"/>
      <c r="AP15" s="1506"/>
      <c r="AQ15" s="1506"/>
      <c r="AR15" s="1506"/>
      <c r="AS15" s="1507"/>
      <c r="AT15" s="22"/>
      <c r="AU15" s="22"/>
      <c r="AV15" s="22"/>
    </row>
    <row r="16" spans="1:49" ht="15.95" customHeight="1" thickBot="1">
      <c r="B16" s="22"/>
      <c r="C16" s="22"/>
      <c r="D16" s="22"/>
      <c r="E16" s="1418" t="s">
        <v>1495</v>
      </c>
      <c r="F16" s="1418"/>
      <c r="G16" s="1418"/>
      <c r="H16" s="1418"/>
      <c r="I16" s="1523" t="str">
        <f>PROPER(M02S04F07)</f>
        <v/>
      </c>
      <c r="J16" s="1524"/>
      <c r="K16" s="1524"/>
      <c r="L16" s="1524"/>
      <c r="M16" s="1524"/>
      <c r="N16" s="1525"/>
      <c r="P16" s="1517" t="s">
        <v>1811</v>
      </c>
      <c r="Q16" s="1518"/>
      <c r="R16" s="1518"/>
      <c r="S16" s="1519"/>
      <c r="T16" s="1538" t="str">
        <f ca="1">IF(COMPTERMS=1,"Completed",IF(COMPTERMS&gt;0.7,"Almost!","Incomplete"))</f>
        <v>Incomplete</v>
      </c>
      <c r="U16" s="1539"/>
      <c r="V16" s="1539"/>
      <c r="W16" s="1540"/>
      <c r="Y16" s="1499"/>
      <c r="Z16" s="1500"/>
      <c r="AA16" s="1500"/>
      <c r="AB16" s="1500"/>
      <c r="AC16" s="1500"/>
      <c r="AD16" s="1500"/>
      <c r="AE16" s="1500"/>
      <c r="AF16" s="1500"/>
      <c r="AG16" s="1500"/>
      <c r="AH16" s="1501"/>
      <c r="AJ16" s="1490" t="s">
        <v>309</v>
      </c>
      <c r="AK16" s="1491"/>
      <c r="AL16" s="1491"/>
      <c r="AM16" s="1492"/>
      <c r="AN16" s="1505"/>
      <c r="AO16" s="1506"/>
      <c r="AP16" s="1506"/>
      <c r="AQ16" s="1506"/>
      <c r="AR16" s="1506"/>
      <c r="AS16" s="1507"/>
      <c r="AT16" s="22"/>
      <c r="AU16" s="22"/>
      <c r="AV16" s="22"/>
    </row>
    <row r="17" spans="2:48" ht="15.95" customHeight="1" thickBot="1">
      <c r="B17" s="22"/>
      <c r="C17" s="22"/>
      <c r="D17" s="22"/>
      <c r="E17" s="1418" t="s">
        <v>1496</v>
      </c>
      <c r="F17" s="1418"/>
      <c r="G17" s="1418"/>
      <c r="H17" s="1440"/>
      <c r="I17" s="1535">
        <f>M02S04F03</f>
        <v>0</v>
      </c>
      <c r="J17" s="1536"/>
      <c r="K17" s="1536"/>
      <c r="L17" s="1536"/>
      <c r="M17" s="1536"/>
      <c r="N17" s="1537"/>
      <c r="P17" s="1517" t="s">
        <v>1810</v>
      </c>
      <c r="Q17" s="1518"/>
      <c r="R17" s="1518"/>
      <c r="S17" s="1519"/>
      <c r="T17" s="1541">
        <f>M02S01F01</f>
        <v>0</v>
      </c>
      <c r="U17" s="1542"/>
      <c r="V17" s="1542"/>
      <c r="W17" s="1543"/>
      <c r="Y17" s="1502"/>
      <c r="Z17" s="1503"/>
      <c r="AA17" s="1503"/>
      <c r="AB17" s="1503"/>
      <c r="AC17" s="1503"/>
      <c r="AD17" s="1503"/>
      <c r="AE17" s="1503"/>
      <c r="AF17" s="1503"/>
      <c r="AG17" s="1503"/>
      <c r="AH17" s="1504"/>
      <c r="AJ17" s="1490" t="s">
        <v>310</v>
      </c>
      <c r="AK17" s="1491"/>
      <c r="AL17" s="1491"/>
      <c r="AM17" s="1492"/>
      <c r="AN17" s="1511"/>
      <c r="AO17" s="1512"/>
      <c r="AP17" s="1512"/>
      <c r="AQ17" s="1512"/>
      <c r="AR17" s="1512"/>
      <c r="AS17" s="1513"/>
      <c r="AT17" s="22"/>
      <c r="AU17" s="22"/>
      <c r="AV17" s="22"/>
    </row>
    <row r="18" spans="2:48" ht="15.95" customHeight="1" thickBot="1">
      <c r="B18" s="22"/>
      <c r="C18" s="22"/>
      <c r="D18" s="22"/>
      <c r="E18" s="1418" t="s">
        <v>1496</v>
      </c>
      <c r="F18" s="1418"/>
      <c r="G18" s="1418"/>
      <c r="H18" s="1440"/>
      <c r="I18" s="1535">
        <f>M02S04F04</f>
        <v>0</v>
      </c>
      <c r="J18" s="1536"/>
      <c r="K18" s="1536"/>
      <c r="L18" s="1536"/>
      <c r="M18" s="1536"/>
      <c r="N18" s="1537"/>
      <c r="P18" s="1517" t="s">
        <v>1207</v>
      </c>
      <c r="Q18" s="1518"/>
      <c r="R18" s="1518"/>
      <c r="S18" s="1519"/>
      <c r="T18" s="1480" t="str">
        <f ca="1">IF(COMPTA=1,"Completed",IF(COMPTA&gt;0.7,"Almost!","Incomplete"))</f>
        <v>Incomplete</v>
      </c>
      <c r="U18" s="1481"/>
      <c r="V18" s="1481"/>
      <c r="W18" s="1482"/>
      <c r="Y18" s="1493" t="s">
        <v>1814</v>
      </c>
      <c r="Z18" s="1494"/>
      <c r="AA18" s="1494"/>
      <c r="AB18" s="1494"/>
      <c r="AC18" s="1494"/>
      <c r="AD18" s="1494"/>
      <c r="AE18" s="1494"/>
      <c r="AF18" s="1494"/>
      <c r="AG18" s="1494"/>
      <c r="AH18" s="1495"/>
      <c r="AJ18" s="1490" t="s">
        <v>622</v>
      </c>
      <c r="AK18" s="1491"/>
      <c r="AL18" s="1491"/>
      <c r="AM18" s="1492"/>
      <c r="AN18" s="1514" t="str">
        <f>IF(ISTEXT(M02S04F24), M02S04F24, " ")</f>
        <v xml:space="preserve"> </v>
      </c>
      <c r="AO18" s="1515"/>
      <c r="AP18" s="1515"/>
      <c r="AQ18" s="1515"/>
      <c r="AR18" s="1515"/>
      <c r="AS18" s="1516"/>
      <c r="AT18" s="22"/>
      <c r="AU18" s="22"/>
      <c r="AV18" s="22"/>
    </row>
    <row r="19" spans="2:48" ht="15.95" customHeight="1" thickBot="1">
      <c r="B19" s="22"/>
      <c r="C19" s="22"/>
      <c r="D19" s="22"/>
      <c r="E19" s="1418" t="s">
        <v>1308</v>
      </c>
      <c r="F19" s="1418"/>
      <c r="G19" s="1418"/>
      <c r="H19" s="1418"/>
      <c r="I19" s="1526" t="str">
        <f>IF(AND(INCENTOTALPRESE&gt;0,INCENTOTALCUSE&gt;0,ACTIVEBLOCK&lt;&gt;"Yes"),"Standard and Custom",IF(AND(INCENTOTALPRESE&gt;0,INCENTOTALCUSE=0,ACTIVEBLOCK&lt;&gt;"Yes"),"Standard",IF(AND(INCENTOTALPRESE=0,INCENTOTALCUSE&gt;0,ACTIVEBLOCK&lt;&gt;"Yes"),"Custom",IF(AND(INCENTOTALCUSE&gt;0,ACTIVEBLOCK="Yes"),"Block Bidding",""))))</f>
        <v/>
      </c>
      <c r="J19" s="1527"/>
      <c r="K19" s="1527"/>
      <c r="L19" s="1527"/>
      <c r="M19" s="1527"/>
      <c r="N19" s="1528"/>
      <c r="P19" s="1517" t="s">
        <v>1379</v>
      </c>
      <c r="Q19" s="1518"/>
      <c r="R19" s="1518"/>
      <c r="S19" s="1519"/>
      <c r="T19" s="1544" t="str">
        <f ca="1">IF(COMPCUSTOMER=1,"Completed",IF(COMPCUSTOMER&gt;0.7,"Almost!","Incomplete"))</f>
        <v>Incomplete</v>
      </c>
      <c r="U19" s="1545"/>
      <c r="V19" s="1545"/>
      <c r="W19" s="1546"/>
      <c r="Y19" s="1496"/>
      <c r="Z19" s="1497"/>
      <c r="AA19" s="1497"/>
      <c r="AB19" s="1497"/>
      <c r="AC19" s="1497"/>
      <c r="AD19" s="1497"/>
      <c r="AE19" s="1497"/>
      <c r="AF19" s="1497"/>
      <c r="AG19" s="1497"/>
      <c r="AH19" s="1498"/>
      <c r="AT19" s="22"/>
      <c r="AU19" s="22"/>
      <c r="AV19" s="22"/>
    </row>
    <row r="20" spans="2:48" ht="15.95" customHeight="1" thickBot="1">
      <c r="B20" s="22"/>
      <c r="C20" s="22"/>
      <c r="D20" s="22"/>
      <c r="E20" s="1418" t="s">
        <v>1736</v>
      </c>
      <c r="F20" s="1418"/>
      <c r="G20" s="1418"/>
      <c r="H20" s="1418"/>
      <c r="I20" s="1529" t="str">
        <f>IF(INCENTOTAL=0,"",IF(OR(INCENTOTALPRESE&gt;INCPREAPPROVAL,INCENTOTALCUSE&gt;0,ACTIVEBLOCK="Yes"),"Pre-Approval","Fast-Track"))</f>
        <v/>
      </c>
      <c r="J20" s="1530"/>
      <c r="K20" s="1530"/>
      <c r="L20" s="1530"/>
      <c r="M20" s="1530"/>
      <c r="N20" s="1531"/>
      <c r="P20" s="1517" t="s">
        <v>1472</v>
      </c>
      <c r="Q20" s="1518"/>
      <c r="R20" s="1518"/>
      <c r="S20" s="1519"/>
      <c r="T20" s="1477" t="str">
        <f ca="1">IF(COMPBUILD=1,"Completed",IF(COMPBUILD&gt;0.7,"Almost!","Incomplete"))</f>
        <v>Incomplete</v>
      </c>
      <c r="U20" s="1478"/>
      <c r="V20" s="1478"/>
      <c r="W20" s="1479"/>
      <c r="Y20" s="1499"/>
      <c r="Z20" s="1500"/>
      <c r="AA20" s="1500"/>
      <c r="AB20" s="1500"/>
      <c r="AC20" s="1500"/>
      <c r="AD20" s="1500"/>
      <c r="AE20" s="1500"/>
      <c r="AF20" s="1500"/>
      <c r="AG20" s="1500"/>
      <c r="AH20" s="1501"/>
      <c r="AJ20" s="1441" t="s">
        <v>1153</v>
      </c>
      <c r="AK20" s="1442"/>
      <c r="AL20" s="1442"/>
      <c r="AM20" s="1442"/>
      <c r="AN20" s="1442"/>
      <c r="AO20" s="1442"/>
      <c r="AP20" s="1442"/>
      <c r="AQ20" s="1442"/>
      <c r="AR20" s="1442"/>
      <c r="AS20" s="1443"/>
      <c r="AT20" s="22"/>
      <c r="AU20" s="22"/>
      <c r="AV20" s="22"/>
    </row>
    <row r="21" spans="2:48" ht="15.95" customHeight="1" thickBot="1">
      <c r="B21" s="22"/>
      <c r="C21" s="22"/>
      <c r="D21" s="22"/>
      <c r="E21" s="1418" t="s">
        <v>1497</v>
      </c>
      <c r="F21" s="1418"/>
      <c r="G21" s="1418"/>
      <c r="H21" s="1418"/>
      <c r="I21" s="1529" t="str">
        <f>VERSION</f>
        <v>v3.0.0</v>
      </c>
      <c r="J21" s="1530"/>
      <c r="K21" s="1530"/>
      <c r="L21" s="1530"/>
      <c r="M21" s="1530"/>
      <c r="N21" s="1531"/>
      <c r="P21" s="1517" t="s">
        <v>1164</v>
      </c>
      <c r="Q21" s="1518"/>
      <c r="R21" s="1518"/>
      <c r="S21" s="1519"/>
      <c r="T21" s="1480" t="str">
        <f>IF(COMPMEASURE=1,"Completed",IF(COMPMEASURE&gt;0.7,"Almost!","Incomplete"))</f>
        <v>Incomplete</v>
      </c>
      <c r="U21" s="1481"/>
      <c r="V21" s="1481"/>
      <c r="W21" s="1482"/>
      <c r="Y21" s="1499"/>
      <c r="Z21" s="1500"/>
      <c r="AA21" s="1500"/>
      <c r="AB21" s="1500"/>
      <c r="AC21" s="1500"/>
      <c r="AD21" s="1500"/>
      <c r="AE21" s="1500"/>
      <c r="AF21" s="1500"/>
      <c r="AG21" s="1500"/>
      <c r="AH21" s="1501"/>
      <c r="AJ21" s="1490" t="s">
        <v>1154</v>
      </c>
      <c r="AK21" s="1491"/>
      <c r="AL21" s="1491"/>
      <c r="AM21" s="1492"/>
      <c r="AN21" s="1487" t="s">
        <v>1205</v>
      </c>
      <c r="AO21" s="1488"/>
      <c r="AP21" s="1488"/>
      <c r="AQ21" s="1488"/>
      <c r="AR21" s="1488"/>
      <c r="AS21" s="1489"/>
      <c r="AT21" s="22"/>
      <c r="AU21" s="22"/>
      <c r="AV21" s="22"/>
    </row>
    <row r="22" spans="2:48" ht="15.95" customHeight="1" thickBot="1">
      <c r="B22" s="22"/>
      <c r="C22" s="22"/>
      <c r="D22" s="22"/>
      <c r="E22" s="1418" t="s">
        <v>1479</v>
      </c>
      <c r="F22" s="1418"/>
      <c r="G22" s="1418"/>
      <c r="H22" s="1418"/>
      <c r="I22" s="1532">
        <f>M05S02F01</f>
        <v>0</v>
      </c>
      <c r="J22" s="1533"/>
      <c r="K22" s="1533"/>
      <c r="L22" s="1533"/>
      <c r="M22" s="1533"/>
      <c r="N22" s="1534"/>
      <c r="P22" s="1517" t="s">
        <v>1149</v>
      </c>
      <c r="Q22" s="1518"/>
      <c r="R22" s="1518"/>
      <c r="S22" s="1519"/>
      <c r="T22" s="1480" t="str">
        <f ca="1">IF(COMPPAY=1,"Completed",IF(COMPPAY&gt;0.7,"Almost!","Incomplete"))</f>
        <v>Incomplete</v>
      </c>
      <c r="U22" s="1481"/>
      <c r="V22" s="1481"/>
      <c r="W22" s="1482"/>
      <c r="Y22" s="1499"/>
      <c r="Z22" s="1500"/>
      <c r="AA22" s="1500"/>
      <c r="AB22" s="1500"/>
      <c r="AC22" s="1500"/>
      <c r="AD22" s="1500"/>
      <c r="AE22" s="1500"/>
      <c r="AF22" s="1500"/>
      <c r="AG22" s="1500"/>
      <c r="AH22" s="1501"/>
      <c r="AJ22" s="1490" t="s">
        <v>1155</v>
      </c>
      <c r="AK22" s="1491"/>
      <c r="AL22" s="1491"/>
      <c r="AM22" s="1492"/>
      <c r="AN22" s="1487" t="s">
        <v>1205</v>
      </c>
      <c r="AO22" s="1488"/>
      <c r="AP22" s="1488"/>
      <c r="AQ22" s="1488"/>
      <c r="AR22" s="1488"/>
      <c r="AS22" s="1489"/>
      <c r="AT22" s="22"/>
      <c r="AU22" s="22"/>
      <c r="AV22" s="22"/>
    </row>
    <row r="23" spans="2:48" ht="15.95" customHeight="1" thickBot="1">
      <c r="E23" s="1418" t="s">
        <v>1480</v>
      </c>
      <c r="F23" s="1418"/>
      <c r="G23" s="1418"/>
      <c r="H23" s="1418"/>
      <c r="I23" s="1532">
        <f>M05S02F02</f>
        <v>0</v>
      </c>
      <c r="J23" s="1533"/>
      <c r="K23" s="1533"/>
      <c r="L23" s="1533"/>
      <c r="M23" s="1533"/>
      <c r="N23" s="1534"/>
      <c r="P23" s="1520" t="s">
        <v>1211</v>
      </c>
      <c r="Q23" s="1521"/>
      <c r="R23" s="1521"/>
      <c r="S23" s="1522"/>
      <c r="T23" s="1480" t="str">
        <f ca="1">IF(COMPSUMMARY=1,"Completed",IF(COMPSUMMARY&gt;0.7,"Almost!","Incomplete"))</f>
        <v>Incomplete</v>
      </c>
      <c r="U23" s="1481"/>
      <c r="V23" s="1481"/>
      <c r="W23" s="1482"/>
      <c r="Y23" s="1502"/>
      <c r="Z23" s="1503"/>
      <c r="AA23" s="1503"/>
      <c r="AB23" s="1503"/>
      <c r="AC23" s="1503"/>
      <c r="AD23" s="1503"/>
      <c r="AE23" s="1503"/>
      <c r="AF23" s="1503"/>
      <c r="AG23" s="1503"/>
      <c r="AH23" s="1504"/>
      <c r="AJ23" s="1490" t="s">
        <v>1531</v>
      </c>
      <c r="AK23" s="1491"/>
      <c r="AL23" s="1491"/>
      <c r="AM23" s="1492"/>
      <c r="AN23" s="1487"/>
      <c r="AO23" s="1488"/>
      <c r="AP23" s="1488"/>
      <c r="AQ23" s="1488"/>
      <c r="AR23" s="1488"/>
      <c r="AS23" s="1489"/>
    </row>
    <row r="24" spans="2:48" ht="15.95" customHeight="1" thickBot="1">
      <c r="B24" s="22"/>
      <c r="C24" s="22"/>
      <c r="D24" s="22"/>
      <c r="AT24" s="22"/>
      <c r="AU24" s="22"/>
      <c r="AV24" s="22"/>
    </row>
    <row r="25" spans="2:48" ht="15.95" customHeight="1" thickBot="1">
      <c r="B25" s="22"/>
      <c r="C25" s="22"/>
      <c r="D25" s="22"/>
      <c r="E25" s="1422" t="s">
        <v>1482</v>
      </c>
      <c r="F25" s="1422"/>
      <c r="G25" s="1422"/>
      <c r="H25" s="1422"/>
      <c r="I25" s="1422"/>
      <c r="J25" s="1422"/>
      <c r="K25" s="1422"/>
      <c r="L25" s="1422"/>
      <c r="M25" s="1422"/>
      <c r="N25" s="1422"/>
      <c r="O25" s="1422"/>
      <c r="P25" s="1422"/>
      <c r="Q25" s="1422"/>
      <c r="R25" s="121"/>
      <c r="S25" s="1422" t="s">
        <v>1483</v>
      </c>
      <c r="T25" s="1422"/>
      <c r="U25" s="1422"/>
      <c r="V25" s="1422"/>
      <c r="W25" s="1422"/>
      <c r="X25" s="1422"/>
      <c r="Y25" s="1422"/>
      <c r="Z25" s="1422"/>
      <c r="AA25" s="1422"/>
      <c r="AB25" s="1422"/>
      <c r="AC25" s="1422"/>
      <c r="AD25" s="1422"/>
      <c r="AE25" s="1422"/>
      <c r="AF25" s="121"/>
      <c r="AG25" s="1464" t="s">
        <v>313</v>
      </c>
      <c r="AH25" s="1465"/>
      <c r="AI25" s="1465"/>
      <c r="AJ25" s="1465"/>
      <c r="AK25" s="1465"/>
      <c r="AL25" s="1465"/>
      <c r="AM25" s="1465"/>
      <c r="AN25" s="1465"/>
      <c r="AO25" s="1465"/>
      <c r="AP25" s="1465"/>
      <c r="AQ25" s="1465"/>
      <c r="AR25" s="1465"/>
      <c r="AS25" s="1465"/>
      <c r="AT25" s="22"/>
      <c r="AU25" s="22"/>
      <c r="AV25" s="22"/>
    </row>
    <row r="26" spans="2:48" ht="15.95" customHeight="1" thickBot="1">
      <c r="B26" s="22"/>
      <c r="C26" s="22"/>
      <c r="D26" s="22"/>
      <c r="E26" s="1423" t="s">
        <v>1474</v>
      </c>
      <c r="F26" s="1423"/>
      <c r="G26" s="1423"/>
      <c r="H26" s="1423"/>
      <c r="I26" s="1424" t="str">
        <f>SUBSTITUTE(PROPER(M02S03F01),"'S","'s")</f>
        <v/>
      </c>
      <c r="J26" s="1424"/>
      <c r="K26" s="1424"/>
      <c r="L26" s="1424"/>
      <c r="M26" s="1424"/>
      <c r="N26" s="1424"/>
      <c r="O26" s="1424"/>
      <c r="P26" s="1424"/>
      <c r="Q26" s="1424"/>
      <c r="R26" s="121"/>
      <c r="S26" s="1468" t="s">
        <v>1499</v>
      </c>
      <c r="T26" s="1469"/>
      <c r="U26" s="1469"/>
      <c r="V26" s="1470"/>
      <c r="W26" s="1419" t="str">
        <f>SUBSTITUTE(PROPER(M02S04F07),"'S","'s")</f>
        <v/>
      </c>
      <c r="X26" s="1420"/>
      <c r="Y26" s="1420"/>
      <c r="Z26" s="1420"/>
      <c r="AA26" s="1420"/>
      <c r="AB26" s="1420"/>
      <c r="AC26" s="1420"/>
      <c r="AD26" s="1420"/>
      <c r="AE26" s="1421"/>
      <c r="AF26" s="121"/>
      <c r="AG26" s="1484">
        <f>M02S04F23</f>
        <v>0</v>
      </c>
      <c r="AH26" s="1484"/>
      <c r="AI26" s="1484"/>
      <c r="AJ26" s="1484"/>
      <c r="AK26" s="1484"/>
      <c r="AL26" s="1484"/>
      <c r="AM26" s="1484"/>
      <c r="AN26" s="1484"/>
      <c r="AO26" s="1484"/>
      <c r="AP26" s="1484"/>
      <c r="AQ26" s="1484"/>
      <c r="AR26" s="1484"/>
      <c r="AS26" s="1484"/>
      <c r="AT26" s="22"/>
      <c r="AU26" s="22"/>
      <c r="AV26" s="22"/>
    </row>
    <row r="27" spans="2:48" ht="15.95" customHeight="1" thickBot="1">
      <c r="B27" s="22"/>
      <c r="C27" s="22"/>
      <c r="D27" s="22"/>
      <c r="E27" s="1423" t="s">
        <v>1475</v>
      </c>
      <c r="F27" s="1423"/>
      <c r="G27" s="1423"/>
      <c r="H27" s="1423"/>
      <c r="I27" s="1424" t="str">
        <f>PROPER(M02S03F06)</f>
        <v/>
      </c>
      <c r="J27" s="1424"/>
      <c r="K27" s="1424"/>
      <c r="L27" s="1424"/>
      <c r="M27" s="1424"/>
      <c r="N27" s="1424" t="str">
        <f>PROPER(M02S03F07)</f>
        <v/>
      </c>
      <c r="O27" s="1424"/>
      <c r="P27" s="1424"/>
      <c r="Q27" s="1424"/>
      <c r="R27" s="121"/>
      <c r="S27" s="1435" t="s">
        <v>1475</v>
      </c>
      <c r="T27" s="1435"/>
      <c r="U27" s="1435"/>
      <c r="V27" s="1435"/>
      <c r="W27" s="1419" t="str">
        <f>PROPER(M02S04F12)</f>
        <v/>
      </c>
      <c r="X27" s="1420"/>
      <c r="Y27" s="1420"/>
      <c r="Z27" s="1420"/>
      <c r="AA27" s="1421"/>
      <c r="AB27" s="1419" t="str">
        <f>PROPER(M02S04F13)</f>
        <v/>
      </c>
      <c r="AC27" s="1420"/>
      <c r="AD27" s="1420"/>
      <c r="AE27" s="1421"/>
      <c r="AF27" s="121"/>
      <c r="AG27" s="1485"/>
      <c r="AH27" s="1485"/>
      <c r="AI27" s="1485"/>
      <c r="AJ27" s="1485"/>
      <c r="AK27" s="1485"/>
      <c r="AL27" s="1485"/>
      <c r="AM27" s="1485"/>
      <c r="AN27" s="1485"/>
      <c r="AO27" s="1485"/>
      <c r="AP27" s="1485"/>
      <c r="AQ27" s="1485"/>
      <c r="AR27" s="1485"/>
      <c r="AS27" s="1485"/>
      <c r="AT27" s="22"/>
      <c r="AU27" s="22"/>
      <c r="AV27" s="22"/>
    </row>
    <row r="28" spans="2:48" ht="15.95" customHeight="1" thickBot="1">
      <c r="B28" s="22"/>
      <c r="C28" s="22"/>
      <c r="D28" s="22"/>
      <c r="E28" s="1423" t="s">
        <v>1476</v>
      </c>
      <c r="F28" s="1423"/>
      <c r="G28" s="1423"/>
      <c r="H28" s="1423"/>
      <c r="I28" s="1424" t="str">
        <f>PROPER(M02S03F08)</f>
        <v/>
      </c>
      <c r="J28" s="1424"/>
      <c r="K28" s="1424"/>
      <c r="L28" s="1424"/>
      <c r="M28" s="1424"/>
      <c r="N28" s="1424"/>
      <c r="O28" s="1424"/>
      <c r="P28" s="1424"/>
      <c r="Q28" s="1424"/>
      <c r="R28" s="121"/>
      <c r="S28" s="1435" t="s">
        <v>1476</v>
      </c>
      <c r="T28" s="1435"/>
      <c r="U28" s="1435"/>
      <c r="V28" s="1435"/>
      <c r="W28" s="1439" t="str">
        <f>PROPER(M02S04F14)</f>
        <v/>
      </c>
      <c r="X28" s="1439"/>
      <c r="Y28" s="1439"/>
      <c r="Z28" s="1439"/>
      <c r="AA28" s="1439"/>
      <c r="AB28" s="1439"/>
      <c r="AC28" s="1439"/>
      <c r="AD28" s="1439"/>
      <c r="AE28" s="1439"/>
      <c r="AF28" s="121"/>
      <c r="AG28" s="1485"/>
      <c r="AH28" s="1485"/>
      <c r="AI28" s="1485"/>
      <c r="AJ28" s="1485"/>
      <c r="AK28" s="1485"/>
      <c r="AL28" s="1485"/>
      <c r="AM28" s="1485"/>
      <c r="AN28" s="1485"/>
      <c r="AO28" s="1485"/>
      <c r="AP28" s="1485"/>
      <c r="AQ28" s="1485"/>
      <c r="AR28" s="1485"/>
      <c r="AS28" s="1485"/>
      <c r="AT28" s="22"/>
      <c r="AU28" s="22"/>
      <c r="AV28" s="22"/>
    </row>
    <row r="29" spans="2:48" ht="15.95" customHeight="1" thickBot="1">
      <c r="B29" s="22"/>
      <c r="C29" s="22"/>
      <c r="D29" s="22"/>
      <c r="E29" s="1423" t="s">
        <v>287</v>
      </c>
      <c r="F29" s="1423"/>
      <c r="G29" s="1423"/>
      <c r="H29" s="1423"/>
      <c r="I29" s="1426">
        <f>M02S03F09</f>
        <v>0</v>
      </c>
      <c r="J29" s="1427"/>
      <c r="K29" s="1427"/>
      <c r="L29" s="1427"/>
      <c r="M29" s="1427"/>
      <c r="N29" s="1427"/>
      <c r="O29" s="1427"/>
      <c r="P29" s="1427"/>
      <c r="Q29" s="1428"/>
      <c r="R29" s="121"/>
      <c r="S29" s="1435" t="s">
        <v>287</v>
      </c>
      <c r="T29" s="1435"/>
      <c r="U29" s="1435"/>
      <c r="V29" s="1435"/>
      <c r="W29" s="1436" t="str">
        <f>M02S04F15</f>
        <v/>
      </c>
      <c r="X29" s="1437"/>
      <c r="Y29" s="1437"/>
      <c r="Z29" s="1437"/>
      <c r="AA29" s="1437"/>
      <c r="AB29" s="1437"/>
      <c r="AC29" s="1437"/>
      <c r="AD29" s="1437"/>
      <c r="AE29" s="1438"/>
      <c r="AF29" s="121"/>
      <c r="AG29" s="1485"/>
      <c r="AH29" s="1485"/>
      <c r="AI29" s="1485"/>
      <c r="AJ29" s="1485"/>
      <c r="AK29" s="1485"/>
      <c r="AL29" s="1485"/>
      <c r="AM29" s="1485"/>
      <c r="AN29" s="1485"/>
      <c r="AO29" s="1485"/>
      <c r="AP29" s="1485"/>
      <c r="AQ29" s="1485"/>
      <c r="AR29" s="1485"/>
      <c r="AS29" s="1485"/>
      <c r="AT29" s="22"/>
      <c r="AU29" s="22"/>
      <c r="AV29" s="22"/>
    </row>
    <row r="30" spans="2:48" ht="15.95" customHeight="1" thickBot="1">
      <c r="B30" s="22"/>
      <c r="C30" s="22"/>
      <c r="D30" s="22"/>
      <c r="E30" s="1423" t="s">
        <v>138</v>
      </c>
      <c r="F30" s="1423"/>
      <c r="G30" s="1423"/>
      <c r="H30" s="1423"/>
      <c r="I30" s="1424">
        <f>M02S03F10</f>
        <v>0</v>
      </c>
      <c r="J30" s="1424"/>
      <c r="K30" s="1424"/>
      <c r="L30" s="1424"/>
      <c r="M30" s="1424"/>
      <c r="N30" s="1424"/>
      <c r="O30" s="1424"/>
      <c r="P30" s="1424"/>
      <c r="Q30" s="1424"/>
      <c r="R30" s="121"/>
      <c r="S30" s="1435" t="s">
        <v>138</v>
      </c>
      <c r="T30" s="1435"/>
      <c r="U30" s="1435"/>
      <c r="V30" s="1435"/>
      <c r="W30" s="1439" t="str">
        <f>M02S04F16</f>
        <v/>
      </c>
      <c r="X30" s="1439"/>
      <c r="Y30" s="1439"/>
      <c r="Z30" s="1439"/>
      <c r="AA30" s="1439"/>
      <c r="AB30" s="1439"/>
      <c r="AC30" s="1439"/>
      <c r="AD30" s="1439"/>
      <c r="AE30" s="1439"/>
      <c r="AF30" s="121"/>
      <c r="AG30" s="1485"/>
      <c r="AH30" s="1485"/>
      <c r="AI30" s="1485"/>
      <c r="AJ30" s="1485"/>
      <c r="AK30" s="1485"/>
      <c r="AL30" s="1485"/>
      <c r="AM30" s="1485"/>
      <c r="AN30" s="1485"/>
      <c r="AO30" s="1485"/>
      <c r="AP30" s="1485"/>
      <c r="AQ30" s="1485"/>
      <c r="AR30" s="1485"/>
      <c r="AS30" s="1485"/>
      <c r="AT30" s="22"/>
      <c r="AU30" s="22"/>
      <c r="AV30" s="22"/>
    </row>
    <row r="31" spans="2:48" ht="15.95" customHeight="1" thickBot="1">
      <c r="B31" s="22"/>
      <c r="C31" s="22"/>
      <c r="D31" s="22"/>
      <c r="E31" s="1423" t="s">
        <v>1477</v>
      </c>
      <c r="F31" s="1423"/>
      <c r="G31" s="1423"/>
      <c r="H31" s="1423"/>
      <c r="I31" s="1424" t="str">
        <f>PROPER(M02S03F02)</f>
        <v/>
      </c>
      <c r="J31" s="1424"/>
      <c r="K31" s="1424"/>
      <c r="L31" s="1424"/>
      <c r="M31" s="1424"/>
      <c r="N31" s="1424"/>
      <c r="O31" s="1424"/>
      <c r="P31" s="1424"/>
      <c r="Q31" s="1424"/>
      <c r="R31" s="121"/>
      <c r="S31" s="1435" t="s">
        <v>1491</v>
      </c>
      <c r="T31" s="1435"/>
      <c r="U31" s="1435"/>
      <c r="V31" s="1435"/>
      <c r="W31" s="1439" t="str">
        <f>PROPER(M02S04F08)</f>
        <v/>
      </c>
      <c r="X31" s="1439"/>
      <c r="Y31" s="1439"/>
      <c r="Z31" s="1439"/>
      <c r="AA31" s="1439"/>
      <c r="AB31" s="1439"/>
      <c r="AC31" s="1439"/>
      <c r="AD31" s="1439"/>
      <c r="AE31" s="1439"/>
      <c r="AF31" s="121"/>
      <c r="AG31" s="1485"/>
      <c r="AH31" s="1485"/>
      <c r="AI31" s="1485"/>
      <c r="AJ31" s="1485"/>
      <c r="AK31" s="1485"/>
      <c r="AL31" s="1485"/>
      <c r="AM31" s="1485"/>
      <c r="AN31" s="1485"/>
      <c r="AO31" s="1485"/>
      <c r="AP31" s="1485"/>
      <c r="AQ31" s="1485"/>
      <c r="AR31" s="1485"/>
      <c r="AS31" s="1485"/>
      <c r="AT31" s="22"/>
      <c r="AU31" s="22"/>
      <c r="AV31" s="22"/>
    </row>
    <row r="32" spans="2:48" ht="15.95" customHeight="1" thickBot="1">
      <c r="B32" s="22"/>
      <c r="C32" s="22"/>
      <c r="D32" s="22"/>
      <c r="E32" s="1423" t="s">
        <v>312</v>
      </c>
      <c r="F32" s="1423"/>
      <c r="G32" s="1423"/>
      <c r="H32" s="1423"/>
      <c r="I32" s="1424" t="str">
        <f>PROPER(M02S03F03)</f>
        <v/>
      </c>
      <c r="J32" s="1424"/>
      <c r="K32" s="1424"/>
      <c r="L32" s="1424"/>
      <c r="M32" s="1424"/>
      <c r="N32" s="1424">
        <f>M02S03F04</f>
        <v>0</v>
      </c>
      <c r="O32" s="1424"/>
      <c r="P32" s="1486">
        <f>M02S03F05</f>
        <v>0</v>
      </c>
      <c r="Q32" s="1486"/>
      <c r="R32" s="121"/>
      <c r="S32" s="1435" t="s">
        <v>312</v>
      </c>
      <c r="T32" s="1435"/>
      <c r="U32" s="1435"/>
      <c r="V32" s="1435"/>
      <c r="W32" s="1419" t="str">
        <f>PROPER(M02S04F09)</f>
        <v/>
      </c>
      <c r="X32" s="1420"/>
      <c r="Y32" s="1420"/>
      <c r="Z32" s="1420"/>
      <c r="AA32" s="1421"/>
      <c r="AB32" s="1439" t="str">
        <f>M02S04F10</f>
        <v>MO</v>
      </c>
      <c r="AC32" s="1439"/>
      <c r="AD32" s="1466">
        <f>M02S04F11</f>
        <v>0</v>
      </c>
      <c r="AE32" s="1466"/>
      <c r="AF32" s="121"/>
      <c r="AG32" s="1485"/>
      <c r="AH32" s="1485"/>
      <c r="AI32" s="1485"/>
      <c r="AJ32" s="1485"/>
      <c r="AK32" s="1485"/>
      <c r="AL32" s="1485"/>
      <c r="AM32" s="1485"/>
      <c r="AN32" s="1485"/>
      <c r="AO32" s="1485"/>
      <c r="AP32" s="1485"/>
      <c r="AQ32" s="1485"/>
      <c r="AR32" s="1485"/>
      <c r="AS32" s="1485"/>
      <c r="AT32" s="22"/>
      <c r="AU32" s="22"/>
      <c r="AV32" s="22"/>
    </row>
    <row r="33" spans="2:48" ht="15.95" customHeight="1" thickBot="1">
      <c r="B33" s="22"/>
      <c r="C33" s="22"/>
      <c r="D33" s="22"/>
      <c r="AT33" s="22"/>
      <c r="AU33" s="22"/>
      <c r="AV33" s="22"/>
    </row>
    <row r="34" spans="2:48" ht="15.95" customHeight="1" thickBot="1">
      <c r="B34" s="22"/>
      <c r="C34" s="22"/>
      <c r="D34" s="22"/>
      <c r="E34" s="1422" t="s">
        <v>81</v>
      </c>
      <c r="F34" s="1422"/>
      <c r="G34" s="1422"/>
      <c r="H34" s="1422"/>
      <c r="I34" s="1422"/>
      <c r="J34" s="1422"/>
      <c r="K34" s="1422"/>
      <c r="L34" s="1422"/>
      <c r="M34" s="1422"/>
      <c r="N34" s="1422"/>
      <c r="O34" s="1422"/>
      <c r="P34" s="1422"/>
      <c r="Q34" s="1422"/>
      <c r="R34" s="121"/>
      <c r="S34" s="1422" t="s">
        <v>1484</v>
      </c>
      <c r="T34" s="1422"/>
      <c r="U34" s="1422"/>
      <c r="V34" s="1422"/>
      <c r="W34" s="1422"/>
      <c r="X34" s="1422"/>
      <c r="Y34" s="1422"/>
      <c r="Z34" s="1422"/>
      <c r="AA34" s="1422"/>
      <c r="AB34" s="1422"/>
      <c r="AC34" s="1422"/>
      <c r="AD34" s="1422"/>
      <c r="AE34" s="1422"/>
      <c r="AG34" s="1422" t="s">
        <v>313</v>
      </c>
      <c r="AH34" s="1422"/>
      <c r="AI34" s="1422"/>
      <c r="AJ34" s="1422"/>
      <c r="AK34" s="1422"/>
      <c r="AL34" s="1422"/>
      <c r="AM34" s="1422"/>
      <c r="AN34" s="1422"/>
      <c r="AO34" s="1422"/>
      <c r="AP34" s="1422"/>
      <c r="AQ34" s="1422"/>
      <c r="AR34" s="1422"/>
      <c r="AS34" s="1422"/>
      <c r="AT34" s="22"/>
      <c r="AU34" s="22"/>
      <c r="AV34" s="22"/>
    </row>
    <row r="35" spans="2:48" ht="15.95" customHeight="1" thickBot="1">
      <c r="B35" s="22"/>
      <c r="C35" s="22"/>
      <c r="D35" s="22"/>
      <c r="E35" s="1433" t="s">
        <v>1500</v>
      </c>
      <c r="F35" s="1433"/>
      <c r="G35" s="1433"/>
      <c r="H35" s="1433"/>
      <c r="I35" s="1432">
        <f>M02S04F18</f>
        <v>0</v>
      </c>
      <c r="J35" s="1432"/>
      <c r="K35" s="1432"/>
      <c r="L35" s="1432"/>
      <c r="M35" s="1432"/>
      <c r="N35" s="1432"/>
      <c r="O35" s="1432"/>
      <c r="P35" s="1432"/>
      <c r="Q35" s="1432"/>
      <c r="R35" s="121"/>
      <c r="S35" s="1457" t="s">
        <v>1490</v>
      </c>
      <c r="T35" s="1457"/>
      <c r="U35" s="1457"/>
      <c r="V35" s="1457"/>
      <c r="W35" s="1456">
        <f>M05S01F01</f>
        <v>0</v>
      </c>
      <c r="X35" s="1456"/>
      <c r="Y35" s="1456"/>
      <c r="Z35" s="1456"/>
      <c r="AA35" s="1456"/>
      <c r="AB35" s="1456"/>
      <c r="AC35" s="1456"/>
      <c r="AD35" s="1456"/>
      <c r="AE35" s="1456"/>
      <c r="AG35" s="1475" t="s">
        <v>83</v>
      </c>
      <c r="AH35" s="1475"/>
      <c r="AI35" s="1475"/>
      <c r="AJ35" s="1475"/>
      <c r="AK35" s="1472">
        <f ca="1">SUM(EXPORT!R3:R343)</f>
        <v>0</v>
      </c>
      <c r="AL35" s="1472"/>
      <c r="AM35" s="1472"/>
      <c r="AN35" s="1472"/>
      <c r="AO35" s="1472"/>
      <c r="AP35" s="1472"/>
      <c r="AQ35" s="1472"/>
      <c r="AR35" s="1472"/>
      <c r="AS35" s="1472"/>
      <c r="AT35" s="22"/>
      <c r="AU35" s="22"/>
      <c r="AV35" s="22"/>
    </row>
    <row r="36" spans="2:48" ht="15.95" customHeight="1" thickBot="1">
      <c r="B36" s="22"/>
      <c r="C36" s="22"/>
      <c r="D36" s="22"/>
      <c r="E36" s="1429" t="s">
        <v>1478</v>
      </c>
      <c r="F36" s="1430"/>
      <c r="G36" s="1430"/>
      <c r="H36" s="1431"/>
      <c r="I36" s="1432">
        <f>M02S04F25</f>
        <v>0</v>
      </c>
      <c r="J36" s="1432"/>
      <c r="K36" s="1432"/>
      <c r="L36" s="1432"/>
      <c r="M36" s="1432"/>
      <c r="N36" s="1432"/>
      <c r="O36" s="1432"/>
      <c r="P36" s="1432"/>
      <c r="Q36" s="1432"/>
      <c r="R36" s="121"/>
      <c r="S36" s="1457" t="s">
        <v>1485</v>
      </c>
      <c r="T36" s="1457"/>
      <c r="U36" s="1457"/>
      <c r="V36" s="1457"/>
      <c r="W36" s="1456" t="str">
        <f>SUBSTITUTE(PROPER(M05S01F02),"S","s")</f>
        <v/>
      </c>
      <c r="X36" s="1456"/>
      <c r="Y36" s="1456"/>
      <c r="Z36" s="1456"/>
      <c r="AA36" s="1456"/>
      <c r="AB36" s="1456"/>
      <c r="AC36" s="1456"/>
      <c r="AD36" s="1456"/>
      <c r="AE36" s="1456"/>
      <c r="AF36" s="22"/>
      <c r="AG36" s="1475" t="s">
        <v>1108</v>
      </c>
      <c r="AH36" s="1475"/>
      <c r="AI36" s="1475"/>
      <c r="AJ36" s="1475"/>
      <c r="AK36" s="1473">
        <f ca="1">SUMIF(EXPORT!AR3:AR343,"=Deemed",EXPORT!N3:N343)+SUMIF(EXPORT!AR3:AR343,"=Calculated",EXPORT!O3:O343)</f>
        <v>0</v>
      </c>
      <c r="AL36" s="1473"/>
      <c r="AM36" s="1473"/>
      <c r="AN36" s="1473"/>
      <c r="AO36" s="1473"/>
      <c r="AP36" s="1473"/>
      <c r="AQ36" s="1473"/>
      <c r="AR36" s="1473"/>
      <c r="AS36" s="1473"/>
      <c r="AT36" s="22"/>
      <c r="AU36" s="22"/>
      <c r="AV36" s="22"/>
    </row>
    <row r="37" spans="2:48" ht="15.95" customHeight="1" thickBot="1">
      <c r="B37" s="22"/>
      <c r="C37" s="22"/>
      <c r="D37" s="22"/>
      <c r="E37" s="1433" t="s">
        <v>177</v>
      </c>
      <c r="F37" s="1433"/>
      <c r="G37" s="1433"/>
      <c r="H37" s="1433"/>
      <c r="I37" s="1432">
        <f>M02S04F19</f>
        <v>0</v>
      </c>
      <c r="J37" s="1432"/>
      <c r="K37" s="1432"/>
      <c r="L37" s="1432"/>
      <c r="M37" s="1432"/>
      <c r="N37" s="1432"/>
      <c r="O37" s="1432"/>
      <c r="P37" s="1432"/>
      <c r="Q37" s="1432"/>
      <c r="R37" s="121"/>
      <c r="S37" s="1457" t="s">
        <v>1486</v>
      </c>
      <c r="T37" s="1457"/>
      <c r="U37" s="1457"/>
      <c r="V37" s="1457"/>
      <c r="W37" s="1456" t="str">
        <f>PROPER(M05S01F07)</f>
        <v/>
      </c>
      <c r="X37" s="1456"/>
      <c r="Y37" s="1456"/>
      <c r="Z37" s="1456"/>
      <c r="AA37" s="1456"/>
      <c r="AB37" s="1456" t="str">
        <f>PROPER(M05S01F08)</f>
        <v/>
      </c>
      <c r="AC37" s="1456"/>
      <c r="AD37" s="1456"/>
      <c r="AE37" s="1456"/>
      <c r="AF37" s="22"/>
      <c r="AG37" s="1475" t="s">
        <v>1405</v>
      </c>
      <c r="AH37" s="1475"/>
      <c r="AI37" s="1475"/>
      <c r="AJ37" s="1475"/>
      <c r="AK37" s="1473">
        <f ca="1">SUMIF(EXPORT!AR3:AR343,"=Deemed",EXPORT!P3:P343)+SUMIF(EXPORT!AR3:AR343,"=Calculated",EXPORT!Q3:Q343)</f>
        <v>0</v>
      </c>
      <c r="AL37" s="1473"/>
      <c r="AM37" s="1473"/>
      <c r="AN37" s="1473"/>
      <c r="AO37" s="1473"/>
      <c r="AP37" s="1473"/>
      <c r="AQ37" s="1473"/>
      <c r="AR37" s="1473"/>
      <c r="AS37" s="1473"/>
      <c r="AT37" s="22"/>
      <c r="AU37" s="22"/>
      <c r="AV37" s="22"/>
    </row>
    <row r="38" spans="2:48" ht="15.95" customHeight="1" thickBot="1">
      <c r="B38" s="22"/>
      <c r="C38" s="22"/>
      <c r="D38" s="22"/>
      <c r="E38" s="1429" t="s">
        <v>1493</v>
      </c>
      <c r="F38" s="1430"/>
      <c r="G38" s="1430"/>
      <c r="H38" s="1431"/>
      <c r="I38" s="1432">
        <f>M02S04F20</f>
        <v>0</v>
      </c>
      <c r="J38" s="1432"/>
      <c r="K38" s="1432"/>
      <c r="L38" s="1432"/>
      <c r="M38" s="1432"/>
      <c r="N38" s="1432"/>
      <c r="O38" s="1432"/>
      <c r="P38" s="1432"/>
      <c r="Q38" s="1432"/>
      <c r="R38" s="121"/>
      <c r="S38" s="1457" t="s">
        <v>1488</v>
      </c>
      <c r="T38" s="1457"/>
      <c r="U38" s="1457"/>
      <c r="V38" s="1457"/>
      <c r="W38" s="1474" t="str">
        <f>M05S01F09</f>
        <v/>
      </c>
      <c r="X38" s="1474"/>
      <c r="Y38" s="1474"/>
      <c r="Z38" s="1474"/>
      <c r="AA38" s="1474"/>
      <c r="AB38" s="1474"/>
      <c r="AC38" s="1474"/>
      <c r="AD38" s="1474"/>
      <c r="AE38" s="1474"/>
      <c r="AF38" s="22"/>
      <c r="AG38" s="1475" t="s">
        <v>433</v>
      </c>
      <c r="AH38" s="1475"/>
      <c r="AI38" s="1475"/>
      <c r="AJ38" s="1475"/>
      <c r="AK38" s="1476">
        <f ca="1">SUM(EXPORT!M3:M343)</f>
        <v>0</v>
      </c>
      <c r="AL38" s="1476"/>
      <c r="AM38" s="1476"/>
      <c r="AN38" s="1476"/>
      <c r="AO38" s="1476"/>
      <c r="AP38" s="1476"/>
      <c r="AQ38" s="1476"/>
      <c r="AR38" s="1476"/>
      <c r="AS38" s="1476"/>
      <c r="AT38" s="22"/>
      <c r="AU38" s="22"/>
      <c r="AV38" s="22"/>
    </row>
    <row r="39" spans="2:48" ht="15.95" customHeight="1" thickBot="1">
      <c r="B39" s="22"/>
      <c r="C39" s="22"/>
      <c r="D39" s="22"/>
      <c r="E39" s="1429" t="s">
        <v>1492</v>
      </c>
      <c r="F39" s="1430"/>
      <c r="G39" s="1430"/>
      <c r="H39" s="1431"/>
      <c r="I39" s="1458">
        <f>M02S04F21</f>
        <v>0</v>
      </c>
      <c r="J39" s="1459"/>
      <c r="K39" s="1459"/>
      <c r="L39" s="1459"/>
      <c r="M39" s="1459"/>
      <c r="N39" s="1459"/>
      <c r="O39" s="1459"/>
      <c r="P39" s="1459"/>
      <c r="Q39" s="1460"/>
      <c r="R39" s="121"/>
      <c r="S39" s="1457" t="s">
        <v>1489</v>
      </c>
      <c r="T39" s="1457"/>
      <c r="U39" s="1457"/>
      <c r="V39" s="1457"/>
      <c r="W39" s="1456" t="str">
        <f>M05S01F10</f>
        <v/>
      </c>
      <c r="X39" s="1456"/>
      <c r="Y39" s="1456"/>
      <c r="Z39" s="1456"/>
      <c r="AA39" s="1456"/>
      <c r="AB39" s="1456"/>
      <c r="AC39" s="1456"/>
      <c r="AD39" s="1456"/>
      <c r="AE39" s="1456"/>
      <c r="AF39" s="22"/>
      <c r="AG39" s="1475" t="s">
        <v>1494</v>
      </c>
      <c r="AH39" s="1475"/>
      <c r="AI39" s="1475"/>
      <c r="AJ39" s="1475"/>
      <c r="AK39" s="1472">
        <f ca="1">SUM(EXPORT!H3:H343)</f>
        <v>0</v>
      </c>
      <c r="AL39" s="1472"/>
      <c r="AM39" s="1472"/>
      <c r="AN39" s="1472"/>
      <c r="AO39" s="1472"/>
      <c r="AP39" s="1472"/>
      <c r="AQ39" s="1472"/>
      <c r="AR39" s="1472"/>
      <c r="AS39" s="1472"/>
      <c r="AT39" s="22"/>
      <c r="AU39" s="22"/>
      <c r="AV39" s="22"/>
    </row>
    <row r="40" spans="2:48" ht="15.95" customHeight="1" thickBot="1">
      <c r="B40" s="22"/>
      <c r="C40" s="22"/>
      <c r="D40" s="22"/>
      <c r="E40" s="1429" t="s">
        <v>1503</v>
      </c>
      <c r="F40" s="1430"/>
      <c r="G40" s="1430"/>
      <c r="H40" s="1431"/>
      <c r="I40" s="1432">
        <f>M02S04F22</f>
        <v>0</v>
      </c>
      <c r="J40" s="1432"/>
      <c r="K40" s="1432"/>
      <c r="L40" s="1432"/>
      <c r="M40" s="1432"/>
      <c r="N40" s="1432"/>
      <c r="O40" s="1432"/>
      <c r="P40" s="1432"/>
      <c r="Q40" s="1432"/>
      <c r="R40" s="121"/>
      <c r="S40" s="1457" t="s">
        <v>1487</v>
      </c>
      <c r="T40" s="1457"/>
      <c r="U40" s="1457"/>
      <c r="V40" s="1457"/>
      <c r="W40" s="1456" t="str">
        <f>PROPER(M05S01F03)</f>
        <v/>
      </c>
      <c r="X40" s="1456"/>
      <c r="Y40" s="1456"/>
      <c r="Z40" s="1456"/>
      <c r="AA40" s="1456"/>
      <c r="AB40" s="1456"/>
      <c r="AC40" s="1456"/>
      <c r="AD40" s="1456"/>
      <c r="AE40" s="1456"/>
      <c r="AF40" s="22"/>
      <c r="AG40" s="1444" t="s">
        <v>595</v>
      </c>
      <c r="AH40" s="1445"/>
      <c r="AI40" s="1445"/>
      <c r="AJ40" s="1446"/>
      <c r="AK40" s="1447">
        <f ca="1">SUM(EXPORT!I3:I343)</f>
        <v>0</v>
      </c>
      <c r="AL40" s="1448"/>
      <c r="AM40" s="1448"/>
      <c r="AN40" s="1448"/>
      <c r="AO40" s="1448"/>
      <c r="AP40" s="1448"/>
      <c r="AQ40" s="1448"/>
      <c r="AR40" s="1448"/>
      <c r="AS40" s="1449"/>
      <c r="AT40" s="22"/>
      <c r="AU40" s="22"/>
      <c r="AV40" s="22"/>
    </row>
    <row r="41" spans="2:48" ht="15.95" customHeight="1" thickBot="1">
      <c r="B41" s="22"/>
      <c r="C41" s="22"/>
      <c r="D41" s="22"/>
      <c r="E41" s="1429" t="s">
        <v>1498</v>
      </c>
      <c r="F41" s="1430"/>
      <c r="G41" s="1430"/>
      <c r="H41" s="1431"/>
      <c r="I41" s="1432">
        <f>M02S04F05</f>
        <v>0</v>
      </c>
      <c r="J41" s="1432"/>
      <c r="K41" s="1432"/>
      <c r="L41" s="1432"/>
      <c r="M41" s="1432"/>
      <c r="N41" s="1432"/>
      <c r="O41" s="1432"/>
      <c r="P41" s="1432"/>
      <c r="Q41" s="1432"/>
      <c r="R41" s="121"/>
      <c r="S41" s="1457" t="s">
        <v>312</v>
      </c>
      <c r="T41" s="1457"/>
      <c r="U41" s="1457"/>
      <c r="V41" s="1457"/>
      <c r="W41" s="1456" t="str">
        <f>PROPER(M05S01F04)</f>
        <v/>
      </c>
      <c r="X41" s="1456"/>
      <c r="Y41" s="1456"/>
      <c r="Z41" s="1456"/>
      <c r="AA41" s="1456"/>
      <c r="AB41" s="1456" t="str">
        <f>M05S01F05</f>
        <v/>
      </c>
      <c r="AC41" s="1456"/>
      <c r="AD41" s="1471" t="str">
        <f>M05S01F06</f>
        <v/>
      </c>
      <c r="AE41" s="1471"/>
      <c r="AF41" s="22"/>
      <c r="AG41" s="1444" t="s">
        <v>1304</v>
      </c>
      <c r="AH41" s="1445"/>
      <c r="AI41" s="1445"/>
      <c r="AJ41" s="1446"/>
      <c r="AK41" s="1447">
        <f ca="1">SUM(EXPORT!J3:J343)</f>
        <v>0</v>
      </c>
      <c r="AL41" s="1448"/>
      <c r="AM41" s="1448"/>
      <c r="AN41" s="1448"/>
      <c r="AO41" s="1448"/>
      <c r="AP41" s="1448"/>
      <c r="AQ41" s="1448"/>
      <c r="AR41" s="1448"/>
      <c r="AS41" s="1449"/>
      <c r="AT41" s="22"/>
      <c r="AU41" s="22"/>
      <c r="AV41" s="22"/>
    </row>
    <row r="42" spans="2:48" ht="15.95" customHeight="1" thickBot="1">
      <c r="B42" s="22"/>
      <c r="C42" s="22"/>
      <c r="D42" s="22"/>
      <c r="E42" s="1429" t="s">
        <v>1481</v>
      </c>
      <c r="F42" s="1430"/>
      <c r="G42" s="1430"/>
      <c r="H42" s="1431"/>
      <c r="I42" s="1432" t="str">
        <f>M02S04F06</f>
        <v/>
      </c>
      <c r="J42" s="1432"/>
      <c r="K42" s="1432"/>
      <c r="L42" s="1432"/>
      <c r="M42" s="1432"/>
      <c r="N42" s="1432"/>
      <c r="O42" s="1432"/>
      <c r="P42" s="1432"/>
      <c r="Q42" s="1432"/>
      <c r="R42" s="121"/>
      <c r="S42" s="1457" t="s">
        <v>1812</v>
      </c>
      <c r="T42" s="1457"/>
      <c r="U42" s="1457"/>
      <c r="V42" s="1457"/>
      <c r="W42" s="1453">
        <f>M05S01F11</f>
        <v>0</v>
      </c>
      <c r="X42" s="1454"/>
      <c r="Y42" s="1454"/>
      <c r="Z42" s="1454"/>
      <c r="AA42" s="1455"/>
      <c r="AB42" s="1453" t="str">
        <f>CONCATENATE(M05S01F12,"-",M05S01F13)</f>
        <v>-</v>
      </c>
      <c r="AC42" s="1454"/>
      <c r="AD42" s="1454"/>
      <c r="AE42" s="1455"/>
      <c r="AF42" s="22"/>
      <c r="AG42" s="1444"/>
      <c r="AH42" s="1445"/>
      <c r="AI42" s="1445"/>
      <c r="AJ42" s="1446"/>
      <c r="AK42" s="1447"/>
      <c r="AL42" s="1448"/>
      <c r="AM42" s="1448"/>
      <c r="AN42" s="1448"/>
      <c r="AO42" s="1448"/>
      <c r="AP42" s="1448"/>
      <c r="AQ42" s="1448"/>
      <c r="AR42" s="1448"/>
      <c r="AS42" s="1449"/>
      <c r="AT42" s="22"/>
      <c r="AU42" s="22"/>
      <c r="AV42" s="22"/>
    </row>
    <row r="43" spans="2:48" ht="15.95" customHeight="1" thickBot="1">
      <c r="B43" s="22"/>
      <c r="C43" s="22"/>
      <c r="D43" s="22"/>
      <c r="E43" s="1429"/>
      <c r="F43" s="1430"/>
      <c r="G43" s="1430"/>
      <c r="H43" s="1431"/>
      <c r="I43" s="1432"/>
      <c r="J43" s="1432"/>
      <c r="K43" s="1432"/>
      <c r="L43" s="1432"/>
      <c r="M43" s="1432"/>
      <c r="N43" s="1432"/>
      <c r="O43" s="1432"/>
      <c r="P43" s="1432"/>
      <c r="Q43" s="1432"/>
      <c r="R43" s="121"/>
      <c r="S43" s="1457" t="s">
        <v>1806</v>
      </c>
      <c r="T43" s="1457"/>
      <c r="U43" s="1457"/>
      <c r="V43" s="1457"/>
      <c r="W43" s="1456" t="str">
        <f>M05S01F14</f>
        <v/>
      </c>
      <c r="X43" s="1456"/>
      <c r="Y43" s="1456"/>
      <c r="Z43" s="1456"/>
      <c r="AA43" s="1456"/>
      <c r="AB43" s="1456"/>
      <c r="AC43" s="1456"/>
      <c r="AD43" s="1456"/>
      <c r="AE43" s="1456"/>
      <c r="AF43" s="22"/>
      <c r="AG43" s="1444" t="s">
        <v>1731</v>
      </c>
      <c r="AH43" s="1445"/>
      <c r="AI43" s="1445"/>
      <c r="AJ43" s="1446"/>
      <c r="AK43" s="1473">
        <f ca="1">SUMIF(EXPORT!AR3:AR343,"=Deemed",EXPORT!Y3:Y343)+SUMIF(EXPORT!AR3:AR343,"=Calculated",EXPORT!Z3:Z343)</f>
        <v>0</v>
      </c>
      <c r="AL43" s="1473"/>
      <c r="AM43" s="1473"/>
      <c r="AN43" s="1473"/>
      <c r="AO43" s="1473"/>
      <c r="AP43" s="1473"/>
      <c r="AQ43" s="1473"/>
      <c r="AR43" s="1473"/>
      <c r="AS43" s="1473"/>
      <c r="AT43" s="22"/>
      <c r="AU43" s="22"/>
      <c r="AV43" s="22"/>
    </row>
    <row r="44" spans="2:48" ht="15.95" customHeight="1" thickBot="1">
      <c r="B44" s="22"/>
      <c r="C44" s="22"/>
      <c r="D44" s="22"/>
      <c r="AG44" s="1444" t="s">
        <v>1732</v>
      </c>
      <c r="AH44" s="1445"/>
      <c r="AI44" s="1445"/>
      <c r="AJ44" s="1446"/>
      <c r="AK44" s="1473">
        <f ca="1">SUMIF(EXPORT!AR3:AR343,"=Deemed",EXPORT!AA3:AA343)+SUMIF(EXPORT!AR3:AR343,"=Calculated",EXPORT!AB3:AB343)</f>
        <v>0</v>
      </c>
      <c r="AL44" s="1473"/>
      <c r="AM44" s="1473"/>
      <c r="AN44" s="1473"/>
      <c r="AO44" s="1473"/>
      <c r="AP44" s="1473"/>
      <c r="AQ44" s="1473"/>
      <c r="AR44" s="1473"/>
      <c r="AS44" s="1473"/>
      <c r="AT44" s="22"/>
      <c r="AU44" s="22"/>
      <c r="AV44" s="22"/>
    </row>
    <row r="45" spans="2:48" ht="15.95" customHeight="1" thickBot="1">
      <c r="B45" s="22"/>
      <c r="C45" s="22"/>
      <c r="D45" s="22"/>
      <c r="E45" s="1422" t="s">
        <v>2560</v>
      </c>
      <c r="F45" s="1422"/>
      <c r="G45" s="1422"/>
      <c r="H45" s="1422"/>
      <c r="I45" s="1422"/>
      <c r="J45" s="1422"/>
      <c r="K45" s="1422"/>
      <c r="L45" s="1422"/>
      <c r="M45" s="1422"/>
      <c r="N45" s="1422"/>
      <c r="O45" s="1422"/>
      <c r="P45" s="1422"/>
      <c r="Q45" s="1422"/>
      <c r="S45" s="1422" t="s">
        <v>2559</v>
      </c>
      <c r="T45" s="1422"/>
      <c r="U45" s="1422"/>
      <c r="V45" s="1422"/>
      <c r="W45" s="1422"/>
      <c r="X45" s="1422"/>
      <c r="Y45" s="1422"/>
      <c r="Z45" s="1422"/>
      <c r="AA45" s="1422"/>
      <c r="AB45" s="1422"/>
      <c r="AC45" s="1422"/>
      <c r="AD45" s="1422"/>
      <c r="AE45" s="1422"/>
      <c r="AG45" s="1444" t="s">
        <v>1733</v>
      </c>
      <c r="AH45" s="1445"/>
      <c r="AI45" s="1445"/>
      <c r="AJ45" s="1446"/>
      <c r="AK45" s="1476">
        <f ca="1">SUM(EXPORT!X3:X343)</f>
        <v>0</v>
      </c>
      <c r="AL45" s="1476"/>
      <c r="AM45" s="1476"/>
      <c r="AN45" s="1476"/>
      <c r="AO45" s="1476"/>
      <c r="AP45" s="1476"/>
      <c r="AQ45" s="1476"/>
      <c r="AR45" s="1476"/>
      <c r="AS45" s="1476"/>
      <c r="AT45" s="22"/>
      <c r="AU45" s="22"/>
      <c r="AV45" s="22"/>
    </row>
    <row r="46" spans="2:48" ht="15.95" customHeight="1" thickBot="1">
      <c r="B46" s="22"/>
      <c r="C46" s="22"/>
      <c r="D46" s="22"/>
      <c r="E46" s="1467" t="s">
        <v>1502</v>
      </c>
      <c r="F46" s="1467"/>
      <c r="G46" s="1467"/>
      <c r="H46" s="1467"/>
      <c r="I46" s="1434" t="str">
        <f>SUBSTITUTE(PROPER(M02S02F02),"'S","'s")</f>
        <v/>
      </c>
      <c r="J46" s="1434"/>
      <c r="K46" s="1434"/>
      <c r="L46" s="1434"/>
      <c r="M46" s="1434"/>
      <c r="N46" s="1434"/>
      <c r="O46" s="1434"/>
      <c r="P46" s="1434"/>
      <c r="Q46" s="1434"/>
      <c r="S46" s="1417" t="s">
        <v>1502</v>
      </c>
      <c r="T46" s="1417"/>
      <c r="U46" s="1417"/>
      <c r="V46" s="1417"/>
      <c r="W46" s="1416" t="str">
        <f>SUBSTITUTE(PROPER(M02S02F02),"'S","'s")</f>
        <v/>
      </c>
      <c r="X46" s="1416"/>
      <c r="Y46" s="1416"/>
      <c r="Z46" s="1416"/>
      <c r="AA46" s="1416"/>
      <c r="AB46" s="1416"/>
      <c r="AC46" s="1416"/>
      <c r="AD46" s="1416"/>
      <c r="AE46" s="1416"/>
      <c r="AG46" s="1444" t="s">
        <v>1734</v>
      </c>
      <c r="AH46" s="1445"/>
      <c r="AI46" s="1445"/>
      <c r="AJ46" s="1446"/>
      <c r="AK46" s="1472">
        <f ca="1">SUM(EXPORT!S3:S343)</f>
        <v>0</v>
      </c>
      <c r="AL46" s="1472"/>
      <c r="AM46" s="1472"/>
      <c r="AN46" s="1472"/>
      <c r="AO46" s="1472"/>
      <c r="AP46" s="1472"/>
      <c r="AQ46" s="1472"/>
      <c r="AR46" s="1472"/>
      <c r="AS46" s="1472"/>
      <c r="AT46" s="22"/>
      <c r="AU46" s="22"/>
      <c r="AV46" s="22"/>
    </row>
    <row r="47" spans="2:48" ht="15.95" customHeight="1" thickBot="1">
      <c r="B47" s="22"/>
      <c r="C47" s="22"/>
      <c r="D47" s="22"/>
      <c r="E47" s="1467" t="s">
        <v>1475</v>
      </c>
      <c r="F47" s="1467"/>
      <c r="G47" s="1467"/>
      <c r="H47" s="1467"/>
      <c r="I47" s="1434" t="str">
        <f>PROPER(M02S02F07)</f>
        <v/>
      </c>
      <c r="J47" s="1434"/>
      <c r="K47" s="1434"/>
      <c r="L47" s="1434"/>
      <c r="M47" s="1434"/>
      <c r="N47" s="1434" t="str">
        <f>PROPER(M02S02F08)</f>
        <v/>
      </c>
      <c r="O47" s="1434"/>
      <c r="P47" s="1434"/>
      <c r="Q47" s="1434"/>
      <c r="S47" s="1417" t="s">
        <v>1475</v>
      </c>
      <c r="T47" s="1417"/>
      <c r="U47" s="1417"/>
      <c r="V47" s="1417"/>
      <c r="W47" s="1416" t="str">
        <f>PROPER(M02S02F13)</f>
        <v/>
      </c>
      <c r="X47" s="1416"/>
      <c r="Y47" s="1416"/>
      <c r="Z47" s="1416"/>
      <c r="AA47" s="1416"/>
      <c r="AB47" s="1416" t="str">
        <f>PROPER(M02S02F14)</f>
        <v/>
      </c>
      <c r="AC47" s="1416"/>
      <c r="AD47" s="1416"/>
      <c r="AE47" s="1416"/>
      <c r="AG47" s="1444" t="s">
        <v>1735</v>
      </c>
      <c r="AH47" s="1445"/>
      <c r="AI47" s="1445"/>
      <c r="AJ47" s="1446"/>
      <c r="AK47" s="1447">
        <f ca="1">SUM(EXPORT!T3:T343)</f>
        <v>0</v>
      </c>
      <c r="AL47" s="1448"/>
      <c r="AM47" s="1448"/>
      <c r="AN47" s="1448"/>
      <c r="AO47" s="1448"/>
      <c r="AP47" s="1448"/>
      <c r="AQ47" s="1448"/>
      <c r="AR47" s="1448"/>
      <c r="AS47" s="1449"/>
      <c r="AT47" s="22"/>
      <c r="AU47" s="22"/>
      <c r="AV47" s="22"/>
    </row>
    <row r="48" spans="2:48" ht="15.95" customHeight="1" thickBot="1">
      <c r="B48" s="22"/>
      <c r="C48" s="22"/>
      <c r="D48" s="22"/>
      <c r="E48" s="1467" t="s">
        <v>1476</v>
      </c>
      <c r="F48" s="1467"/>
      <c r="G48" s="1467"/>
      <c r="H48" s="1467"/>
      <c r="I48" s="1434" t="str">
        <f>PROPER(M02S02F09)</f>
        <v/>
      </c>
      <c r="J48" s="1434"/>
      <c r="K48" s="1434"/>
      <c r="L48" s="1434"/>
      <c r="M48" s="1434"/>
      <c r="N48" s="1434"/>
      <c r="O48" s="1434"/>
      <c r="P48" s="1434"/>
      <c r="Q48" s="1434"/>
      <c r="S48" s="1417" t="s">
        <v>1476</v>
      </c>
      <c r="T48" s="1417"/>
      <c r="U48" s="1417"/>
      <c r="V48" s="1417"/>
      <c r="W48" s="1416" t="str">
        <f>PROPER(M02S02F15)</f>
        <v/>
      </c>
      <c r="X48" s="1416"/>
      <c r="Y48" s="1416"/>
      <c r="Z48" s="1416"/>
      <c r="AA48" s="1416"/>
      <c r="AB48" s="1416"/>
      <c r="AC48" s="1416"/>
      <c r="AD48" s="1416"/>
      <c r="AE48" s="1416"/>
      <c r="AG48" s="1444" t="s">
        <v>1445</v>
      </c>
      <c r="AH48" s="1445"/>
      <c r="AI48" s="1445"/>
      <c r="AJ48" s="1446"/>
      <c r="AK48" s="1447">
        <f ca="1">SUM(EXPORT!U3:U343)</f>
        <v>0</v>
      </c>
      <c r="AL48" s="1448"/>
      <c r="AM48" s="1448"/>
      <c r="AN48" s="1448"/>
      <c r="AO48" s="1448"/>
      <c r="AP48" s="1448"/>
      <c r="AQ48" s="1448"/>
      <c r="AR48" s="1448"/>
      <c r="AS48" s="1449"/>
      <c r="AT48" s="22"/>
      <c r="AU48" s="22"/>
      <c r="AV48" s="22"/>
    </row>
    <row r="49" spans="2:48" ht="15.95" customHeight="1" thickBot="1">
      <c r="B49" s="22"/>
      <c r="C49" s="22"/>
      <c r="D49" s="22"/>
      <c r="E49" s="1467" t="s">
        <v>287</v>
      </c>
      <c r="F49" s="1467"/>
      <c r="G49" s="1467"/>
      <c r="H49" s="1467"/>
      <c r="I49" s="1461">
        <f>M02S02F10</f>
        <v>0</v>
      </c>
      <c r="J49" s="1462"/>
      <c r="K49" s="1462"/>
      <c r="L49" s="1462"/>
      <c r="M49" s="1462"/>
      <c r="N49" s="1462"/>
      <c r="O49" s="1462"/>
      <c r="P49" s="1462"/>
      <c r="Q49" s="1463"/>
      <c r="S49" s="1417" t="s">
        <v>287</v>
      </c>
      <c r="T49" s="1417"/>
      <c r="U49" s="1417"/>
      <c r="V49" s="1417"/>
      <c r="W49" s="1450">
        <f>M02S02F16</f>
        <v>0</v>
      </c>
      <c r="X49" s="1451"/>
      <c r="Y49" s="1451"/>
      <c r="Z49" s="1451"/>
      <c r="AA49" s="1451"/>
      <c r="AB49" s="1451"/>
      <c r="AC49" s="1451"/>
      <c r="AD49" s="1451"/>
      <c r="AE49" s="1452"/>
      <c r="AG49" s="1444"/>
      <c r="AH49" s="1445"/>
      <c r="AI49" s="1445"/>
      <c r="AJ49" s="1446"/>
      <c r="AK49" s="1447"/>
      <c r="AL49" s="1448"/>
      <c r="AM49" s="1448"/>
      <c r="AN49" s="1448"/>
      <c r="AO49" s="1448"/>
      <c r="AP49" s="1448"/>
      <c r="AQ49" s="1448"/>
      <c r="AR49" s="1448"/>
      <c r="AS49" s="1449"/>
      <c r="AT49" s="22"/>
      <c r="AU49" s="22"/>
      <c r="AV49" s="22"/>
    </row>
    <row r="50" spans="2:48" ht="15.95" customHeight="1" thickBot="1">
      <c r="B50" s="22"/>
      <c r="C50" s="22"/>
      <c r="D50" s="22"/>
      <c r="E50" s="1467" t="s">
        <v>138</v>
      </c>
      <c r="F50" s="1467"/>
      <c r="G50" s="1467"/>
      <c r="H50" s="1467"/>
      <c r="I50" s="1434">
        <f>M02S02F11</f>
        <v>0</v>
      </c>
      <c r="J50" s="1434"/>
      <c r="K50" s="1434"/>
      <c r="L50" s="1434"/>
      <c r="M50" s="1434"/>
      <c r="N50" s="1434"/>
      <c r="O50" s="1434"/>
      <c r="P50" s="1434"/>
      <c r="Q50" s="1434"/>
      <c r="S50" s="1417" t="s">
        <v>138</v>
      </c>
      <c r="T50" s="1417"/>
      <c r="U50" s="1417"/>
      <c r="V50" s="1417"/>
      <c r="W50" s="1416">
        <f>M02S02F17</f>
        <v>0</v>
      </c>
      <c r="X50" s="1416"/>
      <c r="Y50" s="1416"/>
      <c r="Z50" s="1416"/>
      <c r="AA50" s="1416"/>
      <c r="AB50" s="1416"/>
      <c r="AC50" s="1416"/>
      <c r="AD50" s="1416"/>
      <c r="AE50" s="1416"/>
      <c r="AG50" s="1444" t="s">
        <v>1769</v>
      </c>
      <c r="AH50" s="1445"/>
      <c r="AI50" s="1445"/>
      <c r="AJ50" s="1446"/>
      <c r="AK50" s="1473">
        <f>SUM(EXPORT!AD3:AD343)</f>
        <v>0</v>
      </c>
      <c r="AL50" s="1473"/>
      <c r="AM50" s="1473"/>
      <c r="AN50" s="1473"/>
      <c r="AO50" s="1473"/>
      <c r="AP50" s="1473"/>
      <c r="AQ50" s="1473"/>
      <c r="AR50" s="1473"/>
      <c r="AS50" s="1473"/>
      <c r="AT50" s="22"/>
      <c r="AU50" s="22"/>
      <c r="AV50" s="22"/>
    </row>
    <row r="51" spans="2:48" ht="15.95" customHeight="1" thickBot="1">
      <c r="B51" s="22"/>
      <c r="C51" s="22"/>
      <c r="D51" s="22"/>
      <c r="E51" s="1467" t="s">
        <v>1501</v>
      </c>
      <c r="F51" s="1467"/>
      <c r="G51" s="1467"/>
      <c r="H51" s="1467"/>
      <c r="I51" s="1434" t="str">
        <f>PROPER(M02S02F03)</f>
        <v/>
      </c>
      <c r="J51" s="1434"/>
      <c r="K51" s="1434"/>
      <c r="L51" s="1434"/>
      <c r="M51" s="1434"/>
      <c r="N51" s="1434"/>
      <c r="O51" s="1434"/>
      <c r="P51" s="1434"/>
      <c r="Q51" s="1434"/>
      <c r="S51" s="1417" t="s">
        <v>1501</v>
      </c>
      <c r="T51" s="1417"/>
      <c r="U51" s="1417"/>
      <c r="V51" s="1417"/>
      <c r="W51" s="1416" t="str">
        <f>PROPER(M02S02F03)</f>
        <v/>
      </c>
      <c r="X51" s="1416"/>
      <c r="Y51" s="1416"/>
      <c r="Z51" s="1416"/>
      <c r="AA51" s="1416"/>
      <c r="AB51" s="1416"/>
      <c r="AC51" s="1416"/>
      <c r="AD51" s="1416"/>
      <c r="AE51" s="1416"/>
      <c r="AG51" s="1444" t="s">
        <v>1770</v>
      </c>
      <c r="AH51" s="1445"/>
      <c r="AI51" s="1445"/>
      <c r="AJ51" s="1446"/>
      <c r="AK51" s="1473">
        <f>SUM(EXPORT!AE3:AE343)</f>
        <v>0</v>
      </c>
      <c r="AL51" s="1473"/>
      <c r="AM51" s="1473"/>
      <c r="AN51" s="1473"/>
      <c r="AO51" s="1473"/>
      <c r="AP51" s="1473"/>
      <c r="AQ51" s="1473"/>
      <c r="AR51" s="1473"/>
      <c r="AS51" s="1473"/>
      <c r="AT51" s="22"/>
      <c r="AU51" s="22"/>
      <c r="AV51" s="22"/>
    </row>
    <row r="52" spans="2:48" ht="15.95" customHeight="1" thickBot="1">
      <c r="B52" s="22"/>
      <c r="C52" s="22"/>
      <c r="D52" s="22"/>
      <c r="E52" s="1467" t="s">
        <v>312</v>
      </c>
      <c r="F52" s="1467"/>
      <c r="G52" s="1467"/>
      <c r="H52" s="1467"/>
      <c r="I52" s="1434" t="str">
        <f>PROPER(M02S02F04)</f>
        <v/>
      </c>
      <c r="J52" s="1434"/>
      <c r="K52" s="1434"/>
      <c r="L52" s="1434"/>
      <c r="M52" s="1434"/>
      <c r="N52" s="1434">
        <f>M02S02F05</f>
        <v>0</v>
      </c>
      <c r="O52" s="1434"/>
      <c r="P52" s="1483">
        <f>M02S02F06</f>
        <v>0</v>
      </c>
      <c r="Q52" s="1483"/>
      <c r="S52" s="1417" t="s">
        <v>312</v>
      </c>
      <c r="T52" s="1417"/>
      <c r="U52" s="1417"/>
      <c r="V52" s="1417"/>
      <c r="W52" s="1416" t="str">
        <f>PROPER(M02S02F04)</f>
        <v/>
      </c>
      <c r="X52" s="1416"/>
      <c r="Y52" s="1416"/>
      <c r="Z52" s="1416"/>
      <c r="AA52" s="1416"/>
      <c r="AB52" s="1416">
        <f>M02S02F05</f>
        <v>0</v>
      </c>
      <c r="AC52" s="1416"/>
      <c r="AD52" s="1425">
        <f>M02S02F06</f>
        <v>0</v>
      </c>
      <c r="AE52" s="1425"/>
      <c r="AG52" s="1444"/>
      <c r="AH52" s="1445"/>
      <c r="AI52" s="1445"/>
      <c r="AJ52" s="1446"/>
      <c r="AK52" s="1473"/>
      <c r="AL52" s="1473"/>
      <c r="AM52" s="1473"/>
      <c r="AN52" s="1473"/>
      <c r="AO52" s="1473"/>
      <c r="AP52" s="1473"/>
      <c r="AQ52" s="1473"/>
      <c r="AR52" s="1473"/>
      <c r="AS52" s="1473"/>
      <c r="AT52" s="22"/>
      <c r="AU52" s="22"/>
      <c r="AV52" s="22"/>
    </row>
    <row r="53" spans="2:48" ht="15.95" customHeight="1">
      <c r="B53" s="22"/>
      <c r="C53" s="22"/>
      <c r="D53" s="22"/>
      <c r="AT53" s="22"/>
      <c r="AU53" s="22"/>
      <c r="AV53" s="22"/>
    </row>
    <row r="54" spans="2:48" ht="15.95" hidden="1" customHeight="1">
      <c r="B54" s="22"/>
      <c r="C54" s="22"/>
      <c r="D54" s="22"/>
      <c r="E54" s="22"/>
      <c r="F54" s="22"/>
      <c r="AV54" s="22"/>
    </row>
    <row r="55" spans="2:48" ht="15.95" hidden="1" customHeight="1">
      <c r="B55" s="22"/>
      <c r="C55" s="22"/>
      <c r="D55" s="22"/>
      <c r="E55" s="22"/>
      <c r="F55" s="22"/>
      <c r="AV55" s="22"/>
    </row>
    <row r="56" spans="2:48" ht="15.95" hidden="1" customHeight="1">
      <c r="B56" s="22"/>
      <c r="C56" s="22"/>
      <c r="D56" s="22"/>
      <c r="E56" s="22"/>
      <c r="F56" s="22"/>
      <c r="AV56" s="22"/>
    </row>
    <row r="57" spans="2:48" ht="15.95" hidden="1" customHeight="1">
      <c r="B57" s="22"/>
      <c r="C57" s="22"/>
      <c r="D57" s="22"/>
      <c r="E57" s="22"/>
      <c r="F57" s="22"/>
      <c r="AV57" s="22"/>
    </row>
    <row r="58" spans="2:48" ht="15.95" hidden="1" customHeight="1">
      <c r="B58" s="22"/>
      <c r="C58" s="22"/>
      <c r="D58" s="22"/>
      <c r="E58" s="22"/>
      <c r="F58" s="22"/>
      <c r="AV58" s="22"/>
    </row>
    <row r="59" spans="2:48" ht="15.95" hidden="1" customHeight="1">
      <c r="B59" s="22"/>
      <c r="C59" s="22"/>
      <c r="D59" s="22"/>
      <c r="E59" s="22"/>
      <c r="F59" s="22"/>
      <c r="AV59" s="22"/>
    </row>
    <row r="60" spans="2:48" ht="15.95" hidden="1" customHeight="1">
      <c r="B60" s="22"/>
      <c r="C60" s="22"/>
      <c r="D60" s="22"/>
      <c r="E60" s="22"/>
      <c r="F60" s="22"/>
      <c r="AV60" s="22"/>
    </row>
    <row r="61" spans="2:48" ht="15.95" hidden="1" customHeight="1"/>
    <row r="62" spans="2:48" ht="15.95" hidden="1" customHeight="1"/>
    <row r="63" spans="2:48" ht="15.95" hidden="1" customHeight="1"/>
    <row r="64" spans="2:48"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2.7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75" hidden="1"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03" t="str">
        <f>FOOTDISCLAIM</f>
        <v/>
      </c>
      <c r="P200" s="603"/>
      <c r="Q200" s="603"/>
      <c r="R200" s="603"/>
      <c r="S200" s="603"/>
      <c r="T200" s="603"/>
      <c r="U200" s="603"/>
      <c r="V200" s="603"/>
      <c r="W200" s="603"/>
      <c r="X200" s="603"/>
      <c r="Y200" s="603"/>
      <c r="Z200" s="603"/>
      <c r="AA200" s="603"/>
      <c r="AB200" s="603"/>
      <c r="AC200" s="603"/>
      <c r="AD200" s="603"/>
      <c r="AE200" s="603"/>
      <c r="AF200" s="603"/>
      <c r="AG200" s="603"/>
      <c r="AH200" s="603"/>
      <c r="AI200" s="603"/>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03"/>
      <c r="P201" s="603"/>
      <c r="Q201" s="603"/>
      <c r="R201" s="603"/>
      <c r="S201" s="603"/>
      <c r="T201" s="603"/>
      <c r="U201" s="603"/>
      <c r="V201" s="603"/>
      <c r="W201" s="603"/>
      <c r="X201" s="603"/>
      <c r="Y201" s="603"/>
      <c r="Z201" s="603"/>
      <c r="AA201" s="603"/>
      <c r="AB201" s="603"/>
      <c r="AC201" s="603"/>
      <c r="AD201" s="603"/>
      <c r="AE201" s="603"/>
      <c r="AF201" s="603"/>
      <c r="AG201" s="603"/>
      <c r="AH201" s="603"/>
      <c r="AI201" s="603"/>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ml6Z2EsZQIwAX1AI54yCJC2POu4DICAQ8yPKFPbXVazScs7gmCnTeG/BaW93Gwmw0LeQ0S83C6jd4baHLdwpog==" saltValue="jHtee1IN5CrhMU5sXhhTNw==" spinCount="100000" sheet="1" objects="1" scenarios="1"/>
  <mergeCells count="226">
    <mergeCell ref="E15:N15"/>
    <mergeCell ref="P16:S16"/>
    <mergeCell ref="P17:S17"/>
    <mergeCell ref="P19:S19"/>
    <mergeCell ref="P20:S20"/>
    <mergeCell ref="P21:S21"/>
    <mergeCell ref="P22:S22"/>
    <mergeCell ref="P23:S23"/>
    <mergeCell ref="I16:N16"/>
    <mergeCell ref="E18:H18"/>
    <mergeCell ref="I19:N19"/>
    <mergeCell ref="I20:N20"/>
    <mergeCell ref="I21:N21"/>
    <mergeCell ref="I22:N22"/>
    <mergeCell ref="E16:H16"/>
    <mergeCell ref="I18:N18"/>
    <mergeCell ref="P15:W15"/>
    <mergeCell ref="T16:W16"/>
    <mergeCell ref="T17:W17"/>
    <mergeCell ref="I17:N17"/>
    <mergeCell ref="P18:S18"/>
    <mergeCell ref="I23:N23"/>
    <mergeCell ref="T18:W18"/>
    <mergeCell ref="T19:W19"/>
    <mergeCell ref="AJ12:AS12"/>
    <mergeCell ref="AN21:AS21"/>
    <mergeCell ref="AN22:AS22"/>
    <mergeCell ref="AN23:AS23"/>
    <mergeCell ref="AJ21:AM21"/>
    <mergeCell ref="AJ22:AM22"/>
    <mergeCell ref="AJ23:AM23"/>
    <mergeCell ref="Y12:AH12"/>
    <mergeCell ref="Y19:AH23"/>
    <mergeCell ref="Y13:AH17"/>
    <mergeCell ref="Y18:AH18"/>
    <mergeCell ref="AN15:AS15"/>
    <mergeCell ref="AN13:AS13"/>
    <mergeCell ref="AN14:AS14"/>
    <mergeCell ref="AN16:AS16"/>
    <mergeCell ref="AN17:AS17"/>
    <mergeCell ref="AN18:AS18"/>
    <mergeCell ref="AJ13:AM13"/>
    <mergeCell ref="AJ14:AM14"/>
    <mergeCell ref="AJ15:AM15"/>
    <mergeCell ref="AJ16:AM16"/>
    <mergeCell ref="AJ17:AM17"/>
    <mergeCell ref="AJ18:AM18"/>
    <mergeCell ref="E51:H51"/>
    <mergeCell ref="E49:H49"/>
    <mergeCell ref="E27:H27"/>
    <mergeCell ref="I27:M27"/>
    <mergeCell ref="N27:Q27"/>
    <mergeCell ref="S27:V27"/>
    <mergeCell ref="W28:AE28"/>
    <mergeCell ref="W27:AA27"/>
    <mergeCell ref="AB27:AE27"/>
    <mergeCell ref="E38:H38"/>
    <mergeCell ref="I37:Q37"/>
    <mergeCell ref="E37:H37"/>
    <mergeCell ref="E36:H36"/>
    <mergeCell ref="I36:Q36"/>
    <mergeCell ref="S36:V36"/>
    <mergeCell ref="S30:V30"/>
    <mergeCell ref="I38:Q38"/>
    <mergeCell ref="N47:Q47"/>
    <mergeCell ref="E32:H32"/>
    <mergeCell ref="I32:M32"/>
    <mergeCell ref="N32:O32"/>
    <mergeCell ref="P32:Q32"/>
    <mergeCell ref="S32:V32"/>
    <mergeCell ref="W32:AA32"/>
    <mergeCell ref="T20:W20"/>
    <mergeCell ref="T21:W21"/>
    <mergeCell ref="T22:W22"/>
    <mergeCell ref="T23:W23"/>
    <mergeCell ref="I52:M52"/>
    <mergeCell ref="N52:O52"/>
    <mergeCell ref="P52:Q52"/>
    <mergeCell ref="AG26:AS32"/>
    <mergeCell ref="AK39:AS39"/>
    <mergeCell ref="AG50:AJ50"/>
    <mergeCell ref="AK50:AS50"/>
    <mergeCell ref="AG51:AJ51"/>
    <mergeCell ref="AK51:AS51"/>
    <mergeCell ref="AK48:AS48"/>
    <mergeCell ref="AG38:AJ38"/>
    <mergeCell ref="I51:Q51"/>
    <mergeCell ref="I46:Q46"/>
    <mergeCell ref="AK40:AS40"/>
    <mergeCell ref="AK41:AS41"/>
    <mergeCell ref="AG43:AJ43"/>
    <mergeCell ref="AK43:AS43"/>
    <mergeCell ref="AK42:AS42"/>
    <mergeCell ref="AG47:AJ47"/>
    <mergeCell ref="AK47:AS47"/>
    <mergeCell ref="AG48:AJ48"/>
    <mergeCell ref="AG44:AJ44"/>
    <mergeCell ref="AK44:AS44"/>
    <mergeCell ref="AG45:AJ45"/>
    <mergeCell ref="AK45:AS45"/>
    <mergeCell ref="AG46:AJ46"/>
    <mergeCell ref="AK46:AS46"/>
    <mergeCell ref="AK38:AS38"/>
    <mergeCell ref="AG40:AJ40"/>
    <mergeCell ref="AG39:AJ39"/>
    <mergeCell ref="AG42:AJ42"/>
    <mergeCell ref="AG34:AS34"/>
    <mergeCell ref="AK35:AS35"/>
    <mergeCell ref="AK36:AS36"/>
    <mergeCell ref="AK37:AS37"/>
    <mergeCell ref="S38:V38"/>
    <mergeCell ref="W38:AE38"/>
    <mergeCell ref="AG35:AJ35"/>
    <mergeCell ref="O200:AI201"/>
    <mergeCell ref="E46:H46"/>
    <mergeCell ref="E47:H47"/>
    <mergeCell ref="E42:H42"/>
    <mergeCell ref="E52:H52"/>
    <mergeCell ref="E48:H48"/>
    <mergeCell ref="I42:Q42"/>
    <mergeCell ref="S39:V39"/>
    <mergeCell ref="W39:AE39"/>
    <mergeCell ref="AG36:AJ36"/>
    <mergeCell ref="AG37:AJ37"/>
    <mergeCell ref="AG52:AJ52"/>
    <mergeCell ref="AK52:AS52"/>
    <mergeCell ref="S40:V40"/>
    <mergeCell ref="W40:AE40"/>
    <mergeCell ref="AG41:AJ41"/>
    <mergeCell ref="S34:AE34"/>
    <mergeCell ref="AB32:AC32"/>
    <mergeCell ref="AD32:AE32"/>
    <mergeCell ref="S42:V42"/>
    <mergeCell ref="I47:M47"/>
    <mergeCell ref="E50:H50"/>
    <mergeCell ref="S37:V37"/>
    <mergeCell ref="S49:V49"/>
    <mergeCell ref="S26:V26"/>
    <mergeCell ref="E19:H19"/>
    <mergeCell ref="E21:H21"/>
    <mergeCell ref="W46:AE46"/>
    <mergeCell ref="S47:V47"/>
    <mergeCell ref="W47:AA47"/>
    <mergeCell ref="AB47:AE47"/>
    <mergeCell ref="S48:V48"/>
    <mergeCell ref="W48:AE48"/>
    <mergeCell ref="S28:V28"/>
    <mergeCell ref="S41:V41"/>
    <mergeCell ref="W37:AA37"/>
    <mergeCell ref="AB37:AE37"/>
    <mergeCell ref="S35:V35"/>
    <mergeCell ref="W35:AE35"/>
    <mergeCell ref="AB41:AC41"/>
    <mergeCell ref="AD41:AE41"/>
    <mergeCell ref="E17:H17"/>
    <mergeCell ref="AJ20:AS20"/>
    <mergeCell ref="E20:H20"/>
    <mergeCell ref="AG49:AJ49"/>
    <mergeCell ref="AK49:AS49"/>
    <mergeCell ref="I48:Q48"/>
    <mergeCell ref="W49:AE49"/>
    <mergeCell ref="W42:AA42"/>
    <mergeCell ref="AB42:AE42"/>
    <mergeCell ref="W41:AA41"/>
    <mergeCell ref="E43:H43"/>
    <mergeCell ref="I43:Q43"/>
    <mergeCell ref="S43:V43"/>
    <mergeCell ref="W43:AE43"/>
    <mergeCell ref="E41:H41"/>
    <mergeCell ref="I41:Q41"/>
    <mergeCell ref="E39:H39"/>
    <mergeCell ref="I39:Q39"/>
    <mergeCell ref="I49:Q49"/>
    <mergeCell ref="W30:AE30"/>
    <mergeCell ref="W36:AE36"/>
    <mergeCell ref="AG25:AS25"/>
    <mergeCell ref="S45:AE45"/>
    <mergeCell ref="S46:V46"/>
    <mergeCell ref="S52:V52"/>
    <mergeCell ref="W52:AA52"/>
    <mergeCell ref="AB52:AC52"/>
    <mergeCell ref="AD52:AE52"/>
    <mergeCell ref="E45:Q45"/>
    <mergeCell ref="E28:H28"/>
    <mergeCell ref="I28:Q28"/>
    <mergeCell ref="E31:H31"/>
    <mergeCell ref="I31:Q31"/>
    <mergeCell ref="E30:H30"/>
    <mergeCell ref="I30:Q30"/>
    <mergeCell ref="E29:H29"/>
    <mergeCell ref="I29:Q29"/>
    <mergeCell ref="E40:H40"/>
    <mergeCell ref="I40:Q40"/>
    <mergeCell ref="I35:Q35"/>
    <mergeCell ref="E35:H35"/>
    <mergeCell ref="E34:Q34"/>
    <mergeCell ref="S50:V50"/>
    <mergeCell ref="I50:Q50"/>
    <mergeCell ref="S29:V29"/>
    <mergeCell ref="W29:AE29"/>
    <mergeCell ref="S31:V31"/>
    <mergeCell ref="W31:AE31"/>
    <mergeCell ref="A4:E6"/>
    <mergeCell ref="A7:E8"/>
    <mergeCell ref="Q1:AG3"/>
    <mergeCell ref="AT1:AW3"/>
    <mergeCell ref="U9:AB10"/>
    <mergeCell ref="E11:W13"/>
    <mergeCell ref="D11:D13"/>
    <mergeCell ref="W50:AE50"/>
    <mergeCell ref="S51:V51"/>
    <mergeCell ref="W51:AE51"/>
    <mergeCell ref="E22:H22"/>
    <mergeCell ref="W26:AE26"/>
    <mergeCell ref="AP1:AS3"/>
    <mergeCell ref="F1:I3"/>
    <mergeCell ref="J1:M3"/>
    <mergeCell ref="AL1:AO3"/>
    <mergeCell ref="AS5:AW6"/>
    <mergeCell ref="AS7:AW7"/>
    <mergeCell ref="AS8:AW8"/>
    <mergeCell ref="E23:H23"/>
    <mergeCell ref="E25:Q25"/>
    <mergeCell ref="S25:AE25"/>
    <mergeCell ref="E26:H26"/>
    <mergeCell ref="I26:Q26"/>
  </mergeCells>
  <conditionalFormatting sqref="C11:D11">
    <cfRule type="expression" dxfId="8" priority="992">
      <formula>IF($E$11="",TRUE,FALSE)</formula>
    </cfRule>
  </conditionalFormatting>
  <conditionalFormatting sqref="E10">
    <cfRule type="expression" dxfId="7" priority="993">
      <formula>IF($E$11="",TRUE,FALSE)</formula>
    </cfRule>
  </conditionalFormatting>
  <conditionalFormatting sqref="T16:T23">
    <cfRule type="containsText" dxfId="6" priority="12" operator="containsText" text="Incomplete">
      <formula>NOT(ISERROR(SEARCH("Incomplete",T16)))</formula>
    </cfRule>
    <cfRule type="containsText" dxfId="5" priority="13" operator="containsText" text="Almost">
      <formula>NOT(ISERROR(SEARCH("Almost",T16)))</formula>
    </cfRule>
  </conditionalFormatting>
  <conditionalFormatting sqref="Y13">
    <cfRule type="containsBlanks" dxfId="4" priority="7">
      <formula>LEN(TRIM(Y13))=0</formula>
    </cfRule>
  </conditionalFormatting>
  <conditionalFormatting sqref="Y19">
    <cfRule type="containsBlanks" dxfId="3" priority="6">
      <formula>LEN(TRIM(Y19))=0</formula>
    </cfRule>
  </conditionalFormatting>
  <conditionalFormatting sqref="AN13:AN18">
    <cfRule type="containsBlanks" dxfId="2" priority="103">
      <formula>LEN(TRIM(AN13))=0</formula>
    </cfRule>
  </conditionalFormatting>
  <conditionalFormatting sqref="AN21:AN23">
    <cfRule type="containsBlanks" dxfId="1" priority="15">
      <formula>LEN(TRIM(AN21))=0</formula>
    </cfRule>
  </conditionalFormatting>
  <conditionalFormatting sqref="AS8:AW8">
    <cfRule type="expression" dxfId="0" priority="9">
      <formula>IF($AS$8=PROJSTATMEASURE,FALSE,TRUE)</formula>
    </cfRule>
  </conditionalFormatting>
  <dataValidations count="7">
    <dataValidation type="list" allowBlank="1" showInputMessage="1" sqref="AN14" xr:uid="{00000000-0002-0000-1200-000000000000}">
      <formula1>IMPLSPECNAME</formula1>
    </dataValidation>
    <dataValidation type="list" allowBlank="1" showInputMessage="1" sqref="I19" xr:uid="{CC8CFAB9-EC50-43A9-983E-E3B83E8E928F}">
      <formula1>PROJECTTYPELIST</formula1>
    </dataValidation>
    <dataValidation type="list" allowBlank="1" showInputMessage="1" sqref="AN15" xr:uid="{00000000-0002-0000-1200-000001000000}">
      <formula1>ENGNRSNAMES</formula1>
    </dataValidation>
    <dataValidation type="list" allowBlank="1" showInputMessage="1" showErrorMessage="1" sqref="AN16" xr:uid="{00000000-0002-0000-1200-000002000000}">
      <formula1>"SUBMITTED,REVIEWED,FINAL"</formula1>
    </dataValidation>
    <dataValidation type="list" allowBlank="1" showInputMessage="1" sqref="AN18" xr:uid="{00000000-0002-0000-1200-000004000000}">
      <formula1>BUSDEVELNAME</formula1>
    </dataValidation>
    <dataValidation type="list" allowBlank="1" showInputMessage="1" showErrorMessage="1" sqref="AN23" xr:uid="{A81A12AD-D259-4081-932E-94D6A040F40C}">
      <formula1>YESNOLIST</formula1>
    </dataValidation>
    <dataValidation type="list" allowBlank="1" showInputMessage="1" showErrorMessage="1" sqref="AN21:AN22" xr:uid="{7B606C93-B337-41E6-92D8-66E561EE1F67}">
      <formula1>"Yes, No"</formula1>
    </dataValidation>
  </dataValidations>
  <hyperlinks>
    <hyperlink ref="B202" r:id="rId1" xr:uid="{57437073-5CDF-4ECD-BC4A-4231A757EB75}"/>
    <hyperlink ref="J1:M3" location="'M01-S02'!J1" tooltip="Instructions" display="'M01-S02'!J1" xr:uid="{8156239B-E74C-4D4C-BD48-6E1A462D9DEA}"/>
    <hyperlink ref="AP1:AS3" location="'M05-S05'!AL1" tooltip=" " display="'M05-S05'!AL1" xr:uid="{06E35DBC-447E-438E-AA3E-66C4A8411D61}"/>
    <hyperlink ref="AL1:AO3" location="'M05-S04'!AH1" tooltip=" " display="'M05-S04'!AH1" xr:uid="{58D7C106-09E4-4354-8E8D-357394C7388B}"/>
    <hyperlink ref="AT1:AW3" location="'M01-S03'!AP1" tooltip="Contact" display="'M01-S03'!AP1" xr:uid="{65ECFBC2-66E0-4F70-8113-D2D2483F038A}"/>
  </hyperlinks>
  <printOptions horizontalCentered="1"/>
  <pageMargins left="0" right="0" top="0" bottom="0" header="0" footer="0"/>
  <pageSetup scale="5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7">
    <tabColor rgb="FFFFFF00"/>
  </sheetPr>
  <dimension ref="A1:AP80"/>
  <sheetViews>
    <sheetView topLeftCell="A4" zoomScale="85" zoomScaleNormal="85" workbookViewId="0">
      <selection activeCell="A37" sqref="A37"/>
    </sheetView>
  </sheetViews>
  <sheetFormatPr defaultColWidth="2.5703125" defaultRowHeight="15"/>
  <cols>
    <col min="1" max="1" width="58.42578125" bestFit="1" customWidth="1"/>
    <col min="2" max="2" width="15" bestFit="1" customWidth="1"/>
    <col min="3" max="3" width="43.85546875" bestFit="1" customWidth="1"/>
    <col min="4" max="4" width="28.7109375" bestFit="1" customWidth="1"/>
    <col min="5" max="5" width="19.140625" customWidth="1"/>
    <col min="6" max="6" width="17.5703125" bestFit="1" customWidth="1"/>
    <col min="7" max="7" width="16.5703125" bestFit="1" customWidth="1"/>
    <col min="8" max="8" width="17.85546875" bestFit="1" customWidth="1"/>
    <col min="9" max="9" width="13.140625" bestFit="1" customWidth="1"/>
    <col min="11" max="11" width="19" bestFit="1" customWidth="1"/>
    <col min="12" max="12" width="12.140625" bestFit="1" customWidth="1"/>
    <col min="13" max="13" width="13.42578125" bestFit="1" customWidth="1"/>
    <col min="14" max="14" width="12.5703125" bestFit="1" customWidth="1"/>
    <col min="15" max="15" width="19.140625" customWidth="1"/>
  </cols>
  <sheetData>
    <row r="1" spans="1:16">
      <c r="A1" t="s">
        <v>126</v>
      </c>
      <c r="H1" s="10"/>
      <c r="I1" s="10"/>
      <c r="J1" s="10"/>
      <c r="K1" s="10"/>
      <c r="N1" s="20"/>
      <c r="O1" s="20"/>
      <c r="P1" s="21"/>
    </row>
    <row r="2" spans="1:16">
      <c r="A2" t="s">
        <v>127</v>
      </c>
      <c r="H2" s="10"/>
      <c r="I2" s="10"/>
      <c r="J2" s="10"/>
      <c r="K2" s="10"/>
      <c r="N2" s="20"/>
      <c r="O2" s="20"/>
      <c r="P2" s="21"/>
    </row>
    <row r="3" spans="1:16">
      <c r="A3" t="s">
        <v>3092</v>
      </c>
    </row>
    <row r="5" spans="1:16">
      <c r="E5" t="s">
        <v>328</v>
      </c>
    </row>
    <row r="6" spans="1:16">
      <c r="A6" t="s">
        <v>128</v>
      </c>
      <c r="B6">
        <v>0</v>
      </c>
      <c r="E6" t="s">
        <v>710</v>
      </c>
    </row>
    <row r="7" spans="1:16">
      <c r="A7" s="68" t="s">
        <v>130</v>
      </c>
      <c r="B7" s="198">
        <v>6.7900000000000002E-2</v>
      </c>
      <c r="E7" s="69" t="s">
        <v>1138</v>
      </c>
    </row>
    <row r="8" spans="1:16">
      <c r="A8" t="s">
        <v>326</v>
      </c>
      <c r="B8">
        <v>1</v>
      </c>
    </row>
    <row r="9" spans="1:16">
      <c r="B9" s="9"/>
    </row>
    <row r="10" spans="1:16">
      <c r="C10" s="10"/>
      <c r="D10" s="10"/>
      <c r="E10" s="10"/>
      <c r="F10" s="10"/>
      <c r="G10" s="10"/>
    </row>
    <row r="11" spans="1:16">
      <c r="A11" s="68" t="s">
        <v>123</v>
      </c>
      <c r="B11" s="68" t="s">
        <v>129</v>
      </c>
      <c r="C11" t="s">
        <v>327</v>
      </c>
      <c r="D11" s="10" t="s">
        <v>124</v>
      </c>
      <c r="E11" s="10" t="s">
        <v>125</v>
      </c>
      <c r="F11" s="68" t="s">
        <v>131</v>
      </c>
      <c r="G11" s="68" t="s">
        <v>1126</v>
      </c>
    </row>
    <row r="12" spans="1:16">
      <c r="A12">
        <v>2025</v>
      </c>
      <c r="B12">
        <v>0</v>
      </c>
      <c r="F12" s="193">
        <f t="shared" ref="F12" ca="1" si="0">L49</f>
        <v>1.8964279109589092E-2</v>
      </c>
      <c r="G12" s="49">
        <f t="shared" ref="G12" ca="1" si="1">M49</f>
        <v>91.604684112804406</v>
      </c>
    </row>
    <row r="13" spans="1:16">
      <c r="A13">
        <v>2026</v>
      </c>
      <c r="B13">
        <v>1</v>
      </c>
      <c r="F13" s="193">
        <f t="shared" ref="F13:F35" ca="1" si="2">L50</f>
        <v>3.7550131362613315E-2</v>
      </c>
      <c r="G13" s="49">
        <f t="shared" ref="G13:G35" ca="1" si="3">M50</f>
        <v>444.48509996944301</v>
      </c>
    </row>
    <row r="14" spans="1:16">
      <c r="A14">
        <v>2027</v>
      </c>
      <c r="B14">
        <v>2</v>
      </c>
      <c r="F14" s="193">
        <f t="shared" ca="1" si="2"/>
        <v>5.5729239211704598E-2</v>
      </c>
      <c r="G14" s="49">
        <f t="shared" ca="1" si="3"/>
        <v>770.70447030859702</v>
      </c>
    </row>
    <row r="15" spans="1:16">
      <c r="A15">
        <v>2028</v>
      </c>
      <c r="B15">
        <v>3</v>
      </c>
      <c r="F15" s="193">
        <f t="shared" ca="1" si="2"/>
        <v>7.3298214179743734E-2</v>
      </c>
      <c r="G15" s="49">
        <f t="shared" ca="1" si="3"/>
        <v>905.14307288089537</v>
      </c>
    </row>
    <row r="16" spans="1:16">
      <c r="A16">
        <v>2029</v>
      </c>
      <c r="B16">
        <v>4</v>
      </c>
      <c r="F16" s="193">
        <f t="shared" ca="1" si="2"/>
        <v>9.0255159684652267E-2</v>
      </c>
      <c r="G16" s="49">
        <f t="shared" ca="1" si="3"/>
        <v>1025.4837734544058</v>
      </c>
    </row>
    <row r="17" spans="1:7">
      <c r="A17">
        <v>2030</v>
      </c>
      <c r="B17">
        <v>5</v>
      </c>
      <c r="F17" s="193">
        <f t="shared" ca="1" si="2"/>
        <v>0.10660976619699153</v>
      </c>
      <c r="G17" s="49">
        <f t="shared" ca="1" si="3"/>
        <v>1137.5526165155939</v>
      </c>
    </row>
    <row r="18" spans="1:7">
      <c r="A18">
        <v>2031</v>
      </c>
      <c r="B18">
        <v>6</v>
      </c>
      <c r="F18" s="193">
        <f t="shared" ca="1" si="2"/>
        <v>0.12237005749642234</v>
      </c>
      <c r="G18" s="49">
        <f t="shared" ca="1" si="3"/>
        <v>1243.5750541959942</v>
      </c>
    </row>
    <row r="19" spans="1:7">
      <c r="A19">
        <v>2032</v>
      </c>
      <c r="B19">
        <v>7</v>
      </c>
      <c r="F19" s="193">
        <f t="shared" ca="1" si="2"/>
        <v>0.13754686178543576</v>
      </c>
      <c r="G19" s="49">
        <f t="shared" ca="1" si="3"/>
        <v>1344.5515072165615</v>
      </c>
    </row>
    <row r="20" spans="1:7">
      <c r="A20">
        <v>2033</v>
      </c>
      <c r="B20">
        <v>8</v>
      </c>
      <c r="F20" s="193">
        <f t="shared" ca="1" si="2"/>
        <v>0.15227896385276976</v>
      </c>
      <c r="G20" s="49">
        <f t="shared" ca="1" si="3"/>
        <v>1440.5328173148396</v>
      </c>
    </row>
    <row r="21" spans="1:7">
      <c r="A21">
        <v>2034</v>
      </c>
      <c r="B21">
        <v>9</v>
      </c>
      <c r="F21" s="193">
        <f t="shared" ca="1" si="2"/>
        <v>0.16656275512924576</v>
      </c>
      <c r="G21" s="49">
        <f t="shared" ca="1" si="3"/>
        <v>1531.7499414174204</v>
      </c>
    </row>
    <row r="22" spans="1:7">
      <c r="A22">
        <v>2035</v>
      </c>
      <c r="B22">
        <v>10</v>
      </c>
      <c r="F22" s="193">
        <f t="shared" ca="1" si="2"/>
        <v>0.18039567472276144</v>
      </c>
      <c r="G22" s="49">
        <f t="shared" ca="1" si="3"/>
        <v>1618.4131496665598</v>
      </c>
    </row>
    <row r="23" spans="1:7">
      <c r="A23">
        <v>2036</v>
      </c>
      <c r="B23">
        <v>11</v>
      </c>
      <c r="F23" s="193">
        <f t="shared" ca="1" si="2"/>
        <v>0.1937793871761492</v>
      </c>
      <c r="G23" s="49">
        <f t="shared" ca="1" si="3"/>
        <v>1700.641387715274</v>
      </c>
    </row>
    <row r="24" spans="1:7">
      <c r="A24">
        <v>2037</v>
      </c>
      <c r="B24">
        <v>12</v>
      </c>
      <c r="F24" s="193">
        <f t="shared" ca="1" si="2"/>
        <v>0.20671119180188324</v>
      </c>
      <c r="G24" s="49">
        <f t="shared" ca="1" si="3"/>
        <v>1778.5229961114601</v>
      </c>
    </row>
    <row r="25" spans="1:7">
      <c r="A25">
        <v>2038</v>
      </c>
      <c r="B25">
        <v>13</v>
      </c>
      <c r="F25" s="193">
        <f t="shared" ca="1" si="2"/>
        <v>0.21919627087549245</v>
      </c>
      <c r="G25" s="49">
        <f t="shared" ca="1" si="3"/>
        <v>1852.2491352622253</v>
      </c>
    </row>
    <row r="26" spans="1:7">
      <c r="A26">
        <v>2039</v>
      </c>
      <c r="B26">
        <v>14</v>
      </c>
      <c r="F26" s="193">
        <f t="shared" ca="1" si="2"/>
        <v>0.23123917634514887</v>
      </c>
      <c r="G26" s="49">
        <f t="shared" ca="1" si="3"/>
        <v>1922.1547756264083</v>
      </c>
    </row>
    <row r="27" spans="1:7">
      <c r="A27">
        <v>2040</v>
      </c>
      <c r="B27">
        <v>15</v>
      </c>
      <c r="F27" s="193">
        <f t="shared" ca="1" si="2"/>
        <v>0.24284842069177681</v>
      </c>
      <c r="G27" s="49">
        <f t="shared" ca="1" si="3"/>
        <v>1988.6454618785151</v>
      </c>
    </row>
    <row r="28" spans="1:7">
      <c r="A28">
        <v>2041</v>
      </c>
      <c r="B28">
        <v>16</v>
      </c>
      <c r="F28" s="193">
        <f t="shared" ca="1" si="2"/>
        <v>0.2540252827188802</v>
      </c>
      <c r="G28" s="49">
        <f t="shared" ca="1" si="3"/>
        <v>2051.8505959961713</v>
      </c>
    </row>
    <row r="29" spans="1:7">
      <c r="A29">
        <v>2042</v>
      </c>
      <c r="B29">
        <v>17</v>
      </c>
      <c r="F29" s="193">
        <f t="shared" ca="1" si="2"/>
        <v>0.264780304687737</v>
      </c>
      <c r="G29" s="49">
        <f t="shared" ca="1" si="3"/>
        <v>2111.9109408282884</v>
      </c>
    </row>
    <row r="30" spans="1:7">
      <c r="A30">
        <v>2043</v>
      </c>
      <c r="B30">
        <v>18</v>
      </c>
      <c r="F30" s="193">
        <f t="shared" ca="1" si="2"/>
        <v>0.27512179823790217</v>
      </c>
      <c r="G30" s="49">
        <f t="shared" ca="1" si="3"/>
        <v>2169.0099862006459</v>
      </c>
    </row>
    <row r="31" spans="1:7">
      <c r="A31">
        <v>2044</v>
      </c>
      <c r="B31">
        <v>19</v>
      </c>
      <c r="F31" s="193">
        <f t="shared" ca="1" si="2"/>
        <v>0.28504785019868439</v>
      </c>
      <c r="G31" s="49">
        <f t="shared" ca="1" si="3"/>
        <v>2223.5301432277965</v>
      </c>
    </row>
    <row r="32" spans="1:7">
      <c r="A32">
        <v>2045</v>
      </c>
      <c r="B32">
        <v>20</v>
      </c>
      <c r="F32" s="193">
        <f t="shared" ca="1" si="2"/>
        <v>0.29457514981456767</v>
      </c>
      <c r="G32" s="49">
        <f t="shared" ca="1" si="3"/>
        <v>2275.5958080986811</v>
      </c>
    </row>
    <row r="33" spans="1:42">
      <c r="A33">
        <v>2046</v>
      </c>
      <c r="B33">
        <v>21</v>
      </c>
      <c r="F33" s="193">
        <f t="shared" ca="1" si="2"/>
        <v>0.30371971588468694</v>
      </c>
      <c r="G33" s="49">
        <f t="shared" ca="1" si="3"/>
        <v>2325.3248626946211</v>
      </c>
    </row>
    <row r="34" spans="1:42">
      <c r="A34">
        <v>2047</v>
      </c>
      <c r="B34">
        <v>22</v>
      </c>
      <c r="F34" s="193">
        <f t="shared" ca="1" si="2"/>
        <v>0.31249692369616017</v>
      </c>
      <c r="G34" s="49">
        <f t="shared" ca="1" si="3"/>
        <v>2372.8290469464318</v>
      </c>
    </row>
    <row r="35" spans="1:42">
      <c r="A35">
        <v>2048</v>
      </c>
      <c r="B35">
        <v>23</v>
      </c>
      <c r="F35" s="193">
        <f t="shared" ca="1" si="2"/>
        <v>0.32092153087544667</v>
      </c>
      <c r="G35" s="49">
        <f t="shared" ca="1" si="3"/>
        <v>2418.2143081606168</v>
      </c>
    </row>
    <row r="36" spans="1:42">
      <c r="A36">
        <v>2049</v>
      </c>
      <c r="B36">
        <v>24</v>
      </c>
      <c r="F36" s="193">
        <f ca="1">L73</f>
        <v>0.32900770220119691</v>
      </c>
      <c r="G36" s="49">
        <f ca="1">M73</f>
        <v>2461.5811288287045</v>
      </c>
    </row>
    <row r="37" spans="1:42">
      <c r="A37" s="331" t="s">
        <v>2449</v>
      </c>
      <c r="B37" s="331"/>
      <c r="C37" s="331"/>
      <c r="D37" s="70"/>
      <c r="E37" s="70"/>
      <c r="F37" s="70"/>
      <c r="G37" t="s">
        <v>705</v>
      </c>
    </row>
    <row r="38" spans="1:42" ht="15.75">
      <c r="A38" s="331"/>
      <c r="B38" s="331"/>
      <c r="C38" s="331"/>
      <c r="D38" s="70"/>
      <c r="E38" s="70"/>
      <c r="F38" s="70"/>
      <c r="AP38" s="78"/>
    </row>
    <row r="39" spans="1:42">
      <c r="A39" s="331" t="s">
        <v>1127</v>
      </c>
      <c r="B39" s="331" t="s">
        <v>2450</v>
      </c>
      <c r="C39" s="276">
        <v>6.7900000000000002E-2</v>
      </c>
      <c r="D39" s="70"/>
      <c r="E39" s="332"/>
      <c r="F39" s="70"/>
    </row>
    <row r="40" spans="1:42">
      <c r="A40" s="331"/>
      <c r="B40" s="331" t="s">
        <v>2451</v>
      </c>
      <c r="C40" s="276">
        <v>6.7900000000000002E-2</v>
      </c>
      <c r="D40" s="70"/>
      <c r="E40" s="70"/>
      <c r="F40" s="70"/>
    </row>
    <row r="41" spans="1:42">
      <c r="A41" s="331"/>
      <c r="B41" s="331"/>
      <c r="C41" s="276"/>
      <c r="D41" s="70"/>
      <c r="E41" s="70"/>
      <c r="F41" s="70"/>
    </row>
    <row r="42" spans="1:42">
      <c r="A42" s="333" t="s">
        <v>2452</v>
      </c>
      <c r="B42" s="191" t="str">
        <f ca="1">IFERROR(
IF(APP_TYPE="General App",INDEX(RATECLASS[Territory],MATCH(M02S04F05,RATECLASS[Rate Schedules],0)),
IF(APP_TYPE="New Con App",INDEX(RATECLASS[Territory],MATCH(N02S03F13,RATECLASS[Rate Schedules],0)),
IF(APP_TYPE="RCx App",INDEX(RATECLASS[Territory],MATCH(X02S03F22,RATECLASS[Rate Schedules],0)),"MO West"))),"MO West")</f>
        <v>MO West</v>
      </c>
      <c r="C42" s="70"/>
      <c r="D42" s="70"/>
      <c r="E42" s="70"/>
      <c r="F42" s="70"/>
      <c r="G42" s="70"/>
    </row>
    <row r="43" spans="1:42">
      <c r="A43" s="333" t="s">
        <v>1127</v>
      </c>
      <c r="B43" s="334">
        <f ca="1">IF(B42=B39,C39,IF(B42=B40,C40,""))</f>
        <v>6.7900000000000002E-2</v>
      </c>
      <c r="C43" s="70"/>
      <c r="D43" s="70"/>
      <c r="E43" s="70"/>
      <c r="F43" s="70"/>
    </row>
    <row r="44" spans="1:42">
      <c r="A44" s="333" t="s">
        <v>1518</v>
      </c>
      <c r="B44" s="335">
        <v>2.5000000000000001E-2</v>
      </c>
      <c r="C44" s="187"/>
      <c r="D44" s="70"/>
      <c r="E44" s="70"/>
      <c r="F44" s="70"/>
    </row>
    <row r="45" spans="1:42">
      <c r="A45" s="333" t="s">
        <v>1519</v>
      </c>
      <c r="B45" s="335">
        <v>0.03</v>
      </c>
      <c r="C45" s="70"/>
      <c r="D45" s="70"/>
      <c r="E45" s="70"/>
      <c r="F45" s="70"/>
      <c r="H45" s="70"/>
      <c r="I45" s="70"/>
      <c r="J45" s="70"/>
      <c r="K45" s="70"/>
    </row>
    <row r="46" spans="1:42">
      <c r="A46" s="333" t="s">
        <v>1520</v>
      </c>
      <c r="B46" s="336">
        <v>0</v>
      </c>
      <c r="C46" s="70" t="s">
        <v>1521</v>
      </c>
      <c r="D46" s="70"/>
      <c r="E46" s="70"/>
      <c r="F46" s="70"/>
      <c r="K46" s="601" t="s">
        <v>1129</v>
      </c>
      <c r="L46" s="601"/>
      <c r="M46" s="601"/>
      <c r="N46" s="601"/>
      <c r="O46" s="601"/>
      <c r="Q46" s="10"/>
    </row>
    <row r="47" spans="1:42">
      <c r="A47" s="337"/>
      <c r="B47" s="338"/>
      <c r="C47" s="70"/>
      <c r="D47" s="70"/>
      <c r="E47" s="70"/>
      <c r="F47" s="70"/>
      <c r="K47" s="340"/>
      <c r="L47" s="601" t="s">
        <v>1131</v>
      </c>
      <c r="M47" s="601"/>
      <c r="N47" s="601" t="s">
        <v>1523</v>
      </c>
      <c r="O47" s="601"/>
    </row>
    <row r="48" spans="1:42">
      <c r="F48" s="337"/>
      <c r="G48" s="339"/>
      <c r="H48" s="188" t="s">
        <v>1134</v>
      </c>
      <c r="I48" s="188" t="s">
        <v>1135</v>
      </c>
      <c r="K48" s="341" t="s">
        <v>1133</v>
      </c>
      <c r="L48" s="342" t="s">
        <v>703</v>
      </c>
      <c r="M48" s="342" t="s">
        <v>1132</v>
      </c>
      <c r="N48" s="342" t="s">
        <v>2453</v>
      </c>
      <c r="O48" s="343" t="s">
        <v>2454</v>
      </c>
    </row>
    <row r="49" spans="1:15">
      <c r="B49" s="600" t="s">
        <v>1128</v>
      </c>
      <c r="C49" s="601"/>
      <c r="D49" s="601"/>
      <c r="E49" s="601"/>
      <c r="F49" s="601"/>
      <c r="G49" s="70"/>
      <c r="H49" s="12"/>
      <c r="I49" s="12"/>
      <c r="K49" s="349">
        <f ca="1">IF(A52=YEAR(TODAY()),0,"")</f>
        <v>0</v>
      </c>
      <c r="L49" s="350">
        <f ca="1">C52*(1+$B$43)^-B52</f>
        <v>1.8964279109589092E-2</v>
      </c>
      <c r="M49" s="346">
        <f ca="1">D52*(1+$B$43)^-B52</f>
        <v>91.604684112804406</v>
      </c>
      <c r="N49" s="350">
        <f>E52*(1+$B$45)^-B52</f>
        <v>1.8964279109589092E-2</v>
      </c>
      <c r="O49" s="351">
        <f>F52*(1+$B$45)^-B52</f>
        <v>91.604684112804406</v>
      </c>
    </row>
    <row r="50" spans="1:15">
      <c r="B50" s="188"/>
      <c r="C50" s="601" t="s">
        <v>1130</v>
      </c>
      <c r="D50" s="601"/>
      <c r="E50" s="601" t="s">
        <v>1522</v>
      </c>
      <c r="F50" s="601"/>
      <c r="G50" s="70"/>
      <c r="H50" s="190">
        <f t="shared" ref="H50:H72" si="4">C53/C52</f>
        <v>1.0465903558110323</v>
      </c>
      <c r="I50" s="190">
        <f t="shared" ref="I50:I72" si="5">D53/D52</f>
        <v>4.1137743090653807</v>
      </c>
      <c r="K50" s="349">
        <f ca="1">IF(A53=YEAR(TODAY()),0,IF(K49&lt;&gt;"",K49+1,""))</f>
        <v>1</v>
      </c>
      <c r="L50" s="350">
        <f ca="1">L49+C53*(1+$B$43)^-B53</f>
        <v>3.7550131362613315E-2</v>
      </c>
      <c r="M50" s="346">
        <f ca="1">M49+D53*(1+$B$43)^-B53</f>
        <v>444.48509996944301</v>
      </c>
      <c r="N50" s="350">
        <f>N49+E53*(1+$B$45)^-B53</f>
        <v>3.8234018547457616E-2</v>
      </c>
      <c r="O50" s="351">
        <f>O49+F53*(1+$B$45)^-B53</f>
        <v>457.46972886358537</v>
      </c>
    </row>
    <row r="51" spans="1:15">
      <c r="A51" s="189" t="s">
        <v>123</v>
      </c>
      <c r="B51" s="189" t="s">
        <v>1133</v>
      </c>
      <c r="C51" s="188" t="s">
        <v>703</v>
      </c>
      <c r="D51" s="188" t="s">
        <v>1132</v>
      </c>
      <c r="E51" s="188" t="s">
        <v>703</v>
      </c>
      <c r="F51" s="188" t="s">
        <v>1132</v>
      </c>
      <c r="G51" s="70"/>
      <c r="H51" s="190">
        <f t="shared" si="4"/>
        <v>1.0445294091308452</v>
      </c>
      <c r="I51" s="190">
        <f t="shared" si="5"/>
        <v>0.98721734029782893</v>
      </c>
      <c r="K51" s="349">
        <f t="shared" ref="K51:K73" ca="1" si="6">IF(A54=YEAR(TODAY()),0,IF(K50&lt;&gt;"",K50+1,""))</f>
        <v>2</v>
      </c>
      <c r="L51" s="350">
        <f t="shared" ref="L51:L73" ca="1" si="7">L50+C54*(1+$B$43)^-B54</f>
        <v>5.5729239211704598E-2</v>
      </c>
      <c r="M51" s="346">
        <f t="shared" ref="M51:M73" ca="1" si="8">M50+D54*(1+$B$43)^-B54</f>
        <v>770.70447030859702</v>
      </c>
      <c r="N51" s="350">
        <f t="shared" ref="N51:N73" si="9">N50+E54*(1+$B$45)^-B54</f>
        <v>5.7775581216527663E-2</v>
      </c>
      <c r="O51" s="351">
        <f t="shared" ref="O51:O73" si="10">O50+F54*(1+$B$45)^-B54</f>
        <v>808.13799720029624</v>
      </c>
    </row>
    <row r="52" spans="1:15">
      <c r="A52" s="344">
        <v>2025</v>
      </c>
      <c r="B52" s="344">
        <v>0</v>
      </c>
      <c r="C52" s="345">
        <v>1.8964279109589092E-2</v>
      </c>
      <c r="D52" s="346">
        <v>91.604684112804406</v>
      </c>
      <c r="E52" s="347">
        <f>C52+$C$10*(1+$C$8)^(B52-1)</f>
        <v>1.8964279109589092E-2</v>
      </c>
      <c r="F52" s="348">
        <f>D52</f>
        <v>91.604684112804406</v>
      </c>
      <c r="G52" s="71"/>
      <c r="H52" s="190">
        <f t="shared" si="4"/>
        <v>1.0320588075122088</v>
      </c>
      <c r="I52" s="190">
        <f t="shared" si="5"/>
        <v>0.44009337501233586</v>
      </c>
      <c r="K52" s="349">
        <f t="shared" ca="1" si="6"/>
        <v>3</v>
      </c>
      <c r="L52" s="350">
        <f t="shared" ca="1" si="7"/>
        <v>7.3298214179743734E-2</v>
      </c>
      <c r="M52" s="346">
        <f t="shared" ca="1" si="8"/>
        <v>905.14307288089537</v>
      </c>
      <c r="N52" s="350">
        <f t="shared" si="9"/>
        <v>7.7356204386591285E-2</v>
      </c>
      <c r="O52" s="351">
        <f t="shared" si="10"/>
        <v>957.96982411489284</v>
      </c>
    </row>
    <row r="53" spans="1:15">
      <c r="A53" s="344">
        <v>2026</v>
      </c>
      <c r="B53" s="344">
        <v>1</v>
      </c>
      <c r="C53" s="345">
        <v>1.9847831621004574E-2</v>
      </c>
      <c r="D53" s="346">
        <v>376.8409960933044</v>
      </c>
      <c r="E53" s="347">
        <f>C53+$C$10*(1+$C$8)^(B53-1)</f>
        <v>1.9847831621004574E-2</v>
      </c>
      <c r="F53" s="348">
        <f t="shared" ref="F53:F75" si="11">D53</f>
        <v>376.8409960933044</v>
      </c>
      <c r="G53" s="71"/>
      <c r="H53" s="190">
        <f t="shared" si="4"/>
        <v>1.0306988391544669</v>
      </c>
      <c r="I53" s="190">
        <f t="shared" si="5"/>
        <v>0.95591468286306236</v>
      </c>
      <c r="K53" s="349">
        <f t="shared" ca="1" si="6"/>
        <v>4</v>
      </c>
      <c r="L53" s="350">
        <f t="shared" ca="1" si="7"/>
        <v>9.0255159684652267E-2</v>
      </c>
      <c r="M53" s="346">
        <f t="shared" ca="1" si="8"/>
        <v>1025.4837734544058</v>
      </c>
      <c r="N53" s="350">
        <f t="shared" si="9"/>
        <v>9.6950112708247244E-2</v>
      </c>
      <c r="O53" s="351">
        <f t="shared" si="10"/>
        <v>1097.0246234429121</v>
      </c>
    </row>
    <row r="54" spans="1:15">
      <c r="A54" s="344">
        <v>2027</v>
      </c>
      <c r="B54" s="344">
        <v>2</v>
      </c>
      <c r="C54" s="345">
        <v>2.0731643835616414E-2</v>
      </c>
      <c r="D54" s="346">
        <v>372.0239658784165</v>
      </c>
      <c r="E54" s="347">
        <f t="shared" ref="E54:E75" si="12">C54+$C$10*(1+$C$8)^(B54-1)</f>
        <v>2.0731643835616414E-2</v>
      </c>
      <c r="F54" s="348">
        <f t="shared" si="11"/>
        <v>372.0239658784165</v>
      </c>
      <c r="G54" s="71"/>
      <c r="H54" s="190">
        <f t="shared" si="4"/>
        <v>1.0299664104877537</v>
      </c>
      <c r="I54" s="190">
        <f t="shared" si="5"/>
        <v>0.99449576855285926</v>
      </c>
      <c r="K54" s="349">
        <f t="shared" ca="1" si="6"/>
        <v>5</v>
      </c>
      <c r="L54" s="350">
        <f t="shared" ca="1" si="7"/>
        <v>0.10660976619699153</v>
      </c>
      <c r="M54" s="346">
        <f t="shared" ca="1" si="8"/>
        <v>1137.5526165155939</v>
      </c>
      <c r="N54" s="350">
        <f t="shared" si="9"/>
        <v>0.11654338204949202</v>
      </c>
      <c r="O54" s="351">
        <f t="shared" si="10"/>
        <v>1231.286186092118</v>
      </c>
    </row>
    <row r="55" spans="1:15">
      <c r="A55" s="344">
        <v>2028</v>
      </c>
      <c r="B55" s="344">
        <v>3</v>
      </c>
      <c r="C55" s="345">
        <v>2.1396275614754112E-2</v>
      </c>
      <c r="D55" s="346">
        <v>163.72528272890639</v>
      </c>
      <c r="E55" s="347">
        <f t="shared" si="12"/>
        <v>2.1396275614754112E-2</v>
      </c>
      <c r="F55" s="348">
        <f t="shared" si="11"/>
        <v>163.72528272890639</v>
      </c>
      <c r="G55" s="71"/>
      <c r="H55" s="190">
        <f t="shared" si="4"/>
        <v>1.0290932445218977</v>
      </c>
      <c r="I55" s="190">
        <f t="shared" si="5"/>
        <v>1.0102840192352309</v>
      </c>
      <c r="K55" s="349">
        <f t="shared" ca="1" si="6"/>
        <v>6</v>
      </c>
      <c r="L55" s="350">
        <f t="shared" ca="1" si="7"/>
        <v>0.12237005749642234</v>
      </c>
      <c r="M55" s="346">
        <f t="shared" ca="1" si="8"/>
        <v>1243.5750541959942</v>
      </c>
      <c r="N55" s="350">
        <f t="shared" si="9"/>
        <v>0.13611940255160174</v>
      </c>
      <c r="O55" s="351">
        <f t="shared" si="10"/>
        <v>1362.9777503076932</v>
      </c>
    </row>
    <row r="56" spans="1:15">
      <c r="A56" s="344">
        <v>2029</v>
      </c>
      <c r="B56" s="344">
        <v>4</v>
      </c>
      <c r="C56" s="345">
        <v>2.2053116438356092E-2</v>
      </c>
      <c r="D56" s="346">
        <v>156.50740171646777</v>
      </c>
      <c r="E56" s="347">
        <f t="shared" si="12"/>
        <v>2.2053116438356092E-2</v>
      </c>
      <c r="F56" s="348">
        <f t="shared" si="11"/>
        <v>156.50740171646777</v>
      </c>
      <c r="G56" s="71"/>
      <c r="H56" s="190">
        <f t="shared" si="4"/>
        <v>1.0283635620886502</v>
      </c>
      <c r="I56" s="190">
        <f t="shared" si="5"/>
        <v>1.0170748432112149</v>
      </c>
      <c r="K56" s="349">
        <f t="shared" ca="1" si="6"/>
        <v>7</v>
      </c>
      <c r="L56" s="350">
        <f t="shared" ca="1" si="7"/>
        <v>0.13754686178543576</v>
      </c>
      <c r="M56" s="346">
        <f t="shared" ca="1" si="8"/>
        <v>1344.5515072165615</v>
      </c>
      <c r="N56" s="350">
        <f t="shared" si="9"/>
        <v>0.15566432116817455</v>
      </c>
      <c r="O56" s="351">
        <f t="shared" si="10"/>
        <v>1493.0167571298252</v>
      </c>
    </row>
    <row r="57" spans="1:15">
      <c r="A57" s="344">
        <v>2030</v>
      </c>
      <c r="B57" s="344">
        <v>5</v>
      </c>
      <c r="C57" s="345">
        <v>2.2713969178082102E-2</v>
      </c>
      <c r="D57" s="346">
        <v>155.64594875422969</v>
      </c>
      <c r="E57" s="347">
        <f t="shared" si="12"/>
        <v>2.2713969178082102E-2</v>
      </c>
      <c r="F57" s="348">
        <f t="shared" si="11"/>
        <v>155.64594875422969</v>
      </c>
      <c r="G57" s="71"/>
      <c r="H57" s="190">
        <f t="shared" si="4"/>
        <v>1.0366089921245656</v>
      </c>
      <c r="I57" s="190">
        <f t="shared" si="5"/>
        <v>1.0150727024752362</v>
      </c>
      <c r="K57" s="349">
        <f t="shared" ca="1" si="6"/>
        <v>8</v>
      </c>
      <c r="L57" s="350">
        <f t="shared" ca="1" si="7"/>
        <v>0.15227896385276976</v>
      </c>
      <c r="M57" s="346">
        <f t="shared" ca="1" si="8"/>
        <v>1440.5328173148396</v>
      </c>
      <c r="N57" s="350">
        <f t="shared" si="9"/>
        <v>0.17533464970048737</v>
      </c>
      <c r="O57" s="351">
        <f t="shared" si="10"/>
        <v>1621.1711708018031</v>
      </c>
    </row>
    <row r="58" spans="1:15">
      <c r="A58" s="344">
        <v>2031</v>
      </c>
      <c r="B58" s="344">
        <v>6</v>
      </c>
      <c r="C58" s="345">
        <v>2.337479223744289E-2</v>
      </c>
      <c r="D58" s="346">
        <v>157.24661468510396</v>
      </c>
      <c r="E58" s="347">
        <f t="shared" si="12"/>
        <v>2.337479223744289E-2</v>
      </c>
      <c r="F58" s="348">
        <f t="shared" si="11"/>
        <v>157.24661468510396</v>
      </c>
      <c r="G58" s="71"/>
      <c r="H58" s="190">
        <f t="shared" si="4"/>
        <v>1.0354028660968333</v>
      </c>
      <c r="I58" s="190">
        <f t="shared" si="5"/>
        <v>1.0148930737599275</v>
      </c>
      <c r="K58" s="349">
        <f t="shared" ca="1" si="6"/>
        <v>9</v>
      </c>
      <c r="L58" s="350">
        <f t="shared" ca="1" si="7"/>
        <v>0.16656275512924576</v>
      </c>
      <c r="M58" s="346">
        <f t="shared" ca="1" si="8"/>
        <v>1531.7499414174204</v>
      </c>
      <c r="N58" s="350">
        <f t="shared" si="9"/>
        <v>0.1951081589620631</v>
      </c>
      <c r="O58" s="351">
        <f t="shared" si="10"/>
        <v>1747.4459541100116</v>
      </c>
    </row>
    <row r="59" spans="1:15">
      <c r="A59" s="344">
        <v>2032</v>
      </c>
      <c r="B59" s="344">
        <v>7</v>
      </c>
      <c r="C59" s="345">
        <v>2.4037784608378902E-2</v>
      </c>
      <c r="D59" s="346">
        <v>159.93157597634644</v>
      </c>
      <c r="E59" s="347">
        <f t="shared" si="12"/>
        <v>2.4037784608378902E-2</v>
      </c>
      <c r="F59" s="348">
        <f t="shared" si="11"/>
        <v>159.93157597634644</v>
      </c>
      <c r="G59" s="71"/>
      <c r="H59" s="190">
        <f t="shared" si="4"/>
        <v>1.0341914515541633</v>
      </c>
      <c r="I59" s="190">
        <f t="shared" si="5"/>
        <v>1.0145862523047637</v>
      </c>
      <c r="K59" s="349">
        <f t="shared" ca="1" si="6"/>
        <v>10</v>
      </c>
      <c r="L59" s="350">
        <f t="shared" ca="1" si="7"/>
        <v>0.18039567472276144</v>
      </c>
      <c r="M59" s="346">
        <f t="shared" ca="1" si="8"/>
        <v>1618.4131496665598</v>
      </c>
      <c r="N59" s="350">
        <f t="shared" si="9"/>
        <v>0.21496213395774144</v>
      </c>
      <c r="O59" s="351">
        <f t="shared" si="10"/>
        <v>1871.8310600879452</v>
      </c>
    </row>
    <row r="60" spans="1:15">
      <c r="A60" s="344">
        <v>2033</v>
      </c>
      <c r="B60" s="344">
        <v>8</v>
      </c>
      <c r="C60" s="345">
        <v>2.4917783675799051E-2</v>
      </c>
      <c r="D60" s="346">
        <v>162.34217703743354</v>
      </c>
      <c r="E60" s="347">
        <f t="shared" si="12"/>
        <v>2.4917783675799051E-2</v>
      </c>
      <c r="F60" s="348">
        <f t="shared" si="11"/>
        <v>162.34217703743354</v>
      </c>
      <c r="G60" s="71"/>
      <c r="H60" s="190">
        <f t="shared" si="4"/>
        <v>1.0332212540057362</v>
      </c>
      <c r="I60" s="190">
        <f t="shared" si="5"/>
        <v>1.0132504575618897</v>
      </c>
      <c r="K60" s="349">
        <f t="shared" ca="1" si="6"/>
        <v>11</v>
      </c>
      <c r="L60" s="350">
        <f t="shared" ca="1" si="7"/>
        <v>0.1937793871761492</v>
      </c>
      <c r="M60" s="346">
        <f t="shared" ca="1" si="8"/>
        <v>1700.641387715274</v>
      </c>
      <c r="N60" s="350">
        <f t="shared" si="9"/>
        <v>0.23487820089175437</v>
      </c>
      <c r="O60" s="351">
        <f t="shared" si="10"/>
        <v>1994.1934538219502</v>
      </c>
    </row>
    <row r="61" spans="1:15">
      <c r="A61" s="344">
        <v>2034</v>
      </c>
      <c r="B61" s="344">
        <v>9</v>
      </c>
      <c r="C61" s="345">
        <v>2.5799944634703222E-2</v>
      </c>
      <c r="D61" s="346">
        <v>164.75995105439927</v>
      </c>
      <c r="E61" s="347">
        <f t="shared" si="12"/>
        <v>2.5799944634703222E-2</v>
      </c>
      <c r="F61" s="348">
        <f t="shared" si="11"/>
        <v>164.75995105439927</v>
      </c>
      <c r="G61" s="71"/>
      <c r="H61" s="190">
        <f t="shared" si="4"/>
        <v>1.0318418157830149</v>
      </c>
      <c r="I61" s="190">
        <f t="shared" si="5"/>
        <v>1.0114502217232857</v>
      </c>
      <c r="K61" s="349">
        <f t="shared" ca="1" si="6"/>
        <v>12</v>
      </c>
      <c r="L61" s="350">
        <f t="shared" ca="1" si="7"/>
        <v>0.20671119180188324</v>
      </c>
      <c r="M61" s="346">
        <f t="shared" ca="1" si="8"/>
        <v>1778.5229961114601</v>
      </c>
      <c r="N61" s="350">
        <f t="shared" si="9"/>
        <v>0.25482988115238348</v>
      </c>
      <c r="O61" s="351">
        <f t="shared" si="10"/>
        <v>2114.3521628247186</v>
      </c>
    </row>
    <row r="62" spans="1:15">
      <c r="A62" s="344">
        <v>2035</v>
      </c>
      <c r="B62" s="344">
        <v>10</v>
      </c>
      <c r="C62" s="345">
        <v>2.6682082191780771E-2</v>
      </c>
      <c r="D62" s="346">
        <v>167.16318127019926</v>
      </c>
      <c r="E62" s="347">
        <f t="shared" si="12"/>
        <v>2.6682082191780771E-2</v>
      </c>
      <c r="F62" s="348">
        <f t="shared" si="11"/>
        <v>167.16318127019926</v>
      </c>
      <c r="G62" s="71"/>
      <c r="H62" s="190">
        <f t="shared" si="4"/>
        <v>1.0310096949790939</v>
      </c>
      <c r="I62" s="190">
        <f t="shared" si="5"/>
        <v>1.0109208787598412</v>
      </c>
      <c r="K62" s="349">
        <f t="shared" ca="1" si="6"/>
        <v>13</v>
      </c>
      <c r="L62" s="350">
        <f t="shared" ca="1" si="7"/>
        <v>0.21919627087549245</v>
      </c>
      <c r="M62" s="346">
        <f t="shared" ca="1" si="8"/>
        <v>1852.2491352622253</v>
      </c>
      <c r="N62" s="350">
        <f t="shared" si="9"/>
        <v>0.27480111977357924</v>
      </c>
      <c r="O62" s="351">
        <f t="shared" si="10"/>
        <v>2232.2851217526086</v>
      </c>
    </row>
    <row r="63" spans="1:15">
      <c r="A63" s="344">
        <v>2036</v>
      </c>
      <c r="B63" s="344">
        <v>11</v>
      </c>
      <c r="C63" s="345">
        <v>2.7568494421675849E-2</v>
      </c>
      <c r="D63" s="346">
        <v>169.37816990953053</v>
      </c>
      <c r="E63" s="347">
        <f t="shared" si="12"/>
        <v>2.7568494421675849E-2</v>
      </c>
      <c r="F63" s="348">
        <f t="shared" si="11"/>
        <v>169.37816990953053</v>
      </c>
      <c r="G63" s="71"/>
      <c r="H63" s="190">
        <f t="shared" si="4"/>
        <v>1.0300790788126184</v>
      </c>
      <c r="I63" s="190">
        <f t="shared" si="5"/>
        <v>1.0125612734481042</v>
      </c>
      <c r="K63" s="349">
        <f t="shared" ca="1" si="6"/>
        <v>14</v>
      </c>
      <c r="L63" s="350">
        <f t="shared" ca="1" si="7"/>
        <v>0.23123917634514887</v>
      </c>
      <c r="M63" s="346">
        <f t="shared" ca="1" si="8"/>
        <v>1922.1547756264083</v>
      </c>
      <c r="N63" s="350">
        <f t="shared" si="9"/>
        <v>0.29477389169752904</v>
      </c>
      <c r="O63" s="351">
        <f t="shared" si="10"/>
        <v>2348.2213810472954</v>
      </c>
    </row>
    <row r="64" spans="1:15">
      <c r="A64" s="344">
        <v>2037</v>
      </c>
      <c r="B64" s="344">
        <v>12</v>
      </c>
      <c r="C64" s="345">
        <v>2.8446325342465929E-2</v>
      </c>
      <c r="D64" s="346">
        <v>171.31758751007902</v>
      </c>
      <c r="E64" s="347">
        <f t="shared" si="12"/>
        <v>2.8446325342465929E-2</v>
      </c>
      <c r="F64" s="348">
        <f t="shared" si="11"/>
        <v>171.31758751007902</v>
      </c>
      <c r="G64" s="71"/>
      <c r="H64" s="190">
        <f t="shared" si="4"/>
        <v>1.029445267091156</v>
      </c>
      <c r="I64" s="190">
        <f t="shared" si="5"/>
        <v>1.0157321137280539</v>
      </c>
      <c r="K64" s="349">
        <f t="shared" ca="1" si="6"/>
        <v>15</v>
      </c>
      <c r="L64" s="350">
        <f t="shared" ca="1" si="7"/>
        <v>0.24284842069177681</v>
      </c>
      <c r="M64" s="346">
        <f t="shared" ca="1" si="8"/>
        <v>1988.6454618785151</v>
      </c>
      <c r="N64" s="350">
        <f t="shared" si="9"/>
        <v>0.31473590677306423</v>
      </c>
      <c r="O64" s="351">
        <f t="shared" si="10"/>
        <v>2462.5516545532332</v>
      </c>
    </row>
    <row r="65" spans="1:15">
      <c r="A65" s="344">
        <v>2038</v>
      </c>
      <c r="B65" s="344">
        <v>13</v>
      </c>
      <c r="C65" s="345">
        <v>2.9328437214611865E-2</v>
      </c>
      <c r="D65" s="346">
        <v>173.18852611270506</v>
      </c>
      <c r="E65" s="347">
        <f t="shared" si="12"/>
        <v>2.9328437214611865E-2</v>
      </c>
      <c r="F65" s="348">
        <f t="shared" si="11"/>
        <v>173.18852611270506</v>
      </c>
      <c r="G65" s="71"/>
      <c r="H65" s="190">
        <f t="shared" si="4"/>
        <v>1.0281264311755636</v>
      </c>
      <c r="I65" s="190">
        <f t="shared" si="5"/>
        <v>1.0151310887110383</v>
      </c>
      <c r="K65" s="349">
        <f t="shared" ca="1" si="6"/>
        <v>16</v>
      </c>
      <c r="L65" s="350">
        <f t="shared" ca="1" si="7"/>
        <v>0.2540252827188802</v>
      </c>
      <c r="M65" s="346">
        <f t="shared" ca="1" si="8"/>
        <v>2051.8505959961713</v>
      </c>
      <c r="N65" s="350">
        <f t="shared" si="9"/>
        <v>0.33466161096596014</v>
      </c>
      <c r="O65" s="351">
        <f t="shared" si="10"/>
        <v>2575.231474957809</v>
      </c>
    </row>
    <row r="66" spans="1:15">
      <c r="A66" s="344">
        <v>2039</v>
      </c>
      <c r="B66" s="344">
        <v>14</v>
      </c>
      <c r="C66" s="345">
        <v>3.0210609589041103E-2</v>
      </c>
      <c r="D66" s="346">
        <v>175.3639945472809</v>
      </c>
      <c r="E66" s="347">
        <f t="shared" si="12"/>
        <v>3.0210609589041103E-2</v>
      </c>
      <c r="F66" s="348">
        <f t="shared" si="11"/>
        <v>175.3639945472809</v>
      </c>
      <c r="G66" s="71"/>
      <c r="H66" s="190">
        <f t="shared" si="4"/>
        <v>1.027595038096639</v>
      </c>
      <c r="I66" s="190">
        <f t="shared" si="5"/>
        <v>1.0147663341212805</v>
      </c>
      <c r="K66" s="349">
        <f t="shared" ca="1" si="6"/>
        <v>17</v>
      </c>
      <c r="L66" s="350">
        <f t="shared" ca="1" si="7"/>
        <v>0.264780304687737</v>
      </c>
      <c r="M66" s="346">
        <f t="shared" ca="1" si="8"/>
        <v>2111.9109408282884</v>
      </c>
      <c r="N66" s="350">
        <f t="shared" si="9"/>
        <v>0.35454079034382541</v>
      </c>
      <c r="O66" s="351">
        <f t="shared" si="10"/>
        <v>2686.2447645513971</v>
      </c>
    </row>
    <row r="67" spans="1:15">
      <c r="A67" s="344">
        <v>2040</v>
      </c>
      <c r="B67" s="344">
        <v>15</v>
      </c>
      <c r="C67" s="345">
        <v>3.1100169057377058E-2</v>
      </c>
      <c r="D67" s="346">
        <v>178.12284085330455</v>
      </c>
      <c r="E67" s="347">
        <f t="shared" si="12"/>
        <v>3.1100169057377058E-2</v>
      </c>
      <c r="F67" s="348">
        <f t="shared" si="11"/>
        <v>178.12284085330455</v>
      </c>
      <c r="G67" s="71"/>
      <c r="H67" s="190">
        <f t="shared" si="4"/>
        <v>1.0268394610629794</v>
      </c>
      <c r="I67" s="190">
        <f t="shared" si="5"/>
        <v>1.0152467609632116</v>
      </c>
      <c r="K67" s="349">
        <f t="shared" ca="1" si="6"/>
        <v>18</v>
      </c>
      <c r="L67" s="350">
        <f t="shared" ca="1" si="7"/>
        <v>0.27512179823790217</v>
      </c>
      <c r="M67" s="346">
        <f t="shared" ca="1" si="8"/>
        <v>2169.0099862006459</v>
      </c>
      <c r="N67" s="350">
        <f t="shared" si="9"/>
        <v>0.37435897076978802</v>
      </c>
      <c r="O67" s="351">
        <f t="shared" si="10"/>
        <v>2795.6679516230101</v>
      </c>
    </row>
    <row r="68" spans="1:15">
      <c r="A68" s="344">
        <v>2041</v>
      </c>
      <c r="B68" s="344">
        <v>16</v>
      </c>
      <c r="C68" s="345">
        <v>3.1974905821917768E-2</v>
      </c>
      <c r="D68" s="346">
        <v>180.81803335971807</v>
      </c>
      <c r="E68" s="347">
        <f t="shared" si="12"/>
        <v>3.1974905821917768E-2</v>
      </c>
      <c r="F68" s="348">
        <f t="shared" si="11"/>
        <v>180.81803335971807</v>
      </c>
      <c r="G68" s="71"/>
      <c r="H68" s="190">
        <f t="shared" si="4"/>
        <v>1.0249999999999997</v>
      </c>
      <c r="I68" s="190">
        <f t="shared" si="5"/>
        <v>1.0196681102041734</v>
      </c>
      <c r="K68" s="349">
        <f t="shared" ca="1" si="6"/>
        <v>19</v>
      </c>
      <c r="L68" s="350">
        <f t="shared" ca="1" si="7"/>
        <v>0.28504785019868439</v>
      </c>
      <c r="M68" s="346">
        <f t="shared" ca="1" si="8"/>
        <v>2223.5301432277965</v>
      </c>
      <c r="N68" s="350">
        <f t="shared" si="9"/>
        <v>0.39408094643640129</v>
      </c>
      <c r="O68" s="351">
        <f t="shared" si="10"/>
        <v>2903.9935189762427</v>
      </c>
    </row>
    <row r="69" spans="1:15">
      <c r="A69" s="344">
        <v>2042</v>
      </c>
      <c r="B69" s="344">
        <v>17</v>
      </c>
      <c r="C69" s="345">
        <v>3.2857254566210033E-2</v>
      </c>
      <c r="D69" s="346">
        <v>183.48805285546052</v>
      </c>
      <c r="E69" s="347">
        <f t="shared" si="12"/>
        <v>3.2857254566210033E-2</v>
      </c>
      <c r="F69" s="348">
        <f t="shared" si="11"/>
        <v>183.48805285546052</v>
      </c>
      <c r="G69" s="71"/>
      <c r="H69" s="190">
        <f t="shared" si="4"/>
        <v>1.0249999999999999</v>
      </c>
      <c r="I69" s="190">
        <f t="shared" si="5"/>
        <v>1.0198232460689474</v>
      </c>
      <c r="K69" s="349">
        <f t="shared" ca="1" si="6"/>
        <v>20</v>
      </c>
      <c r="L69" s="350">
        <f t="shared" ca="1" si="7"/>
        <v>0.29457514981456767</v>
      </c>
      <c r="M69" s="346">
        <f t="shared" ca="1" si="8"/>
        <v>2275.5958080986811</v>
      </c>
      <c r="N69" s="350">
        <f t="shared" si="9"/>
        <v>0.41370718435706011</v>
      </c>
      <c r="O69" s="351">
        <f t="shared" si="10"/>
        <v>3011.2487925009359</v>
      </c>
    </row>
    <row r="70" spans="1:15">
      <c r="A70" s="344">
        <v>2043</v>
      </c>
      <c r="B70" s="344">
        <v>18</v>
      </c>
      <c r="C70" s="345">
        <v>3.3739125570776227E-2</v>
      </c>
      <c r="D70" s="346">
        <v>186.28565133695287</v>
      </c>
      <c r="E70" s="347">
        <f t="shared" si="12"/>
        <v>3.3739125570776227E-2</v>
      </c>
      <c r="F70" s="348">
        <f t="shared" si="11"/>
        <v>186.28565133695287</v>
      </c>
      <c r="G70" s="71"/>
      <c r="H70" s="190">
        <f t="shared" si="4"/>
        <v>1.0249999999999999</v>
      </c>
      <c r="I70" s="190">
        <f t="shared" si="5"/>
        <v>1.0199746327008166</v>
      </c>
      <c r="K70" s="349">
        <f t="shared" ca="1" si="6"/>
        <v>21</v>
      </c>
      <c r="L70" s="350">
        <f t="shared" ca="1" si="7"/>
        <v>0.30371971588468694</v>
      </c>
      <c r="M70" s="346">
        <f t="shared" ca="1" si="8"/>
        <v>2325.3248626946211</v>
      </c>
      <c r="N70" s="350">
        <f t="shared" si="9"/>
        <v>0.43323814927810406</v>
      </c>
      <c r="O70" s="351">
        <f t="shared" si="10"/>
        <v>3117.4601111597462</v>
      </c>
    </row>
    <row r="71" spans="1:15">
      <c r="A71" s="344">
        <v>2044</v>
      </c>
      <c r="B71" s="344">
        <v>19</v>
      </c>
      <c r="C71" s="345">
        <v>3.4582603710045623E-2</v>
      </c>
      <c r="D71" s="346">
        <v>189.94953805690426</v>
      </c>
      <c r="E71" s="347">
        <f t="shared" si="12"/>
        <v>3.4582603710045623E-2</v>
      </c>
      <c r="F71" s="348">
        <f t="shared" si="11"/>
        <v>189.94953805690426</v>
      </c>
      <c r="G71" s="71"/>
      <c r="H71" s="190">
        <f t="shared" si="4"/>
        <v>1.0249999999999999</v>
      </c>
      <c r="I71" s="190">
        <f t="shared" si="5"/>
        <v>1.0201223163138695</v>
      </c>
      <c r="K71" s="349">
        <f t="shared" ca="1" si="6"/>
        <v>22</v>
      </c>
      <c r="L71" s="350">
        <f t="shared" ca="1" si="7"/>
        <v>0.31249692369616017</v>
      </c>
      <c r="M71" s="346">
        <f t="shared" ca="1" si="8"/>
        <v>2372.8290469464318</v>
      </c>
      <c r="N71" s="350">
        <f t="shared" si="9"/>
        <v>0.45267430368982259</v>
      </c>
      <c r="O71" s="351">
        <f t="shared" si="10"/>
        <v>3222.6528649548686</v>
      </c>
    </row>
    <row r="72" spans="1:15">
      <c r="A72" s="344">
        <v>2045</v>
      </c>
      <c r="B72" s="344">
        <v>20</v>
      </c>
      <c r="C72" s="345">
        <v>3.5447168802796761E-2</v>
      </c>
      <c r="D72" s="346">
        <v>193.71495449048913</v>
      </c>
      <c r="E72" s="347">
        <f t="shared" si="12"/>
        <v>3.5447168802796761E-2</v>
      </c>
      <c r="F72" s="348">
        <f t="shared" si="11"/>
        <v>193.71495449048913</v>
      </c>
      <c r="G72" s="71"/>
      <c r="H72" s="190">
        <f t="shared" si="4"/>
        <v>1.0249999999999999</v>
      </c>
      <c r="I72" s="190">
        <f t="shared" si="5"/>
        <v>1.020266345248952</v>
      </c>
      <c r="K72" s="349">
        <f t="shared" ca="1" si="6"/>
        <v>23</v>
      </c>
      <c r="L72" s="350">
        <f t="shared" ca="1" si="7"/>
        <v>0.32092153087544667</v>
      </c>
      <c r="M72" s="346">
        <f t="shared" ca="1" si="8"/>
        <v>2418.2143081606168</v>
      </c>
      <c r="N72" s="350">
        <f t="shared" si="9"/>
        <v>0.47201610783740655</v>
      </c>
      <c r="O72" s="351">
        <f t="shared" si="10"/>
        <v>3326.8515314220745</v>
      </c>
    </row>
    <row r="73" spans="1:15">
      <c r="A73" s="344">
        <v>2046</v>
      </c>
      <c r="B73" s="344">
        <v>21</v>
      </c>
      <c r="C73" s="345">
        <v>3.6333348022866675E-2</v>
      </c>
      <c r="D73" s="346">
        <v>197.58433955509204</v>
      </c>
      <c r="E73" s="347">
        <f t="shared" si="12"/>
        <v>3.6333348022866675E-2</v>
      </c>
      <c r="F73" s="348">
        <f t="shared" si="11"/>
        <v>197.58433955509204</v>
      </c>
      <c r="G73" s="71"/>
      <c r="H73" s="190" t="e">
        <f>#REF!/C75</f>
        <v>#REF!</v>
      </c>
      <c r="I73" s="190" t="e">
        <f>#REF!/D75</f>
        <v>#REF!</v>
      </c>
      <c r="K73" s="349">
        <f t="shared" ca="1" si="6"/>
        <v>24</v>
      </c>
      <c r="L73" s="350">
        <f t="shared" ca="1" si="7"/>
        <v>0.32900770220119691</v>
      </c>
      <c r="M73" s="346">
        <f t="shared" ca="1" si="8"/>
        <v>2461.5811288287045</v>
      </c>
      <c r="N73" s="350">
        <f t="shared" si="9"/>
        <v>0.49126401973184691</v>
      </c>
      <c r="O73" s="351">
        <f t="shared" si="10"/>
        <v>3430.079710709248</v>
      </c>
    </row>
    <row r="74" spans="1:15">
      <c r="A74" s="344">
        <v>2047</v>
      </c>
      <c r="B74" s="344">
        <v>22</v>
      </c>
      <c r="C74" s="345">
        <v>3.7241681723438336E-2</v>
      </c>
      <c r="D74" s="346">
        <v>201.5601941342866</v>
      </c>
      <c r="E74" s="347">
        <f t="shared" si="12"/>
        <v>3.7241681723438336E-2</v>
      </c>
      <c r="F74" s="348">
        <f t="shared" si="11"/>
        <v>201.5601941342866</v>
      </c>
      <c r="G74" s="71"/>
    </row>
    <row r="75" spans="1:15">
      <c r="A75" s="344">
        <v>2048</v>
      </c>
      <c r="B75" s="344">
        <v>23</v>
      </c>
      <c r="C75" s="345">
        <v>3.8172723766524287E-2</v>
      </c>
      <c r="D75" s="346">
        <v>205.64508261705785</v>
      </c>
      <c r="E75" s="347">
        <f t="shared" si="12"/>
        <v>3.8172723766524287E-2</v>
      </c>
      <c r="F75" s="348">
        <f t="shared" si="11"/>
        <v>205.64508261705785</v>
      </c>
      <c r="G75" s="71"/>
    </row>
    <row r="76" spans="1:15">
      <c r="A76" s="344">
        <v>2049</v>
      </c>
      <c r="B76" s="344">
        <v>24</v>
      </c>
      <c r="C76" s="345">
        <v>3.9127041860687391E-2</v>
      </c>
      <c r="D76" s="346">
        <v>209.84163447560422</v>
      </c>
      <c r="E76" s="347">
        <f t="shared" ref="E76" si="13">C76+$C$10*(1+$C$8)^(B76-1)</f>
        <v>3.9127041860687391E-2</v>
      </c>
      <c r="F76" s="348">
        <f t="shared" ref="F76" si="14">D76</f>
        <v>209.84163447560422</v>
      </c>
      <c r="G76" s="71"/>
      <c r="I76" s="41"/>
      <c r="J76" s="20"/>
      <c r="K76" s="20"/>
      <c r="L76" s="21"/>
      <c r="M76" s="21"/>
      <c r="N76" s="21"/>
    </row>
    <row r="77" spans="1:15">
      <c r="B77" s="191" t="s">
        <v>1136</v>
      </c>
      <c r="C77" s="192">
        <f ca="1">C52+NPV($B43,C53:C76)</f>
        <v>0.32900770220119668</v>
      </c>
      <c r="D77" s="352">
        <f ca="1">D52+NPV($B$43,D53:D76)</f>
        <v>2461.5811288287032</v>
      </c>
      <c r="E77" s="347">
        <f>E52+NPV(B45,E53:E75)</f>
        <v>0.47201610783740616</v>
      </c>
      <c r="F77" s="352">
        <f>F52+NPV(B45,F53:F75)</f>
        <v>3326.8515314220726</v>
      </c>
      <c r="I77" s="41"/>
      <c r="J77" s="20"/>
      <c r="K77" s="20"/>
      <c r="L77" s="21"/>
      <c r="M77" s="21"/>
      <c r="N77" s="21"/>
    </row>
    <row r="80" spans="1:15">
      <c r="H80" s="72"/>
      <c r="I80" s="9"/>
      <c r="J80" s="9"/>
    </row>
  </sheetData>
  <sheetProtection algorithmName="SHA-512" hashValue="ue95XXu2PbWDzQKE/HKFsah9+/wQlYYSRoMOuhgPLS3vedJDryyKeMgdAz/up+V19FxF20M2o4gXU81Wp+d1uA==" saltValue="7koZvWP6BDbgGYfEjEyaVQ==" spinCount="100000" sheet="1" objects="1" scenarios="1"/>
  <mergeCells count="6">
    <mergeCell ref="B49:F49"/>
    <mergeCell ref="K46:O46"/>
    <mergeCell ref="C50:D50"/>
    <mergeCell ref="E50:F50"/>
    <mergeCell ref="L47:M47"/>
    <mergeCell ref="N47:O47"/>
  </mergeCells>
  <pageMargins left="0" right="0" top="0" bottom="0" header="0" footer="0"/>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sheetPr>
  <dimension ref="A1:AS167"/>
  <sheetViews>
    <sheetView topLeftCell="A6" zoomScale="85" zoomScaleNormal="85" workbookViewId="0"/>
  </sheetViews>
  <sheetFormatPr defaultColWidth="0" defaultRowHeight="15"/>
  <cols>
    <col min="1" max="1" width="23.85546875" bestFit="1" customWidth="1"/>
    <col min="2" max="2" width="63.42578125" bestFit="1" customWidth="1"/>
    <col min="3" max="3" width="10.28515625" customWidth="1"/>
    <col min="4" max="4" width="9.140625" bestFit="1" customWidth="1"/>
    <col min="5" max="5" width="11.7109375" bestFit="1" customWidth="1"/>
    <col min="6" max="6" width="12.28515625" bestFit="1" customWidth="1"/>
    <col min="7" max="7" width="28.140625" bestFit="1" customWidth="1"/>
    <col min="8" max="8" width="14.85546875" bestFit="1" customWidth="1"/>
    <col min="9" max="9" width="11.5703125" bestFit="1" customWidth="1"/>
    <col min="10" max="10" width="8.7109375" bestFit="1" customWidth="1"/>
    <col min="11" max="11" width="10.140625" bestFit="1" customWidth="1"/>
    <col min="12" max="12" width="9.28515625" bestFit="1" customWidth="1"/>
    <col min="13" max="13" width="16.42578125" bestFit="1" customWidth="1"/>
    <col min="14" max="14" width="15.28515625" bestFit="1" customWidth="1"/>
    <col min="15" max="15" width="16.28515625" bestFit="1" customWidth="1"/>
    <col min="16" max="16" width="11.140625" bestFit="1" customWidth="1"/>
    <col min="17" max="17" width="17.85546875" bestFit="1" customWidth="1"/>
    <col min="18" max="18" width="22.42578125" bestFit="1" customWidth="1"/>
    <col min="19" max="19" width="8.28515625" bestFit="1" customWidth="1"/>
    <col min="20" max="20" width="8.140625" bestFit="1" customWidth="1"/>
    <col min="21" max="45" width="4.7109375" customWidth="1"/>
    <col min="46" max="16384" width="4.7109375" hidden="1"/>
  </cols>
  <sheetData>
    <row r="1" spans="1:40">
      <c r="A1" s="389" t="s">
        <v>66</v>
      </c>
      <c r="B1" s="390" t="str">
        <f>VERSION</f>
        <v>v3.0.0</v>
      </c>
      <c r="G1" s="391" t="s">
        <v>143</v>
      </c>
      <c r="H1" s="12">
        <f ca="1">IF(EXPIRATION&lt;&gt;"","---",IF(I30=0,0,I30))</f>
        <v>0</v>
      </c>
    </row>
    <row r="2" spans="1:40" ht="15.75" customHeight="1">
      <c r="A2" s="389" t="s">
        <v>0</v>
      </c>
      <c r="B2" s="390" t="str">
        <f>PNAME</f>
        <v>Evergy</v>
      </c>
      <c r="G2" s="391" t="s">
        <v>144</v>
      </c>
      <c r="H2" s="12" t="str">
        <f ca="1">IF(EXPIRATION&lt;&gt;"","---",IF(L30=0,"---",IF(PAYALL&lt;=2,"---",IF(CBALL&lt;1,"---",INCENTOTAL))))</f>
        <v>---</v>
      </c>
    </row>
    <row r="3" spans="1:40" ht="15" customHeight="1">
      <c r="A3" s="389" t="s">
        <v>2361</v>
      </c>
      <c r="B3" s="392" t="str">
        <f ca="1">APP_TYPE</f>
        <v>General App</v>
      </c>
      <c r="G3" s="391" t="s">
        <v>298</v>
      </c>
      <c r="H3" s="12" t="str">
        <f ca="1">IF(EXPIRATION&lt;&gt;"", PROJSTATEXP,
IF(MEASTOTALALL=0, PROJSTATMEASURE,
IF(AND(ACTIVECOMPL &lt;&gt; "Yes", OR(INCENTOTALPRESE&gt;INCPREAPPROVAL,MEASTOTALCUSE&gt;0)),PROJSTATPREAPPROVE, "")))</f>
        <v>Enter Measures</v>
      </c>
      <c r="AN3" s="78"/>
    </row>
    <row r="4" spans="1:40" ht="15.75" customHeight="1">
      <c r="A4" s="389" t="s">
        <v>1471</v>
      </c>
      <c r="B4" s="12" t="str">
        <f>TRANSFERID</f>
        <v>Evergy</v>
      </c>
      <c r="G4" s="391" t="s">
        <v>304</v>
      </c>
      <c r="H4" s="393">
        <f ca="1">SUM(C75,C81,C101,C114,C142,C147,C165)/SUM(D75,D81,D101,D114,D142,D147,D165)</f>
        <v>0</v>
      </c>
    </row>
    <row r="5" spans="1:40">
      <c r="A5" s="389" t="s">
        <v>2362</v>
      </c>
      <c r="B5" s="394">
        <f>EXPIRATION_DATE</f>
        <v>45930</v>
      </c>
      <c r="G5" s="391" t="s">
        <v>2861</v>
      </c>
      <c r="H5" s="12"/>
    </row>
    <row r="6" spans="1:40">
      <c r="A6" s="389" t="s">
        <v>2363</v>
      </c>
      <c r="B6" s="394" t="str">
        <f ca="1">EXPIRATION</f>
        <v/>
      </c>
    </row>
    <row r="8" spans="1:40">
      <c r="A8" s="395" t="s">
        <v>1</v>
      </c>
      <c r="B8" s="396" t="s">
        <v>2</v>
      </c>
      <c r="G8" s="397" t="str">
        <f>MAIN3</f>
        <v>Equipment Input</v>
      </c>
      <c r="H8" s="397" t="s">
        <v>1504</v>
      </c>
      <c r="I8" s="397" t="s">
        <v>611</v>
      </c>
      <c r="J8" s="397" t="s">
        <v>612</v>
      </c>
      <c r="K8" s="397" t="s">
        <v>1304</v>
      </c>
      <c r="L8" s="397" t="s">
        <v>83</v>
      </c>
      <c r="M8" s="397" t="s">
        <v>618</v>
      </c>
      <c r="N8" s="397" t="s">
        <v>619</v>
      </c>
      <c r="O8" s="397" t="s">
        <v>620</v>
      </c>
      <c r="P8" s="397" t="s">
        <v>2130</v>
      </c>
      <c r="Q8" s="397" t="s">
        <v>2401</v>
      </c>
      <c r="R8" s="397" t="s">
        <v>2270</v>
      </c>
    </row>
    <row r="9" spans="1:40">
      <c r="A9" s="398" t="s">
        <v>35</v>
      </c>
      <c r="B9" s="399"/>
      <c r="G9" s="400" t="str">
        <f>B28</f>
        <v>Equipment Type</v>
      </c>
      <c r="H9" s="401"/>
      <c r="I9" s="401"/>
      <c r="J9" s="402"/>
      <c r="K9" s="403"/>
      <c r="L9" s="403"/>
      <c r="M9" s="12"/>
      <c r="N9" s="402"/>
      <c r="O9" s="403"/>
      <c r="P9" s="403"/>
      <c r="Q9" s="403"/>
      <c r="R9" s="401"/>
    </row>
    <row r="10" spans="1:40">
      <c r="A10" s="404" t="s">
        <v>3</v>
      </c>
      <c r="B10" s="405" t="s">
        <v>329</v>
      </c>
      <c r="G10" s="400" t="str">
        <f t="shared" ref="G10:G17" si="0">B29</f>
        <v>Lighting</v>
      </c>
      <c r="H10" s="401">
        <f>COUNT('M03-S02'!$AO$18:$AQ$199)</f>
        <v>0</v>
      </c>
      <c r="I10" s="402">
        <f>IF(R10="Deemed",SUM('M03-S02'!$AZ$18:$AZ$199),IF(R10="Calculated",SUM('M03-S02'!$BE$18:$BE$199),""))</f>
        <v>0</v>
      </c>
      <c r="J10" s="402">
        <f>IF(R10="Deemed",SUM('M03-S02'!$BA$18:$BA$199),IF(R10="Calculated",SUM('M03-S02'!$BF$18:$BF$199),""))</f>
        <v>0</v>
      </c>
      <c r="K10" s="403">
        <f>SUM('M03-S02'!AX18:AX199)</f>
        <v>0</v>
      </c>
      <c r="L10" s="403">
        <f>SUM('M03-S02'!AR18:AU199)</f>
        <v>0</v>
      </c>
      <c r="M10" s="402">
        <f ca="1">IF(R10="Deemed",SUMIF('M03-S02'!$AR$18:$AU$199,"&gt;0",'M03-S02'!$AZ$18:$AZ$199),IF(R10="Calculated",SUMIF('M03-S02'!$AR$18:$AU$199,"&gt;0",'M03-S02'!$BE$18:$BE$199),""))</f>
        <v>0</v>
      </c>
      <c r="N10" s="402">
        <f ca="1">SUMIF('M03-S02'!$AR$18:$AU$199,"&gt;0",'M03-S02'!BF18:BF199)</f>
        <v>0</v>
      </c>
      <c r="O10" s="403">
        <f ca="1">SUMIF('M03-S02'!$AR$18:$AU$199,"&gt;0",'M03-S02'!AX18:AX199)</f>
        <v>0</v>
      </c>
      <c r="P10" s="403">
        <f>SUM('M03-S02'!BL18:BL199)</f>
        <v>0</v>
      </c>
      <c r="Q10" s="403">
        <f>SUM('M03-S02'!BP18:BP47)</f>
        <v>0</v>
      </c>
      <c r="R10" s="401" t="s">
        <v>1253</v>
      </c>
    </row>
    <row r="11" spans="1:40">
      <c r="A11" s="404" t="s">
        <v>4</v>
      </c>
      <c r="B11" s="405" t="s">
        <v>1150</v>
      </c>
      <c r="G11" s="400" t="str">
        <f t="shared" si="0"/>
        <v>Lighting Controls</v>
      </c>
      <c r="H11" s="401">
        <f>COUNT('M03-S03'!$AO$18:$AQ$199)</f>
        <v>0</v>
      </c>
      <c r="I11" s="402">
        <f>IF(R11="Deemed",SUM('M03-S03'!$AZ$18:$AZ$199),IF(R11="Calculated",SUM('M03-S03'!$BE$18:$BE$199),""))</f>
        <v>0</v>
      </c>
      <c r="J11" s="402">
        <f>IF(R11="Deemed",SUM('M03-S03'!$BA$18:$BA$199),IF(R11="Calculated",SUM('M03-S03'!$BF$18:$BF$199),""))</f>
        <v>0</v>
      </c>
      <c r="K11" s="403">
        <f>SUM('M03-S03'!AX18:AX199)</f>
        <v>0</v>
      </c>
      <c r="L11" s="403">
        <f>SUM('M03-S03'!AR18:AU199)</f>
        <v>0</v>
      </c>
      <c r="M11" s="402">
        <f ca="1">SUMIF('M03-S03'!$AR$18:$AU$199,"&gt;0",'M03-S03'!$AO$18:$AQ$199)</f>
        <v>0</v>
      </c>
      <c r="N11" s="402">
        <f ca="1">SUMIF('M03-S03'!$AR$18:$AU$199,"&gt;0",'M03-S03'!BF18:BF199)</f>
        <v>0</v>
      </c>
      <c r="O11" s="403">
        <f ca="1">SUMIF('M03-S03'!$AR$18:$AU$199,"&gt;0",'M03-S03'!AX18:AX199)</f>
        <v>0</v>
      </c>
      <c r="P11" s="403">
        <f>SUM('M03-S03'!BL18:BL199)</f>
        <v>0</v>
      </c>
      <c r="Q11" s="403">
        <f>SUM('M03-S03'!BP18:BP37)</f>
        <v>0</v>
      </c>
      <c r="R11" s="401" t="s">
        <v>1253</v>
      </c>
    </row>
    <row r="12" spans="1:40">
      <c r="A12" s="404" t="s">
        <v>5</v>
      </c>
      <c r="B12" s="405" t="s">
        <v>79</v>
      </c>
      <c r="G12" s="400" t="str">
        <f t="shared" si="0"/>
        <v>Refrigeration</v>
      </c>
      <c r="H12" s="401">
        <f>COUNT('M03-S04'!$AO$18:$AQ$199)</f>
        <v>0</v>
      </c>
      <c r="I12" s="402">
        <f>IF(R12="Deemed",SUM('M03-S04'!$AZ$18:$AZ$199),IF(R12="Calculated",SUM('M03-S04'!$BE$18:$BE$199),""))</f>
        <v>0</v>
      </c>
      <c r="J12" s="402">
        <f>IF(R12="Deemed",SUM('M03-S04'!$BA$18:$BA$199),IF(R12="Calculated",SUM('M03-S04'!$BF$18:$BF$199),""))</f>
        <v>0</v>
      </c>
      <c r="K12" s="403">
        <f>SUM('M03-S04'!AX18:AX199)</f>
        <v>0</v>
      </c>
      <c r="L12" s="403">
        <f>SUM('M03-S04'!AR18:AU199)</f>
        <v>0</v>
      </c>
      <c r="M12" s="402">
        <f ca="1">SUMIF('M03-S04'!$AR$18:$AU$199,"&gt;0",'M03-S04'!$AO$18:$AQ$199)</f>
        <v>0</v>
      </c>
      <c r="N12" s="402">
        <f ca="1">SUMIF('M03-S04'!$AR$18:$AU$199,"&gt;0",'M03-S04'!BA18:BA199)</f>
        <v>0</v>
      </c>
      <c r="O12" s="403">
        <f ca="1">SUMIF('M03-S04'!$AR$18:$AU$199,"&gt;0",'M03-S04'!AX18:AX199)</f>
        <v>0</v>
      </c>
      <c r="P12" s="403">
        <f>SUM('M03-S04'!BL18:BL199)</f>
        <v>0</v>
      </c>
      <c r="Q12" s="403">
        <f>SUM('M03-S04'!BP18:BP37)</f>
        <v>0</v>
      </c>
      <c r="R12" s="401" t="s">
        <v>1253</v>
      </c>
    </row>
    <row r="13" spans="1:40">
      <c r="A13" s="404" t="s">
        <v>6</v>
      </c>
      <c r="B13" s="405"/>
      <c r="G13" s="400" t="str">
        <f t="shared" si="0"/>
        <v>HVAC</v>
      </c>
      <c r="H13" s="401">
        <f>COUNT('M03-S05'!$AO$18:$AQ$199)</f>
        <v>0</v>
      </c>
      <c r="I13" s="402">
        <f>IF(R13="Deemed",SUM('M03-S05'!$AZ$18:$AZ$199),IF(R13="Calculated",SUM('M03-S05'!$BE$18:$BE$199),""))</f>
        <v>0</v>
      </c>
      <c r="J13" s="402">
        <f>IF(R13="Deemed",SUM('M03-S05'!$BA$18:$BA$199),IF(R13="Calculated",SUM('M03-S05'!$BF$18:$BF$199),""))</f>
        <v>0</v>
      </c>
      <c r="K13" s="403">
        <f>SUM('M03-S05'!AX18:AX199)</f>
        <v>0</v>
      </c>
      <c r="L13" s="403">
        <f>SUM('M03-S05'!AR18:AU199)</f>
        <v>0</v>
      </c>
      <c r="M13" s="402">
        <f ca="1">SUMIF('M03-S05'!$AR$18:$AU$199,"&gt;0",'M03-S05'!$AO$18:$AQ$199)</f>
        <v>0</v>
      </c>
      <c r="N13" s="402">
        <f ca="1">SUMIF('M03-S05'!$AR$18:$AU$199,"&gt;0",'M03-S05'!BF18:BF199)</f>
        <v>0</v>
      </c>
      <c r="O13" s="403">
        <f ca="1">SUMIF('M03-S05'!$AR$18:$AU$199,"&gt;0",'M03-S05'!AX18:AX199)</f>
        <v>0</v>
      </c>
      <c r="P13" s="403">
        <f>SUM('M03-S05'!BL18:BL199)</f>
        <v>0</v>
      </c>
      <c r="Q13" s="403">
        <f>SUM('M03-S05'!BS18:BS87)</f>
        <v>0</v>
      </c>
      <c r="R13" s="401" t="s">
        <v>1253</v>
      </c>
    </row>
    <row r="14" spans="1:40">
      <c r="A14" s="404" t="s">
        <v>7</v>
      </c>
      <c r="B14" s="405"/>
      <c r="G14" s="400" t="str">
        <f t="shared" si="0"/>
        <v>Compressed Air / Process</v>
      </c>
      <c r="H14" s="401">
        <f>COUNT('M03-S06'!$AO$18:$AQ$199)</f>
        <v>0</v>
      </c>
      <c r="I14" s="402">
        <f>IF(R14="Deemed",SUM('M03-S06'!$AZ$18:$AZ$199),IF(R14="Calculated",SUM('M03-S06'!$BE$18:$BE$199),""))</f>
        <v>0</v>
      </c>
      <c r="J14" s="402">
        <f>IF(R14="Deemed",SUM('M03-S06'!$BA$18:$BA$199),IF(R14="Calculated",SUM('M03-S06'!$BF$18:$BF$199),""))</f>
        <v>0</v>
      </c>
      <c r="K14" s="403">
        <f>SUM('M03-S06'!AX18:AX199)</f>
        <v>0</v>
      </c>
      <c r="L14" s="403">
        <f>SUM('M03-S06'!AR18:AU199)</f>
        <v>0</v>
      </c>
      <c r="M14" s="402">
        <f ca="1">SUMIF('M03-S06'!$AR$18:$AU$199,"&gt;0",'M03-S06'!$AO$18:$AQ$199)</f>
        <v>0</v>
      </c>
      <c r="N14" s="402">
        <f ca="1">SUMIF('M03-S06'!$AR$18:$AU$199,"&gt;0",'M03-S06'!BA18:BA199)</f>
        <v>0</v>
      </c>
      <c r="O14" s="403">
        <f ca="1">SUMIF('M03-S06'!$AR$18:$AU$199,"&gt;0",'M03-S06'!AX18:AX199)</f>
        <v>0</v>
      </c>
      <c r="P14" s="403">
        <f>SUM('M03-S06'!BL18:BL199)</f>
        <v>0</v>
      </c>
      <c r="Q14" s="403">
        <f>SUM('M03-S06'!BP18:BP37)</f>
        <v>0</v>
      </c>
      <c r="R14" s="401" t="s">
        <v>1253</v>
      </c>
    </row>
    <row r="15" spans="1:40">
      <c r="A15" s="404" t="s">
        <v>8</v>
      </c>
      <c r="B15" s="405"/>
      <c r="G15" s="400" t="str">
        <f t="shared" si="0"/>
        <v>Water Heating / Food Services</v>
      </c>
      <c r="H15" s="401">
        <f>COUNT('M03-S07'!$AO$18:$AQ$199)</f>
        <v>0</v>
      </c>
      <c r="I15" s="402">
        <f>IF(R15="Deemed",SUM('M03-S07'!$AZ$18:$AZ$199),IF(R15="Calculated",SUM('M03-S07'!$BE$18:$BE$199),""))</f>
        <v>0</v>
      </c>
      <c r="J15" s="402">
        <f>IF(R15="Deemed",SUM('M03-S07'!$BA$18:$BA$199),IF(R15="Calculated",SUM('M03-S07'!$BF$18:$BF$199),""))</f>
        <v>0</v>
      </c>
      <c r="K15" s="403">
        <f>SUM('M03-S07'!AX18:AX199)</f>
        <v>0</v>
      </c>
      <c r="L15" s="403">
        <f>SUM('M03-S07'!AR18:AU199)</f>
        <v>0</v>
      </c>
      <c r="M15" s="402">
        <f ca="1">SUMIF('M03-S07'!$AR$18:$AU$199,"&gt;0",'M03-S07'!$AO$18:$AQ$199)</f>
        <v>0</v>
      </c>
      <c r="N15" s="402">
        <f ca="1">SUMIF('M03-S07'!$AR$18:$AU$199,"&gt;0",'M03-S07'!BA18:BA199)</f>
        <v>0</v>
      </c>
      <c r="O15" s="403">
        <f ca="1">SUMIF('M03-S07'!$AR$18:$AU$199,"&gt;0",'M03-S07'!AX18:AX199)</f>
        <v>0</v>
      </c>
      <c r="P15" s="403">
        <f>SUM('M03-S07'!BL18:BL199)</f>
        <v>0</v>
      </c>
      <c r="Q15" s="403">
        <f>SUM('M03-S07'!BP18:BP37)</f>
        <v>0</v>
      </c>
      <c r="R15" s="401" t="s">
        <v>1253</v>
      </c>
    </row>
    <row r="16" spans="1:40">
      <c r="A16" s="404" t="s">
        <v>9</v>
      </c>
      <c r="B16" s="405"/>
      <c r="G16" s="400" t="str">
        <f t="shared" si="0"/>
        <v>Motors and Drives</v>
      </c>
      <c r="H16" s="401">
        <f>COUNT('M03-S08'!$AO$18:$AQ$199)</f>
        <v>0</v>
      </c>
      <c r="I16" s="402">
        <f>IF(R16="Deemed",SUM('M03-S08'!$AZ$18:$AZ$199),IF(R16="Calculated",SUM('M03-S08'!$BE$18:$BE$199),""))</f>
        <v>0</v>
      </c>
      <c r="J16" s="402">
        <f>IF(R16="Deemed",SUM('M03-S08'!$BA$18:$BA$199),IF(R16="Calculated",SUM('M03-S08'!$BF$18:$BF$199),""))</f>
        <v>0</v>
      </c>
      <c r="K16" s="403">
        <f>SUM('M03-S08'!AX18:AX199)</f>
        <v>0</v>
      </c>
      <c r="L16" s="403">
        <f>SUM('M03-S08'!AR18:AU199)</f>
        <v>0</v>
      </c>
      <c r="M16" s="402">
        <f ca="1">SUMIF('M03-S08'!$AR$18:$AU$199,"&gt;0",'M03-S08'!$AO$18:$AQ$199)</f>
        <v>0</v>
      </c>
      <c r="N16" s="402">
        <f ca="1">SUMIF('M03-S08'!$AR$18:$AU$199,"&gt;0",'M03-S08'!BA18:BA199)</f>
        <v>0</v>
      </c>
      <c r="O16" s="403">
        <f ca="1">SUMIF('M03-S08'!$AR$18:$AU$199,"&gt;0",'M03-S08'!AX18:AX199)</f>
        <v>0</v>
      </c>
      <c r="P16" s="403">
        <f>SUM('M03-S08'!BL18:BL199)</f>
        <v>0</v>
      </c>
      <c r="Q16" s="403">
        <f>SUM('M03-S08'!BP18:BP37)</f>
        <v>0</v>
      </c>
      <c r="R16" s="401" t="s">
        <v>1253</v>
      </c>
    </row>
    <row r="17" spans="1:20">
      <c r="A17" s="417" t="s">
        <v>10</v>
      </c>
      <c r="B17" s="406"/>
      <c r="G17" s="397">
        <f t="shared" si="0"/>
        <v>0</v>
      </c>
      <c r="H17" s="401"/>
      <c r="I17" s="402"/>
      <c r="J17" s="402"/>
      <c r="K17" s="403"/>
      <c r="L17" s="403"/>
      <c r="M17" s="402"/>
      <c r="N17" s="402"/>
      <c r="O17" s="403"/>
      <c r="P17" s="403"/>
      <c r="Q17" s="403"/>
      <c r="R17" s="401"/>
    </row>
    <row r="18" spans="1:20">
      <c r="A18" s="398" t="s">
        <v>36</v>
      </c>
      <c r="B18" s="399"/>
      <c r="G18" s="400" t="str">
        <f t="shared" ref="G18:G25" si="1">B38</f>
        <v>Lighting</v>
      </c>
      <c r="H18" s="401">
        <f>COUNT('M04-S02'!$AX$18:$AX$199)</f>
        <v>0</v>
      </c>
      <c r="I18" s="402">
        <f>SUM('M04-S02'!AO18:AQ199)</f>
        <v>0</v>
      </c>
      <c r="J18" s="402">
        <f>SUM('M04-S02'!BE18:BE199)</f>
        <v>0</v>
      </c>
      <c r="K18" s="403">
        <f>SUM('M04-S02'!AL18:AN199)</f>
        <v>0</v>
      </c>
      <c r="L18" s="403">
        <f>SUM('M04-S02'!AR18:AU199)</f>
        <v>0</v>
      </c>
      <c r="M18" s="402">
        <f ca="1">SUMIF('M04-S02'!$AR$18:$AU$199,"&gt;0",'M04-S02'!$AO$18:$AQ$199)</f>
        <v>0</v>
      </c>
      <c r="N18" s="402">
        <f ca="1">SUMIF('M04-S02'!$AR$18:$AU$199,"&gt;0",'M04-S02'!BE18:BE199)</f>
        <v>0</v>
      </c>
      <c r="O18" s="403">
        <f ca="1">SUMIF('M04-S02'!$AR$18:$AU$199,"&gt;0",'M04-S02'!AL18:AN199)</f>
        <v>0</v>
      </c>
      <c r="P18" s="403">
        <f>SUM('M04-S02'!BM18:BM199)</f>
        <v>0</v>
      </c>
      <c r="Q18" s="403">
        <f>SUM('M04-S02'!BN18:BN199)</f>
        <v>0</v>
      </c>
      <c r="R18" s="401" t="s">
        <v>1254</v>
      </c>
    </row>
    <row r="19" spans="1:20">
      <c r="A19" s="404" t="s">
        <v>11</v>
      </c>
      <c r="B19" s="405" t="s">
        <v>68</v>
      </c>
      <c r="G19" s="400" t="str">
        <f t="shared" si="1"/>
        <v>Lighting Controls</v>
      </c>
      <c r="H19" s="401">
        <f>COUNT('M04-S03'!$AX$18:$AX$199)</f>
        <v>0</v>
      </c>
      <c r="I19" s="402">
        <f>SUM('M04-S03'!AO18:AQ199)</f>
        <v>0</v>
      </c>
      <c r="J19" s="402">
        <f>SUM('M04-S03'!BE18:BE199)</f>
        <v>0</v>
      </c>
      <c r="K19" s="403">
        <f>SUM('M04-S03'!AL18:AN199)</f>
        <v>0</v>
      </c>
      <c r="L19" s="403">
        <f>SUM('M04-S03'!AR18:AU199)</f>
        <v>0</v>
      </c>
      <c r="M19" s="402">
        <f ca="1">SUMIF('M04-S03'!$AR$18:$AU$199,"&gt;0",'M04-S03'!$AO$18:$AQ$199)</f>
        <v>0</v>
      </c>
      <c r="N19" s="402">
        <f ca="1">SUMIF('M04-S03'!$AR$18:$AU$199,"&gt;0",'M04-S03'!BE18:BE199)</f>
        <v>0</v>
      </c>
      <c r="O19" s="403">
        <f ca="1">SUMIF('M04-S03'!$AR$18:$AU$199,"&gt;0",'M04-S03'!AL18:AN199)</f>
        <v>0</v>
      </c>
      <c r="P19" s="403">
        <f>SUM('M04-S03'!BM18:BM199)</f>
        <v>0</v>
      </c>
      <c r="Q19" s="403">
        <f>SUM('M04-S03'!BN18:BN37)</f>
        <v>0</v>
      </c>
      <c r="R19" s="401" t="s">
        <v>1254</v>
      </c>
    </row>
    <row r="20" spans="1:20">
      <c r="A20" s="404" t="s">
        <v>12</v>
      </c>
      <c r="B20" s="405" t="s">
        <v>1824</v>
      </c>
      <c r="G20" s="400" t="str">
        <f t="shared" si="1"/>
        <v>Refrigeration</v>
      </c>
      <c r="H20" s="401">
        <f>COUNT('M04-S04'!$AX$18:$AX$199)</f>
        <v>0</v>
      </c>
      <c r="I20" s="402">
        <f>SUM('M04-S04'!AO18:AQ199)</f>
        <v>0</v>
      </c>
      <c r="J20" s="402">
        <f>SUM('M04-S04'!BG18:BG199)</f>
        <v>0</v>
      </c>
      <c r="K20" s="403">
        <f>SUM('M04-S04'!AL18:AN199)</f>
        <v>0</v>
      </c>
      <c r="L20" s="403">
        <f>SUM('M04-S04'!AR18:AU199)</f>
        <v>0</v>
      </c>
      <c r="M20" s="402">
        <f ca="1">SUMIF('M04-S04'!$AR$18:$AU$199,"&gt;0",'M04-S04'!$AO$18:$AQ$199)</f>
        <v>0</v>
      </c>
      <c r="N20" s="402">
        <f ca="1">SUMIF('M04-S04'!$AR$18:$AU$199,"&gt;0",'M04-S04'!BG18:BG199)</f>
        <v>0</v>
      </c>
      <c r="O20" s="403">
        <f ca="1">SUMIF('M04-S04'!$AR$18:$AU$199,"&gt;0",'M04-S04'!AL18:AN199)</f>
        <v>0</v>
      </c>
      <c r="P20" s="403">
        <f>SUM('M04-S04'!BO18:BO199)</f>
        <v>0</v>
      </c>
      <c r="Q20" s="403">
        <f>SUM('M04-S04'!BP18:BP37)</f>
        <v>0</v>
      </c>
      <c r="R20" s="401" t="s">
        <v>1254</v>
      </c>
    </row>
    <row r="21" spans="1:20">
      <c r="A21" s="404" t="s">
        <v>13</v>
      </c>
      <c r="B21" s="405" t="s">
        <v>1151</v>
      </c>
      <c r="G21" s="400" t="str">
        <f t="shared" si="1"/>
        <v>HVAC</v>
      </c>
      <c r="H21" s="401">
        <f>COUNT('M04-S05'!$AX$18:$AX$199)</f>
        <v>0</v>
      </c>
      <c r="I21" s="402">
        <f>SUM('M04-S05'!AO18:AQ199)</f>
        <v>0</v>
      </c>
      <c r="J21" s="402">
        <f>SUM('M04-S05'!BG18:BG199)</f>
        <v>0</v>
      </c>
      <c r="K21" s="403">
        <f>SUM('M04-S05'!AL18:AN199)</f>
        <v>0</v>
      </c>
      <c r="L21" s="403">
        <f>SUM('M04-S05'!AR18:AU199)</f>
        <v>0</v>
      </c>
      <c r="M21" s="402">
        <f ca="1">SUMIF('M04-S05'!$AR$18:$AU$199,"&gt;0",'M04-S05'!$AO$18:$AQ$199)</f>
        <v>0</v>
      </c>
      <c r="N21" s="402">
        <f ca="1">SUMIF('M04-S05'!$AR$18:$AU$199,"&gt;0",'M04-S05'!BG18:BG199)</f>
        <v>0</v>
      </c>
      <c r="O21" s="403">
        <f ca="1">SUMIF('M04-S05'!$AR$18:$AU$199,"&gt;0",'M04-S05'!AL18:AN199)</f>
        <v>0</v>
      </c>
      <c r="P21" s="403">
        <f>SUM('M04-S05'!BO18:BO199)</f>
        <v>0</v>
      </c>
      <c r="Q21" s="403">
        <f>SUM('M04-S05'!BP18:BP37)</f>
        <v>0</v>
      </c>
      <c r="R21" s="401" t="s">
        <v>1254</v>
      </c>
    </row>
    <row r="22" spans="1:20">
      <c r="A22" s="404" t="s">
        <v>14</v>
      </c>
      <c r="B22" s="405" t="s">
        <v>1152</v>
      </c>
      <c r="G22" s="400" t="str">
        <f t="shared" si="1"/>
        <v>Compressed Air / Process</v>
      </c>
      <c r="H22" s="401">
        <f>COUNT('M04-S06'!$AX$18:$AX$199)</f>
        <v>0</v>
      </c>
      <c r="I22" s="402">
        <f>SUM('M04-S06'!AO18:AQ199)</f>
        <v>0</v>
      </c>
      <c r="J22" s="402">
        <f>SUM('M04-S06'!BE18:BE199)</f>
        <v>0</v>
      </c>
      <c r="K22" s="403">
        <f>SUM('M04-S06'!AL18:AN199)</f>
        <v>0</v>
      </c>
      <c r="L22" s="403">
        <f>SUM('M04-S06'!AR18:AU199)</f>
        <v>0</v>
      </c>
      <c r="M22" s="402">
        <f ca="1">SUMIF('M04-S06'!$AR$18:$AU$199,"&gt;0",'M04-S06'!$AO$18:$AQ$199)</f>
        <v>0</v>
      </c>
      <c r="N22" s="402">
        <f ca="1">SUMIF('M04-S06'!$AR$18:$AU$199,"&gt;0",'M04-S06'!BE18:BE199)</f>
        <v>0</v>
      </c>
      <c r="O22" s="403">
        <f ca="1">SUMIF('M04-S06'!$AR$18:$AU$199,"&gt;0",'M04-S06'!AL18:AN199)</f>
        <v>0</v>
      </c>
      <c r="P22" s="403">
        <f>SUM('M04-S06'!BO18:BO199)</f>
        <v>0</v>
      </c>
      <c r="Q22" s="403">
        <f>SUM('M04-S06'!BP18:BP37)</f>
        <v>0</v>
      </c>
      <c r="R22" s="401" t="s">
        <v>1254</v>
      </c>
    </row>
    <row r="23" spans="1:20">
      <c r="A23" s="404" t="s">
        <v>15</v>
      </c>
      <c r="B23" s="418"/>
      <c r="G23" s="400" t="str">
        <f t="shared" si="1"/>
        <v>Water Heating / Food Services</v>
      </c>
      <c r="H23" s="401">
        <f>COUNT('M04-S07'!$AX$18:$AX$199)</f>
        <v>0</v>
      </c>
      <c r="I23" s="402">
        <f>SUM('M04-S07'!AO18:AQ199)</f>
        <v>0</v>
      </c>
      <c r="J23" s="402">
        <f>SUM('M04-S07'!BE18:BE199)</f>
        <v>0</v>
      </c>
      <c r="K23" s="403">
        <f>SUM('M04-S07'!AL18:AN199)</f>
        <v>0</v>
      </c>
      <c r="L23" s="403">
        <f>SUM('M04-S07'!AR18:AU199)</f>
        <v>0</v>
      </c>
      <c r="M23" s="402">
        <f ca="1">SUMIF('M04-S07'!$AR$18:$AU$199,"&gt;0",'M04-S07'!$AO$18:$AQ$199)</f>
        <v>0</v>
      </c>
      <c r="N23" s="402">
        <f ca="1">SUMIF('M04-S07'!$AR$18:$AU$199,"&gt;0",'M04-S07'!BE18:BE199)</f>
        <v>0</v>
      </c>
      <c r="O23" s="403">
        <f ca="1">SUMIF('M04-S07'!$AR$18:$AU$199,"&gt;0",'M04-S07'!AL18:AN199)</f>
        <v>0</v>
      </c>
      <c r="P23" s="403">
        <f>SUM('M04-S07'!BO18:BO199)</f>
        <v>0</v>
      </c>
      <c r="Q23" s="403">
        <f>SUM('M04-S07'!BP18:BP37)</f>
        <v>0</v>
      </c>
      <c r="R23" s="401" t="s">
        <v>1254</v>
      </c>
    </row>
    <row r="24" spans="1:20">
      <c r="A24" s="404" t="s">
        <v>16</v>
      </c>
      <c r="B24" s="405"/>
      <c r="G24" s="400" t="str">
        <f t="shared" si="1"/>
        <v>Motors and Drives</v>
      </c>
      <c r="H24" s="401">
        <f>COUNT('M04-S08'!$AX$18:$AX$199)</f>
        <v>0</v>
      </c>
      <c r="I24" s="402">
        <f>SUM('M04-S08'!AO18:AQ199)</f>
        <v>0</v>
      </c>
      <c r="J24" s="402">
        <f>SUM('M04-S08'!BG18:BG199)</f>
        <v>0</v>
      </c>
      <c r="K24" s="403">
        <f>SUM('M04-S08'!AL18:AN199)</f>
        <v>0</v>
      </c>
      <c r="L24" s="403">
        <f>SUM('M04-S08'!AR18:AU199)</f>
        <v>0</v>
      </c>
      <c r="M24" s="402">
        <f ca="1">SUMIF('M04-S08'!$AR$18:$AU$199,"&gt;0",'M04-S08'!$AO$18:$AQ$199)</f>
        <v>0</v>
      </c>
      <c r="N24" s="402">
        <f ca="1">SUMIF('M04-S08'!$AR$18:$AU$199,"&gt;0",'M04-S08'!BG18:BG199)</f>
        <v>0</v>
      </c>
      <c r="O24" s="403">
        <f ca="1">SUMIF('M04-S08'!$AR$18:$AU$199,"&gt;0",'M04-S08'!AL18:AN199)</f>
        <v>0</v>
      </c>
      <c r="P24" s="403">
        <f>SUM('M04-S08'!BO18:BO199)</f>
        <v>0</v>
      </c>
      <c r="Q24" s="403">
        <f>SUM('M04-S08'!BP18:BP37)</f>
        <v>0</v>
      </c>
      <c r="R24" s="401" t="s">
        <v>1254</v>
      </c>
    </row>
    <row r="25" spans="1:20">
      <c r="A25" s="404" t="s">
        <v>17</v>
      </c>
      <c r="B25" s="405"/>
      <c r="G25" s="400" t="str">
        <f t="shared" si="1"/>
        <v>Miscellaneous</v>
      </c>
      <c r="H25" s="401">
        <f>COUNT('M04-S09'!$AX$18:$AX$25)</f>
        <v>0</v>
      </c>
      <c r="I25" s="402">
        <f>SUM('M04-S09'!AO18:AQ25)</f>
        <v>0</v>
      </c>
      <c r="J25" s="402">
        <f>SUM('M04-S09'!BG18:BG25)</f>
        <v>0</v>
      </c>
      <c r="K25" s="403">
        <f>SUM('M04-S09'!AL18:AN25)</f>
        <v>0</v>
      </c>
      <c r="L25" s="403">
        <f>SUM('M04-S09'!AR18:AU25)</f>
        <v>0</v>
      </c>
      <c r="M25" s="402">
        <f ca="1">SUMIF('M04-S09'!$AR$18:$AU$25,"&gt;0",'M04-S09'!$AO$18:$AQ$25)</f>
        <v>0</v>
      </c>
      <c r="N25" s="402">
        <f ca="1">SUMIF('M04-S09'!$AR$18:$AU$25,"&gt;0",'M04-S09'!BG18:BG25)</f>
        <v>0</v>
      </c>
      <c r="O25" s="403">
        <f ca="1">SUMIF('M04-S09'!$AR$18:$AU$25,"&gt;0",'M04-S09'!AL18:AN25)</f>
        <v>0</v>
      </c>
      <c r="P25" s="403">
        <f>SUM('M04-S09'!BO18:BO25)</f>
        <v>0</v>
      </c>
      <c r="Q25" s="403">
        <f>SUM('M04-S09'!BP18:BP25)</f>
        <v>0</v>
      </c>
      <c r="R25" s="401" t="s">
        <v>1254</v>
      </c>
    </row>
    <row r="26" spans="1:20">
      <c r="A26" s="417" t="s">
        <v>18</v>
      </c>
      <c r="B26" s="406"/>
      <c r="G26" s="400" t="str">
        <f>B45&amp;" - Peak Shift"</f>
        <v>Miscellaneous - Peak Shift</v>
      </c>
      <c r="H26" s="401">
        <f>COUNT('M04-S09'!$AX$30:$AX$31)</f>
        <v>0</v>
      </c>
      <c r="I26" s="402">
        <f>SUM('M04-S09'!AO30:AO31)</f>
        <v>0</v>
      </c>
      <c r="J26" s="402">
        <f>SUM('M04-S09'!BG30:BG31)</f>
        <v>0</v>
      </c>
      <c r="K26" s="403">
        <f>SUM('M04-S09'!AL30:AN31)</f>
        <v>0</v>
      </c>
      <c r="L26" s="403">
        <f>SUM('M04-S09'!AR30:AU31)</f>
        <v>0</v>
      </c>
      <c r="M26" s="402">
        <f ca="1">SUMIF('M04-S09'!$AR$30:$AU$31,"&gt;0",'M04-S09'!$AO$30:$AQ$31)</f>
        <v>0</v>
      </c>
      <c r="N26" s="402">
        <f ca="1">SUMIF('M04-S09'!$AR$30:$AU$31,"&gt;0",'M04-S09'!BG30:BG31)</f>
        <v>0</v>
      </c>
      <c r="O26" s="403">
        <f ca="1">SUMIF('M04-S09'!$AR$30:$AU$31,"&gt;0",'M04-S09'!AL30:AN31)</f>
        <v>0</v>
      </c>
      <c r="P26" s="403">
        <f>SUM('M04-S09'!BO30:BO31)</f>
        <v>0</v>
      </c>
      <c r="Q26" s="403">
        <f>SUM('M04-S09'!BP30:BP31)</f>
        <v>0</v>
      </c>
      <c r="R26" s="401" t="s">
        <v>1254</v>
      </c>
    </row>
    <row r="27" spans="1:20">
      <c r="A27" s="398" t="s">
        <v>61</v>
      </c>
      <c r="B27" s="419" t="s">
        <v>1164</v>
      </c>
      <c r="G27" s="400" t="str">
        <f>B45&amp;" - Transformers"</f>
        <v>Miscellaneous - Transformers</v>
      </c>
      <c r="H27" s="401">
        <f>COUNT('M04-S09'!$AX$36:$AX$199)</f>
        <v>0</v>
      </c>
      <c r="I27" s="402">
        <f>SUM('M04-S09'!AO36:AO199)</f>
        <v>0</v>
      </c>
      <c r="J27" s="402">
        <f>SUM('M04-S09'!BG36:BG199)</f>
        <v>0</v>
      </c>
      <c r="K27" s="403">
        <f>SUM('M04-S09'!AL36:AN199)</f>
        <v>0</v>
      </c>
      <c r="L27" s="403">
        <f>SUM('M04-S09'!AR31:AU200)</f>
        <v>0</v>
      </c>
      <c r="M27" s="402">
        <f ca="1">SUMIF('M04-S09'!$AR$36:$AU$199,"&gt;0",'M04-S09'!$AO$36:$AQ$199)</f>
        <v>0</v>
      </c>
      <c r="N27" s="402">
        <f ca="1">SUMIF('M04-S09'!$AR$36:$AU$199,"&gt;0",'M04-S09'!BG36:BG199)</f>
        <v>0</v>
      </c>
      <c r="O27" s="403">
        <f ca="1">SUMIF('M04-S09'!$AR$36:$AU$199,"&gt;0",'M04-S09'!AL36:AN199)</f>
        <v>0</v>
      </c>
      <c r="P27" s="403">
        <f>SUM('M04-S09'!BO36:BO199)</f>
        <v>0</v>
      </c>
      <c r="Q27" s="403">
        <f>SUM('M04-S09'!BP36:BP199)</f>
        <v>0</v>
      </c>
      <c r="R27" s="401" t="s">
        <v>1254</v>
      </c>
      <c r="S27" s="407" t="s">
        <v>132</v>
      </c>
      <c r="T27" s="407" t="s">
        <v>325</v>
      </c>
    </row>
    <row r="28" spans="1:20">
      <c r="A28" s="404" t="s">
        <v>19</v>
      </c>
      <c r="B28" s="420" t="s">
        <v>1159</v>
      </c>
      <c r="G28" s="407" t="s">
        <v>140</v>
      </c>
      <c r="H28" s="408">
        <f t="shared" ref="H28:P28" si="2">SUM(H9:H17)</f>
        <v>0</v>
      </c>
      <c r="I28" s="409">
        <f t="shared" si="2"/>
        <v>0</v>
      </c>
      <c r="J28" s="409">
        <f t="shared" si="2"/>
        <v>0</v>
      </c>
      <c r="K28" s="410">
        <f t="shared" si="2"/>
        <v>0</v>
      </c>
      <c r="L28" s="410">
        <f t="shared" si="2"/>
        <v>0</v>
      </c>
      <c r="M28" s="409">
        <f t="shared" ca="1" si="2"/>
        <v>0</v>
      </c>
      <c r="N28" s="409">
        <f t="shared" ca="1" si="2"/>
        <v>0</v>
      </c>
      <c r="O28" s="410">
        <f t="shared" ca="1" si="2"/>
        <v>0</v>
      </c>
      <c r="P28" s="410">
        <f t="shared" si="2"/>
        <v>0</v>
      </c>
      <c r="Q28" s="403">
        <f>SUM(Q10:Q16)</f>
        <v>0</v>
      </c>
      <c r="R28" s="401"/>
      <c r="S28" s="411" t="str">
        <f>IFERROR(ROUND(P28/COSTTOTALALLPRESE,2),"NA")</f>
        <v>NA</v>
      </c>
      <c r="T28" s="421" t="str">
        <f>IFERROR(ROUND(COSTTOTALALLPRESE/M02S04F06/KWHTOTALALLPRESE,2),"NA")</f>
        <v>NA</v>
      </c>
    </row>
    <row r="29" spans="1:20">
      <c r="A29" s="404" t="s">
        <v>20</v>
      </c>
      <c r="B29" s="420" t="s">
        <v>89</v>
      </c>
      <c r="G29" s="407" t="s">
        <v>141</v>
      </c>
      <c r="H29" s="408">
        <f t="shared" ref="H29:Q29" si="3">SUM(H18:H27)</f>
        <v>0</v>
      </c>
      <c r="I29" s="409">
        <f t="shared" si="3"/>
        <v>0</v>
      </c>
      <c r="J29" s="409">
        <f t="shared" si="3"/>
        <v>0</v>
      </c>
      <c r="K29" s="410">
        <f t="shared" si="3"/>
        <v>0</v>
      </c>
      <c r="L29" s="410">
        <f t="shared" si="3"/>
        <v>0</v>
      </c>
      <c r="M29" s="409">
        <f t="shared" ca="1" si="3"/>
        <v>0</v>
      </c>
      <c r="N29" s="409">
        <f t="shared" ca="1" si="3"/>
        <v>0</v>
      </c>
      <c r="O29" s="410">
        <f t="shared" ca="1" si="3"/>
        <v>0</v>
      </c>
      <c r="P29" s="410">
        <f t="shared" si="3"/>
        <v>0</v>
      </c>
      <c r="Q29" s="403">
        <f t="shared" si="3"/>
        <v>0</v>
      </c>
      <c r="R29" s="401"/>
      <c r="S29" s="411" t="str">
        <f>IFERROR(ROUND((P29/COSTTOTALALLCUSE),2),"NA")</f>
        <v>NA</v>
      </c>
      <c r="T29" s="421" t="str">
        <f>IFERROR(ROUND(COSTTOTALALLCUSE/M02S04F06/KWHTOTALALLCUSE,2),"NA")</f>
        <v>NA</v>
      </c>
    </row>
    <row r="30" spans="1:20">
      <c r="A30" s="404" t="s">
        <v>21</v>
      </c>
      <c r="B30" s="420" t="s">
        <v>320</v>
      </c>
      <c r="G30" s="407" t="s">
        <v>142</v>
      </c>
      <c r="H30" s="408">
        <f>SUM(H28:H29)</f>
        <v>0</v>
      </c>
      <c r="I30" s="409">
        <f t="shared" ref="I30:P30" si="4">SUM(I9:I25)</f>
        <v>0</v>
      </c>
      <c r="J30" s="409">
        <f t="shared" si="4"/>
        <v>0</v>
      </c>
      <c r="K30" s="410">
        <f t="shared" si="4"/>
        <v>0</v>
      </c>
      <c r="L30" s="410">
        <f t="shared" si="4"/>
        <v>0</v>
      </c>
      <c r="M30" s="409">
        <f t="shared" ca="1" si="4"/>
        <v>0</v>
      </c>
      <c r="N30" s="409">
        <f t="shared" ca="1" si="4"/>
        <v>0</v>
      </c>
      <c r="O30" s="410">
        <f t="shared" ca="1" si="4"/>
        <v>0</v>
      </c>
      <c r="P30" s="410">
        <f t="shared" si="4"/>
        <v>0</v>
      </c>
      <c r="Q30" s="403">
        <f>SUM(Q28:Q29)</f>
        <v>0</v>
      </c>
      <c r="R30" s="401"/>
      <c r="S30" s="411" t="str">
        <f>IFERROR(ROUND(P30/COSTTOTALALL,2),"NA")</f>
        <v>NA</v>
      </c>
      <c r="T30" s="421" t="str">
        <f>IFERROR(ROUND(COSTTOTALALL/M02S04F06/KWHTOTALALL,2),"NA")</f>
        <v>NA</v>
      </c>
    </row>
    <row r="31" spans="1:20">
      <c r="A31" s="404" t="s">
        <v>22</v>
      </c>
      <c r="B31" s="420" t="s">
        <v>96</v>
      </c>
    </row>
    <row r="32" spans="1:20">
      <c r="A32" s="404" t="s">
        <v>23</v>
      </c>
      <c r="B32" s="422" t="s">
        <v>94</v>
      </c>
    </row>
    <row r="33" spans="1:2">
      <c r="A33" s="404" t="s">
        <v>24</v>
      </c>
      <c r="B33" s="420" t="s">
        <v>442</v>
      </c>
    </row>
    <row r="34" spans="1:2">
      <c r="A34" s="404" t="s">
        <v>25</v>
      </c>
      <c r="B34" s="420" t="s">
        <v>1839</v>
      </c>
    </row>
    <row r="35" spans="1:2">
      <c r="A35" s="417" t="s">
        <v>26</v>
      </c>
      <c r="B35" s="423" t="s">
        <v>1145</v>
      </c>
    </row>
    <row r="36" spans="1:2">
      <c r="A36" s="398" t="s">
        <v>62</v>
      </c>
      <c r="B36" s="399"/>
    </row>
    <row r="37" spans="1:2">
      <c r="A37" s="404" t="s">
        <v>27</v>
      </c>
      <c r="B37" s="405"/>
    </row>
    <row r="38" spans="1:2">
      <c r="A38" s="404" t="s">
        <v>28</v>
      </c>
      <c r="B38" s="405" t="s">
        <v>89</v>
      </c>
    </row>
    <row r="39" spans="1:2">
      <c r="A39" s="404" t="s">
        <v>29</v>
      </c>
      <c r="B39" s="405" t="s">
        <v>320</v>
      </c>
    </row>
    <row r="40" spans="1:2">
      <c r="A40" s="404" t="s">
        <v>30</v>
      </c>
      <c r="B40" s="418" t="s">
        <v>96</v>
      </c>
    </row>
    <row r="41" spans="1:2">
      <c r="A41" s="404" t="s">
        <v>31</v>
      </c>
      <c r="B41" s="418" t="s">
        <v>94</v>
      </c>
    </row>
    <row r="42" spans="1:2">
      <c r="A42" s="404" t="s">
        <v>32</v>
      </c>
      <c r="B42" s="405" t="s">
        <v>442</v>
      </c>
    </row>
    <row r="43" spans="1:2">
      <c r="A43" s="404" t="s">
        <v>33</v>
      </c>
      <c r="B43" s="405" t="s">
        <v>1839</v>
      </c>
    </row>
    <row r="44" spans="1:2">
      <c r="A44" s="404" t="s">
        <v>34</v>
      </c>
      <c r="B44" s="418" t="s">
        <v>1145</v>
      </c>
    </row>
    <row r="45" spans="1:2">
      <c r="A45" s="417" t="s">
        <v>1160</v>
      </c>
      <c r="B45" s="405" t="s">
        <v>319</v>
      </c>
    </row>
    <row r="46" spans="1:2">
      <c r="A46" s="398" t="s">
        <v>63</v>
      </c>
      <c r="B46" s="399" t="s">
        <v>1179</v>
      </c>
    </row>
    <row r="47" spans="1:2">
      <c r="A47" s="404" t="s">
        <v>37</v>
      </c>
      <c r="B47" s="405" t="s">
        <v>1149</v>
      </c>
    </row>
    <row r="48" spans="1:2">
      <c r="A48" s="404" t="s">
        <v>38</v>
      </c>
      <c r="B48" s="405" t="s">
        <v>1211</v>
      </c>
    </row>
    <row r="49" spans="1:2">
      <c r="A49" s="404" t="s">
        <v>39</v>
      </c>
      <c r="B49" s="405" t="s">
        <v>69</v>
      </c>
    </row>
    <row r="50" spans="1:2">
      <c r="A50" s="404" t="s">
        <v>40</v>
      </c>
      <c r="B50" s="405" t="s">
        <v>77</v>
      </c>
    </row>
    <row r="51" spans="1:2">
      <c r="A51" s="404" t="s">
        <v>41</v>
      </c>
      <c r="B51" s="405" t="s">
        <v>78</v>
      </c>
    </row>
    <row r="52" spans="1:2">
      <c r="A52" s="404" t="s">
        <v>42</v>
      </c>
      <c r="B52" s="405" t="s">
        <v>137</v>
      </c>
    </row>
    <row r="53" spans="1:2">
      <c r="A53" s="404" t="s">
        <v>43</v>
      </c>
      <c r="B53" s="405" t="s">
        <v>591</v>
      </c>
    </row>
    <row r="54" spans="1:2">
      <c r="A54" s="417" t="s">
        <v>44</v>
      </c>
      <c r="B54" s="406"/>
    </row>
    <row r="55" spans="1:2">
      <c r="A55" s="398" t="s">
        <v>64</v>
      </c>
      <c r="B55" s="399"/>
    </row>
    <row r="56" spans="1:2">
      <c r="A56" s="404" t="s">
        <v>45</v>
      </c>
      <c r="B56" s="405"/>
    </row>
    <row r="57" spans="1:2">
      <c r="A57" s="404" t="s">
        <v>46</v>
      </c>
      <c r="B57" s="405"/>
    </row>
    <row r="58" spans="1:2">
      <c r="A58" s="404" t="s">
        <v>47</v>
      </c>
      <c r="B58" s="405"/>
    </row>
    <row r="59" spans="1:2">
      <c r="A59" s="404" t="s">
        <v>48</v>
      </c>
      <c r="B59" s="405"/>
    </row>
    <row r="60" spans="1:2">
      <c r="A60" s="404" t="s">
        <v>49</v>
      </c>
      <c r="B60" s="405"/>
    </row>
    <row r="61" spans="1:2">
      <c r="A61" s="404" t="s">
        <v>50</v>
      </c>
      <c r="B61" s="405"/>
    </row>
    <row r="62" spans="1:2">
      <c r="A62" s="404" t="s">
        <v>51</v>
      </c>
      <c r="B62" s="405"/>
    </row>
    <row r="63" spans="1:2">
      <c r="A63" s="417" t="s">
        <v>52</v>
      </c>
      <c r="B63" s="406"/>
    </row>
    <row r="64" spans="1:2">
      <c r="A64" s="398" t="s">
        <v>65</v>
      </c>
      <c r="B64" s="399"/>
    </row>
    <row r="65" spans="1:6">
      <c r="A65" s="404" t="s">
        <v>53</v>
      </c>
      <c r="B65" s="405"/>
    </row>
    <row r="66" spans="1:6">
      <c r="A66" s="404" t="s">
        <v>54</v>
      </c>
      <c r="B66" s="405"/>
    </row>
    <row r="67" spans="1:6">
      <c r="A67" s="404" t="s">
        <v>55</v>
      </c>
      <c r="B67" s="405"/>
    </row>
    <row r="68" spans="1:6">
      <c r="A68" s="404" t="s">
        <v>56</v>
      </c>
      <c r="B68" s="405"/>
    </row>
    <row r="69" spans="1:6">
      <c r="A69" s="404" t="s">
        <v>57</v>
      </c>
      <c r="B69" s="405"/>
    </row>
    <row r="70" spans="1:6">
      <c r="A70" s="404" t="s">
        <v>58</v>
      </c>
      <c r="B70" s="405"/>
    </row>
    <row r="71" spans="1:6">
      <c r="A71" s="404" t="s">
        <v>59</v>
      </c>
      <c r="B71" s="405"/>
    </row>
    <row r="72" spans="1:6">
      <c r="A72" s="417" t="s">
        <v>60</v>
      </c>
      <c r="B72" s="406"/>
    </row>
    <row r="74" spans="1:6">
      <c r="A74" s="412"/>
      <c r="C74" t="s">
        <v>84</v>
      </c>
      <c r="D74" t="s">
        <v>300</v>
      </c>
      <c r="E74" t="s">
        <v>1178</v>
      </c>
    </row>
    <row r="75" spans="1:6">
      <c r="A75" s="413" t="s">
        <v>2606</v>
      </c>
      <c r="B75" s="413" t="str">
        <f>M2S1</f>
        <v>Terms &amp; Conditions</v>
      </c>
      <c r="C75" s="413">
        <f ca="1">SUMIF(D76:D78, 1, C76:C78)</f>
        <v>0</v>
      </c>
      <c r="D75" s="413">
        <f ca="1">SUM(D76:D78)</f>
        <v>3</v>
      </c>
      <c r="E75" s="414">
        <f ca="1">IFERROR(C75/D75, 1)</f>
        <v>0</v>
      </c>
      <c r="F75" s="69" t="s">
        <v>1536</v>
      </c>
    </row>
    <row r="76" spans="1:6">
      <c r="A76" s="415" t="s">
        <v>566</v>
      </c>
      <c r="B76" s="415" t="str">
        <f ca="1">OFFSET(INDIRECT(A76),-1,0)</f>
        <v>Electronic Signature (Account Owner or Authorized Representative)*</v>
      </c>
      <c r="C76" s="424">
        <f t="shared" ref="C76:C78" ca="1" si="5">IF(INDIRECT($A76)="",0,1)</f>
        <v>0</v>
      </c>
      <c r="D76" s="415">
        <f ca="1">IFERROR(IF(SEARCH("~*", B76), 1), 0)</f>
        <v>1</v>
      </c>
    </row>
    <row r="77" spans="1:6">
      <c r="A77" s="415" t="s">
        <v>567</v>
      </c>
      <c r="B77" s="415" t="str">
        <f ca="1">OFFSET(INDIRECT(A77),-1,0)</f>
        <v>Signatory Title*</v>
      </c>
      <c r="C77" s="424">
        <f t="shared" ca="1" si="5"/>
        <v>0</v>
      </c>
      <c r="D77" s="415">
        <f t="shared" ref="D77:D78" ca="1" si="6">IFERROR(IF(SEARCH("~*", B77), 1), 0)</f>
        <v>1</v>
      </c>
    </row>
    <row r="78" spans="1:6">
      <c r="A78" s="415" t="s">
        <v>568</v>
      </c>
      <c r="B78" s="415" t="str">
        <f ca="1">OFFSET(INDIRECT(A78),-1,0)</f>
        <v>Date Signed*</v>
      </c>
      <c r="C78" s="424">
        <f t="shared" ca="1" si="5"/>
        <v>0</v>
      </c>
      <c r="D78" s="415">
        <f t="shared" ca="1" si="6"/>
        <v>1</v>
      </c>
    </row>
    <row r="80" spans="1:6">
      <c r="C80" t="s">
        <v>84</v>
      </c>
      <c r="D80" t="s">
        <v>300</v>
      </c>
      <c r="E80" t="s">
        <v>1178</v>
      </c>
    </row>
    <row r="81" spans="1:6">
      <c r="A81" s="413" t="s">
        <v>2606</v>
      </c>
      <c r="B81" s="413" t="str">
        <f>M2S2</f>
        <v>Trade Ally / Contractor Information</v>
      </c>
      <c r="C81" s="413">
        <f ca="1">SUMIF(D82:D98, 1, C82:C98)</f>
        <v>0</v>
      </c>
      <c r="D81" s="413">
        <f ca="1">SUM(D82:D98)</f>
        <v>12</v>
      </c>
      <c r="E81" s="414">
        <f ca="1">IFERROR(C81/D81, 1)</f>
        <v>0</v>
      </c>
      <c r="F81" s="69" t="s">
        <v>1535</v>
      </c>
    </row>
    <row r="82" spans="1:6">
      <c r="A82" s="415" t="s">
        <v>139</v>
      </c>
      <c r="B82" s="415" t="str">
        <f ca="1">OFFSET(INDIRECT(A82),0,-14)</f>
        <v xml:space="preserve">Is there a Trade Ally (TA) or contractor involved with this project?*  </v>
      </c>
      <c r="C82" s="424">
        <f ca="1">IF(INDIRECT($A82)="",0,1)</f>
        <v>0</v>
      </c>
      <c r="D82" s="415">
        <f ca="1">IFERROR(IF(SEARCH("~*", B82), 1), 0)</f>
        <v>1</v>
      </c>
    </row>
    <row r="83" spans="1:6">
      <c r="A83" s="415" t="s">
        <v>146</v>
      </c>
      <c r="B83" s="415" t="str">
        <f t="shared" ref="B83:B92" ca="1" si="7">OFFSET(INDIRECT(A83),-1,0)</f>
        <v>TA / Contractor Company*</v>
      </c>
      <c r="C83" s="424">
        <f t="shared" ref="C83:C98" ca="1" si="8">IF(INDIRECT($A83)="",0,1)</f>
        <v>0</v>
      </c>
      <c r="D83" s="415">
        <f t="shared" ref="D83:D92" ca="1" si="9">IF( M02S02F01 = "No", 0, IFERROR(IF(SEARCH("~*", B83), 1), 0))</f>
        <v>1</v>
      </c>
    </row>
    <row r="84" spans="1:6">
      <c r="A84" s="415" t="s">
        <v>147</v>
      </c>
      <c r="B84" s="415" t="str">
        <f t="shared" ca="1" si="7"/>
        <v>Mailing Address*</v>
      </c>
      <c r="C84" s="424">
        <f t="shared" ca="1" si="8"/>
        <v>0</v>
      </c>
      <c r="D84" s="415">
        <f t="shared" ca="1" si="9"/>
        <v>1</v>
      </c>
    </row>
    <row r="85" spans="1:6">
      <c r="A85" s="415" t="s">
        <v>148</v>
      </c>
      <c r="B85" s="415" t="str">
        <f t="shared" ca="1" si="7"/>
        <v>City*</v>
      </c>
      <c r="C85" s="424">
        <f t="shared" ca="1" si="8"/>
        <v>0</v>
      </c>
      <c r="D85" s="415">
        <f t="shared" ca="1" si="9"/>
        <v>1</v>
      </c>
    </row>
    <row r="86" spans="1:6">
      <c r="A86" s="415" t="s">
        <v>149</v>
      </c>
      <c r="B86" s="415" t="str">
        <f t="shared" ca="1" si="7"/>
        <v>State / Province*</v>
      </c>
      <c r="C86" s="424">
        <f t="shared" ca="1" si="8"/>
        <v>0</v>
      </c>
      <c r="D86" s="415">
        <f t="shared" ca="1" si="9"/>
        <v>1</v>
      </c>
    </row>
    <row r="87" spans="1:6">
      <c r="A87" s="415" t="s">
        <v>150</v>
      </c>
      <c r="B87" s="415" t="str">
        <f t="shared" ca="1" si="7"/>
        <v>Zip / Postal Code*</v>
      </c>
      <c r="C87" s="424">
        <f t="shared" ca="1" si="8"/>
        <v>0</v>
      </c>
      <c r="D87" s="415">
        <f t="shared" ca="1" si="9"/>
        <v>1</v>
      </c>
    </row>
    <row r="88" spans="1:6">
      <c r="A88" s="415" t="s">
        <v>151</v>
      </c>
      <c r="B88" s="415" t="str">
        <f t="shared" ca="1" si="7"/>
        <v>Contact First Name*</v>
      </c>
      <c r="C88" s="424">
        <f t="shared" ca="1" si="8"/>
        <v>0</v>
      </c>
      <c r="D88" s="415">
        <f t="shared" ca="1" si="9"/>
        <v>1</v>
      </c>
    </row>
    <row r="89" spans="1:6">
      <c r="A89" s="415" t="s">
        <v>152</v>
      </c>
      <c r="B89" s="415" t="str">
        <f t="shared" ca="1" si="7"/>
        <v>Last Name*</v>
      </c>
      <c r="C89" s="424">
        <f t="shared" ca="1" si="8"/>
        <v>0</v>
      </c>
      <c r="D89" s="415">
        <f t="shared" ca="1" si="9"/>
        <v>1</v>
      </c>
    </row>
    <row r="90" spans="1:6">
      <c r="A90" s="415" t="s">
        <v>153</v>
      </c>
      <c r="B90" s="415" t="str">
        <f t="shared" ca="1" si="7"/>
        <v>Title*</v>
      </c>
      <c r="C90" s="424">
        <f t="shared" ca="1" si="8"/>
        <v>0</v>
      </c>
      <c r="D90" s="415">
        <f t="shared" ca="1" si="9"/>
        <v>1</v>
      </c>
    </row>
    <row r="91" spans="1:6">
      <c r="A91" s="415" t="s">
        <v>154</v>
      </c>
      <c r="B91" s="415" t="str">
        <f t="shared" ca="1" si="7"/>
        <v>Primary Phone*</v>
      </c>
      <c r="C91" s="424">
        <f t="shared" ca="1" si="8"/>
        <v>0</v>
      </c>
      <c r="D91" s="415">
        <f t="shared" ca="1" si="9"/>
        <v>1</v>
      </c>
    </row>
    <row r="92" spans="1:6">
      <c r="A92" s="415" t="s">
        <v>155</v>
      </c>
      <c r="B92" s="415" t="str">
        <f t="shared" ca="1" si="7"/>
        <v>Email*</v>
      </c>
      <c r="C92" s="424">
        <f t="shared" ca="1" si="8"/>
        <v>0</v>
      </c>
      <c r="D92" s="415">
        <f t="shared" ca="1" si="9"/>
        <v>1</v>
      </c>
    </row>
    <row r="93" spans="1:6">
      <c r="A93" s="415" t="s">
        <v>1829</v>
      </c>
      <c r="B93" s="415" t="str">
        <f ca="1">OFFSET(INDIRECT(A93),0,-13)</f>
        <v>Who will install/installed the equipment for this project?*</v>
      </c>
      <c r="C93" s="424">
        <f t="shared" ca="1" si="8"/>
        <v>0</v>
      </c>
      <c r="D93" s="415">
        <f ca="1">IFERROR(IF(SEARCH("~*", B93), 1), 0)</f>
        <v>1</v>
      </c>
    </row>
    <row r="94" spans="1:6">
      <c r="A94" s="415" t="s">
        <v>2216</v>
      </c>
      <c r="B94" s="415" t="str">
        <f ca="1">OFFSET(INDIRECT(A94),-1,0)</f>
        <v>Contact First Name</v>
      </c>
      <c r="C94" s="424">
        <f t="shared" ca="1" si="8"/>
        <v>0</v>
      </c>
      <c r="D94" s="415">
        <f t="shared" ref="D94:D98" ca="1" si="10">IFERROR(IF(SEARCH("~*", B94), 1), 0)</f>
        <v>0</v>
      </c>
    </row>
    <row r="95" spans="1:6">
      <c r="A95" s="415" t="s">
        <v>2217</v>
      </c>
      <c r="B95" s="415" t="str">
        <f ca="1">OFFSET(INDIRECT(A95),-1,0)</f>
        <v>Last Name</v>
      </c>
      <c r="C95" s="424">
        <f t="shared" ca="1" si="8"/>
        <v>0</v>
      </c>
      <c r="D95" s="415">
        <f t="shared" ca="1" si="10"/>
        <v>0</v>
      </c>
    </row>
    <row r="96" spans="1:6">
      <c r="A96" s="415" t="s">
        <v>2218</v>
      </c>
      <c r="B96" s="415" t="str">
        <f ca="1">OFFSET(INDIRECT(A96),-1,0)</f>
        <v>Title</v>
      </c>
      <c r="C96" s="424">
        <f t="shared" ca="1" si="8"/>
        <v>0</v>
      </c>
      <c r="D96" s="415">
        <f t="shared" ca="1" si="10"/>
        <v>0</v>
      </c>
    </row>
    <row r="97" spans="1:6">
      <c r="A97" s="415" t="s">
        <v>2219</v>
      </c>
      <c r="B97" s="415" t="str">
        <f ca="1">OFFSET(INDIRECT(A97),-1,0)</f>
        <v>Primary Phone</v>
      </c>
      <c r="C97" s="424">
        <f t="shared" ca="1" si="8"/>
        <v>0</v>
      </c>
      <c r="D97" s="415">
        <f t="shared" ca="1" si="10"/>
        <v>0</v>
      </c>
    </row>
    <row r="98" spans="1:6">
      <c r="A98" s="415" t="s">
        <v>2220</v>
      </c>
      <c r="B98" s="415" t="str">
        <f ca="1">OFFSET(INDIRECT(A98),-1,0)</f>
        <v>Email</v>
      </c>
      <c r="C98" s="424">
        <f t="shared" ca="1" si="8"/>
        <v>0</v>
      </c>
      <c r="D98" s="415">
        <f t="shared" ca="1" si="10"/>
        <v>0</v>
      </c>
    </row>
    <row r="100" spans="1:6">
      <c r="A100" s="416"/>
      <c r="C100" t="s">
        <v>84</v>
      </c>
      <c r="D100" t="s">
        <v>300</v>
      </c>
      <c r="E100" t="s">
        <v>1178</v>
      </c>
    </row>
    <row r="101" spans="1:6">
      <c r="A101" s="413" t="s">
        <v>2606</v>
      </c>
      <c r="B101" s="413" t="str">
        <f>M2S3</f>
        <v>Customer Information</v>
      </c>
      <c r="C101" s="413">
        <f ca="1">SUMIF(D102:D111, 1, C102:C111)</f>
        <v>0</v>
      </c>
      <c r="D101" s="413">
        <f ca="1">SUM(D102:D111)</f>
        <v>10</v>
      </c>
      <c r="E101" s="414">
        <f ca="1">IFERROR(C101/D101, 1)</f>
        <v>0</v>
      </c>
      <c r="F101" s="69" t="s">
        <v>2856</v>
      </c>
    </row>
    <row r="102" spans="1:6">
      <c r="A102" s="415" t="s">
        <v>145</v>
      </c>
      <c r="B102" s="415" t="str">
        <f t="shared" ref="B102:B111" ca="1" si="11">OFFSET(INDIRECT(A102),-1,0)</f>
        <v>Legal Company Name*</v>
      </c>
      <c r="C102" s="424">
        <f t="shared" ref="C102:C111" ca="1" si="12">IF(INDIRECT($A102)="",0,1)</f>
        <v>0</v>
      </c>
      <c r="D102" s="415">
        <f ca="1">IFERROR(IF(SEARCH("~*", B102), 1), 0)</f>
        <v>1</v>
      </c>
    </row>
    <row r="103" spans="1:6">
      <c r="A103" s="415" t="s">
        <v>156</v>
      </c>
      <c r="B103" s="415" t="str">
        <f t="shared" ca="1" si="11"/>
        <v>Company Address*</v>
      </c>
      <c r="C103" s="424">
        <f t="shared" ca="1" si="12"/>
        <v>0</v>
      </c>
      <c r="D103" s="415">
        <f t="shared" ref="D103:D111" ca="1" si="13">IFERROR(IF(SEARCH("~*", B103), 1), 0)</f>
        <v>1</v>
      </c>
    </row>
    <row r="104" spans="1:6">
      <c r="A104" s="415" t="s">
        <v>157</v>
      </c>
      <c r="B104" s="415" t="str">
        <f t="shared" ca="1" si="11"/>
        <v>City*</v>
      </c>
      <c r="C104" s="424">
        <f t="shared" ca="1" si="12"/>
        <v>0</v>
      </c>
      <c r="D104" s="415">
        <f t="shared" ca="1" si="13"/>
        <v>1</v>
      </c>
    </row>
    <row r="105" spans="1:6">
      <c r="A105" s="415" t="s">
        <v>158</v>
      </c>
      <c r="B105" s="415" t="str">
        <f t="shared" ca="1" si="11"/>
        <v>State / Province*</v>
      </c>
      <c r="C105" s="424">
        <f t="shared" ca="1" si="12"/>
        <v>0</v>
      </c>
      <c r="D105" s="415">
        <f t="shared" ca="1" si="13"/>
        <v>1</v>
      </c>
    </row>
    <row r="106" spans="1:6">
      <c r="A106" s="415" t="s">
        <v>159</v>
      </c>
      <c r="B106" s="415" t="str">
        <f t="shared" ca="1" si="11"/>
        <v>Zip / Postal Code*</v>
      </c>
      <c r="C106" s="424">
        <f t="shared" ca="1" si="12"/>
        <v>0</v>
      </c>
      <c r="D106" s="415">
        <f t="shared" ca="1" si="13"/>
        <v>1</v>
      </c>
    </row>
    <row r="107" spans="1:6">
      <c r="A107" s="415" t="s">
        <v>160</v>
      </c>
      <c r="B107" s="415" t="str">
        <f t="shared" ca="1" si="11"/>
        <v>Contact First Name*</v>
      </c>
      <c r="C107" s="424">
        <f t="shared" ca="1" si="12"/>
        <v>0</v>
      </c>
      <c r="D107" s="415">
        <f t="shared" ca="1" si="13"/>
        <v>1</v>
      </c>
    </row>
    <row r="108" spans="1:6">
      <c r="A108" s="415" t="s">
        <v>161</v>
      </c>
      <c r="B108" s="415" t="str">
        <f t="shared" ca="1" si="11"/>
        <v>Last Name*</v>
      </c>
      <c r="C108" s="424">
        <f t="shared" ca="1" si="12"/>
        <v>0</v>
      </c>
      <c r="D108" s="415">
        <f t="shared" ca="1" si="13"/>
        <v>1</v>
      </c>
    </row>
    <row r="109" spans="1:6">
      <c r="A109" s="415" t="s">
        <v>162</v>
      </c>
      <c r="B109" s="415" t="str">
        <f t="shared" ca="1" si="11"/>
        <v>Title*</v>
      </c>
      <c r="C109" s="424">
        <f t="shared" ca="1" si="12"/>
        <v>0</v>
      </c>
      <c r="D109" s="415">
        <f t="shared" ca="1" si="13"/>
        <v>1</v>
      </c>
    </row>
    <row r="110" spans="1:6">
      <c r="A110" s="415" t="s">
        <v>163</v>
      </c>
      <c r="B110" s="415" t="str">
        <f t="shared" ca="1" si="11"/>
        <v>Primary Phone*</v>
      </c>
      <c r="C110" s="424">
        <f t="shared" ca="1" si="12"/>
        <v>0</v>
      </c>
      <c r="D110" s="415">
        <f t="shared" ca="1" si="13"/>
        <v>1</v>
      </c>
    </row>
    <row r="111" spans="1:6">
      <c r="A111" s="415" t="s">
        <v>164</v>
      </c>
      <c r="B111" s="415" t="str">
        <f t="shared" ca="1" si="11"/>
        <v>Email*</v>
      </c>
      <c r="C111" s="424">
        <f t="shared" ca="1" si="12"/>
        <v>0</v>
      </c>
      <c r="D111" s="415">
        <f t="shared" ca="1" si="13"/>
        <v>1</v>
      </c>
    </row>
    <row r="113" spans="1:6">
      <c r="A113" s="416"/>
      <c r="C113" t="s">
        <v>84</v>
      </c>
      <c r="D113" t="s">
        <v>300</v>
      </c>
      <c r="E113" t="s">
        <v>1178</v>
      </c>
    </row>
    <row r="114" spans="1:6">
      <c r="A114" s="413" t="s">
        <v>2606</v>
      </c>
      <c r="B114" s="413" t="str">
        <f>M2S4</f>
        <v>Building Information</v>
      </c>
      <c r="C114" s="413">
        <f ca="1">SUMIF(D115:D139, 1, C115:C139)</f>
        <v>0</v>
      </c>
      <c r="D114" s="413">
        <f ca="1">SUM(D115:D139)</f>
        <v>20</v>
      </c>
      <c r="E114" s="414">
        <f ca="1">IFERROR(C114/D114, 1)</f>
        <v>0</v>
      </c>
      <c r="F114" s="69" t="s">
        <v>2857</v>
      </c>
    </row>
    <row r="115" spans="1:6">
      <c r="A115" s="415" t="s">
        <v>165</v>
      </c>
      <c r="B115" s="415" t="str">
        <f ca="1">OFFSET(INDIRECT(A115),0,-12)</f>
        <v>Is the Site address the same as the Company address?</v>
      </c>
      <c r="C115" s="424">
        <f t="shared" ref="C115:C139" ca="1" si="14">IF(INDIRECT($A115)="",0,1)</f>
        <v>0</v>
      </c>
      <c r="D115" s="415">
        <f ca="1">IFERROR(IF(SEARCH("~*", B115), 1), 0)</f>
        <v>0</v>
      </c>
    </row>
    <row r="116" spans="1:6">
      <c r="A116" s="415" t="s">
        <v>166</v>
      </c>
      <c r="B116" s="415">
        <f ca="1">OFFSET(INDIRECT(A116),0,-12)</f>
        <v>0</v>
      </c>
      <c r="C116" s="424">
        <f t="shared" ca="1" si="14"/>
        <v>0</v>
      </c>
      <c r="D116" s="415">
        <f t="shared" ref="D116:D139" ca="1" si="15">IFERROR(IF(SEARCH("~*", B116), 1), 0)</f>
        <v>0</v>
      </c>
    </row>
    <row r="117" spans="1:6">
      <c r="A117" s="415" t="s">
        <v>167</v>
      </c>
      <c r="B117" s="415" t="str">
        <f t="shared" ref="B117:B139" ca="1" si="16">OFFSET(INDIRECT(A117),-1,0)</f>
        <v>Account Number 1*</v>
      </c>
      <c r="C117" s="424">
        <f t="shared" ca="1" si="14"/>
        <v>0</v>
      </c>
      <c r="D117" s="415">
        <f t="shared" ca="1" si="15"/>
        <v>1</v>
      </c>
    </row>
    <row r="118" spans="1:6">
      <c r="A118" s="415" t="s">
        <v>168</v>
      </c>
      <c r="B118" s="415" t="str">
        <f t="shared" ca="1" si="16"/>
        <v>Account Number 2</v>
      </c>
      <c r="C118" s="424">
        <f t="shared" ca="1" si="14"/>
        <v>0</v>
      </c>
      <c r="D118" s="415">
        <f t="shared" ca="1" si="15"/>
        <v>0</v>
      </c>
    </row>
    <row r="119" spans="1:6">
      <c r="A119" s="415" t="s">
        <v>169</v>
      </c>
      <c r="B119" s="415" t="str">
        <f t="shared" ca="1" si="16"/>
        <v>Utility Rate Code*</v>
      </c>
      <c r="C119" s="424">
        <f t="shared" ca="1" si="14"/>
        <v>0</v>
      </c>
      <c r="D119" s="415">
        <f t="shared" ca="1" si="15"/>
        <v>1</v>
      </c>
    </row>
    <row r="120" spans="1:6">
      <c r="A120" s="415" t="s">
        <v>170</v>
      </c>
      <c r="B120" s="415" t="str">
        <f t="shared" ca="1" si="16"/>
        <v>Utility Electric Rate* ($/kWh)</v>
      </c>
      <c r="C120" s="424">
        <f t="shared" ca="1" si="14"/>
        <v>0</v>
      </c>
      <c r="D120" s="415">
        <f t="shared" ca="1" si="15"/>
        <v>1</v>
      </c>
    </row>
    <row r="121" spans="1:6">
      <c r="A121" s="415" t="s">
        <v>171</v>
      </c>
      <c r="B121" s="415" t="str">
        <f t="shared" ca="1" si="16"/>
        <v>Site Name*</v>
      </c>
      <c r="C121" s="424">
        <f t="shared" ca="1" si="14"/>
        <v>0</v>
      </c>
      <c r="D121" s="415">
        <f t="shared" ca="1" si="15"/>
        <v>1</v>
      </c>
    </row>
    <row r="122" spans="1:6">
      <c r="A122" s="415" t="s">
        <v>172</v>
      </c>
      <c r="B122" s="415" t="str">
        <f t="shared" ca="1" si="16"/>
        <v>Site Address*</v>
      </c>
      <c r="C122" s="424">
        <f t="shared" ca="1" si="14"/>
        <v>0</v>
      </c>
      <c r="D122" s="415">
        <f t="shared" ca="1" si="15"/>
        <v>1</v>
      </c>
    </row>
    <row r="123" spans="1:6">
      <c r="A123" s="415" t="s">
        <v>173</v>
      </c>
      <c r="B123" s="415" t="str">
        <f t="shared" ca="1" si="16"/>
        <v>City*</v>
      </c>
      <c r="C123" s="424">
        <f t="shared" ca="1" si="14"/>
        <v>0</v>
      </c>
      <c r="D123" s="415">
        <f t="shared" ca="1" si="15"/>
        <v>1</v>
      </c>
    </row>
    <row r="124" spans="1:6">
      <c r="A124" s="415" t="s">
        <v>174</v>
      </c>
      <c r="B124" s="415" t="str">
        <f t="shared" ca="1" si="16"/>
        <v>State</v>
      </c>
      <c r="C124" s="424">
        <f t="shared" ca="1" si="14"/>
        <v>1</v>
      </c>
      <c r="D124" s="415">
        <f t="shared" ca="1" si="15"/>
        <v>0</v>
      </c>
    </row>
    <row r="125" spans="1:6">
      <c r="A125" s="415" t="s">
        <v>175</v>
      </c>
      <c r="B125" s="415" t="str">
        <f t="shared" ca="1" si="16"/>
        <v>Zip Code*</v>
      </c>
      <c r="C125" s="424">
        <f t="shared" ca="1" si="14"/>
        <v>0</v>
      </c>
      <c r="D125" s="415">
        <f t="shared" ca="1" si="15"/>
        <v>1</v>
      </c>
    </row>
    <row r="126" spans="1:6">
      <c r="A126" s="415" t="s">
        <v>176</v>
      </c>
      <c r="B126" s="415" t="str">
        <f t="shared" ca="1" si="16"/>
        <v>Contact First Name*</v>
      </c>
      <c r="C126" s="424">
        <f t="shared" ca="1" si="14"/>
        <v>0</v>
      </c>
      <c r="D126" s="415">
        <f t="shared" ca="1" si="15"/>
        <v>1</v>
      </c>
    </row>
    <row r="127" spans="1:6">
      <c r="A127" s="415" t="s">
        <v>1167</v>
      </c>
      <c r="B127" s="415" t="str">
        <f t="shared" ca="1" si="16"/>
        <v>Last Name*</v>
      </c>
      <c r="C127" s="424">
        <f t="shared" ca="1" si="14"/>
        <v>0</v>
      </c>
      <c r="D127" s="415">
        <f t="shared" ca="1" si="15"/>
        <v>1</v>
      </c>
    </row>
    <row r="128" spans="1:6">
      <c r="A128" s="415" t="s">
        <v>1168</v>
      </c>
      <c r="B128" s="415" t="str">
        <f t="shared" ca="1" si="16"/>
        <v>Title*</v>
      </c>
      <c r="C128" s="424">
        <f t="shared" ca="1" si="14"/>
        <v>0</v>
      </c>
      <c r="D128" s="415">
        <f t="shared" ca="1" si="15"/>
        <v>1</v>
      </c>
    </row>
    <row r="129" spans="1:6">
      <c r="A129" s="415" t="s">
        <v>1169</v>
      </c>
      <c r="B129" s="415" t="str">
        <f t="shared" ca="1" si="16"/>
        <v>Primary Phone*</v>
      </c>
      <c r="C129" s="424">
        <f t="shared" ca="1" si="14"/>
        <v>0</v>
      </c>
      <c r="D129" s="415">
        <f t="shared" ca="1" si="15"/>
        <v>1</v>
      </c>
    </row>
    <row r="130" spans="1:6">
      <c r="A130" s="415" t="s">
        <v>1170</v>
      </c>
      <c r="B130" s="415" t="str">
        <f t="shared" ca="1" si="16"/>
        <v>Email*</v>
      </c>
      <c r="C130" s="424">
        <f t="shared" ca="1" si="14"/>
        <v>0</v>
      </c>
      <c r="D130" s="415">
        <f t="shared" ca="1" si="15"/>
        <v>1</v>
      </c>
    </row>
    <row r="131" spans="1:6">
      <c r="A131" s="415" t="s">
        <v>1171</v>
      </c>
      <c r="B131" s="415" t="str">
        <f t="shared" ca="1" si="16"/>
        <v>Project Type</v>
      </c>
      <c r="C131" s="424">
        <f t="shared" ca="1" si="14"/>
        <v>0</v>
      </c>
      <c r="D131" s="415">
        <f t="shared" ca="1" si="15"/>
        <v>0</v>
      </c>
    </row>
    <row r="132" spans="1:6">
      <c r="A132" s="415" t="s">
        <v>1172</v>
      </c>
      <c r="B132" s="415" t="str">
        <f t="shared" ca="1" si="16"/>
        <v>Project Name / ID*</v>
      </c>
      <c r="C132" s="424">
        <f t="shared" ca="1" si="14"/>
        <v>0</v>
      </c>
      <c r="D132" s="415">
        <f t="shared" ca="1" si="15"/>
        <v>1</v>
      </c>
    </row>
    <row r="133" spans="1:6">
      <c r="A133" s="415" t="s">
        <v>1173</v>
      </c>
      <c r="B133" s="415" t="str">
        <f t="shared" ca="1" si="16"/>
        <v>Building Type*</v>
      </c>
      <c r="C133" s="424">
        <f t="shared" ca="1" si="14"/>
        <v>0</v>
      </c>
      <c r="D133" s="415">
        <f t="shared" ca="1" si="15"/>
        <v>1</v>
      </c>
    </row>
    <row r="134" spans="1:6">
      <c r="A134" s="415" t="s">
        <v>1174</v>
      </c>
      <c r="B134" s="415" t="str">
        <f t="shared" ca="1" si="16"/>
        <v>Annual Operating Hours*</v>
      </c>
      <c r="C134" s="424">
        <f t="shared" ca="1" si="14"/>
        <v>0</v>
      </c>
      <c r="D134" s="415">
        <f t="shared" ca="1" si="15"/>
        <v>1</v>
      </c>
    </row>
    <row r="135" spans="1:6">
      <c r="A135" s="415" t="s">
        <v>1175</v>
      </c>
      <c r="B135" s="415" t="str">
        <f t="shared" ca="1" si="16"/>
        <v>Square Footage*</v>
      </c>
      <c r="C135" s="424">
        <f t="shared" ca="1" si="14"/>
        <v>0</v>
      </c>
      <c r="D135" s="415">
        <f t="shared" ca="1" si="15"/>
        <v>1</v>
      </c>
    </row>
    <row r="136" spans="1:6">
      <c r="A136" s="415" t="s">
        <v>1176</v>
      </c>
      <c r="B136" s="415" t="str">
        <f t="shared" ca="1" si="16"/>
        <v>Space Conditioning Type*</v>
      </c>
      <c r="C136" s="424">
        <f t="shared" ca="1" si="14"/>
        <v>0</v>
      </c>
      <c r="D136" s="415">
        <f t="shared" ca="1" si="15"/>
        <v>1</v>
      </c>
    </row>
    <row r="137" spans="1:6">
      <c r="A137" s="415" t="s">
        <v>1177</v>
      </c>
      <c r="B137" s="415" t="str">
        <f t="shared" ca="1" si="16"/>
        <v>Project Description*</v>
      </c>
      <c r="C137" s="424">
        <f t="shared" ca="1" si="14"/>
        <v>0</v>
      </c>
      <c r="D137" s="415">
        <f t="shared" ca="1" si="15"/>
        <v>1</v>
      </c>
    </row>
    <row r="138" spans="1:6">
      <c r="A138" s="415" t="s">
        <v>1507</v>
      </c>
      <c r="B138" s="415" t="str">
        <f t="shared" ca="1" si="16"/>
        <v>Evergy Contact*</v>
      </c>
      <c r="C138" s="424">
        <f t="shared" ca="1" si="14"/>
        <v>0</v>
      </c>
      <c r="D138" s="415">
        <f t="shared" ca="1" si="15"/>
        <v>1</v>
      </c>
    </row>
    <row r="139" spans="1:6">
      <c r="A139" s="415" t="s">
        <v>1508</v>
      </c>
      <c r="B139" s="415" t="str">
        <f t="shared" ca="1" si="16"/>
        <v>How did you hear about the Program?*</v>
      </c>
      <c r="C139" s="424">
        <f t="shared" ca="1" si="14"/>
        <v>0</v>
      </c>
      <c r="D139" s="415">
        <f t="shared" ca="1" si="15"/>
        <v>1</v>
      </c>
    </row>
    <row r="141" spans="1:6">
      <c r="C141" t="s">
        <v>84</v>
      </c>
      <c r="D141" t="s">
        <v>300</v>
      </c>
      <c r="E141" t="s">
        <v>1178</v>
      </c>
    </row>
    <row r="142" spans="1:6">
      <c r="A142" s="413" t="s">
        <v>2606</v>
      </c>
      <c r="B142" s="413" t="s">
        <v>301</v>
      </c>
      <c r="C142" s="413">
        <f>MIN( SUM(C143:C144), 1)</f>
        <v>0</v>
      </c>
      <c r="D142" s="413">
        <v>1</v>
      </c>
      <c r="E142" s="414">
        <f>IFERROR(MIN(1, C142/D142), 1)</f>
        <v>0</v>
      </c>
      <c r="F142" s="69" t="s">
        <v>2858</v>
      </c>
    </row>
    <row r="143" spans="1:6">
      <c r="A143" s="415" t="s">
        <v>302</v>
      </c>
      <c r="B143" s="415" t="s">
        <v>140</v>
      </c>
      <c r="C143" s="424">
        <f>IF(SUM(H10:H16)&gt;0,1,0)</f>
        <v>0</v>
      </c>
      <c r="D143" s="415">
        <v>0</v>
      </c>
    </row>
    <row r="144" spans="1:6">
      <c r="A144" s="415" t="s">
        <v>303</v>
      </c>
      <c r="B144" s="415" t="s">
        <v>141</v>
      </c>
      <c r="C144" s="424">
        <f>IF(SUM(H18:H26)&gt;0,1,0)</f>
        <v>0</v>
      </c>
      <c r="D144" s="415">
        <v>0</v>
      </c>
    </row>
    <row r="146" spans="1:6">
      <c r="C146" t="s">
        <v>84</v>
      </c>
      <c r="D146" t="s">
        <v>300</v>
      </c>
      <c r="E146" t="s">
        <v>1178</v>
      </c>
    </row>
    <row r="147" spans="1:6">
      <c r="A147" s="413" t="s">
        <v>2606</v>
      </c>
      <c r="B147" s="413" t="str">
        <f>M5S1</f>
        <v>Payment</v>
      </c>
      <c r="C147" s="413">
        <f ca="1">SUMIF(D148:D161, 1, C148:C161) + IF(PayeeChckBox, 1)</f>
        <v>0</v>
      </c>
      <c r="D147" s="413">
        <f ca="1">SUM(D148:D162)</f>
        <v>14</v>
      </c>
      <c r="E147" s="414">
        <f ca="1">IFERROR(C147/D147, 1)</f>
        <v>0</v>
      </c>
      <c r="F147" s="69" t="s">
        <v>2859</v>
      </c>
    </row>
    <row r="148" spans="1:6">
      <c r="A148" s="415" t="s">
        <v>1180</v>
      </c>
      <c r="B148" s="415" t="str">
        <f ca="1">OFFSET(INDIRECT(A148),0,-5)</f>
        <v>Payment Type*</v>
      </c>
      <c r="C148" s="424">
        <f t="shared" ref="C148:C161" ca="1" si="17">IF(INDIRECT($A148)="",0,1)</f>
        <v>0</v>
      </c>
      <c r="D148" s="415">
        <f ca="1">IFERROR(IF(SEARCH("~*", B148), 1), 0)</f>
        <v>1</v>
      </c>
    </row>
    <row r="149" spans="1:6">
      <c r="A149" s="415" t="s">
        <v>1181</v>
      </c>
      <c r="B149" s="415" t="str">
        <f t="shared" ref="B149:B159" ca="1" si="18">OFFSET(INDIRECT(A149),-1,0)</f>
        <v>Payee Company Name"</v>
      </c>
      <c r="C149" s="424">
        <f t="shared" ca="1" si="17"/>
        <v>0</v>
      </c>
      <c r="D149" s="415">
        <f t="shared" ref="D149:D162" ca="1" si="19">IFERROR(IF(SEARCH("~*", B149), 1), 0)</f>
        <v>0</v>
      </c>
    </row>
    <row r="150" spans="1:6">
      <c r="A150" s="415" t="s">
        <v>1182</v>
      </c>
      <c r="B150" s="415" t="str">
        <f t="shared" ca="1" si="18"/>
        <v>Mailing Address*</v>
      </c>
      <c r="C150" s="424">
        <f t="shared" ca="1" si="17"/>
        <v>0</v>
      </c>
      <c r="D150" s="415">
        <f t="shared" ca="1" si="19"/>
        <v>1</v>
      </c>
    </row>
    <row r="151" spans="1:6">
      <c r="A151" s="415" t="s">
        <v>1183</v>
      </c>
      <c r="B151" s="415" t="str">
        <f t="shared" ca="1" si="18"/>
        <v>City*</v>
      </c>
      <c r="C151" s="424">
        <f t="shared" ca="1" si="17"/>
        <v>0</v>
      </c>
      <c r="D151" s="415">
        <f t="shared" ca="1" si="19"/>
        <v>1</v>
      </c>
    </row>
    <row r="152" spans="1:6">
      <c r="A152" s="415" t="s">
        <v>1184</v>
      </c>
      <c r="B152" s="415" t="str">
        <f t="shared" ca="1" si="18"/>
        <v>State/ Province*</v>
      </c>
      <c r="C152" s="424">
        <f t="shared" ca="1" si="17"/>
        <v>0</v>
      </c>
      <c r="D152" s="415">
        <f t="shared" ca="1" si="19"/>
        <v>1</v>
      </c>
    </row>
    <row r="153" spans="1:6">
      <c r="A153" s="415" t="s">
        <v>1185</v>
      </c>
      <c r="B153" s="415" t="str">
        <f t="shared" ca="1" si="18"/>
        <v>Zip / Postal Code*</v>
      </c>
      <c r="C153" s="424">
        <f t="shared" ca="1" si="17"/>
        <v>0</v>
      </c>
      <c r="D153" s="415">
        <f t="shared" ca="1" si="19"/>
        <v>1</v>
      </c>
    </row>
    <row r="154" spans="1:6">
      <c r="A154" s="415" t="s">
        <v>1186</v>
      </c>
      <c r="B154" s="415" t="str">
        <f t="shared" ca="1" si="18"/>
        <v>Payee First Name*</v>
      </c>
      <c r="C154" s="424">
        <f t="shared" ca="1" si="17"/>
        <v>0</v>
      </c>
      <c r="D154" s="415">
        <f t="shared" ca="1" si="19"/>
        <v>1</v>
      </c>
    </row>
    <row r="155" spans="1:6">
      <c r="A155" s="415" t="s">
        <v>1187</v>
      </c>
      <c r="B155" s="415" t="str">
        <f t="shared" ca="1" si="18"/>
        <v>Payee Last Name*</v>
      </c>
      <c r="C155" s="424">
        <f t="shared" ca="1" si="17"/>
        <v>0</v>
      </c>
      <c r="D155" s="415">
        <f t="shared" ca="1" si="19"/>
        <v>1</v>
      </c>
    </row>
    <row r="156" spans="1:6">
      <c r="A156" s="415" t="s">
        <v>1188</v>
      </c>
      <c r="B156" s="415" t="str">
        <f t="shared" ca="1" si="18"/>
        <v>Phone Number*</v>
      </c>
      <c r="C156" s="424">
        <f t="shared" ca="1" si="17"/>
        <v>0</v>
      </c>
      <c r="D156" s="415">
        <f t="shared" ca="1" si="19"/>
        <v>1</v>
      </c>
    </row>
    <row r="157" spans="1:6">
      <c r="A157" s="415" t="s">
        <v>1189</v>
      </c>
      <c r="B157" s="415" t="str">
        <f t="shared" ca="1" si="18"/>
        <v>Email*</v>
      </c>
      <c r="C157" s="424">
        <f t="shared" ca="1" si="17"/>
        <v>0</v>
      </c>
      <c r="D157" s="415">
        <f t="shared" ca="1" si="19"/>
        <v>1</v>
      </c>
    </row>
    <row r="158" spans="1:6">
      <c r="A158" s="415" t="s">
        <v>1190</v>
      </c>
      <c r="B158" s="415" t="str">
        <f t="shared" ca="1" si="18"/>
        <v>Tax Entity*</v>
      </c>
      <c r="C158" s="424">
        <f t="shared" ca="1" si="17"/>
        <v>0</v>
      </c>
      <c r="D158" s="415">
        <f t="shared" ca="1" si="19"/>
        <v>1</v>
      </c>
    </row>
    <row r="159" spans="1:6">
      <c r="A159" s="415" t="s">
        <v>1191</v>
      </c>
      <c r="B159" s="415" t="str">
        <f t="shared" ca="1" si="18"/>
        <v>Federal Tax ID Number*</v>
      </c>
      <c r="C159" s="424">
        <f t="shared" ca="1" si="17"/>
        <v>0</v>
      </c>
      <c r="D159" s="415">
        <f t="shared" ca="1" si="19"/>
        <v>1</v>
      </c>
    </row>
    <row r="160" spans="1:6">
      <c r="A160" s="415" t="s">
        <v>1204</v>
      </c>
      <c r="B160" s="415" t="str">
        <f ca="1">OFFSET(INDIRECT(A160),-1,-2)</f>
        <v>Federal Tax ID Number*</v>
      </c>
      <c r="C160" s="424">
        <f t="shared" ca="1" si="17"/>
        <v>0</v>
      </c>
      <c r="D160" s="415">
        <f t="shared" ca="1" si="19"/>
        <v>1</v>
      </c>
    </row>
    <row r="161" spans="1:7">
      <c r="A161" s="415" t="s">
        <v>1805</v>
      </c>
      <c r="B161" s="415" t="str">
        <f ca="1">OFFSET(INDIRECT(A161),-1,0)</f>
        <v>Bill Credit Account*</v>
      </c>
      <c r="C161" s="424">
        <f t="shared" ca="1" si="17"/>
        <v>0</v>
      </c>
      <c r="D161" s="415">
        <f t="shared" ca="1" si="19"/>
        <v>1</v>
      </c>
      <c r="G161" t="s">
        <v>2937</v>
      </c>
    </row>
    <row r="162" spans="1:7">
      <c r="A162" s="415" t="s">
        <v>1202</v>
      </c>
      <c r="B162" s="415" t="s">
        <v>2607</v>
      </c>
      <c r="C162" s="424" t="b">
        <v>0</v>
      </c>
      <c r="D162" s="415">
        <f t="shared" si="19"/>
        <v>1</v>
      </c>
    </row>
    <row r="164" spans="1:7">
      <c r="A164" s="416"/>
      <c r="C164" t="s">
        <v>84</v>
      </c>
      <c r="D164" t="s">
        <v>300</v>
      </c>
      <c r="E164" t="s">
        <v>1178</v>
      </c>
    </row>
    <row r="165" spans="1:7">
      <c r="A165" s="413" t="s">
        <v>2606</v>
      </c>
      <c r="B165" s="413" t="str">
        <f>M5S2</f>
        <v>Project Review</v>
      </c>
      <c r="C165" s="413">
        <f ca="1">SUMIF(D166:D167, 1, C166:C167)</f>
        <v>0</v>
      </c>
      <c r="D165" s="413">
        <f ca="1">SUM(D166:D167)</f>
        <v>2</v>
      </c>
      <c r="E165" s="414">
        <f ca="1">IFERROR(C165/D165, 1)</f>
        <v>0</v>
      </c>
      <c r="F165" s="69" t="s">
        <v>2860</v>
      </c>
    </row>
    <row r="166" spans="1:7">
      <c r="A166" s="415" t="s">
        <v>305</v>
      </c>
      <c r="B166" s="415" t="str">
        <f ca="1">OFFSET(INDIRECT(A166),-1,0)</f>
        <v>Invoice Date*</v>
      </c>
      <c r="C166" s="424">
        <f ca="1">IF(INDIRECT($A166)="",0,1)</f>
        <v>0</v>
      </c>
      <c r="D166" s="415">
        <f ca="1">IFERROR(IF(AND(SEARCH("~*", B166), OR(AND(MEASTOTALCUSE = 0, INCENTOTAL &lt; INCPREAPPROVAL), ACTIVECOMPL = "Yes")), 1, 0), 0)</f>
        <v>1</v>
      </c>
    </row>
    <row r="167" spans="1:7">
      <c r="A167" s="415" t="s">
        <v>306</v>
      </c>
      <c r="B167" s="415" t="str">
        <f ca="1">OFFSET(INDIRECT(A167),-1,0)</f>
        <v>Installed Date*</v>
      </c>
      <c r="C167" s="424">
        <f ca="1">IF(INDIRECT($A167)="",0,1)</f>
        <v>0</v>
      </c>
      <c r="D167" s="415">
        <f ca="1">IFERROR(IF(AND(SEARCH("~*", B167), OR(AND(MEASTOTALCUSE = 0, INCENTOTAL &lt; INCPREAPPROVAL), ACTIVECOMPL = "Yes")), 1, 0), 0)</f>
        <v>1</v>
      </c>
    </row>
  </sheetData>
  <sheetProtection algorithmName="SHA-512" hashValue="EJfEgMTdoQaW113cBTtShQKaoDrq6t8IEW69LgvL9gQ91MJ3w+SCONgSsmG/rIYhZh6yd6rRO4Ms+e5Z//czCw==" saltValue="ZuNsnmW3GjOpwrMsortRPA==" spinCount="100000" sheet="1" objects="1" scenarios="1"/>
  <conditionalFormatting sqref="H9:R27">
    <cfRule type="containsBlanks" dxfId="159" priority="3">
      <formula>LEN(TRIM(H9))=0</formula>
    </cfRule>
  </conditionalFormatting>
  <conditionalFormatting sqref="Q28:R30">
    <cfRule type="containsBlanks" dxfId="158" priority="28">
      <formula>LEN(TRIM(Q28))=0</formula>
    </cfRule>
  </conditionalFormatting>
  <dataValidations disablePrompts="1" count="1">
    <dataValidation type="list" allowBlank="1" showInputMessage="1" showErrorMessage="1" sqref="H5" xr:uid="{97D8165D-7150-40CF-8CE7-2EB501FC354E}">
      <formula1>"TRUE, FALSE"</formula1>
    </dataValidation>
  </dataValidations>
  <hyperlinks>
    <hyperlink ref="G9" location="'M03-S01'!A1" display="'M03-S01'!A1" xr:uid="{00000000-0004-0000-0100-000000000000}"/>
    <hyperlink ref="G10" location="'M03-S02'!A1" display="'M03-S02'!A1" xr:uid="{00000000-0004-0000-0100-000001000000}"/>
    <hyperlink ref="G11" location="'M03-S03'!A1" display="'M03-S03'!A1" xr:uid="{00000000-0004-0000-0100-000002000000}"/>
    <hyperlink ref="G12" location="'M03-S04'!A1" display="'M03-S04'!A1" xr:uid="{00000000-0004-0000-0100-000003000000}"/>
    <hyperlink ref="G13" location="'M03-S05'!A1" display="'M03-S05'!A1" xr:uid="{00000000-0004-0000-0100-000004000000}"/>
    <hyperlink ref="G14" location="'M03-S06'!A1" display="'M03-S06'!A1" xr:uid="{00000000-0004-0000-0100-000005000000}"/>
    <hyperlink ref="G15" location="'M03-S07'!A1" display="'M03-S07'!A1" xr:uid="{00000000-0004-0000-0100-000006000000}"/>
    <hyperlink ref="G16" location="'M03-S08'!A1" display="'M03-S08'!A1" xr:uid="{00000000-0004-0000-0100-000007000000}"/>
    <hyperlink ref="G18" location="'M04-S02'!A1" display="'M04-S02'!A1" xr:uid="{00000000-0004-0000-0100-000009000000}"/>
    <hyperlink ref="G19" location="'M04-S03'!A1" display="'M04-S03'!A1" xr:uid="{00000000-0004-0000-0100-00000A000000}"/>
    <hyperlink ref="G20" location="'M04-S04'!A1" display="'M04-S04'!A1" xr:uid="{00000000-0004-0000-0100-00000B000000}"/>
    <hyperlink ref="G21" location="'M04-S05'!A1" display="'M04-S05'!A1" xr:uid="{00000000-0004-0000-0100-00000C000000}"/>
    <hyperlink ref="G22" location="'M04-S06'!A1" display="'M04-S06'!A1" xr:uid="{00000000-0004-0000-0100-00000D000000}"/>
    <hyperlink ref="G23" location="'M04-S07'!A1" display="'M04-S07'!A1" xr:uid="{00000000-0004-0000-0100-00000E000000}"/>
    <hyperlink ref="G24" location="'M04-S08'!A1" display="'M04-S08'!A1" xr:uid="{00000000-0004-0000-0100-00000F000000}"/>
    <hyperlink ref="G25" location="'M04-S08'!A1" display="'M04-S08'!A1" xr:uid="{8BD761A9-50E2-4208-871E-0E0A28A0E426}"/>
    <hyperlink ref="G26" location="'M04-S09'!C30" display="'M04-S09'!C30" xr:uid="{5D050FF6-67C2-482B-BDDB-0DCA0757B50E}"/>
    <hyperlink ref="G27" location="'M04-S09'!C36" display="'M04-S09'!C36" xr:uid="{3915DD91-D6CC-416D-885F-0305323BF541}"/>
  </hyperlinks>
  <pageMargins left="0" right="0" top="0" bottom="0" header="0" footer="0"/>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B85A0-1396-4F04-94B4-101EA40BF970}">
  <sheetPr codeName="Sheet3">
    <tabColor theme="8" tint="0.59999389629810485"/>
  </sheetPr>
  <dimension ref="A1:AS194"/>
  <sheetViews>
    <sheetView zoomScale="85" zoomScaleNormal="85" workbookViewId="0">
      <pane xSplit="4" ySplit="1" topLeftCell="O74" activePane="bottomRight" state="frozen"/>
      <selection pane="topRight"/>
      <selection pane="bottomLeft"/>
      <selection pane="bottomRight" activeCell="AB102" sqref="AB102"/>
    </sheetView>
  </sheetViews>
  <sheetFormatPr defaultColWidth="0" defaultRowHeight="14.25" customHeight="1"/>
  <cols>
    <col min="1" max="1" width="12.42578125" customWidth="1"/>
    <col min="2" max="2" width="21.28515625" bestFit="1" customWidth="1"/>
    <col min="3" max="3" width="87.42578125" customWidth="1"/>
    <col min="4" max="4" width="17" customWidth="1"/>
    <col min="5" max="5" width="80.7109375" customWidth="1"/>
    <col min="6" max="6" width="13.5703125" customWidth="1"/>
    <col min="7" max="7" width="23.28515625" customWidth="1"/>
    <col min="8" max="8" width="24" customWidth="1"/>
    <col min="9" max="9" width="21.140625" customWidth="1"/>
    <col min="10" max="10" width="23.140625" customWidth="1"/>
    <col min="11" max="11" width="43.5703125" customWidth="1"/>
    <col min="12" max="12" width="36.28515625" customWidth="1"/>
    <col min="13" max="13" width="45" bestFit="1" customWidth="1"/>
    <col min="14" max="14" width="33.85546875" customWidth="1"/>
    <col min="15" max="15" width="58.5703125" customWidth="1"/>
    <col min="16" max="16" width="30.28515625" customWidth="1"/>
    <col min="17" max="17" width="38.28515625" customWidth="1"/>
    <col min="18" max="18" width="29.42578125" customWidth="1"/>
    <col min="19" max="19" width="23.28515625" bestFit="1" customWidth="1"/>
    <col min="20" max="20" width="27.140625" style="276" bestFit="1" customWidth="1"/>
    <col min="21" max="22" width="28" bestFit="1" customWidth="1"/>
    <col min="23" max="23" width="28.28515625" customWidth="1"/>
    <col min="24" max="24" width="25.42578125" bestFit="1" customWidth="1"/>
    <col min="25" max="25" width="25.85546875" bestFit="1" customWidth="1"/>
    <col min="26" max="26" width="20.42578125" bestFit="1" customWidth="1"/>
    <col min="27" max="27" width="24.28515625" bestFit="1" customWidth="1"/>
    <col min="28" max="28" width="29.5703125" bestFit="1" customWidth="1"/>
    <col min="29" max="29" width="42.28515625" bestFit="1" customWidth="1"/>
    <col min="30" max="30" width="20.28515625" bestFit="1" customWidth="1"/>
    <col min="31" max="31" width="37.42578125" bestFit="1" customWidth="1"/>
    <col min="32" max="32" width="4.7109375" customWidth="1"/>
    <col min="33" max="33" width="14.140625" bestFit="1" customWidth="1"/>
    <col min="34" max="36" width="8.85546875" bestFit="1" customWidth="1"/>
    <col min="37" max="37" width="10.5703125" bestFit="1" customWidth="1"/>
    <col min="38" max="38" width="8.5703125" bestFit="1" customWidth="1"/>
    <col min="39" max="45" width="4.7109375" customWidth="1"/>
    <col min="46" max="16384" width="4.7109375" hidden="1"/>
  </cols>
  <sheetData>
    <row r="1" spans="1:31" ht="15">
      <c r="A1" s="471" t="s">
        <v>2965</v>
      </c>
      <c r="B1" s="69"/>
      <c r="C1" s="69"/>
      <c r="D1" s="69" t="s">
        <v>1214</v>
      </c>
      <c r="E1" s="69" t="s">
        <v>1213</v>
      </c>
      <c r="F1" s="69" t="s">
        <v>0</v>
      </c>
      <c r="G1" s="69"/>
      <c r="H1" s="69" t="s">
        <v>2963</v>
      </c>
      <c r="I1" s="69"/>
      <c r="J1" s="69"/>
      <c r="K1" s="69" t="s">
        <v>1217</v>
      </c>
      <c r="L1" s="69" t="s">
        <v>1218</v>
      </c>
      <c r="M1" s="69" t="s">
        <v>1219</v>
      </c>
      <c r="N1" s="69" t="s">
        <v>1220</v>
      </c>
      <c r="O1" s="69" t="s">
        <v>2964</v>
      </c>
      <c r="P1" s="69" t="s">
        <v>1221</v>
      </c>
      <c r="Q1" s="69" t="s">
        <v>1222</v>
      </c>
      <c r="R1" s="69" t="s">
        <v>1223</v>
      </c>
      <c r="S1" s="69" t="s">
        <v>1224</v>
      </c>
      <c r="T1" s="470"/>
      <c r="V1" t="s">
        <v>2477</v>
      </c>
    </row>
    <row r="2" spans="1:31" ht="14.25" customHeight="1">
      <c r="B2" s="265" t="s">
        <v>85</v>
      </c>
      <c r="C2" s="265" t="s">
        <v>1213</v>
      </c>
      <c r="D2" s="472" t="s">
        <v>1214</v>
      </c>
      <c r="E2" s="472" t="s">
        <v>1236</v>
      </c>
      <c r="F2" s="472" t="s">
        <v>0</v>
      </c>
      <c r="G2" s="265" t="s">
        <v>1215</v>
      </c>
      <c r="H2" s="473" t="s">
        <v>1216</v>
      </c>
      <c r="I2" s="266" t="s">
        <v>2862</v>
      </c>
      <c r="J2" s="266" t="s">
        <v>1765</v>
      </c>
      <c r="K2" s="472" t="s">
        <v>1217</v>
      </c>
      <c r="L2" s="472" t="s">
        <v>1218</v>
      </c>
      <c r="M2" s="472" t="s">
        <v>1219</v>
      </c>
      <c r="N2" s="472" t="s">
        <v>1220</v>
      </c>
      <c r="O2" s="472" t="s">
        <v>1859</v>
      </c>
      <c r="P2" s="472" t="s">
        <v>1221</v>
      </c>
      <c r="Q2" s="472" t="s">
        <v>1222</v>
      </c>
      <c r="R2" s="472" t="s">
        <v>1223</v>
      </c>
      <c r="S2" s="472" t="s">
        <v>1224</v>
      </c>
      <c r="T2" s="265" t="s">
        <v>336</v>
      </c>
      <c r="U2" s="265" t="s">
        <v>2270</v>
      </c>
      <c r="V2" s="265" t="s">
        <v>1907</v>
      </c>
      <c r="W2" s="265" t="s">
        <v>1908</v>
      </c>
      <c r="X2" s="265" t="s">
        <v>1914</v>
      </c>
      <c r="Y2" s="265" t="s">
        <v>1656</v>
      </c>
      <c r="Z2" s="265" t="s">
        <v>1657</v>
      </c>
      <c r="AA2" s="265" t="s">
        <v>1968</v>
      </c>
      <c r="AB2" s="265" t="s">
        <v>1969</v>
      </c>
      <c r="AC2" s="288" t="s">
        <v>2049</v>
      </c>
      <c r="AD2" s="355" t="s">
        <v>1239</v>
      </c>
      <c r="AE2" s="355" t="s">
        <v>2057</v>
      </c>
    </row>
    <row r="3" spans="1:31" ht="14.25" customHeight="1">
      <c r="B3" s="518">
        <v>31120705</v>
      </c>
      <c r="C3" s="519" t="s">
        <v>2531</v>
      </c>
      <c r="D3" s="519">
        <v>585.1</v>
      </c>
      <c r="E3" s="519" t="s">
        <v>2629</v>
      </c>
      <c r="F3" s="519" t="s">
        <v>1320</v>
      </c>
      <c r="G3" s="520" t="s">
        <v>2140</v>
      </c>
      <c r="H3" s="521" t="s">
        <v>91</v>
      </c>
      <c r="I3" s="522">
        <v>30</v>
      </c>
      <c r="J3" s="523"/>
      <c r="K3" s="524">
        <v>234.46</v>
      </c>
      <c r="L3" s="525">
        <v>419.19420000000002</v>
      </c>
      <c r="M3" s="525">
        <v>0</v>
      </c>
      <c r="N3" s="519">
        <v>12</v>
      </c>
      <c r="O3" s="519" t="s">
        <v>2651</v>
      </c>
      <c r="P3" s="526"/>
      <c r="Q3" s="519" t="s">
        <v>2663</v>
      </c>
      <c r="R3" s="526"/>
      <c r="S3" s="527">
        <v>44562</v>
      </c>
      <c r="T3" s="528">
        <v>1</v>
      </c>
      <c r="U3" s="526" t="s">
        <v>1253</v>
      </c>
      <c r="V3" s="529" t="s">
        <v>1861</v>
      </c>
      <c r="W3" s="530" t="s">
        <v>2500</v>
      </c>
      <c r="X3" s="530" t="s">
        <v>2489</v>
      </c>
      <c r="Y3" s="530">
        <v>1</v>
      </c>
      <c r="Z3" s="530">
        <v>210</v>
      </c>
      <c r="AA3" s="530">
        <v>1</v>
      </c>
      <c r="AB3" s="530">
        <v>9999</v>
      </c>
      <c r="AC3" s="530"/>
      <c r="AD3" s="530"/>
      <c r="AE3" s="531"/>
    </row>
    <row r="4" spans="1:31" ht="14.25" customHeight="1">
      <c r="B4" s="518">
        <v>31120706</v>
      </c>
      <c r="C4" s="519" t="s">
        <v>2546</v>
      </c>
      <c r="D4" s="519">
        <v>586.1</v>
      </c>
      <c r="E4" s="519" t="s">
        <v>2630</v>
      </c>
      <c r="F4" s="519" t="s">
        <v>1320</v>
      </c>
      <c r="G4" s="520" t="s">
        <v>2140</v>
      </c>
      <c r="H4" s="519" t="s">
        <v>91</v>
      </c>
      <c r="I4" s="522">
        <v>45</v>
      </c>
      <c r="J4" s="523"/>
      <c r="K4" s="524">
        <v>309.95999999999998</v>
      </c>
      <c r="L4" s="525">
        <v>929.9443</v>
      </c>
      <c r="M4" s="525">
        <v>0</v>
      </c>
      <c r="N4" s="519">
        <v>12</v>
      </c>
      <c r="O4" s="519" t="s">
        <v>2651</v>
      </c>
      <c r="P4" s="526"/>
      <c r="Q4" s="519" t="s">
        <v>2664</v>
      </c>
      <c r="R4" s="526"/>
      <c r="S4" s="527">
        <v>44562</v>
      </c>
      <c r="T4" s="528">
        <v>2</v>
      </c>
      <c r="U4" s="526" t="s">
        <v>1253</v>
      </c>
      <c r="V4" s="529" t="s">
        <v>1861</v>
      </c>
      <c r="W4" s="530" t="s">
        <v>2529</v>
      </c>
      <c r="X4" s="530" t="s">
        <v>2490</v>
      </c>
      <c r="Y4" s="530">
        <v>176</v>
      </c>
      <c r="Z4" s="530">
        <v>300</v>
      </c>
      <c r="AA4" s="530">
        <v>1</v>
      </c>
      <c r="AB4" s="530">
        <v>9999</v>
      </c>
      <c r="AC4" s="530"/>
      <c r="AD4" s="530"/>
      <c r="AE4" s="531"/>
    </row>
    <row r="5" spans="1:31" ht="14.25" customHeight="1">
      <c r="B5" s="518">
        <v>31120707</v>
      </c>
      <c r="C5" s="519" t="s">
        <v>2547</v>
      </c>
      <c r="D5" s="519">
        <v>587.1</v>
      </c>
      <c r="E5" s="519" t="s">
        <v>2631</v>
      </c>
      <c r="F5" s="519" t="s">
        <v>1320</v>
      </c>
      <c r="G5" s="520" t="s">
        <v>2140</v>
      </c>
      <c r="H5" s="519" t="s">
        <v>91</v>
      </c>
      <c r="I5" s="522">
        <v>70</v>
      </c>
      <c r="J5" s="523"/>
      <c r="K5" s="524">
        <v>429.62</v>
      </c>
      <c r="L5" s="525">
        <v>1321.4093</v>
      </c>
      <c r="M5" s="525">
        <v>0</v>
      </c>
      <c r="N5" s="519">
        <v>12</v>
      </c>
      <c r="O5" s="519" t="s">
        <v>2651</v>
      </c>
      <c r="P5" s="526"/>
      <c r="Q5" s="519" t="s">
        <v>2665</v>
      </c>
      <c r="R5" s="526"/>
      <c r="S5" s="527">
        <v>44562</v>
      </c>
      <c r="T5" s="528">
        <v>3</v>
      </c>
      <c r="U5" s="526" t="s">
        <v>1253</v>
      </c>
      <c r="V5" s="529" t="s">
        <v>1861</v>
      </c>
      <c r="W5" s="532" t="s">
        <v>2530</v>
      </c>
      <c r="X5" s="530" t="s">
        <v>2491</v>
      </c>
      <c r="Y5" s="530">
        <v>251</v>
      </c>
      <c r="Z5" s="530">
        <v>500</v>
      </c>
      <c r="AA5" s="530">
        <v>1</v>
      </c>
      <c r="AB5" s="530">
        <v>9999</v>
      </c>
      <c r="AC5" s="530"/>
      <c r="AD5" s="530"/>
      <c r="AE5" s="531"/>
    </row>
    <row r="6" spans="1:31" ht="14.25" customHeight="1">
      <c r="B6" s="518">
        <v>31120708</v>
      </c>
      <c r="C6" s="519" t="s">
        <v>2532</v>
      </c>
      <c r="D6" s="533">
        <v>588.1</v>
      </c>
      <c r="E6" s="533" t="s">
        <v>2632</v>
      </c>
      <c r="F6" s="533" t="s">
        <v>1320</v>
      </c>
      <c r="G6" s="533" t="s">
        <v>2140</v>
      </c>
      <c r="H6" s="533" t="s">
        <v>91</v>
      </c>
      <c r="I6" s="522">
        <v>135</v>
      </c>
      <c r="J6" s="523"/>
      <c r="K6" s="524">
        <v>732.99</v>
      </c>
      <c r="L6" s="525">
        <v>3210.0565999999999</v>
      </c>
      <c r="M6" s="525">
        <v>0</v>
      </c>
      <c r="N6" s="519">
        <v>12</v>
      </c>
      <c r="O6" s="533" t="s">
        <v>2651</v>
      </c>
      <c r="P6" s="526"/>
      <c r="Q6" s="533" t="s">
        <v>2666</v>
      </c>
      <c r="R6" s="526"/>
      <c r="S6" s="534">
        <v>44562</v>
      </c>
      <c r="T6" s="535">
        <v>4</v>
      </c>
      <c r="U6" s="536" t="s">
        <v>1253</v>
      </c>
      <c r="V6" s="537" t="s">
        <v>1861</v>
      </c>
      <c r="W6" s="531" t="s">
        <v>2111</v>
      </c>
      <c r="X6" s="531" t="s">
        <v>2488</v>
      </c>
      <c r="Y6" s="531">
        <v>400</v>
      </c>
      <c r="Z6" s="530">
        <v>9999</v>
      </c>
      <c r="AA6" s="530">
        <v>1</v>
      </c>
      <c r="AB6" s="530">
        <v>9999</v>
      </c>
      <c r="AC6" s="530"/>
      <c r="AD6" s="530"/>
      <c r="AE6" s="531"/>
    </row>
    <row r="7" spans="1:31" ht="14.25" customHeight="1">
      <c r="B7" s="518">
        <v>31111115</v>
      </c>
      <c r="C7" s="529" t="s">
        <v>2555</v>
      </c>
      <c r="D7" s="538">
        <v>568.1</v>
      </c>
      <c r="E7" s="519" t="s">
        <v>2639</v>
      </c>
      <c r="F7" s="519" t="s">
        <v>1320</v>
      </c>
      <c r="G7" s="519" t="s">
        <v>1124</v>
      </c>
      <c r="H7" s="519" t="s">
        <v>91</v>
      </c>
      <c r="I7" s="522">
        <v>10</v>
      </c>
      <c r="J7" s="523"/>
      <c r="K7" s="524">
        <v>124.64</v>
      </c>
      <c r="L7" s="525">
        <v>100.8313</v>
      </c>
      <c r="M7" s="525">
        <v>2.1600000000000001E-2</v>
      </c>
      <c r="N7" s="519">
        <v>13</v>
      </c>
      <c r="O7" s="519" t="s">
        <v>2648</v>
      </c>
      <c r="P7" s="526"/>
      <c r="Q7" s="538" t="s">
        <v>2717</v>
      </c>
      <c r="R7" s="526"/>
      <c r="S7" s="527">
        <v>44562</v>
      </c>
      <c r="T7" s="528">
        <v>5</v>
      </c>
      <c r="U7" s="526" t="s">
        <v>1253</v>
      </c>
      <c r="V7" s="519" t="s">
        <v>1967</v>
      </c>
      <c r="W7" s="539" t="s">
        <v>2418</v>
      </c>
      <c r="X7" s="530" t="s">
        <v>2210</v>
      </c>
      <c r="Y7" s="530">
        <v>1</v>
      </c>
      <c r="Z7" s="530">
        <v>9999</v>
      </c>
      <c r="AA7" s="530">
        <v>1</v>
      </c>
      <c r="AB7" s="530">
        <v>9999</v>
      </c>
      <c r="AC7" s="530"/>
      <c r="AD7" s="530"/>
      <c r="AE7" s="530"/>
    </row>
    <row r="8" spans="1:31" ht="14.25" customHeight="1">
      <c r="B8" s="518">
        <v>31111116</v>
      </c>
      <c r="C8" s="529" t="s">
        <v>2719</v>
      </c>
      <c r="D8" s="538">
        <v>568.1</v>
      </c>
      <c r="E8" s="519" t="s">
        <v>2639</v>
      </c>
      <c r="F8" s="519" t="s">
        <v>1320</v>
      </c>
      <c r="G8" s="519" t="s">
        <v>1124</v>
      </c>
      <c r="H8" s="519" t="s">
        <v>91</v>
      </c>
      <c r="I8" s="522">
        <v>10</v>
      </c>
      <c r="J8" s="523"/>
      <c r="K8" s="524">
        <v>124.64</v>
      </c>
      <c r="L8" s="525">
        <v>100.8313</v>
      </c>
      <c r="M8" s="525">
        <v>2.1600000000000001E-2</v>
      </c>
      <c r="N8" s="519">
        <v>13</v>
      </c>
      <c r="O8" s="519" t="s">
        <v>2648</v>
      </c>
      <c r="P8" s="526"/>
      <c r="Q8" s="538" t="s">
        <v>2718</v>
      </c>
      <c r="R8" s="526"/>
      <c r="S8" s="527">
        <v>44562</v>
      </c>
      <c r="T8" s="528">
        <v>6</v>
      </c>
      <c r="U8" s="526" t="s">
        <v>1253</v>
      </c>
      <c r="V8" s="519" t="s">
        <v>1967</v>
      </c>
      <c r="W8" s="539" t="s">
        <v>1970</v>
      </c>
      <c r="X8" s="530" t="s">
        <v>2522</v>
      </c>
      <c r="Y8" s="530">
        <v>1</v>
      </c>
      <c r="Z8" s="530">
        <v>9999</v>
      </c>
      <c r="AA8" s="530">
        <v>1</v>
      </c>
      <c r="AB8" s="530">
        <v>9999</v>
      </c>
      <c r="AC8" s="530"/>
      <c r="AD8" s="530"/>
      <c r="AE8" s="530"/>
    </row>
    <row r="9" spans="1:31" ht="14.25" customHeight="1">
      <c r="B9" s="518">
        <v>31111112</v>
      </c>
      <c r="C9" s="529" t="s">
        <v>2721</v>
      </c>
      <c r="D9" s="519">
        <v>565.1</v>
      </c>
      <c r="E9" s="519" t="s">
        <v>2636</v>
      </c>
      <c r="F9" s="519" t="s">
        <v>1320</v>
      </c>
      <c r="G9" s="519" t="s">
        <v>1124</v>
      </c>
      <c r="H9" s="519" t="s">
        <v>91</v>
      </c>
      <c r="I9" s="522">
        <v>15</v>
      </c>
      <c r="J9" s="523"/>
      <c r="K9" s="524">
        <v>136.88999999999999</v>
      </c>
      <c r="L9" s="525">
        <v>161.3356</v>
      </c>
      <c r="M9" s="525">
        <v>3.09E-2</v>
      </c>
      <c r="N9" s="519">
        <v>11</v>
      </c>
      <c r="O9" s="519" t="s">
        <v>2648</v>
      </c>
      <c r="P9" s="526"/>
      <c r="Q9" s="519" t="s">
        <v>2654</v>
      </c>
      <c r="R9" s="526"/>
      <c r="S9" s="527">
        <v>44562</v>
      </c>
      <c r="T9" s="528">
        <v>7</v>
      </c>
      <c r="U9" s="526" t="s">
        <v>1253</v>
      </c>
      <c r="V9" s="519" t="s">
        <v>1967</v>
      </c>
      <c r="W9" s="539" t="s">
        <v>1970</v>
      </c>
      <c r="X9" s="530" t="s">
        <v>2434</v>
      </c>
      <c r="Y9" s="530">
        <v>1</v>
      </c>
      <c r="Z9" s="530">
        <v>9999</v>
      </c>
      <c r="AA9" s="530">
        <v>1</v>
      </c>
      <c r="AB9" s="530">
        <v>9999</v>
      </c>
      <c r="AC9" s="530"/>
      <c r="AD9" s="530"/>
      <c r="AE9" s="530"/>
    </row>
    <row r="10" spans="1:31" ht="14.25" customHeight="1">
      <c r="B10" s="518">
        <v>31111113</v>
      </c>
      <c r="C10" s="529" t="s">
        <v>2722</v>
      </c>
      <c r="D10" s="519">
        <v>566.1</v>
      </c>
      <c r="E10" s="519" t="s">
        <v>2637</v>
      </c>
      <c r="F10" s="519" t="s">
        <v>1320</v>
      </c>
      <c r="G10" s="519" t="s">
        <v>1124</v>
      </c>
      <c r="H10" s="519" t="s">
        <v>91</v>
      </c>
      <c r="I10" s="522">
        <v>30</v>
      </c>
      <c r="J10" s="523"/>
      <c r="K10" s="524">
        <v>152.49</v>
      </c>
      <c r="L10" s="525">
        <v>357.68880000000001</v>
      </c>
      <c r="M10" s="525">
        <v>7.2800000000000004E-2</v>
      </c>
      <c r="N10" s="519">
        <v>12</v>
      </c>
      <c r="O10" s="519" t="s">
        <v>2648</v>
      </c>
      <c r="P10" s="526"/>
      <c r="Q10" s="519" t="s">
        <v>2655</v>
      </c>
      <c r="R10" s="526"/>
      <c r="S10" s="527">
        <v>44562</v>
      </c>
      <c r="T10" s="528">
        <v>8</v>
      </c>
      <c r="U10" s="526" t="s">
        <v>1253</v>
      </c>
      <c r="V10" s="519" t="s">
        <v>1967</v>
      </c>
      <c r="W10" s="539" t="s">
        <v>1970</v>
      </c>
      <c r="X10" s="530" t="s">
        <v>2435</v>
      </c>
      <c r="Y10" s="530">
        <v>1</v>
      </c>
      <c r="Z10" s="530">
        <v>9999</v>
      </c>
      <c r="AA10" s="530">
        <v>1</v>
      </c>
      <c r="AB10" s="530">
        <v>9999</v>
      </c>
      <c r="AC10" s="530"/>
      <c r="AD10" s="530"/>
      <c r="AE10" s="530"/>
    </row>
    <row r="11" spans="1:31" ht="14.25" customHeight="1">
      <c r="B11" s="518">
        <v>31111117</v>
      </c>
      <c r="C11" s="529" t="s">
        <v>2723</v>
      </c>
      <c r="D11" s="519">
        <v>569</v>
      </c>
      <c r="E11" s="519" t="s">
        <v>2640</v>
      </c>
      <c r="F11" s="519" t="s">
        <v>1320</v>
      </c>
      <c r="G11" s="519" t="s">
        <v>1124</v>
      </c>
      <c r="H11" s="519" t="s">
        <v>91</v>
      </c>
      <c r="I11" s="522">
        <v>20</v>
      </c>
      <c r="J11" s="523"/>
      <c r="K11" s="524">
        <v>240.39</v>
      </c>
      <c r="L11" s="525">
        <v>333.04509999999999</v>
      </c>
      <c r="M11" s="525">
        <v>6.54E-2</v>
      </c>
      <c r="N11" s="519">
        <v>12</v>
      </c>
      <c r="O11" s="519" t="s">
        <v>2648</v>
      </c>
      <c r="P11" s="526"/>
      <c r="Q11" s="519" t="s">
        <v>2657</v>
      </c>
      <c r="R11" s="526"/>
      <c r="S11" s="527">
        <v>44562</v>
      </c>
      <c r="T11" s="528">
        <v>9</v>
      </c>
      <c r="U11" s="526" t="s">
        <v>1253</v>
      </c>
      <c r="V11" s="519" t="s">
        <v>1967</v>
      </c>
      <c r="W11" s="532" t="s">
        <v>2458</v>
      </c>
      <c r="X11" s="530" t="s">
        <v>2434</v>
      </c>
      <c r="Y11" s="530">
        <v>1</v>
      </c>
      <c r="Z11" s="530">
        <v>9999</v>
      </c>
      <c r="AA11" s="530">
        <v>1</v>
      </c>
      <c r="AB11" s="530">
        <v>9999</v>
      </c>
      <c r="AC11" s="530"/>
      <c r="AD11" s="530"/>
      <c r="AE11" s="530"/>
    </row>
    <row r="12" spans="1:31" ht="14.25" customHeight="1">
      <c r="B12" s="518">
        <v>31111118</v>
      </c>
      <c r="C12" s="529" t="s">
        <v>2724</v>
      </c>
      <c r="D12" s="519">
        <v>570.1</v>
      </c>
      <c r="E12" s="519" t="s">
        <v>2641</v>
      </c>
      <c r="F12" s="519" t="s">
        <v>1320</v>
      </c>
      <c r="G12" s="519" t="s">
        <v>1124</v>
      </c>
      <c r="H12" s="519" t="s">
        <v>91</v>
      </c>
      <c r="I12" s="522">
        <v>40</v>
      </c>
      <c r="J12" s="523"/>
      <c r="K12" s="524">
        <v>265.26</v>
      </c>
      <c r="L12" s="525">
        <v>536.58159999999998</v>
      </c>
      <c r="M12" s="525">
        <v>9.6100000000000005E-2</v>
      </c>
      <c r="N12" s="519">
        <v>13</v>
      </c>
      <c r="O12" s="519" t="s">
        <v>2648</v>
      </c>
      <c r="P12" s="526"/>
      <c r="Q12" s="519" t="s">
        <v>2658</v>
      </c>
      <c r="R12" s="526"/>
      <c r="S12" s="527">
        <v>44562</v>
      </c>
      <c r="T12" s="528">
        <v>10</v>
      </c>
      <c r="U12" s="526" t="s">
        <v>1253</v>
      </c>
      <c r="V12" s="519" t="s">
        <v>1967</v>
      </c>
      <c r="W12" s="532" t="s">
        <v>2458</v>
      </c>
      <c r="X12" s="530" t="s">
        <v>2435</v>
      </c>
      <c r="Y12" s="530">
        <v>1</v>
      </c>
      <c r="Z12" s="530">
        <v>9999</v>
      </c>
      <c r="AA12" s="530">
        <v>1</v>
      </c>
      <c r="AB12" s="530">
        <v>9999</v>
      </c>
      <c r="AC12" s="530"/>
      <c r="AD12" s="530"/>
      <c r="AE12" s="530"/>
    </row>
    <row r="13" spans="1:31" ht="14.25" customHeight="1">
      <c r="B13" s="518">
        <v>31111114</v>
      </c>
      <c r="C13" s="529" t="s">
        <v>2556</v>
      </c>
      <c r="D13" s="519">
        <v>567.1</v>
      </c>
      <c r="E13" s="519" t="s">
        <v>2638</v>
      </c>
      <c r="F13" s="519" t="s">
        <v>1320</v>
      </c>
      <c r="G13" s="519" t="s">
        <v>1124</v>
      </c>
      <c r="H13" s="519" t="s">
        <v>91</v>
      </c>
      <c r="I13" s="522">
        <v>35</v>
      </c>
      <c r="J13" s="523"/>
      <c r="K13" s="524">
        <v>165.33</v>
      </c>
      <c r="L13" s="525">
        <v>548.30970000000002</v>
      </c>
      <c r="M13" s="525">
        <v>9.7799999999999998E-2</v>
      </c>
      <c r="N13" s="519">
        <v>10</v>
      </c>
      <c r="O13" s="519" t="s">
        <v>2648</v>
      </c>
      <c r="P13" s="526"/>
      <c r="Q13" s="519" t="s">
        <v>2656</v>
      </c>
      <c r="R13" s="526"/>
      <c r="S13" s="527">
        <v>44562</v>
      </c>
      <c r="T13" s="528">
        <v>11</v>
      </c>
      <c r="U13" s="526" t="s">
        <v>1253</v>
      </c>
      <c r="V13" s="519" t="s">
        <v>1967</v>
      </c>
      <c r="W13" s="539" t="s">
        <v>1970</v>
      </c>
      <c r="X13" s="530" t="s">
        <v>2211</v>
      </c>
      <c r="Y13" s="530">
        <v>1</v>
      </c>
      <c r="Z13" s="530">
        <v>9999</v>
      </c>
      <c r="AA13" s="530">
        <v>1</v>
      </c>
      <c r="AB13" s="530">
        <v>9999</v>
      </c>
      <c r="AC13" s="530"/>
      <c r="AD13" s="530"/>
      <c r="AE13" s="530"/>
    </row>
    <row r="14" spans="1:31" ht="14.25" customHeight="1">
      <c r="B14" s="518">
        <v>31111135</v>
      </c>
      <c r="C14" s="519" t="s">
        <v>2892</v>
      </c>
      <c r="D14" s="540">
        <v>607</v>
      </c>
      <c r="E14" s="519" t="s">
        <v>2895</v>
      </c>
      <c r="F14" s="519" t="s">
        <v>1320</v>
      </c>
      <c r="G14" s="519" t="s">
        <v>1124</v>
      </c>
      <c r="H14" s="519" t="s">
        <v>3015</v>
      </c>
      <c r="I14" s="522">
        <v>3</v>
      </c>
      <c r="J14" s="523"/>
      <c r="K14" s="524">
        <v>12</v>
      </c>
      <c r="L14" s="525">
        <v>13.587199999999999</v>
      </c>
      <c r="M14" s="525">
        <v>3.5999999999999999E-3</v>
      </c>
      <c r="N14" s="519">
        <v>11</v>
      </c>
      <c r="O14" s="519" t="s">
        <v>2898</v>
      </c>
      <c r="P14" s="526">
        <v>9</v>
      </c>
      <c r="Q14" s="519" t="s">
        <v>2899</v>
      </c>
      <c r="R14" s="526">
        <v>13</v>
      </c>
      <c r="S14" s="527">
        <v>44958</v>
      </c>
      <c r="T14" s="528">
        <v>12</v>
      </c>
      <c r="U14" s="526" t="s">
        <v>1253</v>
      </c>
      <c r="V14" s="519" t="s">
        <v>3018</v>
      </c>
      <c r="W14" s="532" t="s">
        <v>570</v>
      </c>
      <c r="X14" s="530" t="s">
        <v>570</v>
      </c>
      <c r="Y14" s="530">
        <v>1</v>
      </c>
      <c r="Z14" s="530">
        <v>9999</v>
      </c>
      <c r="AA14" s="530">
        <v>1</v>
      </c>
      <c r="AB14" s="530">
        <v>9</v>
      </c>
      <c r="AC14" s="530"/>
      <c r="AD14" s="530"/>
      <c r="AE14" s="530"/>
    </row>
    <row r="15" spans="1:31" ht="14.25" customHeight="1">
      <c r="B15" s="518">
        <v>31111136</v>
      </c>
      <c r="C15" s="519" t="s">
        <v>2893</v>
      </c>
      <c r="D15" s="540">
        <v>608</v>
      </c>
      <c r="E15" s="519" t="s">
        <v>2896</v>
      </c>
      <c r="F15" s="519" t="s">
        <v>1320</v>
      </c>
      <c r="G15" s="519" t="s">
        <v>1124</v>
      </c>
      <c r="H15" s="519" t="s">
        <v>3015</v>
      </c>
      <c r="I15" s="522">
        <v>4</v>
      </c>
      <c r="J15" s="523"/>
      <c r="K15" s="524">
        <v>15</v>
      </c>
      <c r="L15" s="525">
        <v>30.571200000000001</v>
      </c>
      <c r="M15" s="525">
        <v>8.2000000000000007E-3</v>
      </c>
      <c r="N15" s="519">
        <v>11</v>
      </c>
      <c r="O15" s="519" t="s">
        <v>2898</v>
      </c>
      <c r="P15" s="526">
        <v>12</v>
      </c>
      <c r="Q15" s="519" t="s">
        <v>2900</v>
      </c>
      <c r="R15" s="526">
        <v>21</v>
      </c>
      <c r="S15" s="527">
        <v>44958</v>
      </c>
      <c r="T15" s="528">
        <v>13</v>
      </c>
      <c r="U15" s="526" t="s">
        <v>1253</v>
      </c>
      <c r="V15" s="519" t="s">
        <v>3018</v>
      </c>
      <c r="W15" s="532" t="s">
        <v>570</v>
      </c>
      <c r="X15" s="530" t="s">
        <v>570</v>
      </c>
      <c r="Y15" s="530">
        <v>10</v>
      </c>
      <c r="Z15" s="530">
        <v>9999</v>
      </c>
      <c r="AA15" s="530">
        <v>10</v>
      </c>
      <c r="AB15" s="530">
        <v>15</v>
      </c>
      <c r="AC15" s="530"/>
      <c r="AD15" s="530"/>
      <c r="AE15" s="530"/>
    </row>
    <row r="16" spans="1:31" ht="14.25" customHeight="1">
      <c r="B16" s="518">
        <v>31111137</v>
      </c>
      <c r="C16" s="519" t="s">
        <v>2894</v>
      </c>
      <c r="D16" s="540">
        <v>609</v>
      </c>
      <c r="E16" s="519" t="s">
        <v>2897</v>
      </c>
      <c r="F16" s="519" t="s">
        <v>1320</v>
      </c>
      <c r="G16" s="519" t="s">
        <v>1124</v>
      </c>
      <c r="H16" s="519" t="s">
        <v>3015</v>
      </c>
      <c r="I16" s="522">
        <v>5</v>
      </c>
      <c r="J16" s="523"/>
      <c r="K16" s="524">
        <v>18</v>
      </c>
      <c r="L16" s="525">
        <v>33.968000000000004</v>
      </c>
      <c r="M16" s="525">
        <v>9.1000000000000004E-3</v>
      </c>
      <c r="N16" s="519">
        <v>11</v>
      </c>
      <c r="O16" s="519" t="s">
        <v>2898</v>
      </c>
      <c r="P16" s="526">
        <v>16</v>
      </c>
      <c r="Q16" s="519" t="s">
        <v>2901</v>
      </c>
      <c r="R16" s="526">
        <v>26</v>
      </c>
      <c r="S16" s="527">
        <v>44958</v>
      </c>
      <c r="T16" s="528">
        <v>14</v>
      </c>
      <c r="U16" s="526" t="s">
        <v>1253</v>
      </c>
      <c r="V16" s="519" t="s">
        <v>3018</v>
      </c>
      <c r="W16" s="532" t="s">
        <v>570</v>
      </c>
      <c r="X16" s="530" t="s">
        <v>570</v>
      </c>
      <c r="Y16" s="530">
        <v>16</v>
      </c>
      <c r="Z16" s="530">
        <v>9999</v>
      </c>
      <c r="AA16" s="530">
        <v>16</v>
      </c>
      <c r="AB16" s="530">
        <v>9999</v>
      </c>
      <c r="AC16" s="530"/>
      <c r="AD16" s="530"/>
      <c r="AE16" s="530"/>
    </row>
    <row r="17" spans="2:31" ht="14.25" customHeight="1">
      <c r="B17" s="533" t="s">
        <v>1544</v>
      </c>
      <c r="C17" s="519" t="s">
        <v>2483</v>
      </c>
      <c r="D17" s="519">
        <v>167.5</v>
      </c>
      <c r="E17" s="519" t="s">
        <v>2619</v>
      </c>
      <c r="F17" s="519" t="s">
        <v>1320</v>
      </c>
      <c r="G17" s="519" t="s">
        <v>1124</v>
      </c>
      <c r="H17" s="519" t="s">
        <v>3015</v>
      </c>
      <c r="I17" s="524">
        <v>2</v>
      </c>
      <c r="J17" s="523"/>
      <c r="K17" s="524">
        <v>14</v>
      </c>
      <c r="L17" s="525">
        <v>20.486000000000001</v>
      </c>
      <c r="M17" s="525">
        <v>5.4000000000000003E-3</v>
      </c>
      <c r="N17" s="519">
        <v>16</v>
      </c>
      <c r="O17" s="519" t="s">
        <v>2142</v>
      </c>
      <c r="P17" s="526">
        <v>9</v>
      </c>
      <c r="Q17" s="519" t="s">
        <v>2143</v>
      </c>
      <c r="R17" s="526">
        <v>15</v>
      </c>
      <c r="S17" s="527">
        <v>44562</v>
      </c>
      <c r="T17" s="528">
        <v>15</v>
      </c>
      <c r="U17" s="526" t="s">
        <v>1253</v>
      </c>
      <c r="V17" s="519" t="s">
        <v>1244</v>
      </c>
      <c r="W17" s="539" t="s">
        <v>2418</v>
      </c>
      <c r="X17" s="530" t="s">
        <v>1925</v>
      </c>
      <c r="Y17" s="530">
        <v>1</v>
      </c>
      <c r="Z17" s="530">
        <v>9999</v>
      </c>
      <c r="AA17" s="530">
        <v>1</v>
      </c>
      <c r="AB17" s="530">
        <v>9999</v>
      </c>
      <c r="AC17" s="530"/>
      <c r="AD17" s="530"/>
      <c r="AE17" s="530"/>
    </row>
    <row r="18" spans="2:31" ht="14.25" customHeight="1">
      <c r="B18" s="533" t="s">
        <v>1548</v>
      </c>
      <c r="C18" s="519" t="s">
        <v>2482</v>
      </c>
      <c r="D18" s="519">
        <v>166.6</v>
      </c>
      <c r="E18" s="519" t="s">
        <v>2618</v>
      </c>
      <c r="F18" s="519" t="s">
        <v>1320</v>
      </c>
      <c r="G18" s="519" t="s">
        <v>1124</v>
      </c>
      <c r="H18" s="519" t="s">
        <v>3015</v>
      </c>
      <c r="I18" s="522">
        <v>2</v>
      </c>
      <c r="J18" s="523"/>
      <c r="K18" s="524">
        <v>14</v>
      </c>
      <c r="L18" s="525">
        <v>47.649700000000003</v>
      </c>
      <c r="M18" s="525">
        <v>1.2200000000000001E-2</v>
      </c>
      <c r="N18" s="519">
        <v>13</v>
      </c>
      <c r="O18" s="519" t="s">
        <v>2144</v>
      </c>
      <c r="P18" s="526">
        <v>14.2</v>
      </c>
      <c r="Q18" s="519" t="s">
        <v>2145</v>
      </c>
      <c r="R18" s="526">
        <v>28.2</v>
      </c>
      <c r="S18" s="527">
        <v>44562</v>
      </c>
      <c r="T18" s="528">
        <v>16</v>
      </c>
      <c r="U18" s="526" t="s">
        <v>1253</v>
      </c>
      <c r="V18" s="519" t="s">
        <v>1244</v>
      </c>
      <c r="W18" s="539" t="s">
        <v>2418</v>
      </c>
      <c r="X18" s="530" t="s">
        <v>1926</v>
      </c>
      <c r="Y18" s="530">
        <v>1</v>
      </c>
      <c r="Z18" s="530">
        <v>9999</v>
      </c>
      <c r="AA18" s="530">
        <v>1</v>
      </c>
      <c r="AB18" s="530">
        <v>9999</v>
      </c>
      <c r="AC18" s="530"/>
      <c r="AD18" s="530"/>
      <c r="AE18" s="530"/>
    </row>
    <row r="19" spans="2:31" ht="14.25" customHeight="1">
      <c r="B19" s="533" t="s">
        <v>1547</v>
      </c>
      <c r="C19" s="519" t="s">
        <v>2484</v>
      </c>
      <c r="D19" s="533">
        <v>313.5</v>
      </c>
      <c r="E19" s="533" t="s">
        <v>2620</v>
      </c>
      <c r="F19" s="533" t="s">
        <v>1320</v>
      </c>
      <c r="G19" s="533" t="s">
        <v>1124</v>
      </c>
      <c r="H19" s="533" t="s">
        <v>3015</v>
      </c>
      <c r="I19" s="522">
        <v>4</v>
      </c>
      <c r="J19" s="523"/>
      <c r="K19" s="524">
        <v>13</v>
      </c>
      <c r="L19" s="525">
        <v>93.623400000000004</v>
      </c>
      <c r="M19" s="525">
        <v>2.1000000000000001E-2</v>
      </c>
      <c r="N19" s="519">
        <v>14</v>
      </c>
      <c r="O19" s="533" t="s">
        <v>2146</v>
      </c>
      <c r="P19" s="526">
        <v>36.299999999999997</v>
      </c>
      <c r="Q19" s="533" t="s">
        <v>2147</v>
      </c>
      <c r="R19" s="526">
        <v>59.5</v>
      </c>
      <c r="S19" s="534">
        <v>44562</v>
      </c>
      <c r="T19" s="528">
        <v>17</v>
      </c>
      <c r="U19" s="536" t="s">
        <v>1253</v>
      </c>
      <c r="V19" s="533" t="s">
        <v>1244</v>
      </c>
      <c r="W19" s="541" t="s">
        <v>1970</v>
      </c>
      <c r="X19" s="531" t="s">
        <v>1927</v>
      </c>
      <c r="Y19" s="531">
        <v>1</v>
      </c>
      <c r="Z19" s="531">
        <v>9999</v>
      </c>
      <c r="AA19" s="531">
        <v>1</v>
      </c>
      <c r="AB19" s="531">
        <v>9999</v>
      </c>
      <c r="AC19" s="531"/>
      <c r="AD19" s="530"/>
      <c r="AE19" s="530"/>
    </row>
    <row r="20" spans="2:31" ht="14.25" customHeight="1">
      <c r="B20" s="518">
        <v>31111122</v>
      </c>
      <c r="C20" s="529" t="s">
        <v>2557</v>
      </c>
      <c r="D20" s="538">
        <v>574.1</v>
      </c>
      <c r="E20" s="519" t="s">
        <v>2645</v>
      </c>
      <c r="F20" s="519" t="s">
        <v>1320</v>
      </c>
      <c r="G20" s="519" t="s">
        <v>1124</v>
      </c>
      <c r="H20" s="519" t="s">
        <v>3016</v>
      </c>
      <c r="I20" s="522">
        <v>10</v>
      </c>
      <c r="J20" s="523"/>
      <c r="K20" s="524">
        <v>96.93</v>
      </c>
      <c r="L20" s="525">
        <v>139.42019999999999</v>
      </c>
      <c r="M20" s="525">
        <v>2.9700000000000001E-2</v>
      </c>
      <c r="N20" s="519">
        <v>13</v>
      </c>
      <c r="O20" s="519" t="s">
        <v>2649</v>
      </c>
      <c r="P20" s="526"/>
      <c r="Q20" s="538" t="s">
        <v>2717</v>
      </c>
      <c r="R20" s="526"/>
      <c r="S20" s="527">
        <v>44562</v>
      </c>
      <c r="T20" s="528">
        <v>18</v>
      </c>
      <c r="U20" s="526" t="s">
        <v>1253</v>
      </c>
      <c r="V20" s="519" t="s">
        <v>2543</v>
      </c>
      <c r="W20" s="539" t="s">
        <v>2418</v>
      </c>
      <c r="X20" s="530" t="s">
        <v>2210</v>
      </c>
      <c r="Y20" s="530">
        <v>1</v>
      </c>
      <c r="Z20" s="530">
        <v>9999</v>
      </c>
      <c r="AA20" s="530">
        <v>1</v>
      </c>
      <c r="AB20" s="530">
        <v>9999</v>
      </c>
      <c r="AC20" s="530"/>
      <c r="AD20" s="530"/>
      <c r="AE20" s="530"/>
    </row>
    <row r="21" spans="2:31" ht="14.25" customHeight="1">
      <c r="B21" s="518">
        <v>31111123</v>
      </c>
      <c r="C21" s="529" t="s">
        <v>2720</v>
      </c>
      <c r="D21" s="538">
        <v>574.1</v>
      </c>
      <c r="E21" s="533" t="s">
        <v>2645</v>
      </c>
      <c r="F21" s="519" t="s">
        <v>1320</v>
      </c>
      <c r="G21" s="519" t="s">
        <v>1124</v>
      </c>
      <c r="H21" s="519" t="s">
        <v>3016</v>
      </c>
      <c r="I21" s="522">
        <v>10</v>
      </c>
      <c r="J21" s="523"/>
      <c r="K21" s="524">
        <v>96.93</v>
      </c>
      <c r="L21" s="525">
        <v>139.42019999999999</v>
      </c>
      <c r="M21" s="525">
        <v>2.9700000000000001E-2</v>
      </c>
      <c r="N21" s="519">
        <v>13</v>
      </c>
      <c r="O21" s="519" t="s">
        <v>2649</v>
      </c>
      <c r="P21" s="526"/>
      <c r="Q21" s="538" t="s">
        <v>2718</v>
      </c>
      <c r="R21" s="526"/>
      <c r="S21" s="527">
        <v>44562</v>
      </c>
      <c r="T21" s="528">
        <v>19</v>
      </c>
      <c r="U21" s="526" t="s">
        <v>1253</v>
      </c>
      <c r="V21" s="519" t="s">
        <v>2543</v>
      </c>
      <c r="W21" s="539" t="s">
        <v>1970</v>
      </c>
      <c r="X21" s="530" t="s">
        <v>2522</v>
      </c>
      <c r="Y21" s="530">
        <v>1</v>
      </c>
      <c r="Z21" s="530">
        <v>9999</v>
      </c>
      <c r="AA21" s="530">
        <v>1</v>
      </c>
      <c r="AB21" s="530">
        <v>9999</v>
      </c>
      <c r="AC21" s="530"/>
      <c r="AD21" s="530"/>
      <c r="AE21" s="530"/>
    </row>
    <row r="22" spans="2:31" ht="14.25" customHeight="1">
      <c r="B22" s="518">
        <v>31111119</v>
      </c>
      <c r="C22" s="529" t="s">
        <v>2725</v>
      </c>
      <c r="D22" s="519">
        <v>571.1</v>
      </c>
      <c r="E22" s="519" t="s">
        <v>2642</v>
      </c>
      <c r="F22" s="519" t="s">
        <v>1320</v>
      </c>
      <c r="G22" s="519" t="s">
        <v>1124</v>
      </c>
      <c r="H22" s="519" t="s">
        <v>3016</v>
      </c>
      <c r="I22" s="522">
        <v>10</v>
      </c>
      <c r="J22" s="523"/>
      <c r="K22" s="524">
        <v>108.09</v>
      </c>
      <c r="L22" s="525">
        <v>203.74299999999999</v>
      </c>
      <c r="M22" s="525">
        <v>3.6299999999999999E-2</v>
      </c>
      <c r="N22" s="519">
        <v>12</v>
      </c>
      <c r="O22" s="519" t="s">
        <v>2649</v>
      </c>
      <c r="P22" s="526"/>
      <c r="Q22" s="519" t="s">
        <v>2654</v>
      </c>
      <c r="R22" s="526"/>
      <c r="S22" s="527">
        <v>44562</v>
      </c>
      <c r="T22" s="528">
        <v>20</v>
      </c>
      <c r="U22" s="526" t="s">
        <v>1253</v>
      </c>
      <c r="V22" s="519" t="s">
        <v>2543</v>
      </c>
      <c r="W22" s="539" t="s">
        <v>1970</v>
      </c>
      <c r="X22" s="530" t="s">
        <v>2434</v>
      </c>
      <c r="Y22" s="530">
        <v>1</v>
      </c>
      <c r="Z22" s="530">
        <v>9999</v>
      </c>
      <c r="AA22" s="530">
        <v>1</v>
      </c>
      <c r="AB22" s="530">
        <v>9999</v>
      </c>
      <c r="AC22" s="530"/>
      <c r="AD22" s="530"/>
      <c r="AE22" s="530"/>
    </row>
    <row r="23" spans="2:31" ht="14.25" customHeight="1">
      <c r="B23" s="518">
        <v>31111120</v>
      </c>
      <c r="C23" s="529" t="s">
        <v>2726</v>
      </c>
      <c r="D23" s="519">
        <v>572.1</v>
      </c>
      <c r="E23" s="519" t="s">
        <v>2643</v>
      </c>
      <c r="F23" s="519" t="s">
        <v>1320</v>
      </c>
      <c r="G23" s="519" t="s">
        <v>1124</v>
      </c>
      <c r="H23" s="519" t="s">
        <v>3016</v>
      </c>
      <c r="I23" s="522">
        <v>20</v>
      </c>
      <c r="J23" s="523"/>
      <c r="K23" s="524">
        <v>114.83</v>
      </c>
      <c r="L23" s="525">
        <v>392.79270000000002</v>
      </c>
      <c r="M23" s="525">
        <v>7.8100000000000003E-2</v>
      </c>
      <c r="N23" s="519">
        <v>12</v>
      </c>
      <c r="O23" s="519" t="s">
        <v>2649</v>
      </c>
      <c r="P23" s="526"/>
      <c r="Q23" s="519" t="s">
        <v>2655</v>
      </c>
      <c r="R23" s="526"/>
      <c r="S23" s="527">
        <v>44562</v>
      </c>
      <c r="T23" s="528">
        <v>21</v>
      </c>
      <c r="U23" s="526" t="s">
        <v>1253</v>
      </c>
      <c r="V23" s="519" t="s">
        <v>2543</v>
      </c>
      <c r="W23" s="539" t="s">
        <v>1970</v>
      </c>
      <c r="X23" s="530" t="s">
        <v>2435</v>
      </c>
      <c r="Y23" s="530">
        <v>1</v>
      </c>
      <c r="Z23" s="530">
        <v>9999</v>
      </c>
      <c r="AA23" s="530">
        <v>1</v>
      </c>
      <c r="AB23" s="530">
        <v>9999</v>
      </c>
      <c r="AC23" s="530"/>
      <c r="AD23" s="530"/>
      <c r="AE23" s="530"/>
    </row>
    <row r="24" spans="2:31" ht="14.25" customHeight="1">
      <c r="B24" s="518">
        <v>31111124</v>
      </c>
      <c r="C24" s="529" t="s">
        <v>2727</v>
      </c>
      <c r="D24" s="519">
        <v>575</v>
      </c>
      <c r="E24" s="519" t="s">
        <v>2646</v>
      </c>
      <c r="F24" s="519" t="s">
        <v>1320</v>
      </c>
      <c r="G24" s="519" t="s">
        <v>1124</v>
      </c>
      <c r="H24" s="519" t="s">
        <v>3016</v>
      </c>
      <c r="I24" s="522">
        <v>10</v>
      </c>
      <c r="J24" s="523"/>
      <c r="K24" s="524">
        <v>63.7</v>
      </c>
      <c r="L24" s="525">
        <v>120.16630000000001</v>
      </c>
      <c r="M24" s="525">
        <v>2.3599999999999999E-2</v>
      </c>
      <c r="N24" s="519">
        <v>12</v>
      </c>
      <c r="O24" s="519" t="s">
        <v>2649</v>
      </c>
      <c r="P24" s="526"/>
      <c r="Q24" s="519" t="s">
        <v>2657</v>
      </c>
      <c r="R24" s="526"/>
      <c r="S24" s="527">
        <v>44562</v>
      </c>
      <c r="T24" s="528">
        <v>22</v>
      </c>
      <c r="U24" s="526" t="s">
        <v>1253</v>
      </c>
      <c r="V24" s="519" t="s">
        <v>2543</v>
      </c>
      <c r="W24" s="530" t="s">
        <v>2458</v>
      </c>
      <c r="X24" s="530" t="s">
        <v>2434</v>
      </c>
      <c r="Y24" s="530">
        <v>1</v>
      </c>
      <c r="Z24" s="530">
        <v>9999</v>
      </c>
      <c r="AA24" s="530">
        <v>1</v>
      </c>
      <c r="AB24" s="530">
        <v>9999</v>
      </c>
      <c r="AC24" s="530"/>
      <c r="AD24" s="530"/>
      <c r="AE24" s="530"/>
    </row>
    <row r="25" spans="2:31" ht="14.25" customHeight="1">
      <c r="B25" s="518">
        <v>31111125</v>
      </c>
      <c r="C25" s="529" t="s">
        <v>2728</v>
      </c>
      <c r="D25" s="519">
        <v>576.1</v>
      </c>
      <c r="E25" s="519" t="s">
        <v>2647</v>
      </c>
      <c r="F25" s="519" t="s">
        <v>1320</v>
      </c>
      <c r="G25" s="519" t="s">
        <v>1124</v>
      </c>
      <c r="H25" s="519" t="s">
        <v>3016</v>
      </c>
      <c r="I25" s="522">
        <v>35</v>
      </c>
      <c r="J25" s="523"/>
      <c r="K25" s="524">
        <v>210.68</v>
      </c>
      <c r="L25" s="525">
        <v>984.87400000000002</v>
      </c>
      <c r="M25" s="525">
        <v>0.22140000000000001</v>
      </c>
      <c r="N25" s="519">
        <v>14</v>
      </c>
      <c r="O25" s="519" t="s">
        <v>2649</v>
      </c>
      <c r="P25" s="526"/>
      <c r="Q25" s="519" t="s">
        <v>2658</v>
      </c>
      <c r="R25" s="526"/>
      <c r="S25" s="527">
        <v>44562</v>
      </c>
      <c r="T25" s="528">
        <v>23</v>
      </c>
      <c r="U25" s="526" t="s">
        <v>1253</v>
      </c>
      <c r="V25" s="519" t="s">
        <v>2543</v>
      </c>
      <c r="W25" s="530" t="s">
        <v>2458</v>
      </c>
      <c r="X25" s="530" t="s">
        <v>2435</v>
      </c>
      <c r="Y25" s="530">
        <v>1</v>
      </c>
      <c r="Z25" s="530">
        <v>9999</v>
      </c>
      <c r="AA25" s="530">
        <v>1</v>
      </c>
      <c r="AB25" s="530">
        <v>9999</v>
      </c>
      <c r="AC25" s="530"/>
      <c r="AD25" s="530"/>
      <c r="AE25" s="530"/>
    </row>
    <row r="26" spans="2:31" ht="14.25" customHeight="1">
      <c r="B26" s="518">
        <v>31111121</v>
      </c>
      <c r="C26" s="529" t="s">
        <v>2558</v>
      </c>
      <c r="D26" s="519">
        <v>573.1</v>
      </c>
      <c r="E26" s="519" t="s">
        <v>2644</v>
      </c>
      <c r="F26" s="519" t="s">
        <v>1320</v>
      </c>
      <c r="G26" s="519" t="s">
        <v>1124</v>
      </c>
      <c r="H26" s="519" t="s">
        <v>3016</v>
      </c>
      <c r="I26" s="522">
        <v>25</v>
      </c>
      <c r="J26" s="523"/>
      <c r="K26" s="524">
        <v>110.18</v>
      </c>
      <c r="L26" s="525">
        <v>370.42419999999998</v>
      </c>
      <c r="M26" s="525">
        <v>6.6400000000000001E-2</v>
      </c>
      <c r="N26" s="519">
        <v>12</v>
      </c>
      <c r="O26" s="519" t="s">
        <v>2649</v>
      </c>
      <c r="P26" s="526"/>
      <c r="Q26" s="519" t="s">
        <v>2656</v>
      </c>
      <c r="R26" s="526"/>
      <c r="S26" s="527">
        <v>44562</v>
      </c>
      <c r="T26" s="528">
        <v>24</v>
      </c>
      <c r="U26" s="526" t="s">
        <v>1253</v>
      </c>
      <c r="V26" s="519" t="s">
        <v>2543</v>
      </c>
      <c r="W26" s="519" t="s">
        <v>1970</v>
      </c>
      <c r="X26" s="530" t="s">
        <v>2211</v>
      </c>
      <c r="Y26" s="530">
        <v>1</v>
      </c>
      <c r="Z26" s="530">
        <v>9999</v>
      </c>
      <c r="AA26" s="530">
        <v>1</v>
      </c>
      <c r="AB26" s="530">
        <v>9999</v>
      </c>
      <c r="AC26" s="530"/>
      <c r="AD26" s="530"/>
      <c r="AE26" s="530"/>
    </row>
    <row r="27" spans="2:31" ht="14.25" customHeight="1">
      <c r="B27" s="518">
        <v>31111130</v>
      </c>
      <c r="C27" s="519" t="s">
        <v>2548</v>
      </c>
      <c r="D27" s="519">
        <v>581.1</v>
      </c>
      <c r="E27" s="519" t="s">
        <v>2625</v>
      </c>
      <c r="F27" s="519" t="s">
        <v>1320</v>
      </c>
      <c r="G27" s="519" t="s">
        <v>1124</v>
      </c>
      <c r="H27" s="519" t="s">
        <v>91</v>
      </c>
      <c r="I27" s="522">
        <v>25</v>
      </c>
      <c r="J27" s="523"/>
      <c r="K27" s="524">
        <v>181.34</v>
      </c>
      <c r="L27" s="525">
        <v>883.29110000000003</v>
      </c>
      <c r="M27" s="525">
        <v>0.16089999999999999</v>
      </c>
      <c r="N27" s="519">
        <v>11</v>
      </c>
      <c r="O27" s="519" t="s">
        <v>2650</v>
      </c>
      <c r="P27" s="526"/>
      <c r="Q27" s="519" t="s">
        <v>2659</v>
      </c>
      <c r="R27" s="526"/>
      <c r="S27" s="527">
        <v>44562</v>
      </c>
      <c r="T27" s="528">
        <v>25</v>
      </c>
      <c r="U27" s="526" t="s">
        <v>1253</v>
      </c>
      <c r="V27" s="519" t="s">
        <v>1966</v>
      </c>
      <c r="W27" s="530" t="s">
        <v>1909</v>
      </c>
      <c r="X27" s="519" t="s">
        <v>2497</v>
      </c>
      <c r="Y27" s="530">
        <v>150</v>
      </c>
      <c r="Z27" s="530">
        <v>350</v>
      </c>
      <c r="AA27" s="530">
        <v>1</v>
      </c>
      <c r="AB27" s="530">
        <v>9999</v>
      </c>
      <c r="AC27" s="530"/>
      <c r="AD27" s="530"/>
      <c r="AE27" s="530"/>
    </row>
    <row r="28" spans="2:31" ht="14.25" customHeight="1">
      <c r="B28" s="518">
        <v>31111131</v>
      </c>
      <c r="C28" s="519" t="s">
        <v>2549</v>
      </c>
      <c r="D28" s="519">
        <v>582.1</v>
      </c>
      <c r="E28" s="519" t="s">
        <v>2626</v>
      </c>
      <c r="F28" s="519" t="s">
        <v>1320</v>
      </c>
      <c r="G28" s="519" t="s">
        <v>1124</v>
      </c>
      <c r="H28" s="519" t="s">
        <v>91</v>
      </c>
      <c r="I28" s="522">
        <v>40</v>
      </c>
      <c r="J28" s="523"/>
      <c r="K28" s="524">
        <v>279.56</v>
      </c>
      <c r="L28" s="525">
        <v>1236.9783</v>
      </c>
      <c r="M28" s="525">
        <v>0.25430000000000003</v>
      </c>
      <c r="N28" s="519">
        <v>13</v>
      </c>
      <c r="O28" s="519" t="s">
        <v>2650</v>
      </c>
      <c r="P28" s="526"/>
      <c r="Q28" s="519" t="s">
        <v>2660</v>
      </c>
      <c r="R28" s="526"/>
      <c r="S28" s="527">
        <v>44562</v>
      </c>
      <c r="T28" s="528">
        <v>26</v>
      </c>
      <c r="U28" s="526" t="s">
        <v>1253</v>
      </c>
      <c r="V28" s="519" t="s">
        <v>1966</v>
      </c>
      <c r="W28" s="530" t="s">
        <v>1909</v>
      </c>
      <c r="X28" s="530" t="s">
        <v>2498</v>
      </c>
      <c r="Y28" s="530">
        <v>301</v>
      </c>
      <c r="Z28" s="530">
        <v>500</v>
      </c>
      <c r="AA28" s="530">
        <v>1</v>
      </c>
      <c r="AB28" s="530">
        <v>9999</v>
      </c>
      <c r="AC28" s="530"/>
      <c r="AD28" s="530"/>
      <c r="AE28" s="530"/>
    </row>
    <row r="29" spans="2:31" ht="14.25" customHeight="1">
      <c r="B29" s="518">
        <v>31111132</v>
      </c>
      <c r="C29" s="519" t="s">
        <v>2550</v>
      </c>
      <c r="D29" s="519">
        <v>583</v>
      </c>
      <c r="E29" s="519" t="s">
        <v>2627</v>
      </c>
      <c r="F29" s="519" t="s">
        <v>1320</v>
      </c>
      <c r="G29" s="519" t="s">
        <v>1124</v>
      </c>
      <c r="H29" s="519" t="s">
        <v>91</v>
      </c>
      <c r="I29" s="522">
        <v>60</v>
      </c>
      <c r="J29" s="523"/>
      <c r="K29" s="524">
        <v>606.89</v>
      </c>
      <c r="L29" s="525">
        <v>2295.3110999999999</v>
      </c>
      <c r="M29" s="525">
        <v>0.45100000000000001</v>
      </c>
      <c r="N29" s="519">
        <v>11</v>
      </c>
      <c r="O29" s="519" t="s">
        <v>2650</v>
      </c>
      <c r="P29" s="526"/>
      <c r="Q29" s="519" t="s">
        <v>2661</v>
      </c>
      <c r="R29" s="526"/>
      <c r="S29" s="527">
        <v>44562</v>
      </c>
      <c r="T29" s="528">
        <v>27</v>
      </c>
      <c r="U29" s="526" t="s">
        <v>1253</v>
      </c>
      <c r="V29" s="519" t="s">
        <v>1966</v>
      </c>
      <c r="W29" s="530" t="s">
        <v>1909</v>
      </c>
      <c r="X29" s="530" t="s">
        <v>2499</v>
      </c>
      <c r="Y29" s="530">
        <v>451</v>
      </c>
      <c r="Z29" s="530">
        <v>850</v>
      </c>
      <c r="AA29" s="530">
        <v>1</v>
      </c>
      <c r="AB29" s="530">
        <v>9999</v>
      </c>
      <c r="AC29" s="530"/>
      <c r="AD29" s="530"/>
      <c r="AE29" s="530"/>
    </row>
    <row r="30" spans="2:31" ht="14.25" customHeight="1">
      <c r="B30" s="518">
        <v>31111133</v>
      </c>
      <c r="C30" s="519" t="s">
        <v>2545</v>
      </c>
      <c r="D30" s="533">
        <v>584</v>
      </c>
      <c r="E30" s="533" t="s">
        <v>2628</v>
      </c>
      <c r="F30" s="533" t="s">
        <v>1320</v>
      </c>
      <c r="G30" s="533" t="s">
        <v>1124</v>
      </c>
      <c r="H30" s="533" t="s">
        <v>91</v>
      </c>
      <c r="I30" s="522">
        <v>100</v>
      </c>
      <c r="J30" s="523"/>
      <c r="K30" s="524">
        <v>487.5</v>
      </c>
      <c r="L30" s="525">
        <v>3532.9789000000001</v>
      </c>
      <c r="M30" s="525">
        <v>0.69430000000000003</v>
      </c>
      <c r="N30" s="519">
        <v>11</v>
      </c>
      <c r="O30" s="533" t="s">
        <v>2650</v>
      </c>
      <c r="P30" s="526"/>
      <c r="Q30" s="533" t="s">
        <v>2662</v>
      </c>
      <c r="R30" s="526"/>
      <c r="S30" s="534">
        <v>44562</v>
      </c>
      <c r="T30" s="528">
        <v>28</v>
      </c>
      <c r="U30" s="536" t="s">
        <v>1253</v>
      </c>
      <c r="V30" s="533" t="s">
        <v>1966</v>
      </c>
      <c r="W30" s="531" t="s">
        <v>1909</v>
      </c>
      <c r="X30" s="531" t="s">
        <v>2496</v>
      </c>
      <c r="Y30" s="531">
        <v>750</v>
      </c>
      <c r="Z30" s="531">
        <v>9999</v>
      </c>
      <c r="AA30" s="531">
        <v>1</v>
      </c>
      <c r="AB30" s="531">
        <v>9999</v>
      </c>
      <c r="AC30" s="531"/>
      <c r="AD30" s="530"/>
      <c r="AE30" s="530"/>
    </row>
    <row r="31" spans="2:31" ht="14.25" customHeight="1">
      <c r="B31" s="518">
        <v>31111126</v>
      </c>
      <c r="C31" s="519" t="s">
        <v>2551</v>
      </c>
      <c r="D31" s="519">
        <v>577.1</v>
      </c>
      <c r="E31" s="519" t="s">
        <v>2621</v>
      </c>
      <c r="F31" s="519" t="s">
        <v>1320</v>
      </c>
      <c r="G31" s="519" t="s">
        <v>1124</v>
      </c>
      <c r="H31" s="519" t="s">
        <v>91</v>
      </c>
      <c r="I31" s="522">
        <v>40</v>
      </c>
      <c r="J31" s="523"/>
      <c r="K31" s="524">
        <v>285.26</v>
      </c>
      <c r="L31" s="525">
        <v>451.11860000000001</v>
      </c>
      <c r="M31" s="525">
        <v>8.0799999999999997E-2</v>
      </c>
      <c r="N31" s="519">
        <v>11</v>
      </c>
      <c r="O31" s="519" t="s">
        <v>2648</v>
      </c>
      <c r="P31" s="526"/>
      <c r="Q31" s="519" t="s">
        <v>2659</v>
      </c>
      <c r="R31" s="526"/>
      <c r="S31" s="527">
        <v>44562</v>
      </c>
      <c r="T31" s="528">
        <v>29</v>
      </c>
      <c r="U31" s="526" t="s">
        <v>1253</v>
      </c>
      <c r="V31" s="519" t="s">
        <v>1966</v>
      </c>
      <c r="W31" s="530" t="s">
        <v>1909</v>
      </c>
      <c r="X31" s="519" t="s">
        <v>2497</v>
      </c>
      <c r="Y31" s="530">
        <v>150</v>
      </c>
      <c r="Z31" s="530">
        <v>350</v>
      </c>
      <c r="AA31" s="530">
        <v>1</v>
      </c>
      <c r="AB31" s="530">
        <v>9999</v>
      </c>
      <c r="AC31" s="530"/>
      <c r="AD31" s="530"/>
      <c r="AE31" s="530"/>
    </row>
    <row r="32" spans="2:31" ht="14.25" customHeight="1">
      <c r="B32" s="518">
        <v>31111127</v>
      </c>
      <c r="C32" s="519" t="s">
        <v>2552</v>
      </c>
      <c r="D32" s="519">
        <v>578.1</v>
      </c>
      <c r="E32" s="519" t="s">
        <v>2622</v>
      </c>
      <c r="F32" s="519" t="s">
        <v>1320</v>
      </c>
      <c r="G32" s="519" t="s">
        <v>1124</v>
      </c>
      <c r="H32" s="519" t="s">
        <v>91</v>
      </c>
      <c r="I32" s="522">
        <v>50</v>
      </c>
      <c r="J32" s="523"/>
      <c r="K32" s="524">
        <v>292.10000000000002</v>
      </c>
      <c r="L32" s="525">
        <v>1239.6823999999999</v>
      </c>
      <c r="M32" s="525">
        <v>0.22900000000000001</v>
      </c>
      <c r="N32" s="519">
        <v>12</v>
      </c>
      <c r="O32" s="519" t="s">
        <v>2648</v>
      </c>
      <c r="P32" s="526"/>
      <c r="Q32" s="519" t="s">
        <v>2660</v>
      </c>
      <c r="R32" s="526"/>
      <c r="S32" s="527">
        <v>44562</v>
      </c>
      <c r="T32" s="528">
        <v>30</v>
      </c>
      <c r="U32" s="526" t="s">
        <v>1253</v>
      </c>
      <c r="V32" s="519" t="s">
        <v>1966</v>
      </c>
      <c r="W32" s="530" t="s">
        <v>1909</v>
      </c>
      <c r="X32" s="530" t="s">
        <v>2498</v>
      </c>
      <c r="Y32" s="530">
        <v>301</v>
      </c>
      <c r="Z32" s="530">
        <v>500</v>
      </c>
      <c r="AA32" s="530">
        <v>1</v>
      </c>
      <c r="AB32" s="530">
        <v>9999</v>
      </c>
      <c r="AC32" s="530"/>
      <c r="AD32" s="530"/>
      <c r="AE32" s="530"/>
    </row>
    <row r="33" spans="2:31" ht="14.25" customHeight="1">
      <c r="B33" s="518">
        <v>31111128</v>
      </c>
      <c r="C33" s="519" t="s">
        <v>2553</v>
      </c>
      <c r="D33" s="519">
        <v>579.1</v>
      </c>
      <c r="E33" s="519" t="s">
        <v>2623</v>
      </c>
      <c r="F33" s="519" t="s">
        <v>1320</v>
      </c>
      <c r="G33" s="519" t="s">
        <v>1124</v>
      </c>
      <c r="H33" s="519" t="s">
        <v>91</v>
      </c>
      <c r="I33" s="522">
        <v>70</v>
      </c>
      <c r="J33" s="523"/>
      <c r="K33" s="524">
        <v>150</v>
      </c>
      <c r="L33" s="525">
        <v>2219.5205999999998</v>
      </c>
      <c r="M33" s="525">
        <v>0.499</v>
      </c>
      <c r="N33" s="519">
        <v>14</v>
      </c>
      <c r="O33" s="519" t="s">
        <v>2648</v>
      </c>
      <c r="P33" s="526"/>
      <c r="Q33" s="519" t="s">
        <v>2661</v>
      </c>
      <c r="R33" s="526"/>
      <c r="S33" s="527">
        <v>44562</v>
      </c>
      <c r="T33" s="528">
        <v>31</v>
      </c>
      <c r="U33" s="526" t="s">
        <v>1253</v>
      </c>
      <c r="V33" s="519" t="s">
        <v>1966</v>
      </c>
      <c r="W33" s="532" t="s">
        <v>1909</v>
      </c>
      <c r="X33" s="532" t="s">
        <v>2499</v>
      </c>
      <c r="Y33" s="530">
        <v>451</v>
      </c>
      <c r="Z33" s="530">
        <v>850</v>
      </c>
      <c r="AA33" s="530">
        <v>1</v>
      </c>
      <c r="AB33" s="530">
        <v>9999</v>
      </c>
      <c r="AC33" s="530"/>
      <c r="AD33" s="530"/>
      <c r="AE33" s="530"/>
    </row>
    <row r="34" spans="2:31" ht="14.25" customHeight="1">
      <c r="B34" s="518">
        <v>31111129</v>
      </c>
      <c r="C34" s="519" t="s">
        <v>2544</v>
      </c>
      <c r="D34" s="519">
        <v>580.1</v>
      </c>
      <c r="E34" s="519" t="s">
        <v>2624</v>
      </c>
      <c r="F34" s="519" t="s">
        <v>1320</v>
      </c>
      <c r="G34" s="519" t="s">
        <v>1124</v>
      </c>
      <c r="H34" s="519" t="s">
        <v>91</v>
      </c>
      <c r="I34" s="522">
        <v>120</v>
      </c>
      <c r="J34" s="523"/>
      <c r="K34" s="524">
        <v>412.27</v>
      </c>
      <c r="L34" s="525">
        <v>1620.0817999999999</v>
      </c>
      <c r="M34" s="525">
        <v>0.29459999999999997</v>
      </c>
      <c r="N34" s="519">
        <v>11</v>
      </c>
      <c r="O34" s="519" t="s">
        <v>2648</v>
      </c>
      <c r="P34" s="526"/>
      <c r="Q34" s="519" t="s">
        <v>2662</v>
      </c>
      <c r="R34" s="526"/>
      <c r="S34" s="527">
        <v>44562</v>
      </c>
      <c r="T34" s="528">
        <v>32</v>
      </c>
      <c r="U34" s="526" t="s">
        <v>1253</v>
      </c>
      <c r="V34" s="519" t="s">
        <v>1966</v>
      </c>
      <c r="W34" s="530" t="s">
        <v>1909</v>
      </c>
      <c r="X34" s="530" t="s">
        <v>2496</v>
      </c>
      <c r="Y34" s="530">
        <v>750</v>
      </c>
      <c r="Z34" s="530">
        <v>9999</v>
      </c>
      <c r="AA34" s="530">
        <v>1</v>
      </c>
      <c r="AB34" s="530">
        <v>9999</v>
      </c>
      <c r="AC34" s="530"/>
      <c r="AD34" s="530"/>
      <c r="AE34" s="530"/>
    </row>
    <row r="35" spans="2:31" ht="14.25" customHeight="1">
      <c r="B35" s="518">
        <v>31140804</v>
      </c>
      <c r="C35" s="519" t="s">
        <v>2533</v>
      </c>
      <c r="D35" s="519">
        <v>589.1</v>
      </c>
      <c r="E35" s="519" t="s">
        <v>2633</v>
      </c>
      <c r="F35" s="519" t="s">
        <v>1320</v>
      </c>
      <c r="G35" s="542" t="s">
        <v>2141</v>
      </c>
      <c r="H35" s="519" t="s">
        <v>91</v>
      </c>
      <c r="I35" s="522">
        <v>35</v>
      </c>
      <c r="J35" s="523"/>
      <c r="K35" s="524">
        <v>236</v>
      </c>
      <c r="L35" s="525">
        <v>585.12289999999996</v>
      </c>
      <c r="M35" s="525">
        <v>6.6699999999999995E-2</v>
      </c>
      <c r="N35" s="519">
        <v>6</v>
      </c>
      <c r="O35" s="519" t="s">
        <v>2652</v>
      </c>
      <c r="P35" s="526"/>
      <c r="Q35" s="519" t="s">
        <v>2667</v>
      </c>
      <c r="R35" s="526"/>
      <c r="S35" s="527">
        <v>44562</v>
      </c>
      <c r="T35" s="528">
        <v>33</v>
      </c>
      <c r="U35" s="526" t="s">
        <v>1253</v>
      </c>
      <c r="V35" s="519" t="s">
        <v>1860</v>
      </c>
      <c r="W35" s="530" t="s">
        <v>2500</v>
      </c>
      <c r="X35" s="519" t="s">
        <v>2493</v>
      </c>
      <c r="Y35" s="530">
        <v>1</v>
      </c>
      <c r="Z35" s="530">
        <v>130</v>
      </c>
      <c r="AA35" s="530">
        <v>1</v>
      </c>
      <c r="AB35" s="530">
        <v>9999</v>
      </c>
      <c r="AC35" s="530"/>
      <c r="AD35" s="530"/>
      <c r="AE35" s="530"/>
    </row>
    <row r="36" spans="2:31" ht="14.25" customHeight="1">
      <c r="B36" s="518">
        <v>31140805</v>
      </c>
      <c r="C36" s="519" t="s">
        <v>2554</v>
      </c>
      <c r="D36" s="519">
        <v>590.1</v>
      </c>
      <c r="E36" s="519" t="s">
        <v>2634</v>
      </c>
      <c r="F36" s="519" t="s">
        <v>1320</v>
      </c>
      <c r="G36" s="542" t="s">
        <v>2141</v>
      </c>
      <c r="H36" s="519" t="s">
        <v>91</v>
      </c>
      <c r="I36" s="522">
        <v>45</v>
      </c>
      <c r="J36" s="523"/>
      <c r="K36" s="524">
        <v>251</v>
      </c>
      <c r="L36" s="525">
        <v>715.66020000000003</v>
      </c>
      <c r="M36" s="525">
        <v>8.1600000000000006E-2</v>
      </c>
      <c r="N36" s="519">
        <v>6</v>
      </c>
      <c r="O36" s="519" t="s">
        <v>2652</v>
      </c>
      <c r="P36" s="526"/>
      <c r="Q36" s="519" t="s">
        <v>2668</v>
      </c>
      <c r="R36" s="526"/>
      <c r="S36" s="527">
        <v>44562</v>
      </c>
      <c r="T36" s="528">
        <v>34</v>
      </c>
      <c r="U36" s="526" t="s">
        <v>1253</v>
      </c>
      <c r="V36" s="519" t="s">
        <v>1860</v>
      </c>
      <c r="W36" s="530" t="s">
        <v>2529</v>
      </c>
      <c r="X36" s="519" t="s">
        <v>2495</v>
      </c>
      <c r="Y36" s="530">
        <v>101</v>
      </c>
      <c r="Z36" s="530">
        <v>210</v>
      </c>
      <c r="AA36" s="530">
        <v>1</v>
      </c>
      <c r="AB36" s="530">
        <v>9999</v>
      </c>
      <c r="AC36" s="530"/>
      <c r="AD36" s="530"/>
      <c r="AE36" s="530"/>
    </row>
    <row r="37" spans="2:31" ht="14.25" customHeight="1">
      <c r="B37" s="518">
        <v>31140806</v>
      </c>
      <c r="C37" s="519" t="s">
        <v>2534</v>
      </c>
      <c r="D37" s="519">
        <v>591.1</v>
      </c>
      <c r="E37" s="519" t="s">
        <v>2635</v>
      </c>
      <c r="F37" s="519" t="s">
        <v>1320</v>
      </c>
      <c r="G37" s="542" t="s">
        <v>2141</v>
      </c>
      <c r="H37" s="519" t="s">
        <v>91</v>
      </c>
      <c r="I37" s="522">
        <v>70</v>
      </c>
      <c r="J37" s="523"/>
      <c r="K37" s="524">
        <v>566</v>
      </c>
      <c r="L37" s="525">
        <v>2046.8610000000001</v>
      </c>
      <c r="M37" s="525">
        <v>0.23350000000000001</v>
      </c>
      <c r="N37" s="519">
        <v>6</v>
      </c>
      <c r="O37" s="519" t="s">
        <v>2652</v>
      </c>
      <c r="P37" s="526"/>
      <c r="Q37" s="519" t="s">
        <v>2669</v>
      </c>
      <c r="R37" s="526"/>
      <c r="S37" s="527">
        <v>44562</v>
      </c>
      <c r="T37" s="528">
        <v>35</v>
      </c>
      <c r="U37" s="526" t="s">
        <v>1253</v>
      </c>
      <c r="V37" s="519" t="s">
        <v>1860</v>
      </c>
      <c r="W37" s="530" t="s">
        <v>2530</v>
      </c>
      <c r="X37" s="519" t="s">
        <v>2494</v>
      </c>
      <c r="Y37" s="530">
        <v>175</v>
      </c>
      <c r="Z37" s="530">
        <v>9999</v>
      </c>
      <c r="AA37" s="530">
        <v>1</v>
      </c>
      <c r="AB37" s="530">
        <v>9999</v>
      </c>
      <c r="AC37" s="530"/>
      <c r="AD37" s="530"/>
      <c r="AE37" s="530"/>
    </row>
    <row r="38" spans="2:31" ht="14.25" customHeight="1">
      <c r="B38" s="543" t="s">
        <v>2505</v>
      </c>
      <c r="C38" s="519" t="s">
        <v>2535</v>
      </c>
      <c r="D38" s="519">
        <v>508</v>
      </c>
      <c r="E38" s="519" t="s">
        <v>2459</v>
      </c>
      <c r="F38" s="519" t="s">
        <v>1320</v>
      </c>
      <c r="G38" s="542" t="s">
        <v>2141</v>
      </c>
      <c r="H38" s="519" t="s">
        <v>3015</v>
      </c>
      <c r="I38" s="522">
        <v>3</v>
      </c>
      <c r="J38" s="523"/>
      <c r="K38" s="524">
        <v>13</v>
      </c>
      <c r="L38" s="525">
        <v>61.362000000000002</v>
      </c>
      <c r="M38" s="525">
        <v>7.0000000000000001E-3</v>
      </c>
      <c r="N38" s="519">
        <v>6</v>
      </c>
      <c r="O38" s="519" t="s">
        <v>2142</v>
      </c>
      <c r="P38" s="526">
        <v>10</v>
      </c>
      <c r="Q38" s="519" t="s">
        <v>2143</v>
      </c>
      <c r="R38" s="526">
        <v>17</v>
      </c>
      <c r="S38" s="527">
        <v>44197</v>
      </c>
      <c r="T38" s="528">
        <v>36</v>
      </c>
      <c r="U38" s="526" t="s">
        <v>1253</v>
      </c>
      <c r="V38" s="519" t="s">
        <v>1860</v>
      </c>
      <c r="W38" s="530" t="s">
        <v>2418</v>
      </c>
      <c r="X38" s="530" t="s">
        <v>1925</v>
      </c>
      <c r="Y38" s="530">
        <v>1</v>
      </c>
      <c r="Z38" s="530">
        <v>9999</v>
      </c>
      <c r="AA38" s="530">
        <v>1</v>
      </c>
      <c r="AB38" s="530">
        <v>9999</v>
      </c>
      <c r="AC38" s="530"/>
      <c r="AD38" s="530"/>
      <c r="AE38" s="530"/>
    </row>
    <row r="39" spans="2:31" ht="14.25" customHeight="1">
      <c r="B39" s="543" t="s">
        <v>2506</v>
      </c>
      <c r="C39" s="519" t="s">
        <v>2536</v>
      </c>
      <c r="D39" s="519">
        <v>509.2</v>
      </c>
      <c r="E39" s="519" t="s">
        <v>2460</v>
      </c>
      <c r="F39" s="519" t="s">
        <v>1320</v>
      </c>
      <c r="G39" s="542" t="s">
        <v>2141</v>
      </c>
      <c r="H39" s="519" t="s">
        <v>3015</v>
      </c>
      <c r="I39" s="522">
        <v>4.5</v>
      </c>
      <c r="J39" s="523"/>
      <c r="K39" s="524">
        <v>14</v>
      </c>
      <c r="L39" s="525">
        <v>89.742699999999999</v>
      </c>
      <c r="M39" s="525">
        <v>1.0200000000000001E-2</v>
      </c>
      <c r="N39" s="519">
        <v>6</v>
      </c>
      <c r="O39" s="519" t="s">
        <v>2144</v>
      </c>
      <c r="P39" s="526">
        <v>18</v>
      </c>
      <c r="Q39" s="519" t="s">
        <v>2145</v>
      </c>
      <c r="R39" s="526">
        <v>28.2</v>
      </c>
      <c r="S39" s="527">
        <v>44197</v>
      </c>
      <c r="T39" s="528">
        <v>37</v>
      </c>
      <c r="U39" s="526" t="s">
        <v>1253</v>
      </c>
      <c r="V39" s="519" t="s">
        <v>1860</v>
      </c>
      <c r="W39" s="530" t="s">
        <v>2418</v>
      </c>
      <c r="X39" s="530" t="s">
        <v>1926</v>
      </c>
      <c r="Y39" s="530">
        <v>1</v>
      </c>
      <c r="Z39" s="530">
        <v>9999</v>
      </c>
      <c r="AA39" s="530">
        <v>1</v>
      </c>
      <c r="AB39" s="530">
        <v>9999</v>
      </c>
      <c r="AC39" s="530"/>
      <c r="AD39" s="530"/>
      <c r="AE39" s="530"/>
    </row>
    <row r="40" spans="2:31" ht="14.25" customHeight="1">
      <c r="B40" s="543" t="s">
        <v>2507</v>
      </c>
      <c r="C40" s="519" t="s">
        <v>2537</v>
      </c>
      <c r="D40" s="519">
        <v>510.1</v>
      </c>
      <c r="E40" s="519" t="s">
        <v>2461</v>
      </c>
      <c r="F40" s="519" t="s">
        <v>1320</v>
      </c>
      <c r="G40" s="542" t="s">
        <v>2141</v>
      </c>
      <c r="H40" s="519" t="s">
        <v>3015</v>
      </c>
      <c r="I40" s="522">
        <v>6</v>
      </c>
      <c r="J40" s="523"/>
      <c r="K40" s="524">
        <v>13</v>
      </c>
      <c r="L40" s="525">
        <v>193.7286</v>
      </c>
      <c r="M40" s="525">
        <v>2.2100000000000002E-2</v>
      </c>
      <c r="N40" s="519">
        <v>6</v>
      </c>
      <c r="O40" s="519" t="s">
        <v>2462</v>
      </c>
      <c r="P40" s="526">
        <v>37.4</v>
      </c>
      <c r="Q40" s="519" t="s">
        <v>2147</v>
      </c>
      <c r="R40" s="526">
        <v>59.5</v>
      </c>
      <c r="S40" s="527">
        <v>44197</v>
      </c>
      <c r="T40" s="528">
        <v>38</v>
      </c>
      <c r="U40" s="526" t="s">
        <v>1253</v>
      </c>
      <c r="V40" s="519" t="s">
        <v>1860</v>
      </c>
      <c r="W40" s="519" t="s">
        <v>1970</v>
      </c>
      <c r="X40" s="530" t="s">
        <v>1927</v>
      </c>
      <c r="Y40" s="530">
        <v>1</v>
      </c>
      <c r="Z40" s="530">
        <v>9999</v>
      </c>
      <c r="AA40" s="530">
        <v>1</v>
      </c>
      <c r="AB40" s="530">
        <v>9999</v>
      </c>
      <c r="AC40" s="530"/>
      <c r="AD40" s="530"/>
      <c r="AE40" s="530"/>
    </row>
    <row r="41" spans="2:31" ht="14.25" customHeight="1">
      <c r="B41" s="543" t="s">
        <v>2504</v>
      </c>
      <c r="C41" s="519" t="s">
        <v>2457</v>
      </c>
      <c r="D41" s="533">
        <v>504.1</v>
      </c>
      <c r="E41" s="533" t="s">
        <v>2457</v>
      </c>
      <c r="F41" s="519" t="s">
        <v>1320</v>
      </c>
      <c r="G41" s="542" t="s">
        <v>1124</v>
      </c>
      <c r="H41" s="533" t="s">
        <v>3015</v>
      </c>
      <c r="I41" s="522">
        <v>3</v>
      </c>
      <c r="J41" s="523"/>
      <c r="K41" s="524">
        <v>13.91</v>
      </c>
      <c r="L41" s="525">
        <v>166.70259999999999</v>
      </c>
      <c r="M41" s="525">
        <v>4.02E-2</v>
      </c>
      <c r="N41" s="519">
        <v>11</v>
      </c>
      <c r="O41" s="533" t="s">
        <v>2148</v>
      </c>
      <c r="P41" s="526"/>
      <c r="Q41" s="533" t="s">
        <v>2653</v>
      </c>
      <c r="R41" s="526">
        <v>48.2</v>
      </c>
      <c r="S41" s="534">
        <v>44197</v>
      </c>
      <c r="T41" s="528">
        <v>39</v>
      </c>
      <c r="U41" s="526" t="s">
        <v>1253</v>
      </c>
      <c r="V41" s="519" t="s">
        <v>1245</v>
      </c>
      <c r="W41" s="530" t="s">
        <v>2458</v>
      </c>
      <c r="X41" s="530" t="s">
        <v>1926</v>
      </c>
      <c r="Y41" s="530">
        <v>1</v>
      </c>
      <c r="Z41" s="530">
        <v>9999</v>
      </c>
      <c r="AA41" s="530">
        <v>0</v>
      </c>
      <c r="AB41" s="530">
        <v>0</v>
      </c>
      <c r="AC41" s="530"/>
      <c r="AD41" s="530"/>
      <c r="AE41" s="530"/>
    </row>
    <row r="42" spans="2:31" ht="14.25" customHeight="1">
      <c r="B42" s="533" t="s">
        <v>1545</v>
      </c>
      <c r="C42" s="519" t="s">
        <v>2481</v>
      </c>
      <c r="D42" s="533">
        <v>109.5</v>
      </c>
      <c r="E42" s="533" t="s">
        <v>1227</v>
      </c>
      <c r="F42" s="533" t="s">
        <v>1320</v>
      </c>
      <c r="G42" s="544" t="s">
        <v>1124</v>
      </c>
      <c r="H42" s="533" t="s">
        <v>3015</v>
      </c>
      <c r="I42" s="524">
        <v>3</v>
      </c>
      <c r="J42" s="523"/>
      <c r="K42" s="524">
        <v>12</v>
      </c>
      <c r="L42" s="525">
        <v>85.259699999999995</v>
      </c>
      <c r="M42" s="525">
        <v>2.2499999999999999E-2</v>
      </c>
      <c r="N42" s="519">
        <v>11</v>
      </c>
      <c r="O42" s="533" t="s">
        <v>2148</v>
      </c>
      <c r="P42" s="526"/>
      <c r="Q42" s="533" t="s">
        <v>2149</v>
      </c>
      <c r="R42" s="526">
        <v>25.1</v>
      </c>
      <c r="S42" s="534">
        <v>43952</v>
      </c>
      <c r="T42" s="528">
        <v>40</v>
      </c>
      <c r="U42" s="536" t="s">
        <v>1253</v>
      </c>
      <c r="V42" s="533" t="s">
        <v>1245</v>
      </c>
      <c r="W42" s="533" t="s">
        <v>1970</v>
      </c>
      <c r="X42" s="531" t="s">
        <v>1926</v>
      </c>
      <c r="Y42" s="531">
        <v>1</v>
      </c>
      <c r="Z42" s="530">
        <v>9999</v>
      </c>
      <c r="AA42" s="530">
        <v>0</v>
      </c>
      <c r="AB42" s="530">
        <v>0</v>
      </c>
      <c r="AC42" s="530"/>
      <c r="AD42" s="530"/>
      <c r="AE42" s="530"/>
    </row>
    <row r="43" spans="2:31" ht="14.25" customHeight="1">
      <c r="B43" s="533" t="s">
        <v>1546</v>
      </c>
      <c r="C43" s="519" t="s">
        <v>2485</v>
      </c>
      <c r="D43" s="533">
        <v>110.5</v>
      </c>
      <c r="E43" s="533" t="s">
        <v>1228</v>
      </c>
      <c r="F43" s="533" t="s">
        <v>1320</v>
      </c>
      <c r="G43" s="544" t="s">
        <v>1124</v>
      </c>
      <c r="H43" s="533" t="s">
        <v>3015</v>
      </c>
      <c r="I43" s="522">
        <v>4</v>
      </c>
      <c r="J43" s="523"/>
      <c r="K43" s="524">
        <v>16</v>
      </c>
      <c r="L43" s="525">
        <v>162.1293</v>
      </c>
      <c r="M43" s="525">
        <v>4.3200000000000002E-2</v>
      </c>
      <c r="N43" s="519">
        <v>11</v>
      </c>
      <c r="O43" s="533" t="s">
        <v>2148</v>
      </c>
      <c r="P43" s="526"/>
      <c r="Q43" s="533" t="s">
        <v>2150</v>
      </c>
      <c r="R43" s="526">
        <v>47.3</v>
      </c>
      <c r="S43" s="534">
        <v>43952</v>
      </c>
      <c r="T43" s="528">
        <v>41</v>
      </c>
      <c r="U43" s="536" t="s">
        <v>1253</v>
      </c>
      <c r="V43" s="533" t="s">
        <v>1245</v>
      </c>
      <c r="W43" s="533" t="s">
        <v>1970</v>
      </c>
      <c r="X43" s="531" t="s">
        <v>1927</v>
      </c>
      <c r="Y43" s="531">
        <v>1</v>
      </c>
      <c r="Z43" s="530">
        <v>9999</v>
      </c>
      <c r="AA43" s="530">
        <v>0</v>
      </c>
      <c r="AB43" s="530">
        <v>0</v>
      </c>
      <c r="AC43" s="530"/>
      <c r="AD43" s="530"/>
      <c r="AE43" s="530"/>
    </row>
    <row r="44" spans="2:31" ht="14.25" customHeight="1">
      <c r="G44" s="77"/>
      <c r="J44" s="49"/>
      <c r="K44" s="49"/>
      <c r="S44" s="228"/>
      <c r="T44" s="289"/>
      <c r="U44" s="31"/>
      <c r="V44" s="31"/>
    </row>
    <row r="45" spans="2:31" ht="14.25" customHeight="1">
      <c r="J45" s="49"/>
      <c r="K45" s="49"/>
      <c r="S45" s="228"/>
      <c r="T45" s="289"/>
      <c r="U45" s="31"/>
      <c r="V45" s="31"/>
    </row>
    <row r="46" spans="2:31" ht="14.25" customHeight="1">
      <c r="B46" s="265" t="s">
        <v>85</v>
      </c>
      <c r="C46" s="265" t="s">
        <v>1213</v>
      </c>
      <c r="D46" s="472" t="s">
        <v>1214</v>
      </c>
      <c r="E46" s="472" t="s">
        <v>1236</v>
      </c>
      <c r="F46" s="472" t="s">
        <v>0</v>
      </c>
      <c r="G46" s="265" t="s">
        <v>1215</v>
      </c>
      <c r="H46" s="473" t="s">
        <v>1216</v>
      </c>
      <c r="I46" s="266" t="s">
        <v>2862</v>
      </c>
      <c r="J46" s="266" t="s">
        <v>1765</v>
      </c>
      <c r="K46" s="472" t="s">
        <v>1217</v>
      </c>
      <c r="L46" s="472" t="s">
        <v>1218</v>
      </c>
      <c r="M46" s="472" t="s">
        <v>1219</v>
      </c>
      <c r="N46" s="472" t="s">
        <v>1220</v>
      </c>
      <c r="O46" s="472" t="s">
        <v>1859</v>
      </c>
      <c r="P46" s="472" t="s">
        <v>1221</v>
      </c>
      <c r="Q46" s="472" t="s">
        <v>1222</v>
      </c>
      <c r="R46" s="472" t="s">
        <v>1223</v>
      </c>
      <c r="S46" s="472" t="s">
        <v>1224</v>
      </c>
      <c r="T46" s="265" t="s">
        <v>336</v>
      </c>
      <c r="U46" s="265" t="s">
        <v>2270</v>
      </c>
      <c r="V46" s="288" t="s">
        <v>1903</v>
      </c>
      <c r="W46" s="288" t="s">
        <v>1901</v>
      </c>
      <c r="X46" s="288" t="s">
        <v>1905</v>
      </c>
      <c r="Y46" s="288" t="s">
        <v>2584</v>
      </c>
      <c r="Z46" s="288" t="s">
        <v>3099</v>
      </c>
      <c r="AA46" s="288" t="s">
        <v>2164</v>
      </c>
      <c r="AB46" s="288" t="s">
        <v>2165</v>
      </c>
      <c r="AC46" s="288" t="s">
        <v>2166</v>
      </c>
      <c r="AD46" s="355" t="s">
        <v>2167</v>
      </c>
      <c r="AE46" s="355" t="s">
        <v>2168</v>
      </c>
    </row>
    <row r="47" spans="2:31" ht="14.25" customHeight="1">
      <c r="B47" s="261">
        <v>31111201</v>
      </c>
      <c r="C47" s="261" t="s">
        <v>3144</v>
      </c>
      <c r="D47" s="262">
        <v>284.5</v>
      </c>
      <c r="E47" s="261" t="s">
        <v>1841</v>
      </c>
      <c r="F47" s="261" t="s">
        <v>1320</v>
      </c>
      <c r="G47" s="554" t="s">
        <v>1125</v>
      </c>
      <c r="H47" s="267" t="s">
        <v>3096</v>
      </c>
      <c r="I47" s="49">
        <v>0.12</v>
      </c>
      <c r="J47" s="271"/>
      <c r="K47" s="49">
        <v>0.75</v>
      </c>
      <c r="L47" s="425">
        <v>2.34</v>
      </c>
      <c r="M47" s="425">
        <v>6.9999999999999999E-4</v>
      </c>
      <c r="N47">
        <v>15</v>
      </c>
      <c r="O47" s="44" t="s">
        <v>3097</v>
      </c>
      <c r="P47" s="276">
        <v>7.4499999999999997E-2</v>
      </c>
      <c r="Q47" s="261" t="s">
        <v>3098</v>
      </c>
      <c r="R47" s="263"/>
      <c r="S47" s="264">
        <v>45658</v>
      </c>
      <c r="T47" s="276">
        <v>1</v>
      </c>
      <c r="U47" s="276" t="s">
        <v>1253</v>
      </c>
      <c r="V47" s="555">
        <v>0.61</v>
      </c>
      <c r="W47" s="555">
        <v>1.099841092367011</v>
      </c>
      <c r="Y47">
        <v>1.3011590443948049</v>
      </c>
      <c r="Z47">
        <v>3485</v>
      </c>
    </row>
    <row r="48" spans="2:31" ht="14.25" customHeight="1">
      <c r="B48" s="518" t="s">
        <v>2243</v>
      </c>
      <c r="C48" s="518" t="s">
        <v>1840</v>
      </c>
      <c r="D48" s="545">
        <v>115.6</v>
      </c>
      <c r="E48" s="518" t="s">
        <v>1843</v>
      </c>
      <c r="F48" s="518" t="s">
        <v>1320</v>
      </c>
      <c r="G48" s="544" t="s">
        <v>1125</v>
      </c>
      <c r="H48" s="546" t="s">
        <v>2967</v>
      </c>
      <c r="I48" s="524">
        <v>40</v>
      </c>
      <c r="J48" s="547"/>
      <c r="K48" s="524">
        <v>55</v>
      </c>
      <c r="L48" s="525">
        <v>393.19499999999999</v>
      </c>
      <c r="M48" s="525">
        <v>0.2492</v>
      </c>
      <c r="N48" s="519">
        <v>15</v>
      </c>
      <c r="O48" s="518" t="s">
        <v>2153</v>
      </c>
      <c r="P48" s="526">
        <v>425</v>
      </c>
      <c r="Q48" s="518" t="s">
        <v>2152</v>
      </c>
      <c r="R48" s="536"/>
      <c r="S48" s="548">
        <v>45292</v>
      </c>
      <c r="T48" s="526">
        <v>2</v>
      </c>
      <c r="U48" s="526" t="s">
        <v>1253</v>
      </c>
      <c r="V48" s="549">
        <v>0.24</v>
      </c>
      <c r="W48" s="549">
        <v>1.41</v>
      </c>
      <c r="X48" s="519">
        <v>425</v>
      </c>
      <c r="Y48" s="519"/>
      <c r="Z48" s="519"/>
      <c r="AA48" s="519"/>
      <c r="AB48" s="519"/>
      <c r="AC48" s="519"/>
      <c r="AD48" s="519"/>
      <c r="AE48" s="519"/>
    </row>
    <row r="50" spans="2:31" ht="14.25" customHeight="1">
      <c r="B50" s="265" t="s">
        <v>85</v>
      </c>
      <c r="C50" s="265" t="s">
        <v>1213</v>
      </c>
      <c r="D50" s="472" t="s">
        <v>1214</v>
      </c>
      <c r="E50" s="472" t="s">
        <v>1236</v>
      </c>
      <c r="F50" s="472" t="s">
        <v>0</v>
      </c>
      <c r="G50" s="265" t="s">
        <v>1215</v>
      </c>
      <c r="H50" s="473" t="s">
        <v>1216</v>
      </c>
      <c r="I50" s="266" t="s">
        <v>2862</v>
      </c>
      <c r="J50" s="266" t="s">
        <v>1765</v>
      </c>
      <c r="K50" s="472" t="s">
        <v>1217</v>
      </c>
      <c r="L50" s="472" t="s">
        <v>1218</v>
      </c>
      <c r="M50" s="472" t="s">
        <v>1219</v>
      </c>
      <c r="N50" s="472" t="s">
        <v>1220</v>
      </c>
      <c r="O50" s="472" t="s">
        <v>1859</v>
      </c>
      <c r="P50" s="472" t="s">
        <v>1221</v>
      </c>
      <c r="Q50" s="472" t="s">
        <v>1222</v>
      </c>
      <c r="R50" s="472" t="s">
        <v>1223</v>
      </c>
      <c r="S50" s="472" t="s">
        <v>1224</v>
      </c>
      <c r="T50" s="265" t="s">
        <v>336</v>
      </c>
      <c r="U50" s="265" t="s">
        <v>2270</v>
      </c>
      <c r="V50" s="288" t="s">
        <v>2049</v>
      </c>
      <c r="W50" s="288" t="s">
        <v>2163</v>
      </c>
      <c r="X50" s="288" t="s">
        <v>2164</v>
      </c>
      <c r="Y50" s="288" t="s">
        <v>2165</v>
      </c>
      <c r="Z50" s="288" t="s">
        <v>2166</v>
      </c>
      <c r="AA50" s="288" t="s">
        <v>2167</v>
      </c>
      <c r="AB50" s="288" t="s">
        <v>2168</v>
      </c>
      <c r="AC50" s="288" t="s">
        <v>2204</v>
      </c>
      <c r="AD50" s="355" t="s">
        <v>2486</v>
      </c>
      <c r="AE50" s="355" t="s">
        <v>2487</v>
      </c>
    </row>
    <row r="51" spans="2:31" ht="14.25" customHeight="1">
      <c r="B51" s="551" t="s">
        <v>2169</v>
      </c>
      <c r="C51" s="261" t="s">
        <v>1831</v>
      </c>
      <c r="D51" s="486">
        <v>348.1</v>
      </c>
      <c r="E51" s="261" t="s">
        <v>1831</v>
      </c>
      <c r="F51" s="261" t="s">
        <v>1320</v>
      </c>
      <c r="G51" s="261" t="s">
        <v>1838</v>
      </c>
      <c r="H51" s="487" t="s">
        <v>2968</v>
      </c>
      <c r="I51" s="267">
        <v>1500</v>
      </c>
      <c r="J51" s="271"/>
      <c r="K51" s="49">
        <v>2758</v>
      </c>
      <c r="L51" s="437">
        <v>14667.61</v>
      </c>
      <c r="M51" s="437">
        <v>2.609</v>
      </c>
      <c r="N51">
        <v>12</v>
      </c>
      <c r="O51" s="261" t="s">
        <v>2154</v>
      </c>
      <c r="P51" s="276">
        <v>0</v>
      </c>
      <c r="Q51" s="261" t="s">
        <v>2155</v>
      </c>
      <c r="R51" s="276">
        <v>0.9</v>
      </c>
      <c r="S51" s="264">
        <v>45658</v>
      </c>
      <c r="T51" s="276">
        <v>1</v>
      </c>
      <c r="U51" s="276" t="s">
        <v>1253</v>
      </c>
    </row>
    <row r="52" spans="2:31" ht="14.25" customHeight="1">
      <c r="B52" s="551" t="s">
        <v>2170</v>
      </c>
      <c r="C52" s="261" t="s">
        <v>1832</v>
      </c>
      <c r="D52" s="486">
        <v>349.1</v>
      </c>
      <c r="E52" s="261" t="s">
        <v>1832</v>
      </c>
      <c r="F52" s="261" t="s">
        <v>1320</v>
      </c>
      <c r="G52" s="261" t="s">
        <v>1838</v>
      </c>
      <c r="H52" s="487" t="s">
        <v>2968</v>
      </c>
      <c r="I52" s="267">
        <v>1700</v>
      </c>
      <c r="J52" s="271"/>
      <c r="K52" s="49">
        <v>2758</v>
      </c>
      <c r="L52" s="437">
        <v>20150.27</v>
      </c>
      <c r="M52" s="437">
        <v>3.5842000000000001</v>
      </c>
      <c r="N52">
        <v>12</v>
      </c>
      <c r="O52" s="261" t="s">
        <v>2154</v>
      </c>
      <c r="P52" s="276">
        <v>0</v>
      </c>
      <c r="Q52" s="261" t="s">
        <v>2155</v>
      </c>
      <c r="R52" s="276">
        <v>0.9</v>
      </c>
      <c r="S52" s="264">
        <v>45658</v>
      </c>
      <c r="T52" s="276">
        <v>2</v>
      </c>
      <c r="U52" s="276" t="s">
        <v>1253</v>
      </c>
    </row>
    <row r="53" spans="2:31" ht="14.25" customHeight="1">
      <c r="B53" s="551" t="s">
        <v>2171</v>
      </c>
      <c r="C53" s="261" t="s">
        <v>1833</v>
      </c>
      <c r="D53" s="486">
        <v>350.1</v>
      </c>
      <c r="E53" s="261" t="s">
        <v>1833</v>
      </c>
      <c r="F53" s="261" t="s">
        <v>1320</v>
      </c>
      <c r="G53" s="261" t="s">
        <v>1838</v>
      </c>
      <c r="H53" s="487" t="s">
        <v>2968</v>
      </c>
      <c r="I53" s="267">
        <v>1900</v>
      </c>
      <c r="J53" s="271"/>
      <c r="K53" s="49">
        <v>2758</v>
      </c>
      <c r="L53" s="437">
        <v>25629.64</v>
      </c>
      <c r="M53" s="437">
        <v>4.5587999999999997</v>
      </c>
      <c r="N53">
        <v>12</v>
      </c>
      <c r="O53" s="261" t="s">
        <v>2154</v>
      </c>
      <c r="P53" s="276">
        <v>0</v>
      </c>
      <c r="Q53" s="261" t="s">
        <v>2155</v>
      </c>
      <c r="R53" s="276">
        <v>0.9</v>
      </c>
      <c r="S53" s="264">
        <v>45658</v>
      </c>
      <c r="T53" s="276">
        <v>3</v>
      </c>
      <c r="U53" s="276" t="s">
        <v>1253</v>
      </c>
    </row>
    <row r="54" spans="2:31" ht="14.25" customHeight="1">
      <c r="B54" s="551" t="s">
        <v>2172</v>
      </c>
      <c r="C54" s="261" t="s">
        <v>1834</v>
      </c>
      <c r="D54" s="486">
        <v>351.1</v>
      </c>
      <c r="E54" s="261" t="s">
        <v>1834</v>
      </c>
      <c r="F54" s="261" t="s">
        <v>1320</v>
      </c>
      <c r="G54" s="261" t="s">
        <v>1838</v>
      </c>
      <c r="H54" s="487" t="s">
        <v>2968</v>
      </c>
      <c r="I54" s="267">
        <v>2100</v>
      </c>
      <c r="J54" s="271"/>
      <c r="K54" s="49">
        <v>2758</v>
      </c>
      <c r="L54" s="437">
        <v>31112.3</v>
      </c>
      <c r="M54" s="437">
        <v>5.5339999999999998</v>
      </c>
      <c r="N54">
        <v>12</v>
      </c>
      <c r="O54" s="261" t="s">
        <v>2154</v>
      </c>
      <c r="P54" s="276">
        <v>0</v>
      </c>
      <c r="Q54" s="261" t="s">
        <v>2155</v>
      </c>
      <c r="R54" s="276">
        <v>0.9</v>
      </c>
      <c r="S54" s="264">
        <v>45658</v>
      </c>
      <c r="T54" s="276">
        <v>4</v>
      </c>
      <c r="U54" s="276" t="s">
        <v>1253</v>
      </c>
    </row>
    <row r="55" spans="2:31" ht="14.25" customHeight="1">
      <c r="B55" s="551" t="s">
        <v>2173</v>
      </c>
      <c r="C55" s="261" t="s">
        <v>2581</v>
      </c>
      <c r="D55" s="486">
        <v>345.1</v>
      </c>
      <c r="E55" s="261" t="s">
        <v>1835</v>
      </c>
      <c r="F55" s="261" t="s">
        <v>1320</v>
      </c>
      <c r="G55" s="261" t="s">
        <v>1838</v>
      </c>
      <c r="H55" s="487" t="s">
        <v>2968</v>
      </c>
      <c r="I55" s="267">
        <v>80</v>
      </c>
      <c r="J55" s="271"/>
      <c r="K55" s="49">
        <v>1000</v>
      </c>
      <c r="L55" s="437">
        <v>181.48</v>
      </c>
      <c r="M55" s="437">
        <v>1.9900000000000001E-2</v>
      </c>
      <c r="N55">
        <v>12</v>
      </c>
      <c r="O55" s="261" t="s">
        <v>2156</v>
      </c>
      <c r="P55" s="276">
        <v>150.5</v>
      </c>
      <c r="Q55" s="261" t="s">
        <v>2157</v>
      </c>
      <c r="R55" s="276">
        <v>280</v>
      </c>
      <c r="S55" s="264">
        <v>45658</v>
      </c>
      <c r="T55" s="276">
        <v>5</v>
      </c>
      <c r="U55" s="276" t="s">
        <v>1253</v>
      </c>
    </row>
    <row r="56" spans="2:31" ht="14.25" customHeight="1">
      <c r="B56" s="551" t="s">
        <v>2174</v>
      </c>
      <c r="C56" s="261" t="s">
        <v>2582</v>
      </c>
      <c r="D56" s="486">
        <v>346.1</v>
      </c>
      <c r="E56" s="261" t="s">
        <v>1836</v>
      </c>
      <c r="F56" s="261" t="s">
        <v>1320</v>
      </c>
      <c r="G56" s="261" t="s">
        <v>1838</v>
      </c>
      <c r="H56" s="487" t="s">
        <v>2968</v>
      </c>
      <c r="I56" s="267">
        <v>460</v>
      </c>
      <c r="J56" s="271"/>
      <c r="K56" s="49">
        <v>1000</v>
      </c>
      <c r="L56" s="437">
        <v>1051.46</v>
      </c>
      <c r="M56" s="437">
        <v>0.11509999999999999</v>
      </c>
      <c r="N56">
        <v>12</v>
      </c>
      <c r="O56" s="261" t="s">
        <v>2156</v>
      </c>
      <c r="P56" s="276">
        <v>294</v>
      </c>
      <c r="Q56" s="261" t="s">
        <v>2157</v>
      </c>
      <c r="R56" s="276">
        <v>800</v>
      </c>
      <c r="S56" s="264">
        <v>45658</v>
      </c>
      <c r="T56" s="276">
        <v>6</v>
      </c>
      <c r="U56" s="276" t="s">
        <v>1253</v>
      </c>
    </row>
    <row r="57" spans="2:31" ht="14.25" customHeight="1">
      <c r="B57" s="551" t="s">
        <v>2175</v>
      </c>
      <c r="C57" s="261" t="s">
        <v>2583</v>
      </c>
      <c r="D57" s="486">
        <v>347.2</v>
      </c>
      <c r="E57" s="261" t="s">
        <v>1837</v>
      </c>
      <c r="F57" s="261" t="s">
        <v>1320</v>
      </c>
      <c r="G57" s="261" t="s">
        <v>1838</v>
      </c>
      <c r="H57" s="487" t="s">
        <v>2968</v>
      </c>
      <c r="I57" s="267">
        <v>510</v>
      </c>
      <c r="J57" s="271"/>
      <c r="K57" s="49">
        <v>1000</v>
      </c>
      <c r="L57" s="437">
        <v>1742.57</v>
      </c>
      <c r="M57" s="437">
        <v>0.1908</v>
      </c>
      <c r="N57">
        <v>12</v>
      </c>
      <c r="O57" s="261" t="s">
        <v>2156</v>
      </c>
      <c r="P57" s="276">
        <v>480</v>
      </c>
      <c r="Q57" s="261" t="s">
        <v>2157</v>
      </c>
      <c r="R57" s="276">
        <v>1200</v>
      </c>
      <c r="S57" s="264">
        <v>45658</v>
      </c>
      <c r="T57" s="276">
        <v>7</v>
      </c>
      <c r="U57" s="276" t="s">
        <v>1253</v>
      </c>
    </row>
    <row r="58" spans="2:31" ht="14.25" customHeight="1">
      <c r="B58" s="261">
        <v>31110308</v>
      </c>
      <c r="C58" s="261" t="s">
        <v>3101</v>
      </c>
      <c r="D58" s="556">
        <v>371.1</v>
      </c>
      <c r="E58" s="261" t="s">
        <v>3101</v>
      </c>
      <c r="F58" s="261" t="s">
        <v>1320</v>
      </c>
      <c r="G58" s="261" t="s">
        <v>1838</v>
      </c>
      <c r="H58" s="487" t="s">
        <v>2971</v>
      </c>
      <c r="I58" s="267">
        <v>420</v>
      </c>
      <c r="J58" s="271"/>
      <c r="K58" s="267">
        <v>1992</v>
      </c>
      <c r="L58" s="488">
        <v>4423</v>
      </c>
      <c r="M58" s="488">
        <v>0.55100000000000005</v>
      </c>
      <c r="N58" s="44">
        <v>20</v>
      </c>
      <c r="O58" s="261" t="s">
        <v>3102</v>
      </c>
      <c r="P58" s="489"/>
      <c r="Q58" s="261" t="s">
        <v>3103</v>
      </c>
      <c r="R58" s="489"/>
      <c r="S58" s="264">
        <v>45658</v>
      </c>
      <c r="T58" s="263">
        <v>8</v>
      </c>
      <c r="U58" s="263" t="s">
        <v>1253</v>
      </c>
      <c r="V58" s="44"/>
      <c r="W58" s="44"/>
      <c r="X58" s="44"/>
      <c r="Y58" s="44"/>
      <c r="Z58" s="44"/>
      <c r="AA58" s="44"/>
      <c r="AB58" s="44"/>
      <c r="AC58" s="44"/>
      <c r="AD58" s="44"/>
      <c r="AE58" s="44"/>
    </row>
    <row r="59" spans="2:31" ht="14.25" customHeight="1">
      <c r="B59" s="485"/>
      <c r="C59" s="261"/>
      <c r="D59" s="486"/>
      <c r="E59" s="261"/>
      <c r="F59" s="261"/>
      <c r="G59" s="261"/>
      <c r="H59" s="487"/>
      <c r="I59" s="49"/>
      <c r="J59" s="271"/>
      <c r="K59" s="49"/>
      <c r="L59" s="437"/>
      <c r="M59" s="437"/>
      <c r="O59" s="261"/>
      <c r="P59" s="276"/>
      <c r="Q59" s="261"/>
      <c r="R59" s="276"/>
      <c r="S59" s="264"/>
      <c r="U59" s="276"/>
    </row>
    <row r="60" spans="2:31" ht="14.25" customHeight="1">
      <c r="B60" s="485"/>
      <c r="C60" s="261"/>
      <c r="D60" s="486"/>
      <c r="E60" s="261"/>
      <c r="F60" s="261"/>
      <c r="G60" s="261"/>
      <c r="H60" s="487"/>
      <c r="I60" s="49"/>
      <c r="J60" s="271"/>
      <c r="K60" s="49"/>
      <c r="L60" s="437"/>
      <c r="M60" s="437"/>
      <c r="O60" s="261"/>
      <c r="P60" s="276"/>
      <c r="Q60" s="261"/>
      <c r="R60" s="276"/>
      <c r="S60" s="264"/>
      <c r="U60" s="276"/>
    </row>
    <row r="61" spans="2:31" ht="14.25" customHeight="1">
      <c r="B61" s="485"/>
      <c r="C61" s="261"/>
      <c r="D61" s="486"/>
      <c r="E61" s="261"/>
      <c r="F61" s="261"/>
      <c r="G61" s="261"/>
      <c r="H61" s="487"/>
      <c r="I61" s="49"/>
      <c r="J61" s="271"/>
      <c r="K61" s="49"/>
      <c r="L61" s="437"/>
      <c r="M61" s="437"/>
      <c r="O61" s="261"/>
      <c r="P61" s="276"/>
      <c r="Q61" s="261"/>
      <c r="R61" s="276"/>
      <c r="S61" s="264"/>
      <c r="U61" s="276"/>
    </row>
    <row r="62" spans="2:31" ht="14.25" customHeight="1">
      <c r="B62" s="485"/>
      <c r="C62" s="261"/>
      <c r="D62" s="486"/>
      <c r="E62" s="261"/>
      <c r="F62" s="261"/>
      <c r="G62" s="261"/>
      <c r="H62" s="487"/>
      <c r="I62" s="49"/>
      <c r="J62" s="271"/>
      <c r="K62" s="49"/>
      <c r="L62" s="437"/>
      <c r="M62" s="437"/>
      <c r="O62" s="261"/>
      <c r="P62" s="276"/>
      <c r="Q62" s="261"/>
      <c r="R62" s="276"/>
      <c r="S62" s="264"/>
      <c r="U62" s="276"/>
    </row>
    <row r="63" spans="2:31" ht="14.25" customHeight="1">
      <c r="B63" s="485"/>
      <c r="C63" s="261"/>
      <c r="D63" s="486"/>
      <c r="E63" s="261"/>
      <c r="F63" s="261"/>
      <c r="G63" s="261"/>
      <c r="H63" s="487"/>
      <c r="I63" s="49"/>
      <c r="J63" s="271"/>
      <c r="K63" s="49"/>
      <c r="L63" s="437"/>
      <c r="M63" s="437"/>
      <c r="O63" s="261"/>
      <c r="P63" s="276"/>
      <c r="Q63" s="261"/>
      <c r="R63" s="276"/>
      <c r="S63" s="264"/>
      <c r="U63" s="276"/>
    </row>
    <row r="64" spans="2:31" ht="14.25" customHeight="1">
      <c r="D64" s="44"/>
      <c r="E64" s="18"/>
      <c r="F64" s="18"/>
      <c r="H64" s="261"/>
      <c r="I64" s="18"/>
      <c r="J64" s="18"/>
    </row>
    <row r="65" spans="2:31" ht="14.25" customHeight="1">
      <c r="B65" s="265" t="s">
        <v>85</v>
      </c>
      <c r="C65" s="265" t="s">
        <v>1213</v>
      </c>
      <c r="D65" s="472" t="s">
        <v>1214</v>
      </c>
      <c r="E65" s="472" t="s">
        <v>1236</v>
      </c>
      <c r="F65" s="472" t="s">
        <v>0</v>
      </c>
      <c r="G65" s="265" t="s">
        <v>1215</v>
      </c>
      <c r="H65" s="473" t="s">
        <v>1216</v>
      </c>
      <c r="I65" s="266" t="s">
        <v>2862</v>
      </c>
      <c r="J65" s="266" t="s">
        <v>1765</v>
      </c>
      <c r="K65" s="472" t="s">
        <v>1217</v>
      </c>
      <c r="L65" s="472" t="s">
        <v>1218</v>
      </c>
      <c r="M65" s="472" t="s">
        <v>1219</v>
      </c>
      <c r="N65" s="472" t="s">
        <v>1220</v>
      </c>
      <c r="O65" s="472" t="s">
        <v>1859</v>
      </c>
      <c r="P65" s="472" t="s">
        <v>1221</v>
      </c>
      <c r="Q65" s="472" t="s">
        <v>1222</v>
      </c>
      <c r="R65" s="472" t="s">
        <v>1223</v>
      </c>
      <c r="S65" s="472" t="s">
        <v>1224</v>
      </c>
      <c r="T65" s="265" t="s">
        <v>336</v>
      </c>
      <c r="U65" s="265" t="s">
        <v>2270</v>
      </c>
      <c r="V65" s="288" t="s">
        <v>2049</v>
      </c>
      <c r="W65" s="288" t="s">
        <v>2163</v>
      </c>
      <c r="X65" s="288" t="s">
        <v>2164</v>
      </c>
      <c r="Y65" s="288" t="s">
        <v>2165</v>
      </c>
      <c r="Z65" s="288" t="s">
        <v>2166</v>
      </c>
      <c r="AA65" s="288" t="s">
        <v>2167</v>
      </c>
      <c r="AB65" s="288" t="s">
        <v>2168</v>
      </c>
      <c r="AC65" s="288" t="s">
        <v>2204</v>
      </c>
      <c r="AD65" s="355" t="s">
        <v>2486</v>
      </c>
      <c r="AE65" s="355" t="s">
        <v>2487</v>
      </c>
    </row>
    <row r="66" spans="2:31" ht="14.25" customHeight="1">
      <c r="B66" s="550" t="s">
        <v>2244</v>
      </c>
      <c r="C66" s="261" t="s">
        <v>2132</v>
      </c>
      <c r="D66" s="262">
        <v>122.3</v>
      </c>
      <c r="E66" s="261" t="s">
        <v>1229</v>
      </c>
      <c r="F66" s="261" t="s">
        <v>1320</v>
      </c>
      <c r="G66" s="261" t="s">
        <v>1846</v>
      </c>
      <c r="H66" s="487" t="s">
        <v>2971</v>
      </c>
      <c r="I66" s="267">
        <v>85</v>
      </c>
      <c r="J66" s="271"/>
      <c r="K66" s="49">
        <v>100.93</v>
      </c>
      <c r="L66" s="425">
        <v>295.88</v>
      </c>
      <c r="M66" s="425">
        <v>8.8300000000000003E-2</v>
      </c>
      <c r="N66">
        <v>13</v>
      </c>
      <c r="O66" s="268"/>
      <c r="P66" s="276"/>
      <c r="Q66" s="268"/>
      <c r="R66" s="276"/>
      <c r="S66" s="264">
        <v>45658</v>
      </c>
      <c r="T66" s="269">
        <v>1</v>
      </c>
      <c r="U66" s="276" t="s">
        <v>1253</v>
      </c>
    </row>
    <row r="67" spans="2:31" ht="14.25" customHeight="1">
      <c r="B67" s="550" t="s">
        <v>2245</v>
      </c>
      <c r="C67" s="261" t="s">
        <v>2133</v>
      </c>
      <c r="D67" s="262">
        <v>123.4</v>
      </c>
      <c r="E67" s="261" t="s">
        <v>1230</v>
      </c>
      <c r="F67" s="261" t="s">
        <v>1320</v>
      </c>
      <c r="G67" s="261" t="s">
        <v>1846</v>
      </c>
      <c r="H67" s="487" t="s">
        <v>2971</v>
      </c>
      <c r="I67" s="267">
        <v>90</v>
      </c>
      <c r="J67" s="271"/>
      <c r="K67" s="49">
        <v>100.93</v>
      </c>
      <c r="L67" s="425">
        <v>591.76</v>
      </c>
      <c r="M67" s="425">
        <v>0.14230000000000001</v>
      </c>
      <c r="N67">
        <v>13</v>
      </c>
      <c r="O67" s="268"/>
      <c r="P67" s="276"/>
      <c r="Q67" s="268"/>
      <c r="R67" s="276"/>
      <c r="S67" s="264">
        <v>45658</v>
      </c>
      <c r="T67" s="269">
        <v>2</v>
      </c>
      <c r="U67" s="276" t="s">
        <v>1253</v>
      </c>
    </row>
    <row r="68" spans="2:31" ht="14.25" customHeight="1">
      <c r="B68" s="550" t="s">
        <v>2246</v>
      </c>
      <c r="C68" s="261" t="s">
        <v>2134</v>
      </c>
      <c r="D68" s="262">
        <v>124.3</v>
      </c>
      <c r="E68" s="261" t="s">
        <v>1231</v>
      </c>
      <c r="F68" s="261" t="s">
        <v>1320</v>
      </c>
      <c r="G68" s="261" t="s">
        <v>1846</v>
      </c>
      <c r="H68" s="487" t="s">
        <v>2971</v>
      </c>
      <c r="I68" s="267">
        <v>95</v>
      </c>
      <c r="J68" s="271"/>
      <c r="K68" s="49">
        <v>100.93</v>
      </c>
      <c r="L68" s="425">
        <v>887.64</v>
      </c>
      <c r="M68" s="425">
        <v>0.14230000000000001</v>
      </c>
      <c r="N68">
        <v>13</v>
      </c>
      <c r="O68" s="268"/>
      <c r="P68" s="276"/>
      <c r="Q68" s="268"/>
      <c r="R68" s="276"/>
      <c r="S68" s="264">
        <v>45658</v>
      </c>
      <c r="T68" s="269">
        <v>3</v>
      </c>
      <c r="U68" s="276" t="s">
        <v>1253</v>
      </c>
    </row>
    <row r="69" spans="2:31" ht="14.25" customHeight="1">
      <c r="B69" s="550" t="s">
        <v>2247</v>
      </c>
      <c r="C69" s="261" t="s">
        <v>2135</v>
      </c>
      <c r="D69" s="262">
        <v>125.3</v>
      </c>
      <c r="E69" s="261" t="s">
        <v>1232</v>
      </c>
      <c r="F69" s="261" t="s">
        <v>1320</v>
      </c>
      <c r="G69" s="261" t="s">
        <v>1846</v>
      </c>
      <c r="H69" s="487" t="s">
        <v>2971</v>
      </c>
      <c r="I69" s="267">
        <v>100</v>
      </c>
      <c r="J69" s="271"/>
      <c r="K69" s="49">
        <v>100.93</v>
      </c>
      <c r="L69" s="425">
        <v>1245.82</v>
      </c>
      <c r="M69" s="425">
        <v>0.14230000000000001</v>
      </c>
      <c r="N69">
        <v>13</v>
      </c>
      <c r="O69" s="268"/>
      <c r="P69" s="276"/>
      <c r="Q69" s="268"/>
      <c r="R69" s="276"/>
      <c r="S69" s="264">
        <v>45658</v>
      </c>
      <c r="T69" s="269">
        <v>4</v>
      </c>
      <c r="U69" s="276" t="s">
        <v>1253</v>
      </c>
    </row>
    <row r="70" spans="2:31" ht="14.25" customHeight="1">
      <c r="B70" s="550" t="s">
        <v>2248</v>
      </c>
      <c r="C70" s="268" t="s">
        <v>1386</v>
      </c>
      <c r="D70" s="262">
        <v>121.4</v>
      </c>
      <c r="E70" s="261" t="s">
        <v>1386</v>
      </c>
      <c r="F70" s="261" t="s">
        <v>1320</v>
      </c>
      <c r="G70" s="261" t="s">
        <v>1846</v>
      </c>
      <c r="H70" s="487" t="s">
        <v>2968</v>
      </c>
      <c r="I70" s="267">
        <v>220</v>
      </c>
      <c r="J70" s="271"/>
      <c r="K70" s="49">
        <v>244</v>
      </c>
      <c r="L70" s="425">
        <v>1969.66</v>
      </c>
      <c r="M70" s="425">
        <v>0.30499999999999999</v>
      </c>
      <c r="N70">
        <v>10</v>
      </c>
      <c r="O70" s="268"/>
      <c r="P70" s="276"/>
      <c r="Q70" s="268"/>
      <c r="R70" s="276"/>
      <c r="S70" s="264">
        <v>45658</v>
      </c>
      <c r="T70" s="269">
        <v>7</v>
      </c>
      <c r="U70" s="263" t="s">
        <v>1253</v>
      </c>
      <c r="V70" s="44"/>
      <c r="W70" s="44"/>
      <c r="X70" s="44"/>
      <c r="Y70" s="44"/>
      <c r="Z70" s="44"/>
      <c r="AA70" s="44"/>
      <c r="AB70" s="44"/>
      <c r="AC70" s="44"/>
      <c r="AD70" s="44"/>
      <c r="AE70" s="44"/>
    </row>
    <row r="71" spans="2:31" ht="14.25" customHeight="1">
      <c r="F71" s="18"/>
    </row>
    <row r="72" spans="2:31" ht="14.25" customHeight="1">
      <c r="B72" s="265" t="s">
        <v>85</v>
      </c>
      <c r="C72" s="265" t="s">
        <v>1213</v>
      </c>
      <c r="D72" s="472" t="s">
        <v>1214</v>
      </c>
      <c r="E72" s="472" t="s">
        <v>1236</v>
      </c>
      <c r="F72" s="472" t="s">
        <v>0</v>
      </c>
      <c r="G72" s="265" t="s">
        <v>1215</v>
      </c>
      <c r="H72" s="473" t="s">
        <v>1216</v>
      </c>
      <c r="I72" s="266" t="s">
        <v>2862</v>
      </c>
      <c r="J72" s="266" t="s">
        <v>1765</v>
      </c>
      <c r="K72" s="472" t="s">
        <v>1217</v>
      </c>
      <c r="L72" s="472" t="s">
        <v>1218</v>
      </c>
      <c r="M72" s="472" t="s">
        <v>1219</v>
      </c>
      <c r="N72" s="472" t="s">
        <v>1220</v>
      </c>
      <c r="O72" s="472" t="s">
        <v>1859</v>
      </c>
      <c r="P72" s="472" t="s">
        <v>1221</v>
      </c>
      <c r="Q72" s="472" t="s">
        <v>1222</v>
      </c>
      <c r="R72" s="472" t="s">
        <v>1223</v>
      </c>
      <c r="S72" s="472" t="s">
        <v>1224</v>
      </c>
      <c r="T72" s="265" t="s">
        <v>336</v>
      </c>
      <c r="U72" s="265" t="s">
        <v>2270</v>
      </c>
      <c r="V72" s="288" t="s">
        <v>2049</v>
      </c>
      <c r="W72" s="288" t="s">
        <v>2163</v>
      </c>
      <c r="X72" s="288" t="s">
        <v>2164</v>
      </c>
      <c r="Y72" s="288" t="s">
        <v>2165</v>
      </c>
      <c r="Z72" s="288" t="s">
        <v>2166</v>
      </c>
      <c r="AA72" s="288" t="s">
        <v>2167</v>
      </c>
      <c r="AB72" s="288" t="s">
        <v>2168</v>
      </c>
      <c r="AC72" s="288" t="s">
        <v>2204</v>
      </c>
      <c r="AD72" s="355" t="s">
        <v>2486</v>
      </c>
      <c r="AE72" s="355" t="s">
        <v>2487</v>
      </c>
    </row>
    <row r="73" spans="2:31" ht="14.25" customHeight="1">
      <c r="B73" s="552">
        <v>31111717</v>
      </c>
      <c r="C73" s="485" t="s">
        <v>2701</v>
      </c>
      <c r="D73" s="490">
        <v>564.1</v>
      </c>
      <c r="E73" s="485" t="s">
        <v>2701</v>
      </c>
      <c r="F73" s="261" t="s">
        <v>1320</v>
      </c>
      <c r="G73" s="261" t="s">
        <v>96</v>
      </c>
      <c r="H73" s="491" t="s">
        <v>1233</v>
      </c>
      <c r="I73" s="267">
        <v>100</v>
      </c>
      <c r="J73" s="271"/>
      <c r="K73" s="49">
        <v>306</v>
      </c>
      <c r="L73" s="437">
        <v>518.12599999999998</v>
      </c>
      <c r="M73" s="437">
        <v>8.3299999999999999E-2</v>
      </c>
      <c r="N73">
        <v>16</v>
      </c>
      <c r="O73" s="485" t="s">
        <v>2707</v>
      </c>
      <c r="P73" s="276"/>
      <c r="Q73" s="485" t="s">
        <v>2713</v>
      </c>
      <c r="R73" s="276"/>
      <c r="S73" s="264">
        <v>45658</v>
      </c>
      <c r="T73" s="329">
        <v>1</v>
      </c>
      <c r="U73" s="263" t="s">
        <v>1253</v>
      </c>
      <c r="V73" s="485"/>
      <c r="W73" s="485"/>
      <c r="X73" s="485"/>
      <c r="Y73" s="485"/>
      <c r="Z73" s="485"/>
      <c r="AA73" s="485"/>
      <c r="AB73" s="485"/>
      <c r="AC73" s="485"/>
      <c r="AD73" s="485"/>
      <c r="AE73" s="485"/>
    </row>
    <row r="74" spans="2:31" ht="14.25" customHeight="1">
      <c r="B74" s="485" t="s">
        <v>3112</v>
      </c>
      <c r="C74" s="485" t="s">
        <v>3136</v>
      </c>
      <c r="D74" s="438">
        <v>303.10000000000002</v>
      </c>
      <c r="E74" s="485" t="s">
        <v>3104</v>
      </c>
      <c r="F74" s="485" t="s">
        <v>1320</v>
      </c>
      <c r="G74" s="485" t="s">
        <v>96</v>
      </c>
      <c r="H74" s="491" t="s">
        <v>1233</v>
      </c>
      <c r="I74" s="271">
        <v>45</v>
      </c>
      <c r="J74" s="271"/>
      <c r="K74" s="506">
        <v>304.58999999999997</v>
      </c>
      <c r="L74" s="557">
        <v>652</v>
      </c>
      <c r="M74" s="557">
        <v>7.4399999999999994E-2</v>
      </c>
      <c r="N74" s="438">
        <v>15</v>
      </c>
      <c r="O74" s="485" t="s">
        <v>3105</v>
      </c>
      <c r="P74" s="558"/>
      <c r="Q74" s="485" t="s">
        <v>3106</v>
      </c>
      <c r="R74" s="504"/>
      <c r="S74" s="559">
        <v>45658</v>
      </c>
      <c r="T74" s="508">
        <v>2</v>
      </c>
      <c r="U74" s="508" t="s">
        <v>1253</v>
      </c>
      <c r="V74" s="485"/>
      <c r="W74" s="485"/>
      <c r="X74" s="485"/>
      <c r="Y74" s="485"/>
      <c r="Z74" s="485"/>
      <c r="AA74" s="485"/>
      <c r="AB74" s="485"/>
      <c r="AC74" s="485"/>
      <c r="AD74" s="485"/>
      <c r="AE74" s="485"/>
    </row>
    <row r="75" spans="2:31" ht="14.25" customHeight="1">
      <c r="B75" s="485" t="s">
        <v>3113</v>
      </c>
      <c r="C75" s="485" t="s">
        <v>3137</v>
      </c>
      <c r="D75" s="438">
        <v>85.4</v>
      </c>
      <c r="E75" s="485" t="s">
        <v>3114</v>
      </c>
      <c r="F75" s="485" t="s">
        <v>1320</v>
      </c>
      <c r="G75" s="485" t="s">
        <v>96</v>
      </c>
      <c r="H75" s="491" t="s">
        <v>1233</v>
      </c>
      <c r="I75" s="271">
        <v>70</v>
      </c>
      <c r="J75" s="271"/>
      <c r="K75" s="506">
        <v>75.16</v>
      </c>
      <c r="L75" s="557">
        <v>1586</v>
      </c>
      <c r="M75" s="557">
        <v>0.18110000000000001</v>
      </c>
      <c r="N75" s="438">
        <v>15</v>
      </c>
      <c r="O75" s="485" t="s">
        <v>2162</v>
      </c>
      <c r="P75" s="558"/>
      <c r="Q75" s="485" t="s">
        <v>3107</v>
      </c>
      <c r="R75" s="504"/>
      <c r="S75" s="559">
        <v>45658</v>
      </c>
      <c r="T75" s="508">
        <v>3</v>
      </c>
      <c r="U75" s="508" t="s">
        <v>1253</v>
      </c>
      <c r="V75" s="485"/>
      <c r="W75" s="485"/>
      <c r="X75" s="485"/>
      <c r="Y75" s="485"/>
      <c r="Z75" s="485"/>
      <c r="AA75" s="485"/>
      <c r="AB75" s="485"/>
      <c r="AC75" s="485"/>
      <c r="AD75" s="485"/>
      <c r="AE75" s="485"/>
    </row>
    <row r="76" spans="2:31" ht="14.25" customHeight="1">
      <c r="B76" s="552">
        <v>31111701</v>
      </c>
      <c r="C76" s="485" t="s">
        <v>3138</v>
      </c>
      <c r="D76" s="490">
        <v>541.1</v>
      </c>
      <c r="E76" s="485" t="s">
        <v>2685</v>
      </c>
      <c r="F76" s="485" t="s">
        <v>1320</v>
      </c>
      <c r="G76" s="485" t="s">
        <v>96</v>
      </c>
      <c r="H76" s="491" t="s">
        <v>2973</v>
      </c>
      <c r="I76" s="271">
        <v>25</v>
      </c>
      <c r="J76" s="271"/>
      <c r="K76" s="506">
        <v>161.75</v>
      </c>
      <c r="L76" s="507">
        <v>198</v>
      </c>
      <c r="M76" s="507">
        <v>2.3E-2</v>
      </c>
      <c r="N76" s="438">
        <v>13</v>
      </c>
      <c r="O76" s="485" t="s">
        <v>2162</v>
      </c>
      <c r="P76" s="558"/>
      <c r="Q76" s="485" t="s">
        <v>2708</v>
      </c>
      <c r="R76" s="504"/>
      <c r="S76" s="559">
        <v>45658</v>
      </c>
      <c r="T76" s="329">
        <v>4</v>
      </c>
      <c r="U76" s="508" t="s">
        <v>1253</v>
      </c>
      <c r="V76" s="485"/>
      <c r="W76" s="485"/>
      <c r="X76" s="485"/>
      <c r="Y76" s="485"/>
      <c r="Z76" s="485"/>
      <c r="AA76" s="485"/>
      <c r="AB76" s="485"/>
      <c r="AC76" s="485"/>
      <c r="AD76" s="485"/>
      <c r="AE76" s="485"/>
    </row>
    <row r="77" spans="2:31" ht="14.25" customHeight="1">
      <c r="B77" s="552">
        <v>31111702</v>
      </c>
      <c r="C77" s="485" t="s">
        <v>3139</v>
      </c>
      <c r="D77" s="490">
        <v>542.1</v>
      </c>
      <c r="E77" s="485" t="s">
        <v>2686</v>
      </c>
      <c r="F77" s="485" t="s">
        <v>1320</v>
      </c>
      <c r="G77" s="485" t="s">
        <v>96</v>
      </c>
      <c r="H77" s="491" t="s">
        <v>2973</v>
      </c>
      <c r="I77" s="271">
        <v>40</v>
      </c>
      <c r="J77" s="271"/>
      <c r="K77" s="506">
        <v>161.75</v>
      </c>
      <c r="L77" s="507">
        <v>293</v>
      </c>
      <c r="M77" s="507">
        <v>3.3000000000000002E-2</v>
      </c>
      <c r="N77" s="438">
        <v>13</v>
      </c>
      <c r="O77" s="485" t="s">
        <v>2162</v>
      </c>
      <c r="P77" s="558"/>
      <c r="Q77" s="485" t="s">
        <v>2708</v>
      </c>
      <c r="R77" s="504"/>
      <c r="S77" s="559">
        <v>45658</v>
      </c>
      <c r="T77" s="329">
        <v>5</v>
      </c>
      <c r="U77" s="508" t="s">
        <v>1253</v>
      </c>
      <c r="V77" s="485"/>
      <c r="W77" s="485"/>
      <c r="X77" s="485"/>
      <c r="Y77" s="485"/>
      <c r="Z77" s="485"/>
      <c r="AA77" s="485"/>
      <c r="AB77" s="485"/>
      <c r="AC77" s="485"/>
      <c r="AD77" s="485"/>
      <c r="AE77" s="485"/>
    </row>
    <row r="78" spans="2:31" ht="14.25" customHeight="1">
      <c r="B78" s="552">
        <v>31111703</v>
      </c>
      <c r="C78" s="485" t="s">
        <v>3140</v>
      </c>
      <c r="D78" s="490">
        <v>543.1</v>
      </c>
      <c r="E78" s="485" t="s">
        <v>2687</v>
      </c>
      <c r="F78" s="485" t="s">
        <v>1320</v>
      </c>
      <c r="G78" s="485" t="s">
        <v>96</v>
      </c>
      <c r="H78" s="491" t="s">
        <v>2973</v>
      </c>
      <c r="I78" s="271">
        <v>60</v>
      </c>
      <c r="J78" s="271"/>
      <c r="K78" s="506">
        <v>161.75</v>
      </c>
      <c r="L78" s="507">
        <v>856</v>
      </c>
      <c r="M78" s="507">
        <v>9.8000000000000004E-2</v>
      </c>
      <c r="N78" s="438">
        <v>13</v>
      </c>
      <c r="O78" s="485" t="s">
        <v>2162</v>
      </c>
      <c r="P78" s="558"/>
      <c r="Q78" s="485" t="s">
        <v>2708</v>
      </c>
      <c r="R78" s="504"/>
      <c r="S78" s="559">
        <v>45658</v>
      </c>
      <c r="T78" s="508">
        <v>6</v>
      </c>
      <c r="U78" s="508" t="s">
        <v>1253</v>
      </c>
      <c r="V78" s="485"/>
      <c r="W78" s="485"/>
      <c r="X78" s="485"/>
      <c r="Y78" s="485"/>
      <c r="Z78" s="485"/>
      <c r="AA78" s="485"/>
      <c r="AB78" s="485"/>
      <c r="AC78" s="485"/>
      <c r="AD78" s="485"/>
      <c r="AE78" s="485"/>
    </row>
    <row r="79" spans="2:31" ht="14.25" customHeight="1">
      <c r="B79" s="552">
        <v>31111704</v>
      </c>
      <c r="C79" s="485" t="s">
        <v>3141</v>
      </c>
      <c r="D79" s="490">
        <v>544.1</v>
      </c>
      <c r="E79" s="485" t="s">
        <v>2688</v>
      </c>
      <c r="F79" s="485" t="s">
        <v>1320</v>
      </c>
      <c r="G79" s="485" t="s">
        <v>96</v>
      </c>
      <c r="H79" s="491" t="s">
        <v>2973</v>
      </c>
      <c r="I79" s="271">
        <v>90</v>
      </c>
      <c r="J79" s="271"/>
      <c r="K79" s="506">
        <v>161.75</v>
      </c>
      <c r="L79" s="507">
        <v>1419</v>
      </c>
      <c r="M79" s="507">
        <v>0.16200000000000001</v>
      </c>
      <c r="N79" s="438">
        <v>13</v>
      </c>
      <c r="O79" s="485" t="s">
        <v>2162</v>
      </c>
      <c r="P79" s="558"/>
      <c r="Q79" s="485" t="s">
        <v>2708</v>
      </c>
      <c r="R79" s="504"/>
      <c r="S79" s="559">
        <v>45658</v>
      </c>
      <c r="T79" s="508">
        <v>7</v>
      </c>
      <c r="U79" s="508" t="s">
        <v>1253</v>
      </c>
      <c r="V79" s="485"/>
      <c r="W79" s="485"/>
      <c r="X79" s="485"/>
      <c r="Y79" s="485"/>
      <c r="Z79" s="485"/>
      <c r="AA79" s="485"/>
      <c r="AB79" s="485"/>
      <c r="AC79" s="485"/>
      <c r="AD79" s="485"/>
      <c r="AE79" s="485"/>
    </row>
    <row r="80" spans="2:31" ht="14.25" customHeight="1">
      <c r="B80" s="552">
        <v>31111705</v>
      </c>
      <c r="C80" s="485" t="s">
        <v>3142</v>
      </c>
      <c r="D80" s="490">
        <v>545.1</v>
      </c>
      <c r="E80" s="485" t="s">
        <v>2689</v>
      </c>
      <c r="F80" s="485" t="s">
        <v>1320</v>
      </c>
      <c r="G80" s="485" t="s">
        <v>96</v>
      </c>
      <c r="H80" s="491" t="s">
        <v>2973</v>
      </c>
      <c r="I80" s="271">
        <v>100</v>
      </c>
      <c r="J80" s="271"/>
      <c r="K80" s="506">
        <v>161.75</v>
      </c>
      <c r="L80" s="507">
        <v>2126</v>
      </c>
      <c r="M80" s="507">
        <v>0.24299999999999999</v>
      </c>
      <c r="N80" s="438">
        <v>13</v>
      </c>
      <c r="O80" s="485" t="s">
        <v>2162</v>
      </c>
      <c r="P80" s="558"/>
      <c r="Q80" s="485" t="s">
        <v>2708</v>
      </c>
      <c r="R80" s="504"/>
      <c r="S80" s="559">
        <v>45658</v>
      </c>
      <c r="T80" s="329">
        <v>8</v>
      </c>
      <c r="U80" s="508" t="s">
        <v>1253</v>
      </c>
      <c r="V80" s="485"/>
      <c r="W80" s="485"/>
      <c r="X80" s="485"/>
      <c r="Y80" s="485"/>
      <c r="Z80" s="485"/>
      <c r="AA80" s="485"/>
      <c r="AB80" s="485"/>
      <c r="AC80" s="485"/>
      <c r="AD80" s="485"/>
      <c r="AE80" s="485"/>
    </row>
    <row r="81" spans="2:31" ht="14.25" customHeight="1">
      <c r="B81" s="552">
        <v>31111706</v>
      </c>
      <c r="C81" s="485" t="s">
        <v>3143</v>
      </c>
      <c r="D81" s="490">
        <v>546.1</v>
      </c>
      <c r="E81" s="485" t="s">
        <v>2690</v>
      </c>
      <c r="F81" s="485" t="s">
        <v>1320</v>
      </c>
      <c r="G81" s="485" t="s">
        <v>96</v>
      </c>
      <c r="H81" s="491" t="s">
        <v>2973</v>
      </c>
      <c r="I81" s="271">
        <v>160</v>
      </c>
      <c r="J81" s="271"/>
      <c r="K81" s="506">
        <v>161.75</v>
      </c>
      <c r="L81" s="507">
        <v>3209</v>
      </c>
      <c r="M81" s="507">
        <v>0.36599999999999999</v>
      </c>
      <c r="N81" s="438">
        <v>13</v>
      </c>
      <c r="O81" s="485" t="s">
        <v>2162</v>
      </c>
      <c r="P81" s="558"/>
      <c r="Q81" s="485" t="s">
        <v>2708</v>
      </c>
      <c r="R81" s="504"/>
      <c r="S81" s="559">
        <v>45658</v>
      </c>
      <c r="T81" s="329">
        <v>9</v>
      </c>
      <c r="U81" s="508" t="s">
        <v>1253</v>
      </c>
      <c r="V81" s="485"/>
      <c r="W81" s="485"/>
      <c r="X81" s="485"/>
      <c r="Y81" s="485"/>
      <c r="Z81" s="485"/>
      <c r="AA81" s="485"/>
      <c r="AB81" s="485"/>
      <c r="AC81" s="485"/>
      <c r="AD81" s="485"/>
      <c r="AE81" s="485"/>
    </row>
    <row r="82" spans="2:31" ht="14.25" customHeight="1">
      <c r="B82" s="552">
        <v>31111716</v>
      </c>
      <c r="C82" s="485" t="s">
        <v>2700</v>
      </c>
      <c r="D82" s="490">
        <v>563.1</v>
      </c>
      <c r="E82" s="485" t="s">
        <v>2700</v>
      </c>
      <c r="F82" s="485" t="s">
        <v>1320</v>
      </c>
      <c r="G82" s="485" t="s">
        <v>96</v>
      </c>
      <c r="H82" s="491" t="s">
        <v>1225</v>
      </c>
      <c r="I82" s="271">
        <v>60</v>
      </c>
      <c r="J82" s="271"/>
      <c r="K82" s="506">
        <v>68.78</v>
      </c>
      <c r="L82" s="507">
        <v>1016.5309999999999</v>
      </c>
      <c r="M82" s="507">
        <v>1.5599999999999999E-2</v>
      </c>
      <c r="N82" s="438">
        <v>12</v>
      </c>
      <c r="O82" s="485" t="s">
        <v>2706</v>
      </c>
      <c r="P82" s="558"/>
      <c r="Q82" s="485" t="s">
        <v>2712</v>
      </c>
      <c r="R82" s="504"/>
      <c r="S82" s="559">
        <v>45658</v>
      </c>
      <c r="T82" s="508">
        <v>10</v>
      </c>
      <c r="U82" s="508" t="s">
        <v>1253</v>
      </c>
      <c r="V82" s="485"/>
      <c r="W82" s="485"/>
      <c r="X82" s="485"/>
      <c r="Y82" s="485"/>
      <c r="Z82" s="485"/>
      <c r="AA82" s="485"/>
      <c r="AB82" s="485"/>
      <c r="AC82" s="485"/>
      <c r="AD82" s="485"/>
      <c r="AE82" s="485"/>
    </row>
    <row r="83" spans="2:31" ht="14.25" customHeight="1">
      <c r="B83" s="552">
        <v>31111715</v>
      </c>
      <c r="C83" s="485" t="s">
        <v>2699</v>
      </c>
      <c r="D83" s="490">
        <v>562.1</v>
      </c>
      <c r="E83" s="485" t="s">
        <v>2699</v>
      </c>
      <c r="F83" s="485" t="s">
        <v>1320</v>
      </c>
      <c r="G83" s="485" t="s">
        <v>96</v>
      </c>
      <c r="H83" s="491" t="s">
        <v>1225</v>
      </c>
      <c r="I83" s="271">
        <v>60</v>
      </c>
      <c r="J83" s="271"/>
      <c r="K83" s="506">
        <v>68.78</v>
      </c>
      <c r="L83" s="507">
        <v>561.88980000000004</v>
      </c>
      <c r="M83" s="507">
        <v>8.6E-3</v>
      </c>
      <c r="N83" s="438">
        <v>12</v>
      </c>
      <c r="O83" s="485" t="s">
        <v>2706</v>
      </c>
      <c r="P83" s="558"/>
      <c r="Q83" s="485" t="s">
        <v>2712</v>
      </c>
      <c r="R83" s="504"/>
      <c r="S83" s="559">
        <v>45658</v>
      </c>
      <c r="T83" s="508">
        <v>11</v>
      </c>
      <c r="U83" s="508" t="s">
        <v>1253</v>
      </c>
      <c r="V83" s="485"/>
      <c r="W83" s="485"/>
      <c r="X83" s="485"/>
      <c r="Y83" s="485"/>
      <c r="Z83" s="485"/>
      <c r="AA83" s="485"/>
      <c r="AB83" s="485"/>
      <c r="AC83" s="485"/>
      <c r="AD83" s="485"/>
      <c r="AE83" s="485"/>
    </row>
    <row r="84" spans="2:31" ht="14.25" customHeight="1">
      <c r="B84" s="552">
        <v>31111714</v>
      </c>
      <c r="C84" s="485" t="s">
        <v>2698</v>
      </c>
      <c r="D84" s="490">
        <v>561.1</v>
      </c>
      <c r="E84" s="485" t="s">
        <v>2698</v>
      </c>
      <c r="F84" s="485" t="s">
        <v>1320</v>
      </c>
      <c r="G84" s="485" t="s">
        <v>96</v>
      </c>
      <c r="H84" s="491" t="s">
        <v>1225</v>
      </c>
      <c r="I84" s="271">
        <v>60</v>
      </c>
      <c r="J84" s="271"/>
      <c r="K84" s="506">
        <v>68.78</v>
      </c>
      <c r="L84" s="507">
        <v>1333.7474999999999</v>
      </c>
      <c r="M84" s="507">
        <v>3.27E-2</v>
      </c>
      <c r="N84" s="438">
        <v>12</v>
      </c>
      <c r="O84" s="485" t="s">
        <v>2706</v>
      </c>
      <c r="P84" s="558"/>
      <c r="Q84" s="485" t="s">
        <v>2712</v>
      </c>
      <c r="R84" s="504"/>
      <c r="S84" s="559">
        <v>45658</v>
      </c>
      <c r="T84" s="329">
        <v>12</v>
      </c>
      <c r="U84" s="508" t="s">
        <v>1253</v>
      </c>
      <c r="V84" s="485"/>
      <c r="W84" s="485"/>
      <c r="X84" s="485"/>
      <c r="Y84" s="485"/>
      <c r="Z84" s="485"/>
      <c r="AA84" s="485"/>
      <c r="AB84" s="485"/>
      <c r="AC84" s="485"/>
      <c r="AD84" s="485"/>
      <c r="AE84" s="485"/>
    </row>
    <row r="85" spans="2:31" ht="14.25" customHeight="1">
      <c r="B85" s="552">
        <v>31111712</v>
      </c>
      <c r="C85" s="485" t="s">
        <v>2696</v>
      </c>
      <c r="D85" s="490">
        <v>559.1</v>
      </c>
      <c r="E85" s="485" t="s">
        <v>2696</v>
      </c>
      <c r="F85" s="485" t="s">
        <v>1320</v>
      </c>
      <c r="G85" s="485" t="s">
        <v>96</v>
      </c>
      <c r="H85" s="491" t="s">
        <v>1225</v>
      </c>
      <c r="I85" s="271">
        <v>60</v>
      </c>
      <c r="J85" s="271"/>
      <c r="K85" s="506">
        <v>68.78</v>
      </c>
      <c r="L85" s="507">
        <v>921.75220000000002</v>
      </c>
      <c r="M85" s="507">
        <v>2.2599999999999999E-2</v>
      </c>
      <c r="N85" s="438">
        <v>12</v>
      </c>
      <c r="O85" s="485" t="s">
        <v>2706</v>
      </c>
      <c r="P85" s="558"/>
      <c r="Q85" s="485" t="s">
        <v>2712</v>
      </c>
      <c r="R85" s="504"/>
      <c r="S85" s="559">
        <v>45658</v>
      </c>
      <c r="T85" s="329">
        <v>13</v>
      </c>
      <c r="U85" s="508" t="s">
        <v>1253</v>
      </c>
      <c r="V85" s="485"/>
      <c r="W85" s="485"/>
      <c r="X85" s="485"/>
      <c r="Y85" s="485"/>
      <c r="Z85" s="485"/>
      <c r="AA85" s="485"/>
      <c r="AB85" s="485"/>
      <c r="AC85" s="485"/>
      <c r="AD85" s="485"/>
      <c r="AE85" s="485"/>
    </row>
    <row r="86" spans="2:31" ht="14.25" customHeight="1">
      <c r="B86" s="552">
        <v>31111713</v>
      </c>
      <c r="C86" s="485" t="s">
        <v>2697</v>
      </c>
      <c r="D86" s="490">
        <v>560.1</v>
      </c>
      <c r="E86" s="485" t="s">
        <v>2697</v>
      </c>
      <c r="F86" s="485" t="s">
        <v>1320</v>
      </c>
      <c r="G86" s="485" t="s">
        <v>96</v>
      </c>
      <c r="H86" s="491" t="s">
        <v>1225</v>
      </c>
      <c r="I86" s="271">
        <v>60</v>
      </c>
      <c r="J86" s="271"/>
      <c r="K86" s="506">
        <v>68.78</v>
      </c>
      <c r="L86" s="507">
        <v>377.08049999999997</v>
      </c>
      <c r="M86" s="507">
        <v>9.2999999999999992E-3</v>
      </c>
      <c r="N86" s="438">
        <v>12</v>
      </c>
      <c r="O86" s="485" t="s">
        <v>2706</v>
      </c>
      <c r="P86" s="558"/>
      <c r="Q86" s="485" t="s">
        <v>2712</v>
      </c>
      <c r="R86" s="504"/>
      <c r="S86" s="559">
        <v>45658</v>
      </c>
      <c r="T86" s="508">
        <v>14</v>
      </c>
      <c r="U86" s="508" t="s">
        <v>1253</v>
      </c>
      <c r="V86" s="485"/>
      <c r="W86" s="485"/>
      <c r="X86" s="485"/>
      <c r="Y86" s="485"/>
      <c r="Z86" s="485"/>
      <c r="AA86" s="485"/>
      <c r="AB86" s="485"/>
      <c r="AC86" s="485"/>
      <c r="AD86" s="485"/>
      <c r="AE86" s="485"/>
    </row>
    <row r="87" spans="2:31" ht="14.25" customHeight="1">
      <c r="B87" s="552">
        <v>31111709</v>
      </c>
      <c r="C87" s="485" t="s">
        <v>2716</v>
      </c>
      <c r="D87" s="490">
        <v>549.1</v>
      </c>
      <c r="E87" s="485" t="s">
        <v>2693</v>
      </c>
      <c r="F87" s="485" t="s">
        <v>1320</v>
      </c>
      <c r="G87" s="485" t="s">
        <v>96</v>
      </c>
      <c r="H87" s="491" t="s">
        <v>1225</v>
      </c>
      <c r="I87" s="271">
        <v>200</v>
      </c>
      <c r="J87" s="271"/>
      <c r="K87" s="506">
        <v>290</v>
      </c>
      <c r="L87" s="507">
        <v>723.19500000000005</v>
      </c>
      <c r="M87" s="507">
        <v>8.2500000000000004E-2</v>
      </c>
      <c r="N87" s="438">
        <v>12</v>
      </c>
      <c r="O87" s="485" t="s">
        <v>2703</v>
      </c>
      <c r="P87" s="558"/>
      <c r="Q87" s="485" t="s">
        <v>2709</v>
      </c>
      <c r="R87" s="504"/>
      <c r="S87" s="559">
        <v>45658</v>
      </c>
      <c r="T87" s="508">
        <v>15</v>
      </c>
      <c r="U87" s="508" t="s">
        <v>1253</v>
      </c>
      <c r="V87" s="485"/>
      <c r="W87" s="485"/>
      <c r="X87" s="485"/>
      <c r="Y87" s="485"/>
      <c r="Z87" s="485"/>
      <c r="AA87" s="485"/>
      <c r="AB87" s="485"/>
      <c r="AC87" s="485"/>
      <c r="AD87" s="485"/>
      <c r="AE87" s="485"/>
    </row>
    <row r="88" spans="2:31" ht="14.25" customHeight="1">
      <c r="B88" s="552">
        <v>31111708</v>
      </c>
      <c r="C88" s="485" t="s">
        <v>2715</v>
      </c>
      <c r="D88" s="490">
        <v>548.1</v>
      </c>
      <c r="E88" s="485" t="s">
        <v>2692</v>
      </c>
      <c r="F88" s="485" t="s">
        <v>1320</v>
      </c>
      <c r="G88" s="485" t="s">
        <v>96</v>
      </c>
      <c r="H88" s="491" t="s">
        <v>1225</v>
      </c>
      <c r="I88" s="271">
        <v>200</v>
      </c>
      <c r="J88" s="271"/>
      <c r="K88" s="506">
        <v>290</v>
      </c>
      <c r="L88" s="507">
        <v>788.94</v>
      </c>
      <c r="M88" s="507">
        <v>0.09</v>
      </c>
      <c r="N88" s="438">
        <v>12</v>
      </c>
      <c r="O88" s="485" t="s">
        <v>2703</v>
      </c>
      <c r="P88" s="558"/>
      <c r="Q88" s="485" t="s">
        <v>2709</v>
      </c>
      <c r="R88" s="504"/>
      <c r="S88" s="559">
        <v>45658</v>
      </c>
      <c r="T88" s="329">
        <v>16</v>
      </c>
      <c r="U88" s="508" t="s">
        <v>1253</v>
      </c>
      <c r="V88" s="485"/>
      <c r="W88" s="485"/>
      <c r="X88" s="485"/>
      <c r="Y88" s="485"/>
      <c r="Z88" s="485"/>
      <c r="AA88" s="485"/>
      <c r="AB88" s="485"/>
      <c r="AC88" s="485"/>
      <c r="AD88" s="485"/>
      <c r="AE88" s="485"/>
    </row>
    <row r="89" spans="2:31" ht="14.25" customHeight="1">
      <c r="B89" s="552">
        <v>31111707</v>
      </c>
      <c r="C89" s="485" t="s">
        <v>2714</v>
      </c>
      <c r="D89" s="490">
        <v>547.1</v>
      </c>
      <c r="E89" s="485" t="s">
        <v>2691</v>
      </c>
      <c r="F89" s="485" t="s">
        <v>1320</v>
      </c>
      <c r="G89" s="485" t="s">
        <v>96</v>
      </c>
      <c r="H89" s="491" t="s">
        <v>1225</v>
      </c>
      <c r="I89" s="271">
        <v>210</v>
      </c>
      <c r="J89" s="271"/>
      <c r="K89" s="506">
        <v>290</v>
      </c>
      <c r="L89" s="507">
        <v>2279.16</v>
      </c>
      <c r="M89" s="507">
        <v>0.26</v>
      </c>
      <c r="N89" s="438">
        <v>12</v>
      </c>
      <c r="O89" s="485" t="s">
        <v>2703</v>
      </c>
      <c r="P89" s="558"/>
      <c r="Q89" s="485" t="s">
        <v>2709</v>
      </c>
      <c r="R89" s="504"/>
      <c r="S89" s="559">
        <v>45658</v>
      </c>
      <c r="T89" s="329">
        <v>17</v>
      </c>
      <c r="U89" s="508" t="s">
        <v>1253</v>
      </c>
      <c r="V89" s="485"/>
      <c r="W89" s="485"/>
      <c r="X89" s="485"/>
      <c r="Y89" s="485"/>
      <c r="Z89" s="485"/>
      <c r="AA89" s="485"/>
      <c r="AB89" s="485"/>
      <c r="AC89" s="485"/>
      <c r="AD89" s="485"/>
      <c r="AE89" s="485"/>
    </row>
    <row r="90" spans="2:31" ht="14.25" customHeight="1">
      <c r="B90" s="552" t="s">
        <v>1549</v>
      </c>
      <c r="C90" s="485" t="s">
        <v>1234</v>
      </c>
      <c r="D90" s="490">
        <v>261.5</v>
      </c>
      <c r="E90" s="485" t="s">
        <v>1234</v>
      </c>
      <c r="F90" s="485" t="s">
        <v>1320</v>
      </c>
      <c r="G90" s="485" t="s">
        <v>96</v>
      </c>
      <c r="H90" s="491" t="s">
        <v>2974</v>
      </c>
      <c r="I90" s="271">
        <v>9</v>
      </c>
      <c r="J90" s="271"/>
      <c r="K90" s="506">
        <v>10.220000000000001</v>
      </c>
      <c r="L90" s="507">
        <v>119.9</v>
      </c>
      <c r="M90" s="507">
        <v>1.37E-2</v>
      </c>
      <c r="N90" s="438">
        <v>4</v>
      </c>
      <c r="O90" s="485" t="s">
        <v>2702</v>
      </c>
      <c r="P90" s="558">
        <v>80.400000000000006</v>
      </c>
      <c r="Q90" s="485" t="s">
        <v>2161</v>
      </c>
      <c r="R90" s="504"/>
      <c r="S90" s="559">
        <v>45658</v>
      </c>
      <c r="T90" s="508">
        <v>18</v>
      </c>
      <c r="U90" s="508" t="s">
        <v>1253</v>
      </c>
      <c r="V90" s="485"/>
      <c r="W90" s="485"/>
      <c r="X90" s="485"/>
      <c r="Y90" s="485"/>
      <c r="Z90" s="485"/>
      <c r="AA90" s="485"/>
      <c r="AB90" s="485"/>
      <c r="AC90" s="485"/>
      <c r="AD90" s="485"/>
      <c r="AE90" s="485"/>
    </row>
    <row r="91" spans="2:31" ht="14.25" customHeight="1">
      <c r="B91" s="552" t="s">
        <v>2251</v>
      </c>
      <c r="C91" s="485" t="s">
        <v>1235</v>
      </c>
      <c r="D91" s="490">
        <v>260.5</v>
      </c>
      <c r="E91" s="485" t="s">
        <v>1235</v>
      </c>
      <c r="F91" s="485" t="s">
        <v>1320</v>
      </c>
      <c r="G91" s="485" t="s">
        <v>96</v>
      </c>
      <c r="H91" s="491" t="s">
        <v>2974</v>
      </c>
      <c r="I91" s="271">
        <v>10</v>
      </c>
      <c r="J91" s="271"/>
      <c r="K91" s="506">
        <v>10.220000000000001</v>
      </c>
      <c r="L91" s="507">
        <v>494.3</v>
      </c>
      <c r="M91" s="507">
        <v>5.6399999999999999E-2</v>
      </c>
      <c r="N91" s="438">
        <v>4</v>
      </c>
      <c r="O91" s="485" t="s">
        <v>2702</v>
      </c>
      <c r="P91" s="558">
        <v>331.5</v>
      </c>
      <c r="Q91" s="485" t="s">
        <v>2161</v>
      </c>
      <c r="R91" s="504"/>
      <c r="S91" s="559">
        <v>45658</v>
      </c>
      <c r="T91" s="508">
        <v>19</v>
      </c>
      <c r="U91" s="508" t="s">
        <v>1253</v>
      </c>
      <c r="V91" s="485"/>
      <c r="W91" s="485"/>
      <c r="X91" s="485"/>
      <c r="Y91" s="485"/>
      <c r="Z91" s="485"/>
      <c r="AA91" s="485"/>
      <c r="AB91" s="485"/>
      <c r="AC91" s="485"/>
      <c r="AD91" s="485"/>
      <c r="AE91" s="485"/>
    </row>
    <row r="92" spans="2:31" ht="14.25" customHeight="1">
      <c r="B92" s="552">
        <v>31111710</v>
      </c>
      <c r="C92" s="485" t="s">
        <v>2694</v>
      </c>
      <c r="D92" s="490">
        <v>557.1</v>
      </c>
      <c r="E92" s="485" t="s">
        <v>2694</v>
      </c>
      <c r="F92" s="261" t="s">
        <v>1320</v>
      </c>
      <c r="G92" s="261" t="s">
        <v>96</v>
      </c>
      <c r="H92" s="491" t="s">
        <v>87</v>
      </c>
      <c r="I92" s="267">
        <v>210</v>
      </c>
      <c r="J92" s="271"/>
      <c r="K92" s="49">
        <v>502</v>
      </c>
      <c r="L92" s="437">
        <v>2399</v>
      </c>
      <c r="M92" s="437">
        <v>0.621</v>
      </c>
      <c r="N92">
        <v>8</v>
      </c>
      <c r="O92" s="485" t="s">
        <v>2704</v>
      </c>
      <c r="P92" s="276"/>
      <c r="Q92" s="485" t="s">
        <v>2710</v>
      </c>
      <c r="R92" s="276"/>
      <c r="S92" s="264">
        <v>45658</v>
      </c>
      <c r="T92" s="329">
        <v>20</v>
      </c>
      <c r="U92" s="263" t="s">
        <v>1253</v>
      </c>
      <c r="V92" s="485"/>
      <c r="W92" s="485"/>
      <c r="X92" s="485"/>
      <c r="Y92" s="485"/>
      <c r="Z92" s="485"/>
      <c r="AA92" s="485"/>
      <c r="AB92" s="485"/>
      <c r="AC92" s="485"/>
      <c r="AD92" s="485"/>
      <c r="AE92" s="485"/>
    </row>
    <row r="93" spans="2:31" ht="14.25" customHeight="1">
      <c r="B93" s="552">
        <v>31111711</v>
      </c>
      <c r="C93" s="485" t="s">
        <v>2695</v>
      </c>
      <c r="D93" s="490">
        <v>558.1</v>
      </c>
      <c r="E93" s="485" t="s">
        <v>2695</v>
      </c>
      <c r="F93" s="261" t="s">
        <v>1320</v>
      </c>
      <c r="G93" s="261" t="s">
        <v>96</v>
      </c>
      <c r="H93" s="491" t="s">
        <v>87</v>
      </c>
      <c r="I93" s="267">
        <v>300</v>
      </c>
      <c r="J93" s="271"/>
      <c r="K93" s="49">
        <v>502</v>
      </c>
      <c r="L93" s="437">
        <v>6949</v>
      </c>
      <c r="M93" s="437">
        <v>1.3</v>
      </c>
      <c r="N93">
        <v>8</v>
      </c>
      <c r="O93" s="485" t="s">
        <v>2705</v>
      </c>
      <c r="P93" s="276"/>
      <c r="Q93" s="485" t="s">
        <v>2711</v>
      </c>
      <c r="R93" s="276"/>
      <c r="S93" s="264">
        <v>45658</v>
      </c>
      <c r="T93" s="329">
        <v>21</v>
      </c>
      <c r="U93" s="263" t="s">
        <v>1253</v>
      </c>
      <c r="V93" s="485"/>
      <c r="W93" s="485"/>
      <c r="X93" s="485"/>
      <c r="Y93" s="485"/>
      <c r="Z93" s="485"/>
      <c r="AA93" s="485"/>
      <c r="AB93" s="485"/>
      <c r="AC93" s="485"/>
      <c r="AD93" s="485"/>
      <c r="AE93" s="485"/>
    </row>
    <row r="101" spans="2:38" ht="14.25" customHeight="1">
      <c r="B101" s="265" t="s">
        <v>85</v>
      </c>
      <c r="C101" s="265" t="s">
        <v>1213</v>
      </c>
      <c r="D101" s="472" t="s">
        <v>1214</v>
      </c>
      <c r="E101" s="472" t="s">
        <v>1236</v>
      </c>
      <c r="F101" s="472" t="s">
        <v>0</v>
      </c>
      <c r="G101" s="265" t="s">
        <v>1215</v>
      </c>
      <c r="H101" s="473" t="s">
        <v>1216</v>
      </c>
      <c r="I101" s="266" t="s">
        <v>2862</v>
      </c>
      <c r="J101" s="266" t="s">
        <v>1765</v>
      </c>
      <c r="K101" s="472" t="s">
        <v>1217</v>
      </c>
      <c r="L101" s="472" t="s">
        <v>1218</v>
      </c>
      <c r="M101" s="472" t="s">
        <v>1219</v>
      </c>
      <c r="N101" s="472" t="s">
        <v>1220</v>
      </c>
      <c r="O101" s="472" t="s">
        <v>1859</v>
      </c>
      <c r="P101" s="472" t="s">
        <v>1221</v>
      </c>
      <c r="Q101" s="472" t="s">
        <v>1222</v>
      </c>
      <c r="R101" s="472" t="s">
        <v>1223</v>
      </c>
      <c r="S101" s="472" t="s">
        <v>1224</v>
      </c>
      <c r="T101" s="265" t="s">
        <v>336</v>
      </c>
      <c r="U101" s="265" t="s">
        <v>2270</v>
      </c>
      <c r="V101" s="265" t="s">
        <v>2995</v>
      </c>
      <c r="W101" s="426" t="s">
        <v>2994</v>
      </c>
      <c r="X101" s="265" t="s">
        <v>1745</v>
      </c>
      <c r="Y101" s="265" t="s">
        <v>1746</v>
      </c>
      <c r="Z101" s="474" t="s">
        <v>2201</v>
      </c>
      <c r="AA101" s="474" t="s">
        <v>2202</v>
      </c>
      <c r="AB101" s="474" t="s">
        <v>2996</v>
      </c>
      <c r="AC101" s="426" t="s">
        <v>2997</v>
      </c>
      <c r="AD101" s="475" t="s">
        <v>2998</v>
      </c>
      <c r="AE101" s="427" t="s">
        <v>2999</v>
      </c>
      <c r="AG101" t="s">
        <v>1214</v>
      </c>
      <c r="AH101" t="s">
        <v>3025</v>
      </c>
      <c r="AI101" t="s">
        <v>3026</v>
      </c>
      <c r="AJ101" t="s">
        <v>3027</v>
      </c>
      <c r="AK101" t="s">
        <v>3028</v>
      </c>
      <c r="AL101" t="s">
        <v>336</v>
      </c>
    </row>
    <row r="102" spans="2:38" ht="14.25" customHeight="1">
      <c r="B102" s="551" t="s">
        <v>2176</v>
      </c>
      <c r="C102" s="270" t="s">
        <v>2572</v>
      </c>
      <c r="D102" s="492">
        <v>364.5</v>
      </c>
      <c r="E102" s="261" t="s">
        <v>1851</v>
      </c>
      <c r="F102" s="261" t="s">
        <v>1320</v>
      </c>
      <c r="G102" s="261" t="s">
        <v>1858</v>
      </c>
      <c r="H102" s="491" t="s">
        <v>3043</v>
      </c>
      <c r="I102" s="267">
        <v>26</v>
      </c>
      <c r="J102" s="271"/>
      <c r="K102" s="49">
        <v>49.48</v>
      </c>
      <c r="L102" s="437">
        <v>62.25</v>
      </c>
      <c r="M102" s="437">
        <v>4.5400000000000003E-2</v>
      </c>
      <c r="N102">
        <v>15</v>
      </c>
      <c r="O102" s="261"/>
      <c r="P102" s="263"/>
      <c r="Q102" s="261"/>
      <c r="R102" s="493">
        <v>0</v>
      </c>
      <c r="S102" s="264">
        <v>45658</v>
      </c>
      <c r="T102" s="269">
        <v>1</v>
      </c>
      <c r="U102" s="263" t="s">
        <v>1253</v>
      </c>
      <c r="V102" s="263" t="s">
        <v>2919</v>
      </c>
      <c r="W102" s="494">
        <v>13.4</v>
      </c>
      <c r="X102" s="495">
        <v>0</v>
      </c>
      <c r="Y102" s="495">
        <f>65/12</f>
        <v>5.416666666666667</v>
      </c>
      <c r="Z102" s="261">
        <v>1065</v>
      </c>
      <c r="AA102" s="261"/>
      <c r="AB102" s="44" t="s">
        <v>2198</v>
      </c>
      <c r="AC102" s="494">
        <v>0</v>
      </c>
      <c r="AD102" s="485"/>
      <c r="AE102" s="485"/>
      <c r="AF102" s="479"/>
      <c r="AG102" s="32">
        <v>364.4</v>
      </c>
      <c r="AH102" t="s">
        <v>3029</v>
      </c>
      <c r="AI102" t="s">
        <v>3030</v>
      </c>
      <c r="AL102">
        <v>1</v>
      </c>
    </row>
    <row r="103" spans="2:38" ht="14.25" customHeight="1">
      <c r="B103" s="551" t="s">
        <v>2177</v>
      </c>
      <c r="C103" s="270" t="s">
        <v>2568</v>
      </c>
      <c r="D103" s="492">
        <v>362.5</v>
      </c>
      <c r="E103" s="261" t="s">
        <v>1855</v>
      </c>
      <c r="F103" s="261" t="s">
        <v>1320</v>
      </c>
      <c r="G103" s="261" t="s">
        <v>1858</v>
      </c>
      <c r="H103" s="491" t="s">
        <v>2980</v>
      </c>
      <c r="I103" s="267">
        <v>23</v>
      </c>
      <c r="J103" s="271"/>
      <c r="K103" s="49">
        <v>49.04</v>
      </c>
      <c r="L103" s="437">
        <v>52.93</v>
      </c>
      <c r="M103" s="437">
        <v>4.6699999999999998E-2</v>
      </c>
      <c r="N103">
        <v>15</v>
      </c>
      <c r="O103" s="261"/>
      <c r="P103" s="263"/>
      <c r="Q103" s="452"/>
      <c r="R103" s="493">
        <v>0</v>
      </c>
      <c r="S103" s="264">
        <v>45658</v>
      </c>
      <c r="T103" s="269">
        <v>2</v>
      </c>
      <c r="U103" s="263" t="s">
        <v>1253</v>
      </c>
      <c r="V103" s="263" t="s">
        <v>2200</v>
      </c>
      <c r="W103" s="494">
        <v>14.6</v>
      </c>
      <c r="X103" s="495">
        <f>65/12</f>
        <v>5.416666666666667</v>
      </c>
      <c r="Y103" s="495">
        <f>135/12</f>
        <v>11.25</v>
      </c>
      <c r="Z103" s="261">
        <v>1065</v>
      </c>
      <c r="AA103" s="261"/>
      <c r="AB103" s="44" t="s">
        <v>2198</v>
      </c>
      <c r="AC103" s="494">
        <v>11</v>
      </c>
      <c r="AD103" s="485"/>
      <c r="AE103" s="485"/>
      <c r="AF103" s="479"/>
      <c r="AG103" s="32">
        <v>362.4</v>
      </c>
      <c r="AH103" t="s">
        <v>3029</v>
      </c>
      <c r="AI103" t="s">
        <v>3030</v>
      </c>
      <c r="AL103">
        <v>2</v>
      </c>
    </row>
    <row r="104" spans="2:38" ht="14.25" customHeight="1">
      <c r="B104" s="551" t="s">
        <v>2178</v>
      </c>
      <c r="C104" s="270" t="s">
        <v>2569</v>
      </c>
      <c r="D104" s="492">
        <v>360.5</v>
      </c>
      <c r="E104" s="261" t="s">
        <v>1853</v>
      </c>
      <c r="F104" s="261" t="s">
        <v>1320</v>
      </c>
      <c r="G104" s="261" t="s">
        <v>1858</v>
      </c>
      <c r="H104" s="491" t="s">
        <v>2980</v>
      </c>
      <c r="I104" s="267">
        <v>23</v>
      </c>
      <c r="J104" s="271"/>
      <c r="K104" s="49">
        <v>38.25</v>
      </c>
      <c r="L104" s="437">
        <v>55.38</v>
      </c>
      <c r="M104" s="437">
        <v>3.73E-2</v>
      </c>
      <c r="N104">
        <v>15</v>
      </c>
      <c r="O104" s="261"/>
      <c r="P104" s="263"/>
      <c r="Q104" s="452"/>
      <c r="R104" s="493">
        <v>0</v>
      </c>
      <c r="S104" s="264">
        <v>45658</v>
      </c>
      <c r="T104" s="269">
        <v>3</v>
      </c>
      <c r="U104" s="263" t="s">
        <v>1253</v>
      </c>
      <c r="V104" s="263" t="s">
        <v>2200</v>
      </c>
      <c r="W104" s="494">
        <v>14</v>
      </c>
      <c r="X104" s="495">
        <f>135/12</f>
        <v>11.25</v>
      </c>
      <c r="Y104" s="495">
        <f>240/12</f>
        <v>20</v>
      </c>
      <c r="Z104" s="261">
        <v>1065</v>
      </c>
      <c r="AA104" s="261"/>
      <c r="AB104" s="44" t="s">
        <v>2198</v>
      </c>
      <c r="AC104" s="494">
        <v>10.8</v>
      </c>
      <c r="AD104" s="485"/>
      <c r="AE104" s="485"/>
      <c r="AF104" s="479"/>
      <c r="AG104" s="32">
        <v>360.4</v>
      </c>
      <c r="AH104" t="s">
        <v>3029</v>
      </c>
      <c r="AI104" t="s">
        <v>3030</v>
      </c>
      <c r="AL104">
        <v>3</v>
      </c>
    </row>
    <row r="105" spans="2:38" ht="14.25" customHeight="1">
      <c r="B105" s="551" t="s">
        <v>2179</v>
      </c>
      <c r="C105" s="270" t="s">
        <v>2570</v>
      </c>
      <c r="D105" s="492">
        <v>361.5</v>
      </c>
      <c r="E105" s="261" t="s">
        <v>1854</v>
      </c>
      <c r="F105" s="261" t="s">
        <v>1320</v>
      </c>
      <c r="G105" s="261" t="s">
        <v>1858</v>
      </c>
      <c r="H105" s="491" t="s">
        <v>2980</v>
      </c>
      <c r="I105" s="267">
        <v>10</v>
      </c>
      <c r="J105" s="271"/>
      <c r="K105" s="49">
        <v>10.4</v>
      </c>
      <c r="L105" s="437">
        <v>62.46</v>
      </c>
      <c r="M105" s="437">
        <v>5.5800000000000002E-2</v>
      </c>
      <c r="N105">
        <v>15</v>
      </c>
      <c r="O105" s="261"/>
      <c r="P105" s="263"/>
      <c r="Q105" s="452"/>
      <c r="R105" s="493">
        <v>0</v>
      </c>
      <c r="S105" s="264">
        <v>45658</v>
      </c>
      <c r="T105" s="269">
        <v>4</v>
      </c>
      <c r="U105" s="263" t="s">
        <v>1253</v>
      </c>
      <c r="V105" s="263" t="s">
        <v>2200</v>
      </c>
      <c r="W105" s="494">
        <v>13</v>
      </c>
      <c r="X105" s="495">
        <f>240/12</f>
        <v>20</v>
      </c>
      <c r="Y105" s="495">
        <f>760/12</f>
        <v>63.333333333333336</v>
      </c>
      <c r="Z105" s="261">
        <v>1065</v>
      </c>
      <c r="AA105" s="261"/>
      <c r="AB105" s="44" t="s">
        <v>2198</v>
      </c>
      <c r="AC105" s="494">
        <v>9.8000000000000007</v>
      </c>
      <c r="AD105" s="485"/>
      <c r="AE105" s="485"/>
      <c r="AF105" s="479"/>
      <c r="AG105" s="32">
        <v>361.4</v>
      </c>
      <c r="AH105" t="s">
        <v>3029</v>
      </c>
      <c r="AI105" t="s">
        <v>3030</v>
      </c>
      <c r="AL105">
        <v>4</v>
      </c>
    </row>
    <row r="106" spans="2:38" ht="14.25" customHeight="1">
      <c r="B106" s="551" t="s">
        <v>2180</v>
      </c>
      <c r="C106" s="270" t="s">
        <v>2571</v>
      </c>
      <c r="D106" s="492">
        <v>363.5</v>
      </c>
      <c r="E106" s="261" t="s">
        <v>1852</v>
      </c>
      <c r="F106" s="261" t="s">
        <v>1320</v>
      </c>
      <c r="G106" s="261" t="s">
        <v>1858</v>
      </c>
      <c r="H106" s="491" t="s">
        <v>2980</v>
      </c>
      <c r="I106" s="267">
        <v>20</v>
      </c>
      <c r="J106" s="271"/>
      <c r="K106" s="49">
        <v>23.17</v>
      </c>
      <c r="L106" s="437">
        <v>76.790000000000006</v>
      </c>
      <c r="M106" s="437">
        <v>0.12859999999999999</v>
      </c>
      <c r="N106">
        <v>15</v>
      </c>
      <c r="O106" s="261"/>
      <c r="P106" s="263"/>
      <c r="Q106" s="452"/>
      <c r="R106" s="493">
        <v>0</v>
      </c>
      <c r="S106" s="264">
        <v>45658</v>
      </c>
      <c r="T106" s="269">
        <v>5</v>
      </c>
      <c r="U106" s="263" t="s">
        <v>1253</v>
      </c>
      <c r="V106" s="263" t="s">
        <v>2200</v>
      </c>
      <c r="W106" s="494">
        <v>12.3</v>
      </c>
      <c r="X106" s="495">
        <f>760/12</f>
        <v>63.333333333333336</v>
      </c>
      <c r="Y106" s="495">
        <v>9999</v>
      </c>
      <c r="Z106" s="261">
        <v>1065</v>
      </c>
      <c r="AA106" s="261"/>
      <c r="AB106" s="44" t="s">
        <v>2198</v>
      </c>
      <c r="AC106" s="494">
        <v>9.5</v>
      </c>
      <c r="AD106" s="485"/>
      <c r="AE106" s="485"/>
      <c r="AF106" s="479"/>
      <c r="AG106" s="32">
        <v>363.4</v>
      </c>
      <c r="AH106" t="s">
        <v>3029</v>
      </c>
      <c r="AI106" t="s">
        <v>3030</v>
      </c>
      <c r="AL106">
        <v>5</v>
      </c>
    </row>
    <row r="107" spans="2:38" ht="14.25" customHeight="1">
      <c r="B107" s="551" t="s">
        <v>2181</v>
      </c>
      <c r="C107" s="270" t="s">
        <v>2573</v>
      </c>
      <c r="D107" s="492">
        <v>370.5</v>
      </c>
      <c r="E107" s="261" t="s">
        <v>1847</v>
      </c>
      <c r="F107" s="261" t="s">
        <v>1320</v>
      </c>
      <c r="G107" s="261" t="s">
        <v>94</v>
      </c>
      <c r="H107" s="491" t="s">
        <v>3043</v>
      </c>
      <c r="I107" s="267">
        <v>25</v>
      </c>
      <c r="J107" s="271"/>
      <c r="K107" s="49">
        <v>106.38</v>
      </c>
      <c r="L107" s="437">
        <v>56.87</v>
      </c>
      <c r="M107" s="437">
        <v>7.4099999999999999E-2</v>
      </c>
      <c r="N107">
        <v>16</v>
      </c>
      <c r="O107" s="261" t="s">
        <v>3118</v>
      </c>
      <c r="P107" s="496">
        <v>15.73</v>
      </c>
      <c r="Q107" s="261" t="s">
        <v>3120</v>
      </c>
      <c r="R107" s="493">
        <v>14.3</v>
      </c>
      <c r="S107" s="264">
        <v>45658</v>
      </c>
      <c r="T107" s="269">
        <v>6</v>
      </c>
      <c r="U107" s="263" t="s">
        <v>1253</v>
      </c>
      <c r="V107" s="263" t="s">
        <v>2919</v>
      </c>
      <c r="W107" s="494">
        <v>14.3</v>
      </c>
      <c r="X107" s="495">
        <v>0</v>
      </c>
      <c r="Y107" s="495">
        <f>65/12</f>
        <v>5.416666666666667</v>
      </c>
      <c r="Z107" s="261">
        <v>1065</v>
      </c>
      <c r="AA107" s="261">
        <v>1385</v>
      </c>
      <c r="AB107" s="44" t="s">
        <v>2921</v>
      </c>
      <c r="AC107" s="494">
        <v>7.5</v>
      </c>
      <c r="AD107" s="485" t="s">
        <v>2920</v>
      </c>
      <c r="AE107" s="485">
        <v>9.4</v>
      </c>
      <c r="AF107" s="479"/>
      <c r="AG107" s="32">
        <v>370.4</v>
      </c>
      <c r="AH107" t="s">
        <v>3029</v>
      </c>
      <c r="AI107" t="s">
        <v>3031</v>
      </c>
      <c r="AJ107" t="s">
        <v>3030</v>
      </c>
      <c r="AK107" s="44" t="s">
        <v>3032</v>
      </c>
      <c r="AL107" s="44">
        <v>6</v>
      </c>
    </row>
    <row r="108" spans="2:38" ht="14.25" customHeight="1">
      <c r="B108" s="551" t="s">
        <v>2182</v>
      </c>
      <c r="C108" s="270" t="s">
        <v>2574</v>
      </c>
      <c r="D108" s="492">
        <v>367.5</v>
      </c>
      <c r="E108" s="261" t="s">
        <v>1850</v>
      </c>
      <c r="F108" s="261" t="s">
        <v>1320</v>
      </c>
      <c r="G108" s="261" t="s">
        <v>94</v>
      </c>
      <c r="H108" s="491" t="s">
        <v>2980</v>
      </c>
      <c r="I108" s="267">
        <v>25</v>
      </c>
      <c r="J108" s="271"/>
      <c r="K108" s="49">
        <v>92.59</v>
      </c>
      <c r="L108" s="437">
        <v>60.24</v>
      </c>
      <c r="M108" s="437">
        <v>6.6299999999999998E-2</v>
      </c>
      <c r="N108">
        <v>16</v>
      </c>
      <c r="O108" s="261" t="s">
        <v>3117</v>
      </c>
      <c r="P108" s="496">
        <v>15.29</v>
      </c>
      <c r="Q108" s="261" t="s">
        <v>3119</v>
      </c>
      <c r="R108" s="493">
        <v>13.9</v>
      </c>
      <c r="S108" s="264">
        <v>45658</v>
      </c>
      <c r="T108" s="269">
        <v>7</v>
      </c>
      <c r="U108" s="263" t="s">
        <v>1253</v>
      </c>
      <c r="V108" s="263" t="s">
        <v>2200</v>
      </c>
      <c r="W108" s="494">
        <v>13.9</v>
      </c>
      <c r="X108" s="495">
        <f>65/12</f>
        <v>5.416666666666667</v>
      </c>
      <c r="Y108" s="495">
        <f>135/12</f>
        <v>11.25</v>
      </c>
      <c r="Z108" s="261">
        <v>1065</v>
      </c>
      <c r="AA108" s="261">
        <v>1385</v>
      </c>
      <c r="AB108" s="44" t="s">
        <v>2203</v>
      </c>
      <c r="AC108" s="494">
        <v>3.4</v>
      </c>
      <c r="AD108" s="485" t="s">
        <v>2198</v>
      </c>
      <c r="AE108" s="485">
        <v>10.8</v>
      </c>
      <c r="AF108" s="479"/>
      <c r="AG108" s="32">
        <v>367.4</v>
      </c>
      <c r="AH108" t="s">
        <v>3029</v>
      </c>
      <c r="AI108" t="s">
        <v>3033</v>
      </c>
      <c r="AJ108" t="s">
        <v>3030</v>
      </c>
      <c r="AK108" s="44" t="s">
        <v>3032</v>
      </c>
      <c r="AL108" s="44">
        <v>7</v>
      </c>
    </row>
    <row r="109" spans="2:38" ht="14.25" customHeight="1">
      <c r="B109" s="551" t="s">
        <v>2183</v>
      </c>
      <c r="C109" s="270" t="s">
        <v>2575</v>
      </c>
      <c r="D109" s="492">
        <v>368.5</v>
      </c>
      <c r="E109" s="261" t="s">
        <v>1849</v>
      </c>
      <c r="F109" s="261" t="s">
        <v>1320</v>
      </c>
      <c r="G109" s="261" t="s">
        <v>94</v>
      </c>
      <c r="H109" s="491" t="s">
        <v>2980</v>
      </c>
      <c r="I109" s="267">
        <v>28</v>
      </c>
      <c r="J109" s="271"/>
      <c r="K109" s="49">
        <v>100</v>
      </c>
      <c r="L109" s="437">
        <v>65.790000000000006</v>
      </c>
      <c r="M109" s="437">
        <v>0.74890000000000001</v>
      </c>
      <c r="N109">
        <v>16</v>
      </c>
      <c r="O109" s="261" t="s">
        <v>3117</v>
      </c>
      <c r="P109" s="496">
        <v>14.63</v>
      </c>
      <c r="Q109" s="261" t="s">
        <v>3119</v>
      </c>
      <c r="R109" s="493">
        <v>13.3</v>
      </c>
      <c r="S109" s="264">
        <v>45658</v>
      </c>
      <c r="T109" s="269">
        <v>8</v>
      </c>
      <c r="U109" s="263" t="s">
        <v>1253</v>
      </c>
      <c r="V109" s="263" t="s">
        <v>2200</v>
      </c>
      <c r="W109" s="494">
        <v>13.3</v>
      </c>
      <c r="X109" s="495">
        <f>135/12</f>
        <v>11.25</v>
      </c>
      <c r="Y109" s="495">
        <f>240/12</f>
        <v>20</v>
      </c>
      <c r="Z109" s="261">
        <v>1065</v>
      </c>
      <c r="AA109" s="261">
        <v>1385</v>
      </c>
      <c r="AB109" s="44" t="s">
        <v>2203</v>
      </c>
      <c r="AC109" s="494">
        <v>3.3</v>
      </c>
      <c r="AD109" s="485" t="s">
        <v>2198</v>
      </c>
      <c r="AE109" s="485">
        <v>10.4</v>
      </c>
      <c r="AF109" s="479"/>
      <c r="AG109" s="32">
        <v>368.4</v>
      </c>
      <c r="AH109" t="s">
        <v>3029</v>
      </c>
      <c r="AI109" t="s">
        <v>3033</v>
      </c>
      <c r="AJ109" t="s">
        <v>3030</v>
      </c>
      <c r="AK109" s="44" t="s">
        <v>3032</v>
      </c>
      <c r="AL109" s="44">
        <v>8</v>
      </c>
    </row>
    <row r="110" spans="2:38" ht="14.25" customHeight="1">
      <c r="B110" s="551" t="s">
        <v>2184</v>
      </c>
      <c r="C110" s="270" t="s">
        <v>2576</v>
      </c>
      <c r="D110" s="492">
        <v>369.5</v>
      </c>
      <c r="E110" s="261" t="s">
        <v>1848</v>
      </c>
      <c r="F110" s="261" t="s">
        <v>1320</v>
      </c>
      <c r="G110" s="261" t="s">
        <v>94</v>
      </c>
      <c r="H110" s="491" t="s">
        <v>2980</v>
      </c>
      <c r="I110" s="267">
        <v>28</v>
      </c>
      <c r="J110" s="271"/>
      <c r="K110" s="49">
        <v>107.53</v>
      </c>
      <c r="L110" s="437">
        <v>76.981999999999999</v>
      </c>
      <c r="M110" s="437">
        <v>8.7099999999999997E-2</v>
      </c>
      <c r="N110">
        <v>16</v>
      </c>
      <c r="O110" s="261" t="s">
        <v>3117</v>
      </c>
      <c r="P110" s="496">
        <v>13.53</v>
      </c>
      <c r="Q110" s="261" t="s">
        <v>3119</v>
      </c>
      <c r="R110" s="493">
        <v>12.3</v>
      </c>
      <c r="S110" s="264">
        <v>45658</v>
      </c>
      <c r="T110" s="269">
        <v>9</v>
      </c>
      <c r="U110" s="263" t="s">
        <v>1253</v>
      </c>
      <c r="V110" s="263" t="s">
        <v>2200</v>
      </c>
      <c r="W110" s="494">
        <v>12.3</v>
      </c>
      <c r="X110" s="495">
        <f>240/12</f>
        <v>20</v>
      </c>
      <c r="Y110" s="495">
        <v>9999</v>
      </c>
      <c r="Z110" s="261">
        <v>1065</v>
      </c>
      <c r="AA110" s="261">
        <v>1385</v>
      </c>
      <c r="AB110" s="44" t="s">
        <v>2203</v>
      </c>
      <c r="AC110" s="494">
        <v>3.2</v>
      </c>
      <c r="AD110" s="485" t="s">
        <v>2198</v>
      </c>
      <c r="AE110" s="485">
        <v>9.3000000000000007</v>
      </c>
      <c r="AF110" s="479"/>
      <c r="AG110" s="32">
        <v>369.4</v>
      </c>
      <c r="AH110" t="s">
        <v>3029</v>
      </c>
      <c r="AI110" t="s">
        <v>3033</v>
      </c>
      <c r="AJ110" t="s">
        <v>3030</v>
      </c>
      <c r="AK110" s="44" t="s">
        <v>3032</v>
      </c>
      <c r="AL110" s="44">
        <v>9</v>
      </c>
    </row>
    <row r="111" spans="2:38" ht="14.25" customHeight="1">
      <c r="B111" s="551" t="s">
        <v>2185</v>
      </c>
      <c r="C111" s="270" t="s">
        <v>3115</v>
      </c>
      <c r="D111" s="486">
        <v>381.4</v>
      </c>
      <c r="E111" s="261" t="s">
        <v>1856</v>
      </c>
      <c r="F111" s="261" t="s">
        <v>1320</v>
      </c>
      <c r="G111" s="261" t="s">
        <v>94</v>
      </c>
      <c r="H111" s="491" t="s">
        <v>2983</v>
      </c>
      <c r="I111" s="267">
        <v>120</v>
      </c>
      <c r="J111" s="271"/>
      <c r="K111" s="49">
        <v>1047</v>
      </c>
      <c r="L111" s="437">
        <v>269.86</v>
      </c>
      <c r="M111" s="437">
        <v>0.1966</v>
      </c>
      <c r="N111">
        <v>8</v>
      </c>
      <c r="O111" s="261" t="s">
        <v>2988</v>
      </c>
      <c r="P111" s="496">
        <v>13</v>
      </c>
      <c r="Q111" s="261" t="s">
        <v>2991</v>
      </c>
      <c r="R111" s="493">
        <v>10.199999999999999</v>
      </c>
      <c r="S111" s="264">
        <v>45658</v>
      </c>
      <c r="T111" s="269">
        <v>10</v>
      </c>
      <c r="U111" s="276" t="s">
        <v>1253</v>
      </c>
      <c r="V111" s="276" t="s">
        <v>2198</v>
      </c>
      <c r="W111" s="497">
        <v>10.199999999999999</v>
      </c>
      <c r="X111" s="495">
        <v>0</v>
      </c>
      <c r="Y111" s="495">
        <v>50</v>
      </c>
      <c r="Z111" s="261">
        <v>1065</v>
      </c>
      <c r="AA111" s="261"/>
      <c r="AB111" s="44" t="s">
        <v>2203</v>
      </c>
      <c r="AC111" s="498">
        <v>1</v>
      </c>
      <c r="AD111" s="485"/>
      <c r="AE111" s="485"/>
      <c r="AF111" s="479"/>
      <c r="AG111" s="32">
        <v>381.3</v>
      </c>
      <c r="AH111" t="s">
        <v>3030</v>
      </c>
      <c r="AI111" t="s">
        <v>3033</v>
      </c>
      <c r="AK111" s="44"/>
      <c r="AL111" s="44">
        <v>10</v>
      </c>
    </row>
    <row r="112" spans="2:38" ht="14.25" customHeight="1">
      <c r="B112" s="551" t="s">
        <v>2186</v>
      </c>
      <c r="C112" s="270" t="s">
        <v>3116</v>
      </c>
      <c r="D112" s="486">
        <v>383.3</v>
      </c>
      <c r="E112" s="261" t="s">
        <v>1857</v>
      </c>
      <c r="F112" s="261" t="s">
        <v>1320</v>
      </c>
      <c r="G112" s="261" t="s">
        <v>94</v>
      </c>
      <c r="H112" s="491" t="s">
        <v>2983</v>
      </c>
      <c r="I112" s="267">
        <v>220</v>
      </c>
      <c r="J112" s="271"/>
      <c r="K112" s="49">
        <v>1047</v>
      </c>
      <c r="L112" s="437">
        <v>504.12</v>
      </c>
      <c r="M112" s="437">
        <v>0.23130000000000001</v>
      </c>
      <c r="N112">
        <v>8</v>
      </c>
      <c r="O112" s="261" t="s">
        <v>2988</v>
      </c>
      <c r="P112" s="496">
        <v>13</v>
      </c>
      <c r="Q112" s="261" t="s">
        <v>2991</v>
      </c>
      <c r="R112" s="493">
        <v>10.199999999999999</v>
      </c>
      <c r="S112" s="264">
        <v>45658</v>
      </c>
      <c r="T112" s="269">
        <v>11</v>
      </c>
      <c r="U112" s="276" t="s">
        <v>1253</v>
      </c>
      <c r="V112" s="276" t="s">
        <v>2198</v>
      </c>
      <c r="W112" s="497">
        <v>10.199999999999999</v>
      </c>
      <c r="X112" s="495">
        <v>0</v>
      </c>
      <c r="Y112" s="495">
        <v>50</v>
      </c>
      <c r="Z112" s="261">
        <v>1065</v>
      </c>
      <c r="AA112" s="261">
        <v>1385</v>
      </c>
      <c r="AB112" s="44" t="s">
        <v>2203</v>
      </c>
      <c r="AC112" s="494">
        <v>2.6</v>
      </c>
      <c r="AD112" s="485"/>
      <c r="AE112" s="485"/>
      <c r="AF112" s="479"/>
      <c r="AG112" s="32">
        <v>383.2</v>
      </c>
      <c r="AH112" t="s">
        <v>3030</v>
      </c>
      <c r="AI112" t="s">
        <v>3033</v>
      </c>
      <c r="AK112" s="44" t="s">
        <v>3032</v>
      </c>
      <c r="AL112" s="44">
        <v>11</v>
      </c>
    </row>
    <row r="113" spans="2:38" ht="14.25" customHeight="1">
      <c r="B113" s="552" t="s">
        <v>2508</v>
      </c>
      <c r="C113" s="485" t="s">
        <v>2463</v>
      </c>
      <c r="D113" s="499">
        <v>511.3</v>
      </c>
      <c r="E113" s="485" t="s">
        <v>2463</v>
      </c>
      <c r="F113" s="261" t="s">
        <v>1320</v>
      </c>
      <c r="G113" s="261" t="s">
        <v>1858</v>
      </c>
      <c r="H113" s="491" t="s">
        <v>2981</v>
      </c>
      <c r="I113" s="267">
        <v>30</v>
      </c>
      <c r="J113" s="271"/>
      <c r="K113" s="49">
        <v>214.87341772151873</v>
      </c>
      <c r="L113" s="437">
        <v>46.539700000000003</v>
      </c>
      <c r="M113" s="437">
        <v>6.5000000000000002E-2</v>
      </c>
      <c r="N113">
        <v>23</v>
      </c>
      <c r="O113" s="485" t="s">
        <v>2989</v>
      </c>
      <c r="P113" s="496">
        <v>17.38</v>
      </c>
      <c r="Q113" s="485" t="s">
        <v>2992</v>
      </c>
      <c r="R113" s="493">
        <v>15.8</v>
      </c>
      <c r="S113" s="264">
        <v>45658</v>
      </c>
      <c r="T113" s="269">
        <v>12</v>
      </c>
      <c r="U113" s="276" t="s">
        <v>1253</v>
      </c>
      <c r="V113" s="276" t="s">
        <v>3000</v>
      </c>
      <c r="W113" s="494">
        <v>15.8</v>
      </c>
      <c r="X113" s="500">
        <v>0</v>
      </c>
      <c r="Y113" s="500">
        <v>149.99</v>
      </c>
      <c r="Z113" s="485">
        <v>1065</v>
      </c>
      <c r="AA113" s="485"/>
      <c r="AB113" s="44" t="s">
        <v>3044</v>
      </c>
      <c r="AC113" s="501">
        <v>9.6999999999999993</v>
      </c>
      <c r="AD113" s="485"/>
      <c r="AE113" s="485"/>
      <c r="AF113" s="479"/>
      <c r="AG113" s="32">
        <v>511.2</v>
      </c>
      <c r="AH113" t="s">
        <v>3029</v>
      </c>
      <c r="AI113" t="s">
        <v>3030</v>
      </c>
      <c r="AL113">
        <v>12</v>
      </c>
    </row>
    <row r="114" spans="2:38" ht="14.25" customHeight="1">
      <c r="B114" s="552" t="s">
        <v>2509</v>
      </c>
      <c r="C114" s="485" t="s">
        <v>2464</v>
      </c>
      <c r="D114" s="499">
        <v>512.29999999999995</v>
      </c>
      <c r="E114" s="485" t="s">
        <v>2464</v>
      </c>
      <c r="F114" s="261" t="s">
        <v>1320</v>
      </c>
      <c r="G114" s="261" t="s">
        <v>1858</v>
      </c>
      <c r="H114" s="491" t="s">
        <v>2981</v>
      </c>
      <c r="I114" s="267">
        <v>32</v>
      </c>
      <c r="J114" s="271"/>
      <c r="K114" s="49">
        <v>59.834368530020591</v>
      </c>
      <c r="L114" s="437">
        <v>44.8215</v>
      </c>
      <c r="M114" s="437">
        <v>6.3799999999999996E-2</v>
      </c>
      <c r="N114">
        <v>23</v>
      </c>
      <c r="O114" s="485" t="s">
        <v>2989</v>
      </c>
      <c r="P114" s="496">
        <v>17.71</v>
      </c>
      <c r="Q114" s="485" t="s">
        <v>2992</v>
      </c>
      <c r="R114" s="493">
        <v>16.100000000000001</v>
      </c>
      <c r="S114" s="264">
        <v>45658</v>
      </c>
      <c r="T114" s="269">
        <v>13</v>
      </c>
      <c r="U114" s="276" t="s">
        <v>1253</v>
      </c>
      <c r="V114" s="276" t="s">
        <v>3000</v>
      </c>
      <c r="W114" s="494">
        <v>16.100000000000001</v>
      </c>
      <c r="X114" s="500">
        <v>150</v>
      </c>
      <c r="Y114" s="500">
        <v>9999</v>
      </c>
      <c r="Z114" s="485">
        <v>1065</v>
      </c>
      <c r="AA114" s="485"/>
      <c r="AB114" s="44" t="s">
        <v>3044</v>
      </c>
      <c r="AC114" s="501">
        <v>9.6999999999999993</v>
      </c>
      <c r="AD114" s="485"/>
      <c r="AE114" s="485"/>
      <c r="AF114" s="479"/>
      <c r="AG114" s="32">
        <v>512.20000000000005</v>
      </c>
      <c r="AH114" t="s">
        <v>3029</v>
      </c>
      <c r="AI114" t="s">
        <v>3030</v>
      </c>
      <c r="AL114">
        <v>13</v>
      </c>
    </row>
    <row r="115" spans="2:38" ht="14.25" customHeight="1">
      <c r="B115" s="552" t="s">
        <v>2510</v>
      </c>
      <c r="C115" s="485" t="s">
        <v>2475</v>
      </c>
      <c r="D115" s="499">
        <v>513.29999999999995</v>
      </c>
      <c r="E115" s="485" t="s">
        <v>2465</v>
      </c>
      <c r="F115" s="261" t="s">
        <v>1320</v>
      </c>
      <c r="G115" s="261" t="s">
        <v>1858</v>
      </c>
      <c r="H115" s="491" t="s">
        <v>2982</v>
      </c>
      <c r="I115" s="267">
        <v>470</v>
      </c>
      <c r="J115" s="271"/>
      <c r="K115" s="49">
        <v>2316.6666666666647</v>
      </c>
      <c r="L115" s="437">
        <v>1065</v>
      </c>
      <c r="M115" s="437">
        <v>1.1413</v>
      </c>
      <c r="N115">
        <v>23</v>
      </c>
      <c r="O115" s="485" t="s">
        <v>2990</v>
      </c>
      <c r="P115" s="496">
        <v>0.66</v>
      </c>
      <c r="Q115" s="485" t="s">
        <v>2993</v>
      </c>
      <c r="R115" s="493">
        <v>0.6</v>
      </c>
      <c r="S115" s="264">
        <v>45658</v>
      </c>
      <c r="T115" s="269">
        <v>14</v>
      </c>
      <c r="U115" s="276" t="s">
        <v>1253</v>
      </c>
      <c r="V115" s="276" t="s">
        <v>3001</v>
      </c>
      <c r="W115" s="494">
        <v>0.6</v>
      </c>
      <c r="X115" s="500">
        <v>0</v>
      </c>
      <c r="Y115" s="500">
        <v>74.989999999999995</v>
      </c>
      <c r="Z115" s="485">
        <v>1065</v>
      </c>
      <c r="AA115" s="485"/>
      <c r="AB115" s="44" t="s">
        <v>3045</v>
      </c>
      <c r="AC115" s="501">
        <v>0.75</v>
      </c>
      <c r="AD115" s="485"/>
      <c r="AE115" s="485"/>
      <c r="AF115" s="479"/>
      <c r="AG115" s="32">
        <v>513.20000000000005</v>
      </c>
      <c r="AH115" t="s">
        <v>3029</v>
      </c>
      <c r="AI115" t="s">
        <v>3030</v>
      </c>
      <c r="AL115">
        <v>14</v>
      </c>
    </row>
    <row r="116" spans="2:38" ht="14.25" customHeight="1">
      <c r="B116" s="552" t="s">
        <v>2511</v>
      </c>
      <c r="C116" s="485" t="s">
        <v>2523</v>
      </c>
      <c r="D116" s="499">
        <v>514.29999999999995</v>
      </c>
      <c r="E116" s="485" t="s">
        <v>2466</v>
      </c>
      <c r="F116" s="261" t="s">
        <v>1320</v>
      </c>
      <c r="G116" s="261" t="s">
        <v>1858</v>
      </c>
      <c r="H116" s="491" t="s">
        <v>2982</v>
      </c>
      <c r="I116" s="267">
        <v>450</v>
      </c>
      <c r="J116" s="271"/>
      <c r="K116" s="49">
        <v>1392.8571428571415</v>
      </c>
      <c r="L116" s="437">
        <v>1065</v>
      </c>
      <c r="M116" s="437">
        <v>1.1738999999999999</v>
      </c>
      <c r="N116">
        <v>23</v>
      </c>
      <c r="O116" s="485" t="s">
        <v>2990</v>
      </c>
      <c r="P116" s="496">
        <v>0.61599999999999999</v>
      </c>
      <c r="Q116" s="485" t="s">
        <v>2993</v>
      </c>
      <c r="R116" s="493">
        <v>0.56000000000000005</v>
      </c>
      <c r="S116" s="264">
        <v>45658</v>
      </c>
      <c r="T116" s="269">
        <v>15</v>
      </c>
      <c r="U116" s="276" t="s">
        <v>1253</v>
      </c>
      <c r="V116" s="276" t="s">
        <v>3001</v>
      </c>
      <c r="W116" s="494">
        <v>0.56000000000000005</v>
      </c>
      <c r="X116" s="500">
        <v>75</v>
      </c>
      <c r="Y116" s="500">
        <v>149.99</v>
      </c>
      <c r="Z116" s="485">
        <v>1065</v>
      </c>
      <c r="AA116" s="485"/>
      <c r="AB116" s="44" t="s">
        <v>3045</v>
      </c>
      <c r="AC116" s="501">
        <v>0.72</v>
      </c>
      <c r="AD116" s="485"/>
      <c r="AE116" s="485"/>
      <c r="AF116" s="479"/>
      <c r="AG116" s="32">
        <v>514.20000000000005</v>
      </c>
      <c r="AH116" t="s">
        <v>3029</v>
      </c>
      <c r="AI116" t="s">
        <v>3030</v>
      </c>
      <c r="AL116">
        <v>15</v>
      </c>
    </row>
    <row r="117" spans="2:38" ht="14.25" customHeight="1">
      <c r="B117" s="552" t="s">
        <v>2512</v>
      </c>
      <c r="C117" s="485" t="s">
        <v>2524</v>
      </c>
      <c r="D117" s="499">
        <v>515.29999999999995</v>
      </c>
      <c r="E117" s="485" t="s">
        <v>2467</v>
      </c>
      <c r="F117" s="261" t="s">
        <v>1320</v>
      </c>
      <c r="G117" s="261" t="s">
        <v>1858</v>
      </c>
      <c r="H117" s="491" t="s">
        <v>2982</v>
      </c>
      <c r="I117" s="267">
        <v>400</v>
      </c>
      <c r="J117" s="271"/>
      <c r="K117" s="49">
        <v>1694.444444444443</v>
      </c>
      <c r="L117" s="437">
        <v>1065</v>
      </c>
      <c r="M117" s="437">
        <v>1.1158999999999999</v>
      </c>
      <c r="N117">
        <v>23</v>
      </c>
      <c r="O117" s="485" t="s">
        <v>2990</v>
      </c>
      <c r="P117" s="496">
        <v>0.59399999999999997</v>
      </c>
      <c r="Q117" s="485" t="s">
        <v>2993</v>
      </c>
      <c r="R117" s="493">
        <v>0.54</v>
      </c>
      <c r="S117" s="264">
        <v>45658</v>
      </c>
      <c r="T117" s="269">
        <v>16</v>
      </c>
      <c r="U117" s="276" t="s">
        <v>1253</v>
      </c>
      <c r="V117" s="276" t="s">
        <v>3001</v>
      </c>
      <c r="W117" s="494">
        <v>0.54</v>
      </c>
      <c r="X117" s="500">
        <v>150</v>
      </c>
      <c r="Y117" s="500">
        <v>299.99</v>
      </c>
      <c r="Z117" s="485">
        <v>1065</v>
      </c>
      <c r="AA117" s="485"/>
      <c r="AB117" s="44" t="s">
        <v>3045</v>
      </c>
      <c r="AC117" s="501">
        <v>0.66</v>
      </c>
      <c r="AD117" s="485"/>
      <c r="AE117" s="485"/>
      <c r="AF117" s="479"/>
      <c r="AG117" s="32">
        <v>515.20000000000005</v>
      </c>
      <c r="AH117" t="s">
        <v>3029</v>
      </c>
      <c r="AI117" t="s">
        <v>3030</v>
      </c>
      <c r="AL117">
        <v>16</v>
      </c>
    </row>
    <row r="118" spans="2:38" ht="14.25" customHeight="1">
      <c r="B118" s="552" t="s">
        <v>2513</v>
      </c>
      <c r="C118" s="485" t="s">
        <v>2476</v>
      </c>
      <c r="D118" s="499">
        <v>516.29999999999995</v>
      </c>
      <c r="E118" s="485" t="s">
        <v>2468</v>
      </c>
      <c r="F118" s="261" t="s">
        <v>1320</v>
      </c>
      <c r="G118" s="261" t="s">
        <v>1858</v>
      </c>
      <c r="H118" s="491" t="s">
        <v>2982</v>
      </c>
      <c r="I118" s="267">
        <v>300</v>
      </c>
      <c r="J118" s="271"/>
      <c r="K118" s="49">
        <v>307.69230769230739</v>
      </c>
      <c r="L118" s="437">
        <v>1065</v>
      </c>
      <c r="M118" s="437">
        <v>1.071</v>
      </c>
      <c r="N118">
        <v>23</v>
      </c>
      <c r="O118" s="485" t="s">
        <v>2990</v>
      </c>
      <c r="P118" s="496">
        <v>0.57199999999999995</v>
      </c>
      <c r="Q118" s="485" t="s">
        <v>2993</v>
      </c>
      <c r="R118" s="493">
        <v>0.52</v>
      </c>
      <c r="S118" s="264">
        <v>45658</v>
      </c>
      <c r="T118" s="269">
        <v>17</v>
      </c>
      <c r="U118" s="276" t="s">
        <v>1253</v>
      </c>
      <c r="V118" s="276" t="s">
        <v>3001</v>
      </c>
      <c r="W118" s="494">
        <v>0.52</v>
      </c>
      <c r="X118" s="500">
        <v>300</v>
      </c>
      <c r="Y118" s="500">
        <v>9999</v>
      </c>
      <c r="Z118" s="485">
        <v>1065</v>
      </c>
      <c r="AA118" s="485"/>
      <c r="AB118" s="44" t="s">
        <v>3045</v>
      </c>
      <c r="AC118" s="501">
        <v>0.61</v>
      </c>
      <c r="AD118" s="485"/>
      <c r="AE118" s="485"/>
      <c r="AF118" s="479"/>
      <c r="AG118" s="32">
        <v>516.20000000000005</v>
      </c>
      <c r="AH118" t="s">
        <v>3029</v>
      </c>
      <c r="AI118" t="s">
        <v>3030</v>
      </c>
      <c r="AL118">
        <v>17</v>
      </c>
    </row>
    <row r="119" spans="2:38" ht="14.25" customHeight="1">
      <c r="B119" s="552" t="s">
        <v>2514</v>
      </c>
      <c r="C119" s="502" t="s">
        <v>2473</v>
      </c>
      <c r="D119" s="499">
        <v>517.29999999999995</v>
      </c>
      <c r="E119" s="485" t="s">
        <v>2469</v>
      </c>
      <c r="F119" s="261" t="s">
        <v>1320</v>
      </c>
      <c r="G119" s="261" t="s">
        <v>1858</v>
      </c>
      <c r="H119" s="491" t="s">
        <v>2982</v>
      </c>
      <c r="I119" s="267">
        <v>450</v>
      </c>
      <c r="J119" s="271"/>
      <c r="K119" s="49">
        <v>1127.2727272727263</v>
      </c>
      <c r="L119" s="437">
        <v>1065</v>
      </c>
      <c r="M119" s="437">
        <v>1.0125999999999999</v>
      </c>
      <c r="N119">
        <v>23</v>
      </c>
      <c r="O119" s="485" t="s">
        <v>2990</v>
      </c>
      <c r="P119" s="496">
        <v>0.60499999999999998</v>
      </c>
      <c r="Q119" s="485" t="s">
        <v>2993</v>
      </c>
      <c r="R119" s="493">
        <v>0.55000000000000004</v>
      </c>
      <c r="S119" s="264">
        <v>45658</v>
      </c>
      <c r="T119" s="269">
        <v>18</v>
      </c>
      <c r="U119" s="276" t="s">
        <v>1253</v>
      </c>
      <c r="V119" s="276" t="s">
        <v>3001</v>
      </c>
      <c r="W119" s="494">
        <v>0.55000000000000004</v>
      </c>
      <c r="X119" s="500">
        <v>0</v>
      </c>
      <c r="Y119" s="500">
        <v>149.99</v>
      </c>
      <c r="Z119" s="485">
        <v>1065</v>
      </c>
      <c r="AA119" s="485"/>
      <c r="AB119" s="44" t="s">
        <v>3045</v>
      </c>
      <c r="AC119" s="501">
        <v>0.61</v>
      </c>
      <c r="AD119" s="485"/>
      <c r="AE119" s="485"/>
      <c r="AF119" s="479"/>
      <c r="AG119" s="32">
        <v>517.20000000000005</v>
      </c>
      <c r="AH119" t="s">
        <v>3029</v>
      </c>
      <c r="AI119" t="s">
        <v>3030</v>
      </c>
      <c r="AL119">
        <v>18</v>
      </c>
    </row>
    <row r="120" spans="2:38" ht="14.25" customHeight="1">
      <c r="B120" s="552" t="s">
        <v>2515</v>
      </c>
      <c r="C120" s="485" t="s">
        <v>2525</v>
      </c>
      <c r="D120" s="499">
        <v>518.29999999999995</v>
      </c>
      <c r="E120" s="485" t="s">
        <v>2470</v>
      </c>
      <c r="F120" s="261" t="s">
        <v>1320</v>
      </c>
      <c r="G120" s="261" t="s">
        <v>1858</v>
      </c>
      <c r="H120" s="491" t="s">
        <v>2982</v>
      </c>
      <c r="I120" s="267">
        <v>400</v>
      </c>
      <c r="J120" s="271"/>
      <c r="K120" s="49">
        <v>663.63636363636306</v>
      </c>
      <c r="L120" s="437">
        <v>1065</v>
      </c>
      <c r="M120" s="437">
        <v>1.0125999999999999</v>
      </c>
      <c r="N120">
        <v>23</v>
      </c>
      <c r="O120" s="485" t="s">
        <v>2990</v>
      </c>
      <c r="P120" s="496">
        <v>0.60499999999999998</v>
      </c>
      <c r="Q120" s="485" t="s">
        <v>2993</v>
      </c>
      <c r="R120" s="493">
        <v>0.55000000000000004</v>
      </c>
      <c r="S120" s="264">
        <v>45658</v>
      </c>
      <c r="T120" s="269">
        <v>19</v>
      </c>
      <c r="U120" s="276" t="s">
        <v>1253</v>
      </c>
      <c r="V120" s="276" t="s">
        <v>3001</v>
      </c>
      <c r="W120" s="494">
        <v>0.55000000000000004</v>
      </c>
      <c r="X120" s="500">
        <v>150</v>
      </c>
      <c r="Y120" s="500">
        <v>299.99</v>
      </c>
      <c r="Z120" s="485">
        <v>1065</v>
      </c>
      <c r="AA120" s="485"/>
      <c r="AB120" s="44" t="s">
        <v>3045</v>
      </c>
      <c r="AC120" s="501">
        <v>0.61</v>
      </c>
      <c r="AD120" s="485"/>
      <c r="AE120" s="485"/>
      <c r="AF120" s="479"/>
      <c r="AG120" s="32">
        <v>518.20000000000005</v>
      </c>
      <c r="AH120" t="s">
        <v>3029</v>
      </c>
      <c r="AI120" t="s">
        <v>3030</v>
      </c>
      <c r="AL120">
        <v>19</v>
      </c>
    </row>
    <row r="121" spans="2:38" ht="14.25" customHeight="1">
      <c r="B121" s="552" t="s">
        <v>2516</v>
      </c>
      <c r="C121" s="485" t="s">
        <v>2526</v>
      </c>
      <c r="D121" s="499">
        <v>519.29999999999995</v>
      </c>
      <c r="E121" s="485" t="s">
        <v>2471</v>
      </c>
      <c r="F121" s="261" t="s">
        <v>1320</v>
      </c>
      <c r="G121" s="261" t="s">
        <v>1858</v>
      </c>
      <c r="H121" s="491" t="s">
        <v>2982</v>
      </c>
      <c r="I121" s="267">
        <v>400</v>
      </c>
      <c r="J121" s="271"/>
      <c r="K121" s="49">
        <v>747.57281553397911</v>
      </c>
      <c r="L121" s="437">
        <v>1065</v>
      </c>
      <c r="M121" s="437">
        <v>0.99280000000000002</v>
      </c>
      <c r="N121">
        <v>23</v>
      </c>
      <c r="O121" s="485" t="s">
        <v>2990</v>
      </c>
      <c r="P121" s="496">
        <v>0.5665</v>
      </c>
      <c r="Q121" s="485" t="s">
        <v>2993</v>
      </c>
      <c r="R121" s="493">
        <v>0.51500000000000001</v>
      </c>
      <c r="S121" s="264">
        <v>45658</v>
      </c>
      <c r="T121" s="269">
        <v>20</v>
      </c>
      <c r="U121" s="276" t="s">
        <v>1253</v>
      </c>
      <c r="V121" s="276" t="s">
        <v>3001</v>
      </c>
      <c r="W121" s="494">
        <v>0.51500000000000001</v>
      </c>
      <c r="X121" s="500">
        <v>300</v>
      </c>
      <c r="Y121" s="500">
        <v>599.99</v>
      </c>
      <c r="Z121" s="485">
        <v>1065</v>
      </c>
      <c r="AA121" s="485"/>
      <c r="AB121" s="44" t="s">
        <v>3045</v>
      </c>
      <c r="AC121" s="501">
        <v>0.56000000000000005</v>
      </c>
      <c r="AD121" s="485"/>
      <c r="AE121" s="485"/>
      <c r="AF121" s="479"/>
      <c r="AG121" s="32">
        <v>519.20000000000005</v>
      </c>
      <c r="AH121" t="s">
        <v>3029</v>
      </c>
      <c r="AI121" t="s">
        <v>3030</v>
      </c>
      <c r="AL121">
        <v>20</v>
      </c>
    </row>
    <row r="122" spans="2:38" ht="14.25" customHeight="1">
      <c r="B122" s="552" t="s">
        <v>2517</v>
      </c>
      <c r="C122" s="502" t="s">
        <v>2474</v>
      </c>
      <c r="D122" s="499">
        <v>520.29999999999995</v>
      </c>
      <c r="E122" s="485" t="s">
        <v>2472</v>
      </c>
      <c r="F122" s="261" t="s">
        <v>1320</v>
      </c>
      <c r="G122" s="261" t="s">
        <v>1858</v>
      </c>
      <c r="H122" s="491" t="s">
        <v>2982</v>
      </c>
      <c r="I122" s="267">
        <v>400</v>
      </c>
      <c r="J122" s="271"/>
      <c r="K122" s="49">
        <v>427.18446601941662</v>
      </c>
      <c r="L122" s="437">
        <v>1065</v>
      </c>
      <c r="M122" s="437">
        <v>1.0226</v>
      </c>
      <c r="N122">
        <v>23</v>
      </c>
      <c r="O122" s="485" t="s">
        <v>2990</v>
      </c>
      <c r="P122" s="496">
        <v>0.55000000000000004</v>
      </c>
      <c r="Q122" s="485" t="s">
        <v>2993</v>
      </c>
      <c r="R122" s="493">
        <v>0.5</v>
      </c>
      <c r="S122" s="264">
        <v>45658</v>
      </c>
      <c r="T122" s="269">
        <v>21</v>
      </c>
      <c r="U122" s="276" t="s">
        <v>1253</v>
      </c>
      <c r="V122" s="276" t="s">
        <v>3001</v>
      </c>
      <c r="W122" s="494">
        <v>0.5</v>
      </c>
      <c r="X122" s="500">
        <v>600</v>
      </c>
      <c r="Y122" s="500">
        <v>9999</v>
      </c>
      <c r="Z122" s="485">
        <v>1065</v>
      </c>
      <c r="AA122" s="485"/>
      <c r="AB122" s="44" t="s">
        <v>3045</v>
      </c>
      <c r="AC122" s="501">
        <v>0.56000000000000005</v>
      </c>
      <c r="AD122" s="485"/>
      <c r="AE122" s="485"/>
      <c r="AF122" s="479"/>
      <c r="AG122" s="32">
        <v>520.20000000000005</v>
      </c>
      <c r="AH122" t="s">
        <v>3029</v>
      </c>
      <c r="AI122" t="s">
        <v>3030</v>
      </c>
      <c r="AL122">
        <v>21</v>
      </c>
    </row>
    <row r="123" spans="2:38" ht="14.25" customHeight="1">
      <c r="B123" s="552" t="s">
        <v>2518</v>
      </c>
      <c r="C123" s="502" t="s">
        <v>2577</v>
      </c>
      <c r="D123" s="503">
        <v>500.3</v>
      </c>
      <c r="E123" s="485" t="s">
        <v>2430</v>
      </c>
      <c r="F123" s="261" t="s">
        <v>1320</v>
      </c>
      <c r="G123" s="485" t="s">
        <v>94</v>
      </c>
      <c r="H123" s="491" t="s">
        <v>2979</v>
      </c>
      <c r="I123" s="267">
        <v>50</v>
      </c>
      <c r="J123" s="271"/>
      <c r="K123" s="49">
        <v>415.38</v>
      </c>
      <c r="L123" s="437">
        <v>309.85000000000002</v>
      </c>
      <c r="M123" s="437">
        <v>4.7199999999999999E-2</v>
      </c>
      <c r="N123">
        <v>15</v>
      </c>
      <c r="O123" s="485" t="s">
        <v>3121</v>
      </c>
      <c r="P123" s="276"/>
      <c r="Q123" s="485" t="s">
        <v>3122</v>
      </c>
      <c r="R123" s="493">
        <v>0</v>
      </c>
      <c r="S123" s="264">
        <v>45658</v>
      </c>
      <c r="T123" s="269">
        <v>22</v>
      </c>
      <c r="U123" s="276" t="s">
        <v>1253</v>
      </c>
      <c r="V123" s="276" t="s">
        <v>2199</v>
      </c>
      <c r="W123" s="494">
        <v>13</v>
      </c>
      <c r="X123" s="495">
        <v>0</v>
      </c>
      <c r="Y123" s="495">
        <f>65/12</f>
        <v>5.416666666666667</v>
      </c>
      <c r="Z123" s="485">
        <v>1065</v>
      </c>
      <c r="AA123" s="485">
        <v>1385</v>
      </c>
      <c r="AB123" s="438" t="s">
        <v>2198</v>
      </c>
      <c r="AC123" s="501">
        <v>11.18</v>
      </c>
      <c r="AD123" s="485" t="s">
        <v>2205</v>
      </c>
      <c r="AE123" s="485">
        <v>7.7</v>
      </c>
      <c r="AF123" s="479"/>
      <c r="AG123" s="32">
        <v>500.2</v>
      </c>
      <c r="AH123" t="s">
        <v>3029</v>
      </c>
      <c r="AI123" t="s">
        <v>3030</v>
      </c>
      <c r="AJ123" t="s">
        <v>3031</v>
      </c>
      <c r="AK123" s="44" t="s">
        <v>3032</v>
      </c>
      <c r="AL123" s="44">
        <v>22</v>
      </c>
    </row>
    <row r="124" spans="2:38" ht="14.25" customHeight="1">
      <c r="B124" s="552" t="s">
        <v>2519</v>
      </c>
      <c r="C124" s="502" t="s">
        <v>2578</v>
      </c>
      <c r="D124" s="503">
        <v>501.3</v>
      </c>
      <c r="E124" s="485" t="s">
        <v>2431</v>
      </c>
      <c r="F124" s="261" t="s">
        <v>1320</v>
      </c>
      <c r="G124" s="485" t="s">
        <v>94</v>
      </c>
      <c r="H124" s="491" t="s">
        <v>2980</v>
      </c>
      <c r="I124" s="267">
        <v>50</v>
      </c>
      <c r="J124" s="271"/>
      <c r="K124" s="49">
        <v>369.86</v>
      </c>
      <c r="L124" s="437">
        <v>480.31</v>
      </c>
      <c r="M124" s="437">
        <v>6.3200000000000006E-2</v>
      </c>
      <c r="N124">
        <v>15</v>
      </c>
      <c r="O124" s="485" t="s">
        <v>3121</v>
      </c>
      <c r="P124" s="276"/>
      <c r="Q124" s="485" t="s">
        <v>3122</v>
      </c>
      <c r="R124" s="493">
        <v>0</v>
      </c>
      <c r="S124" s="264">
        <v>45658</v>
      </c>
      <c r="T124" s="269">
        <v>23</v>
      </c>
      <c r="U124" s="276" t="s">
        <v>1253</v>
      </c>
      <c r="V124" s="276" t="s">
        <v>2200</v>
      </c>
      <c r="W124" s="494">
        <v>14.6</v>
      </c>
      <c r="X124" s="495">
        <f>65/12</f>
        <v>5.416666666666667</v>
      </c>
      <c r="Y124" s="495">
        <f>135/12</f>
        <v>11.25</v>
      </c>
      <c r="Z124" s="485">
        <v>1065</v>
      </c>
      <c r="AA124" s="485">
        <v>1385</v>
      </c>
      <c r="AB124" s="438" t="s">
        <v>2198</v>
      </c>
      <c r="AC124" s="501">
        <v>10.8</v>
      </c>
      <c r="AD124" s="485" t="s">
        <v>2203</v>
      </c>
      <c r="AE124" s="485">
        <v>3.3</v>
      </c>
      <c r="AF124" s="479"/>
      <c r="AG124" s="32">
        <v>501.2</v>
      </c>
      <c r="AH124" t="s">
        <v>3029</v>
      </c>
      <c r="AI124" t="s">
        <v>3030</v>
      </c>
      <c r="AJ124" t="s">
        <v>3033</v>
      </c>
      <c r="AK124" s="44" t="s">
        <v>3032</v>
      </c>
      <c r="AL124" s="44">
        <v>23</v>
      </c>
    </row>
    <row r="125" spans="2:38" ht="14.25" customHeight="1">
      <c r="B125" s="552" t="s">
        <v>2520</v>
      </c>
      <c r="C125" s="502" t="s">
        <v>2579</v>
      </c>
      <c r="D125" s="503">
        <v>502.3</v>
      </c>
      <c r="E125" s="485" t="s">
        <v>2432</v>
      </c>
      <c r="F125" s="261" t="s">
        <v>1320</v>
      </c>
      <c r="G125" s="485" t="s">
        <v>94</v>
      </c>
      <c r="H125" s="491" t="s">
        <v>2980</v>
      </c>
      <c r="I125" s="267">
        <v>50</v>
      </c>
      <c r="J125" s="271"/>
      <c r="K125" s="49">
        <v>388.49</v>
      </c>
      <c r="L125" s="437">
        <v>511.3</v>
      </c>
      <c r="M125" s="437">
        <v>6.7599999999999993E-2</v>
      </c>
      <c r="N125">
        <v>15</v>
      </c>
      <c r="O125" s="485" t="s">
        <v>3121</v>
      </c>
      <c r="P125" s="276"/>
      <c r="Q125" s="485" t="s">
        <v>3122</v>
      </c>
      <c r="R125" s="493">
        <v>0</v>
      </c>
      <c r="S125" s="264">
        <v>45658</v>
      </c>
      <c r="T125" s="269">
        <v>24</v>
      </c>
      <c r="U125" s="276" t="s">
        <v>1253</v>
      </c>
      <c r="V125" s="276" t="s">
        <v>2200</v>
      </c>
      <c r="W125" s="494">
        <v>13.9</v>
      </c>
      <c r="X125" s="495">
        <f>135/12</f>
        <v>11.25</v>
      </c>
      <c r="Y125" s="495">
        <f>240/12</f>
        <v>20</v>
      </c>
      <c r="Z125" s="485">
        <v>1065</v>
      </c>
      <c r="AA125" s="485">
        <v>1385</v>
      </c>
      <c r="AB125" s="438" t="s">
        <v>2198</v>
      </c>
      <c r="AC125" s="501">
        <v>10.6</v>
      </c>
      <c r="AD125" s="485" t="s">
        <v>2203</v>
      </c>
      <c r="AE125" s="485">
        <v>3.2</v>
      </c>
      <c r="AF125" s="479"/>
      <c r="AG125" s="32">
        <v>502.2</v>
      </c>
      <c r="AH125" t="s">
        <v>3029</v>
      </c>
      <c r="AI125" t="s">
        <v>3030</v>
      </c>
      <c r="AJ125" t="s">
        <v>3033</v>
      </c>
      <c r="AK125" s="44" t="s">
        <v>3032</v>
      </c>
      <c r="AL125" s="44">
        <v>24</v>
      </c>
    </row>
    <row r="126" spans="2:38" ht="14.25" customHeight="1">
      <c r="B126" s="552" t="s">
        <v>2521</v>
      </c>
      <c r="C126" s="502" t="s">
        <v>2580</v>
      </c>
      <c r="D126" s="503">
        <v>503.3</v>
      </c>
      <c r="E126" s="485" t="s">
        <v>2433</v>
      </c>
      <c r="F126" s="261" t="s">
        <v>1320</v>
      </c>
      <c r="G126" s="485" t="s">
        <v>94</v>
      </c>
      <c r="H126" s="491" t="s">
        <v>2980</v>
      </c>
      <c r="I126" s="267">
        <v>50</v>
      </c>
      <c r="J126" s="271"/>
      <c r="K126" s="49">
        <v>425.2</v>
      </c>
      <c r="L126" s="437">
        <v>528.74</v>
      </c>
      <c r="M126" s="437">
        <v>8.2600000000000007E-2</v>
      </c>
      <c r="N126">
        <v>15</v>
      </c>
      <c r="O126" s="485" t="s">
        <v>3121</v>
      </c>
      <c r="P126" s="276"/>
      <c r="Q126" s="485" t="s">
        <v>3122</v>
      </c>
      <c r="R126" s="493">
        <v>0</v>
      </c>
      <c r="S126" s="264">
        <v>45658</v>
      </c>
      <c r="T126" s="269">
        <v>25</v>
      </c>
      <c r="U126" s="276" t="s">
        <v>1253</v>
      </c>
      <c r="V126" s="276" t="s">
        <v>2200</v>
      </c>
      <c r="W126" s="494">
        <v>12.7</v>
      </c>
      <c r="X126" s="495">
        <f>240/12</f>
        <v>20</v>
      </c>
      <c r="Y126" s="495">
        <f>760/12</f>
        <v>63.333333333333336</v>
      </c>
      <c r="Z126" s="485">
        <v>1065</v>
      </c>
      <c r="AA126" s="485">
        <v>1385</v>
      </c>
      <c r="AB126" s="438" t="s">
        <v>2198</v>
      </c>
      <c r="AC126" s="501">
        <v>9.5</v>
      </c>
      <c r="AD126" s="485" t="s">
        <v>2203</v>
      </c>
      <c r="AE126" s="485">
        <v>3.2</v>
      </c>
      <c r="AF126" s="479"/>
      <c r="AG126" s="32">
        <v>503.2</v>
      </c>
      <c r="AH126" t="s">
        <v>3029</v>
      </c>
      <c r="AI126" t="s">
        <v>3030</v>
      </c>
      <c r="AJ126" t="s">
        <v>3033</v>
      </c>
      <c r="AK126" s="44" t="s">
        <v>3032</v>
      </c>
      <c r="AL126" s="44">
        <v>25</v>
      </c>
    </row>
    <row r="127" spans="2:38" ht="14.25" customHeight="1">
      <c r="AF127" s="479"/>
    </row>
    <row r="128" spans="2:38" ht="14.25" customHeight="1">
      <c r="B128" s="265" t="s">
        <v>85</v>
      </c>
      <c r="C128" s="265" t="s">
        <v>1213</v>
      </c>
      <c r="D128" s="472" t="s">
        <v>1214</v>
      </c>
      <c r="E128" s="472" t="s">
        <v>1236</v>
      </c>
      <c r="F128" s="472" t="s">
        <v>0</v>
      </c>
      <c r="G128" s="265" t="s">
        <v>1215</v>
      </c>
      <c r="H128" s="473" t="s">
        <v>1216</v>
      </c>
      <c r="I128" s="266" t="s">
        <v>2862</v>
      </c>
      <c r="J128" s="266" t="s">
        <v>1765</v>
      </c>
      <c r="K128" s="472" t="s">
        <v>1217</v>
      </c>
      <c r="L128" s="472" t="s">
        <v>1218</v>
      </c>
      <c r="M128" s="472" t="s">
        <v>1219</v>
      </c>
      <c r="N128" s="472" t="s">
        <v>1220</v>
      </c>
      <c r="O128" s="472" t="s">
        <v>1859</v>
      </c>
      <c r="P128" s="472" t="s">
        <v>1221</v>
      </c>
      <c r="Q128" s="472" t="s">
        <v>1222</v>
      </c>
      <c r="R128" s="472" t="s">
        <v>1223</v>
      </c>
      <c r="S128" s="472" t="s">
        <v>1224</v>
      </c>
      <c r="T128" s="265" t="s">
        <v>336</v>
      </c>
      <c r="U128" s="265" t="s">
        <v>2270</v>
      </c>
      <c r="V128" s="288" t="s">
        <v>3013</v>
      </c>
      <c r="W128" s="288" t="s">
        <v>3014</v>
      </c>
      <c r="X128" s="288" t="s">
        <v>2164</v>
      </c>
      <c r="Y128" s="288" t="s">
        <v>2165</v>
      </c>
      <c r="Z128" s="288" t="s">
        <v>2166</v>
      </c>
      <c r="AA128" s="288" t="s">
        <v>2167</v>
      </c>
      <c r="AB128" s="288" t="s">
        <v>2168</v>
      </c>
      <c r="AC128" s="288" t="s">
        <v>2204</v>
      </c>
      <c r="AD128" s="355" t="s">
        <v>2486</v>
      </c>
      <c r="AE128" s="355" t="s">
        <v>2487</v>
      </c>
    </row>
    <row r="129" spans="2:31" ht="14.25" customHeight="1">
      <c r="B129" s="552" t="s">
        <v>3005</v>
      </c>
      <c r="C129" s="485" t="s">
        <v>3002</v>
      </c>
      <c r="D129" s="438">
        <v>712.1</v>
      </c>
      <c r="E129" s="485" t="s">
        <v>2975</v>
      </c>
      <c r="F129" s="485" t="s">
        <v>1320</v>
      </c>
      <c r="G129" s="485" t="s">
        <v>1145</v>
      </c>
      <c r="H129" s="491" t="s">
        <v>2984</v>
      </c>
      <c r="I129" s="565">
        <v>100</v>
      </c>
      <c r="J129" s="271"/>
      <c r="K129" s="506">
        <v>148.33333333333334</v>
      </c>
      <c r="L129" s="507">
        <v>726.85599999999999</v>
      </c>
      <c r="M129" s="507">
        <v>0.23200000000000001</v>
      </c>
      <c r="N129" s="438">
        <v>15</v>
      </c>
      <c r="O129" s="485" t="s">
        <v>2987</v>
      </c>
      <c r="P129" s="504"/>
      <c r="Q129" s="485" t="s">
        <v>2966</v>
      </c>
      <c r="R129" s="504"/>
      <c r="S129" s="264">
        <v>45658</v>
      </c>
      <c r="T129" s="329">
        <v>1</v>
      </c>
      <c r="U129" s="508" t="s">
        <v>1253</v>
      </c>
      <c r="V129" s="500">
        <v>16</v>
      </c>
      <c r="W129" s="500">
        <v>24</v>
      </c>
      <c r="X129" s="485"/>
      <c r="Y129" s="485"/>
      <c r="Z129" s="485"/>
      <c r="AA129" s="485"/>
      <c r="AB129" s="485"/>
      <c r="AC129" s="485"/>
      <c r="AD129" s="485"/>
      <c r="AE129" s="485"/>
    </row>
    <row r="130" spans="2:31" ht="14.25" customHeight="1">
      <c r="B130" s="552" t="s">
        <v>3006</v>
      </c>
      <c r="C130" s="485" t="s">
        <v>3020</v>
      </c>
      <c r="D130" s="438">
        <v>283.3</v>
      </c>
      <c r="E130" s="485" t="s">
        <v>2976</v>
      </c>
      <c r="F130" s="485" t="s">
        <v>1320</v>
      </c>
      <c r="G130" s="485" t="s">
        <v>2139</v>
      </c>
      <c r="H130" s="491" t="s">
        <v>2985</v>
      </c>
      <c r="I130" s="565">
        <v>100</v>
      </c>
      <c r="J130" s="271"/>
      <c r="K130" s="506">
        <v>2250</v>
      </c>
      <c r="L130" s="507">
        <v>260.15809999999999</v>
      </c>
      <c r="M130" s="507">
        <v>0</v>
      </c>
      <c r="N130" s="438">
        <v>15</v>
      </c>
      <c r="O130" s="485" t="s">
        <v>2729</v>
      </c>
      <c r="P130" s="504"/>
      <c r="Q130" s="485" t="s">
        <v>2730</v>
      </c>
      <c r="R130" s="504"/>
      <c r="S130" s="264">
        <v>45658</v>
      </c>
      <c r="T130" s="329">
        <v>2</v>
      </c>
      <c r="U130" s="508" t="s">
        <v>1253</v>
      </c>
      <c r="V130" s="500">
        <v>0</v>
      </c>
      <c r="W130" s="500">
        <v>9999</v>
      </c>
      <c r="X130" s="485"/>
      <c r="Y130" s="485"/>
      <c r="Z130" s="485"/>
      <c r="AA130" s="485"/>
      <c r="AB130" s="485"/>
      <c r="AC130" s="485"/>
      <c r="AD130" s="485"/>
      <c r="AE130" s="485"/>
    </row>
    <row r="131" spans="2:31" ht="14.25" customHeight="1">
      <c r="B131" s="552" t="s">
        <v>3007</v>
      </c>
      <c r="C131" s="485" t="s">
        <v>3021</v>
      </c>
      <c r="D131" s="438">
        <v>323.2</v>
      </c>
      <c r="E131" s="485" t="s">
        <v>2977</v>
      </c>
      <c r="F131" s="485" t="s">
        <v>1320</v>
      </c>
      <c r="G131" s="485" t="s">
        <v>2139</v>
      </c>
      <c r="H131" s="491" t="s">
        <v>2985</v>
      </c>
      <c r="I131" s="565">
        <v>210</v>
      </c>
      <c r="J131" s="271"/>
      <c r="K131" s="506">
        <v>2250</v>
      </c>
      <c r="L131" s="507">
        <v>1348.8839</v>
      </c>
      <c r="M131" s="507">
        <v>0</v>
      </c>
      <c r="N131" s="438">
        <v>15</v>
      </c>
      <c r="O131" s="485" t="s">
        <v>2729</v>
      </c>
      <c r="P131" s="504"/>
      <c r="Q131" s="485" t="s">
        <v>2730</v>
      </c>
      <c r="R131" s="504"/>
      <c r="S131" s="264">
        <v>45658</v>
      </c>
      <c r="T131" s="329">
        <v>3</v>
      </c>
      <c r="U131" s="508" t="s">
        <v>1253</v>
      </c>
      <c r="V131" s="500">
        <v>0</v>
      </c>
      <c r="W131" s="500">
        <v>9999</v>
      </c>
      <c r="X131" s="485"/>
      <c r="Y131" s="485"/>
      <c r="Z131" s="485"/>
      <c r="AA131" s="485"/>
      <c r="AB131" s="485"/>
      <c r="AC131" s="485"/>
      <c r="AD131" s="485"/>
      <c r="AE131" s="485"/>
    </row>
    <row r="132" spans="2:31" ht="14.25" customHeight="1">
      <c r="B132" s="552" t="s">
        <v>3008</v>
      </c>
      <c r="C132" s="485" t="s">
        <v>3022</v>
      </c>
      <c r="D132" s="438">
        <v>324.2</v>
      </c>
      <c r="E132" s="485" t="s">
        <v>2978</v>
      </c>
      <c r="F132" s="485" t="s">
        <v>1320</v>
      </c>
      <c r="G132" s="485" t="s">
        <v>1145</v>
      </c>
      <c r="H132" s="491" t="s">
        <v>2985</v>
      </c>
      <c r="I132" s="565">
        <v>210</v>
      </c>
      <c r="J132" s="271"/>
      <c r="K132" s="506">
        <v>2250</v>
      </c>
      <c r="L132" s="507">
        <v>1612.3376000000001</v>
      </c>
      <c r="M132" s="507">
        <v>0.43759999999999999</v>
      </c>
      <c r="N132" s="438">
        <v>15</v>
      </c>
      <c r="O132" s="485" t="s">
        <v>2729</v>
      </c>
      <c r="P132" s="504"/>
      <c r="Q132" s="485" t="s">
        <v>2730</v>
      </c>
      <c r="R132" s="504"/>
      <c r="S132" s="264">
        <v>45658</v>
      </c>
      <c r="T132" s="329">
        <v>4</v>
      </c>
      <c r="U132" s="508" t="s">
        <v>1253</v>
      </c>
      <c r="V132" s="500">
        <v>0</v>
      </c>
      <c r="W132" s="500">
        <v>9999</v>
      </c>
      <c r="X132" s="485"/>
      <c r="Y132" s="485"/>
      <c r="Z132" s="485"/>
      <c r="AA132" s="485"/>
      <c r="AB132" s="485"/>
      <c r="AC132" s="485"/>
      <c r="AD132" s="485"/>
      <c r="AE132" s="485"/>
    </row>
    <row r="133" spans="2:31" ht="14.25" customHeight="1">
      <c r="B133" s="552">
        <v>31111001</v>
      </c>
      <c r="C133" s="485" t="s">
        <v>3131</v>
      </c>
      <c r="D133" s="499">
        <v>592.20000000000005</v>
      </c>
      <c r="E133" s="485" t="s">
        <v>2678</v>
      </c>
      <c r="F133" s="261" t="s">
        <v>1320</v>
      </c>
      <c r="G133" s="485" t="s">
        <v>94</v>
      </c>
      <c r="H133" s="491" t="s">
        <v>2985</v>
      </c>
      <c r="I133" s="267">
        <v>260</v>
      </c>
      <c r="J133" s="271"/>
      <c r="K133" s="49">
        <v>450</v>
      </c>
      <c r="L133" s="437">
        <v>2738.5124999999998</v>
      </c>
      <c r="M133" s="437">
        <v>0.39489999999999997</v>
      </c>
      <c r="N133">
        <v>15</v>
      </c>
      <c r="O133" s="485" t="s">
        <v>2683</v>
      </c>
      <c r="P133" s="504"/>
      <c r="Q133" s="504" t="s">
        <v>2684</v>
      </c>
      <c r="R133" s="505"/>
      <c r="S133" s="264">
        <v>45658</v>
      </c>
      <c r="T133" s="329">
        <v>5</v>
      </c>
      <c r="U133" s="276" t="s">
        <v>1253</v>
      </c>
      <c r="V133" s="500">
        <v>1</v>
      </c>
      <c r="W133" s="500">
        <v>5</v>
      </c>
      <c r="X133" s="485"/>
      <c r="Y133" s="485"/>
      <c r="Z133" s="485"/>
      <c r="AA133" s="485"/>
      <c r="AB133" s="485"/>
      <c r="AC133" s="485"/>
      <c r="AD133" s="485"/>
      <c r="AE133" s="485"/>
    </row>
    <row r="134" spans="2:31" ht="14.25" customHeight="1">
      <c r="B134" s="552">
        <v>31111002</v>
      </c>
      <c r="C134" s="485" t="s">
        <v>3132</v>
      </c>
      <c r="D134" s="499">
        <v>593.20000000000005</v>
      </c>
      <c r="E134" s="485" t="s">
        <v>2679</v>
      </c>
      <c r="F134" s="261" t="s">
        <v>1320</v>
      </c>
      <c r="G134" s="485" t="s">
        <v>94</v>
      </c>
      <c r="H134" s="491" t="s">
        <v>2986</v>
      </c>
      <c r="I134" s="267">
        <v>200</v>
      </c>
      <c r="J134" s="271"/>
      <c r="K134" s="49">
        <v>221.2</v>
      </c>
      <c r="L134" s="437">
        <v>2635.4502000000002</v>
      </c>
      <c r="M134" s="437">
        <v>0.38009999999999999</v>
      </c>
      <c r="N134">
        <v>15</v>
      </c>
      <c r="O134" s="485" t="s">
        <v>2683</v>
      </c>
      <c r="P134" s="504"/>
      <c r="Q134" s="504" t="s">
        <v>2684</v>
      </c>
      <c r="R134" s="505"/>
      <c r="S134" s="264">
        <v>45658</v>
      </c>
      <c r="T134" s="329">
        <v>6</v>
      </c>
      <c r="U134" s="276" t="s">
        <v>1253</v>
      </c>
      <c r="V134" s="500">
        <v>6</v>
      </c>
      <c r="W134" s="500">
        <v>15</v>
      </c>
      <c r="X134" s="485"/>
      <c r="Y134" s="485"/>
      <c r="Z134" s="485"/>
      <c r="AA134" s="485"/>
      <c r="AB134" s="485"/>
      <c r="AC134" s="485"/>
      <c r="AD134" s="485"/>
      <c r="AE134" s="485"/>
    </row>
    <row r="135" spans="2:31" ht="14.25" customHeight="1">
      <c r="B135" s="552">
        <v>31111003</v>
      </c>
      <c r="C135" s="485" t="s">
        <v>3133</v>
      </c>
      <c r="D135" s="499">
        <v>594.20000000000005</v>
      </c>
      <c r="E135" s="485" t="s">
        <v>2680</v>
      </c>
      <c r="F135" s="261" t="s">
        <v>1320</v>
      </c>
      <c r="G135" s="485" t="s">
        <v>94</v>
      </c>
      <c r="H135" s="491" t="s">
        <v>2986</v>
      </c>
      <c r="I135" s="267">
        <v>160</v>
      </c>
      <c r="J135" s="271"/>
      <c r="K135" s="49">
        <v>175.44</v>
      </c>
      <c r="L135" s="437">
        <v>2618.5563000000002</v>
      </c>
      <c r="M135" s="437">
        <v>0.37759999999999999</v>
      </c>
      <c r="N135">
        <v>15</v>
      </c>
      <c r="O135" s="485" t="s">
        <v>2683</v>
      </c>
      <c r="P135" s="504"/>
      <c r="Q135" s="504" t="s">
        <v>2684</v>
      </c>
      <c r="R135" s="505"/>
      <c r="S135" s="264">
        <v>45658</v>
      </c>
      <c r="T135" s="329">
        <v>7</v>
      </c>
      <c r="U135" s="276" t="s">
        <v>1253</v>
      </c>
      <c r="V135" s="500">
        <v>16</v>
      </c>
      <c r="W135" s="500">
        <v>25</v>
      </c>
      <c r="X135" s="485"/>
      <c r="Y135" s="485"/>
      <c r="Z135" s="485"/>
      <c r="AA135" s="485"/>
      <c r="AB135" s="485"/>
      <c r="AC135" s="485"/>
      <c r="AD135" s="485"/>
      <c r="AE135" s="485"/>
    </row>
    <row r="136" spans="2:31" ht="14.25" customHeight="1">
      <c r="B136" s="552">
        <v>31111004</v>
      </c>
      <c r="C136" s="485" t="s">
        <v>3134</v>
      </c>
      <c r="D136" s="499">
        <v>595.20000000000005</v>
      </c>
      <c r="E136" s="485" t="s">
        <v>2681</v>
      </c>
      <c r="F136" s="261" t="s">
        <v>1320</v>
      </c>
      <c r="G136" s="485" t="s">
        <v>94</v>
      </c>
      <c r="H136" s="491" t="s">
        <v>2986</v>
      </c>
      <c r="I136" s="267">
        <v>120</v>
      </c>
      <c r="J136" s="271"/>
      <c r="K136" s="49">
        <v>131.46</v>
      </c>
      <c r="L136" s="437">
        <v>2593.6176999999998</v>
      </c>
      <c r="M136" s="437">
        <v>0.374</v>
      </c>
      <c r="N136">
        <v>15</v>
      </c>
      <c r="O136" s="485" t="s">
        <v>2683</v>
      </c>
      <c r="P136" s="504"/>
      <c r="Q136" s="504" t="s">
        <v>2684</v>
      </c>
      <c r="R136" s="505"/>
      <c r="S136" s="264">
        <v>45658</v>
      </c>
      <c r="T136" s="329">
        <v>8</v>
      </c>
      <c r="U136" s="276" t="s">
        <v>1253</v>
      </c>
      <c r="V136" s="500">
        <v>26</v>
      </c>
      <c r="W136" s="500">
        <v>50</v>
      </c>
      <c r="X136" s="485"/>
      <c r="Y136" s="485"/>
      <c r="Z136" s="485"/>
      <c r="AA136" s="485"/>
      <c r="AB136" s="485"/>
      <c r="AC136" s="485"/>
      <c r="AD136" s="485"/>
      <c r="AE136" s="485"/>
    </row>
    <row r="137" spans="2:31" ht="14.25" customHeight="1">
      <c r="B137" s="552">
        <v>31111005</v>
      </c>
      <c r="C137" s="485" t="s">
        <v>3135</v>
      </c>
      <c r="D137" s="499">
        <v>596.20000000000005</v>
      </c>
      <c r="E137" s="485" t="s">
        <v>2682</v>
      </c>
      <c r="F137" s="261" t="s">
        <v>1320</v>
      </c>
      <c r="G137" s="485" t="s">
        <v>94</v>
      </c>
      <c r="H137" s="491" t="s">
        <v>2986</v>
      </c>
      <c r="I137" s="267">
        <v>110</v>
      </c>
      <c r="J137" s="271"/>
      <c r="K137" s="49">
        <v>113.76</v>
      </c>
      <c r="L137" s="437">
        <v>2579.9670999999998</v>
      </c>
      <c r="M137" s="437">
        <v>0.37209999999999999</v>
      </c>
      <c r="N137">
        <v>15</v>
      </c>
      <c r="O137" s="485" t="s">
        <v>2683</v>
      </c>
      <c r="P137" s="504"/>
      <c r="Q137" s="504" t="s">
        <v>2684</v>
      </c>
      <c r="R137" s="505"/>
      <c r="S137" s="264">
        <v>45658</v>
      </c>
      <c r="T137" s="329">
        <v>9</v>
      </c>
      <c r="U137" s="276" t="s">
        <v>1253</v>
      </c>
      <c r="V137" s="500">
        <v>51</v>
      </c>
      <c r="W137" s="500">
        <v>75</v>
      </c>
      <c r="X137" s="485"/>
      <c r="Y137" s="485"/>
      <c r="Z137" s="485"/>
      <c r="AA137" s="485"/>
      <c r="AB137" s="485"/>
      <c r="AC137" s="485"/>
      <c r="AD137" s="485"/>
      <c r="AE137" s="485"/>
    </row>
    <row r="140" spans="2:31" ht="14.25" customHeight="1">
      <c r="B140" t="s">
        <v>3093</v>
      </c>
    </row>
    <row r="141" spans="2:31" ht="14.25" customHeight="1">
      <c r="B141">
        <v>31111718</v>
      </c>
      <c r="C141" t="s">
        <v>2768</v>
      </c>
      <c r="D141">
        <v>550</v>
      </c>
      <c r="E141" t="s">
        <v>2670</v>
      </c>
      <c r="F141" t="s">
        <v>1320</v>
      </c>
      <c r="G141" t="s">
        <v>96</v>
      </c>
      <c r="H141" t="s">
        <v>87</v>
      </c>
      <c r="I141">
        <v>120</v>
      </c>
      <c r="K141">
        <v>306</v>
      </c>
      <c r="L141">
        <v>805</v>
      </c>
      <c r="M141">
        <v>9.1999999999999998E-2</v>
      </c>
      <c r="N141">
        <v>6</v>
      </c>
      <c r="O141" t="s">
        <v>2675</v>
      </c>
      <c r="P141" t="s">
        <v>2676</v>
      </c>
      <c r="Q141" t="s">
        <v>2677</v>
      </c>
      <c r="S141">
        <v>44562</v>
      </c>
      <c r="T141" s="276">
        <v>14</v>
      </c>
      <c r="U141" t="s">
        <v>1253</v>
      </c>
    </row>
    <row r="142" spans="2:31" ht="14.25" customHeight="1">
      <c r="B142">
        <v>31111719</v>
      </c>
      <c r="C142" t="s">
        <v>2769</v>
      </c>
      <c r="D142">
        <v>551</v>
      </c>
      <c r="E142" t="s">
        <v>2671</v>
      </c>
      <c r="F142" t="s">
        <v>1320</v>
      </c>
      <c r="G142" t="s">
        <v>96</v>
      </c>
      <c r="H142" t="s">
        <v>87</v>
      </c>
      <c r="I142">
        <v>150</v>
      </c>
      <c r="K142">
        <v>266</v>
      </c>
      <c r="L142">
        <v>1117</v>
      </c>
      <c r="M142">
        <v>0.115</v>
      </c>
      <c r="N142">
        <v>10</v>
      </c>
      <c r="O142" t="s">
        <v>2675</v>
      </c>
      <c r="P142" t="s">
        <v>2676</v>
      </c>
      <c r="Q142" t="s">
        <v>2677</v>
      </c>
      <c r="S142">
        <v>44562</v>
      </c>
      <c r="T142" s="276">
        <v>15</v>
      </c>
      <c r="U142" t="s">
        <v>1253</v>
      </c>
    </row>
    <row r="143" spans="2:31" ht="14.25" customHeight="1">
      <c r="B143">
        <v>31111720</v>
      </c>
      <c r="C143" t="s">
        <v>2770</v>
      </c>
      <c r="D143">
        <v>552</v>
      </c>
      <c r="E143" t="s">
        <v>2672</v>
      </c>
      <c r="F143" t="s">
        <v>1320</v>
      </c>
      <c r="G143" t="s">
        <v>96</v>
      </c>
      <c r="H143" t="s">
        <v>87</v>
      </c>
      <c r="I143">
        <v>230</v>
      </c>
      <c r="K143">
        <v>249</v>
      </c>
      <c r="L143">
        <v>1807</v>
      </c>
      <c r="M143">
        <v>0.186</v>
      </c>
      <c r="N143">
        <v>10</v>
      </c>
      <c r="O143" t="s">
        <v>2675</v>
      </c>
      <c r="P143" t="s">
        <v>2676</v>
      </c>
      <c r="Q143" t="s">
        <v>2677</v>
      </c>
      <c r="S143">
        <v>44562</v>
      </c>
      <c r="T143" s="276">
        <v>16</v>
      </c>
      <c r="U143" t="s">
        <v>1253</v>
      </c>
    </row>
    <row r="144" spans="2:31" ht="14.25" customHeight="1">
      <c r="B144">
        <v>31111721</v>
      </c>
      <c r="C144" t="s">
        <v>2771</v>
      </c>
      <c r="D144">
        <v>553</v>
      </c>
      <c r="E144" t="s">
        <v>2673</v>
      </c>
      <c r="F144" t="s">
        <v>1320</v>
      </c>
      <c r="G144" t="s">
        <v>96</v>
      </c>
      <c r="H144" t="s">
        <v>87</v>
      </c>
      <c r="I144">
        <v>400</v>
      </c>
      <c r="K144">
        <v>589</v>
      </c>
      <c r="L144" s="273">
        <v>2601</v>
      </c>
      <c r="M144">
        <v>0.26700000000000002</v>
      </c>
      <c r="N144">
        <v>10</v>
      </c>
      <c r="O144" t="s">
        <v>2675</v>
      </c>
      <c r="P144" t="s">
        <v>2676</v>
      </c>
      <c r="Q144" t="s">
        <v>2677</v>
      </c>
      <c r="S144">
        <v>44562</v>
      </c>
      <c r="T144" s="276">
        <v>17</v>
      </c>
      <c r="U144" t="s">
        <v>1253</v>
      </c>
    </row>
    <row r="145" spans="2:31" ht="14.25" customHeight="1">
      <c r="B145">
        <v>31111722</v>
      </c>
      <c r="C145" t="s">
        <v>2772</v>
      </c>
      <c r="D145">
        <v>554</v>
      </c>
      <c r="E145" t="s">
        <v>2674</v>
      </c>
      <c r="F145" t="s">
        <v>1320</v>
      </c>
      <c r="G145" t="s">
        <v>96</v>
      </c>
      <c r="H145" t="s">
        <v>87</v>
      </c>
      <c r="I145">
        <v>500</v>
      </c>
      <c r="K145">
        <v>939</v>
      </c>
      <c r="L145" s="273">
        <v>3641</v>
      </c>
      <c r="M145">
        <v>0.374</v>
      </c>
      <c r="N145">
        <v>10</v>
      </c>
      <c r="O145" t="s">
        <v>2675</v>
      </c>
      <c r="P145" t="s">
        <v>2676</v>
      </c>
      <c r="Q145" t="s">
        <v>2677</v>
      </c>
      <c r="S145">
        <v>44562</v>
      </c>
      <c r="T145" s="276">
        <v>18</v>
      </c>
      <c r="U145" t="s">
        <v>1253</v>
      </c>
    </row>
    <row r="146" spans="2:31" ht="14.25" customHeight="1">
      <c r="B146">
        <v>31112006</v>
      </c>
      <c r="C146" t="s">
        <v>3004</v>
      </c>
      <c r="D146">
        <v>786</v>
      </c>
      <c r="E146" t="s">
        <v>3003</v>
      </c>
      <c r="F146" t="s">
        <v>1320</v>
      </c>
      <c r="G146" t="s">
        <v>136</v>
      </c>
      <c r="H146" t="s">
        <v>2968</v>
      </c>
      <c r="I146">
        <v>650</v>
      </c>
      <c r="K146">
        <v>1199</v>
      </c>
      <c r="L146" s="273">
        <v>4131.2642999999998</v>
      </c>
      <c r="M146">
        <v>0.59150000000000003</v>
      </c>
      <c r="N146">
        <v>15</v>
      </c>
      <c r="O146" t="s">
        <v>2969</v>
      </c>
      <c r="P146">
        <v>3.3</v>
      </c>
      <c r="Q146" t="s">
        <v>2970</v>
      </c>
      <c r="R146">
        <v>0.92069999999999996</v>
      </c>
      <c r="S146">
        <v>45292</v>
      </c>
      <c r="U146" t="s">
        <v>1253</v>
      </c>
    </row>
    <row r="147" spans="2:31" ht="14.25" customHeight="1">
      <c r="L147" s="273"/>
    </row>
    <row r="148" spans="2:31" ht="14.25" customHeight="1">
      <c r="B148" t="s">
        <v>2249</v>
      </c>
      <c r="C148" t="s">
        <v>1247</v>
      </c>
      <c r="D148">
        <v>175.7</v>
      </c>
      <c r="E148" t="s">
        <v>1246</v>
      </c>
      <c r="F148" t="s">
        <v>1320</v>
      </c>
      <c r="G148" t="s">
        <v>96</v>
      </c>
      <c r="H148" t="s">
        <v>2972</v>
      </c>
      <c r="I148">
        <v>20</v>
      </c>
      <c r="K148">
        <v>55</v>
      </c>
      <c r="L148" s="273">
        <v>420.76100000000002</v>
      </c>
      <c r="M148">
        <v>8.3500000000000005E-2</v>
      </c>
      <c r="N148">
        <v>9</v>
      </c>
      <c r="O148" t="s">
        <v>2158</v>
      </c>
      <c r="P148">
        <v>20</v>
      </c>
      <c r="Q148" t="s">
        <v>2159</v>
      </c>
      <c r="R148">
        <v>84.75</v>
      </c>
      <c r="S148">
        <v>44562</v>
      </c>
      <c r="T148" s="276">
        <v>1</v>
      </c>
      <c r="U148" t="s">
        <v>1253</v>
      </c>
    </row>
    <row r="149" spans="2:31" ht="14.25" customHeight="1">
      <c r="B149" t="s">
        <v>2250</v>
      </c>
      <c r="C149" t="s">
        <v>1248</v>
      </c>
      <c r="D149">
        <v>174.7</v>
      </c>
      <c r="E149" t="s">
        <v>1226</v>
      </c>
      <c r="F149" t="s">
        <v>1320</v>
      </c>
      <c r="G149" t="s">
        <v>96</v>
      </c>
      <c r="H149" t="s">
        <v>2972</v>
      </c>
      <c r="I149">
        <v>20</v>
      </c>
      <c r="K149">
        <v>55</v>
      </c>
      <c r="L149" s="273">
        <v>420.76100000000002</v>
      </c>
      <c r="M149">
        <v>8.3500000000000005E-2</v>
      </c>
      <c r="N149">
        <v>9</v>
      </c>
      <c r="O149" t="s">
        <v>2160</v>
      </c>
      <c r="P149">
        <v>20</v>
      </c>
      <c r="Q149" t="s">
        <v>2159</v>
      </c>
      <c r="R149">
        <v>84.75</v>
      </c>
      <c r="S149">
        <v>44562</v>
      </c>
      <c r="T149" s="276">
        <v>2</v>
      </c>
      <c r="U149" t="s">
        <v>1253</v>
      </c>
    </row>
    <row r="150" spans="2:31" ht="14.25" customHeight="1">
      <c r="L150" s="273"/>
    </row>
    <row r="151" spans="2:31" ht="14.25" customHeight="1">
      <c r="B151" s="519" t="s">
        <v>2242</v>
      </c>
      <c r="C151" s="519" t="s">
        <v>2585</v>
      </c>
      <c r="D151" s="519">
        <v>114.6</v>
      </c>
      <c r="E151" s="519" t="s">
        <v>1842</v>
      </c>
      <c r="F151" s="519" t="s">
        <v>1320</v>
      </c>
      <c r="G151" s="519" t="s">
        <v>1125</v>
      </c>
      <c r="H151" s="519" t="s">
        <v>2967</v>
      </c>
      <c r="I151" s="519">
        <v>50</v>
      </c>
      <c r="J151" s="519"/>
      <c r="K151" s="519">
        <v>50</v>
      </c>
      <c r="L151" s="553">
        <v>537.20079999999996</v>
      </c>
      <c r="M151" s="519">
        <v>0.4128</v>
      </c>
      <c r="N151" s="519">
        <v>15</v>
      </c>
      <c r="O151" s="519" t="s">
        <v>2151</v>
      </c>
      <c r="P151" s="519">
        <v>570</v>
      </c>
      <c r="Q151" s="519" t="s">
        <v>2152</v>
      </c>
      <c r="R151" s="519"/>
      <c r="S151" s="519">
        <v>45292</v>
      </c>
      <c r="T151" s="526">
        <v>1</v>
      </c>
      <c r="U151" s="519" t="s">
        <v>1253</v>
      </c>
      <c r="V151" s="519">
        <v>0.28000000000000003</v>
      </c>
      <c r="W151" s="519">
        <v>1.41</v>
      </c>
      <c r="X151" s="519">
        <v>570</v>
      </c>
      <c r="Y151" s="519"/>
      <c r="Z151" s="519"/>
      <c r="AA151" s="519"/>
      <c r="AB151" s="519"/>
      <c r="AC151" s="519"/>
      <c r="AD151" s="519"/>
      <c r="AE151" s="519"/>
    </row>
    <row r="152" spans="2:31" ht="14.25" customHeight="1">
      <c r="B152" s="519" t="s">
        <v>2243</v>
      </c>
      <c r="C152" s="519" t="s">
        <v>1840</v>
      </c>
      <c r="D152" s="519">
        <v>115.6</v>
      </c>
      <c r="E152" s="519" t="s">
        <v>1843</v>
      </c>
      <c r="F152" s="519" t="s">
        <v>1320</v>
      </c>
      <c r="G152" s="519" t="s">
        <v>1125</v>
      </c>
      <c r="H152" s="519" t="s">
        <v>2967</v>
      </c>
      <c r="I152" s="519">
        <v>40</v>
      </c>
      <c r="J152" s="519"/>
      <c r="K152" s="519">
        <v>55</v>
      </c>
      <c r="L152" s="553">
        <v>393.19499999999999</v>
      </c>
      <c r="M152" s="519">
        <v>0.2492</v>
      </c>
      <c r="N152" s="519">
        <v>15</v>
      </c>
      <c r="O152" s="519" t="s">
        <v>2153</v>
      </c>
      <c r="P152" s="519">
        <v>425</v>
      </c>
      <c r="Q152" s="519" t="s">
        <v>2152</v>
      </c>
      <c r="R152" s="519"/>
      <c r="S152" s="519">
        <v>45292</v>
      </c>
      <c r="T152" s="526">
        <v>2</v>
      </c>
      <c r="U152" s="519" t="s">
        <v>1253</v>
      </c>
      <c r="V152" s="519">
        <v>0.24</v>
      </c>
      <c r="W152" s="519">
        <v>1.41</v>
      </c>
      <c r="X152" s="519">
        <v>425</v>
      </c>
      <c r="Y152" s="519"/>
      <c r="Z152" s="519"/>
      <c r="AA152" s="519"/>
      <c r="AB152" s="519"/>
      <c r="AC152" s="519"/>
      <c r="AD152" s="519"/>
      <c r="AE152" s="519"/>
    </row>
    <row r="153" spans="2:31" ht="14.25" customHeight="1">
      <c r="L153" s="273"/>
    </row>
    <row r="154" spans="2:31" ht="14.25" customHeight="1">
      <c r="L154" s="273"/>
    </row>
    <row r="155" spans="2:31" ht="14.25" customHeight="1">
      <c r="L155" s="273"/>
    </row>
    <row r="156" spans="2:31" ht="14.25" customHeight="1">
      <c r="L156" s="273"/>
    </row>
    <row r="157" spans="2:31" ht="14.25" customHeight="1">
      <c r="L157" s="273"/>
    </row>
    <row r="158" spans="2:31" ht="14.25" customHeight="1">
      <c r="L158" s="273"/>
    </row>
    <row r="159" spans="2:31" ht="14.25" customHeight="1">
      <c r="L159" s="273"/>
    </row>
    <row r="160" spans="2:31" ht="14.25" customHeight="1">
      <c r="L160" s="273"/>
    </row>
    <row r="161" spans="4:12" ht="14.25" customHeight="1">
      <c r="L161" s="273"/>
    </row>
    <row r="162" spans="4:12" ht="14.25" customHeight="1">
      <c r="L162" s="273"/>
    </row>
    <row r="163" spans="4:12" ht="14.25" customHeight="1">
      <c r="L163" s="273"/>
    </row>
    <row r="164" spans="4:12" ht="14.25" customHeight="1">
      <c r="L164" s="273"/>
    </row>
    <row r="165" spans="4:12" ht="14.25" customHeight="1">
      <c r="L165" s="273"/>
    </row>
    <row r="174" spans="4:12" ht="14.25" customHeight="1">
      <c r="D174" s="273"/>
      <c r="E174" s="273"/>
      <c r="F174" s="273"/>
    </row>
    <row r="175" spans="4:12" ht="14.25" customHeight="1">
      <c r="D175" s="273"/>
      <c r="E175" s="273"/>
      <c r="F175" s="273"/>
    </row>
    <row r="176" spans="4:12" ht="14.25" customHeight="1">
      <c r="D176" s="273"/>
      <c r="E176" s="273"/>
      <c r="F176" s="273"/>
    </row>
    <row r="177" spans="4:6" ht="14.25" customHeight="1">
      <c r="D177" s="273"/>
      <c r="E177" s="273"/>
      <c r="F177" s="273"/>
    </row>
    <row r="178" spans="4:6" ht="14.25" customHeight="1">
      <c r="D178" s="273"/>
      <c r="E178" s="273"/>
      <c r="F178" s="273"/>
    </row>
    <row r="179" spans="4:6" ht="14.25" customHeight="1">
      <c r="D179" s="273"/>
      <c r="E179" s="273"/>
      <c r="F179" s="273"/>
    </row>
    <row r="180" spans="4:6" ht="14.25" customHeight="1">
      <c r="D180" s="273"/>
      <c r="E180" s="273"/>
      <c r="F180" s="273"/>
    </row>
    <row r="181" spans="4:6" ht="14.25" customHeight="1">
      <c r="D181" s="273"/>
      <c r="E181" s="273"/>
      <c r="F181" s="273"/>
    </row>
    <row r="182" spans="4:6" ht="14.25" customHeight="1">
      <c r="D182" s="273"/>
      <c r="E182" s="273"/>
      <c r="F182" s="273"/>
    </row>
    <row r="183" spans="4:6" ht="14.25" customHeight="1">
      <c r="D183" s="273"/>
      <c r="E183" s="273"/>
      <c r="F183" s="273"/>
    </row>
    <row r="184" spans="4:6" ht="14.25" customHeight="1">
      <c r="D184" s="273"/>
      <c r="E184" s="273"/>
      <c r="F184" s="273"/>
    </row>
    <row r="185" spans="4:6" ht="14.25" customHeight="1">
      <c r="D185" s="273"/>
      <c r="E185" s="273"/>
      <c r="F185" s="273"/>
    </row>
    <row r="186" spans="4:6" ht="14.25" customHeight="1">
      <c r="D186" s="273"/>
      <c r="E186" s="273"/>
      <c r="F186" s="273"/>
    </row>
    <row r="187" spans="4:6" ht="14.25" customHeight="1">
      <c r="D187" s="273"/>
      <c r="E187" s="273"/>
      <c r="F187" s="273"/>
    </row>
    <row r="188" spans="4:6" ht="14.25" customHeight="1">
      <c r="D188" s="273"/>
      <c r="E188" s="273"/>
      <c r="F188" s="273"/>
    </row>
    <row r="189" spans="4:6" ht="14.25" customHeight="1">
      <c r="D189" s="273"/>
      <c r="E189" s="273"/>
      <c r="F189" s="273"/>
    </row>
    <row r="190" spans="4:6" ht="14.25" customHeight="1">
      <c r="D190" s="273"/>
      <c r="E190" s="273"/>
      <c r="F190" s="273"/>
    </row>
    <row r="191" spans="4:6" ht="14.25" customHeight="1">
      <c r="D191" s="273"/>
      <c r="E191" s="273"/>
      <c r="F191" s="273"/>
    </row>
    <row r="192" spans="4:6" ht="14.25" customHeight="1">
      <c r="D192" s="273"/>
      <c r="E192" s="273"/>
      <c r="F192" s="273"/>
    </row>
    <row r="193" spans="4:6" ht="14.25" customHeight="1">
      <c r="D193" s="273"/>
      <c r="E193" s="273"/>
      <c r="F193" s="273"/>
    </row>
    <row r="194" spans="4:6" ht="14.25" customHeight="1">
      <c r="D194" s="273"/>
      <c r="E194" s="273"/>
      <c r="F194" s="273"/>
    </row>
  </sheetData>
  <sheetProtection algorithmName="SHA-512" hashValue="oKfjhWk0bJS7Vo/YCQJREUbideN2BEnj9UmOfevlXf2BHla16HxYuJ05RDOIn4pKOnRL7HzCYTVM3cH5fweiJg==" saltValue="PEBGLcszwNiPAAksGSD2kA==" spinCount="100000" sheet="1" objects="1" scenarios="1"/>
  <phoneticPr fontId="149" type="noConversion"/>
  <conditionalFormatting sqref="D58">
    <cfRule type="expression" dxfId="157" priority="1">
      <formula>$C58="Yes"</formula>
    </cfRule>
  </conditionalFormatting>
  <conditionalFormatting sqref="J3:J43 J47 J51:J58 J66:J70 J73:J93 J102:J126 J129:J137">
    <cfRule type="containsBlanks" dxfId="156" priority="2">
      <formula>LEN(TRIM(J3))=0</formula>
    </cfRule>
  </conditionalFormatting>
  <dataValidations disablePrompts="1" count="1">
    <dataValidation type="list" allowBlank="1" showInputMessage="1" showErrorMessage="1" sqref="AH102:AK126" xr:uid="{2A68B771-2909-4EF3-95F6-03D9D7EB40B3}">
      <formula1>"PLC, FLC, PLH, FLH, Tons-Heat"</formula1>
    </dataValidation>
  </dataValidations>
  <pageMargins left="0" right="0" top="0" bottom="0" header="0" footer="0"/>
  <pageSetup orientation="portrait" r:id="rId1"/>
  <legacyDrawing r:id="rId2"/>
  <tableParts count="8">
    <tablePart r:id="rId3"/>
    <tablePart r:id="rId4"/>
    <tablePart r:id="rId5"/>
    <tablePart r:id="rId6"/>
    <tablePart r:id="rId7"/>
    <tablePart r:id="rId8"/>
    <tablePart r:id="rId9"/>
    <tablePart r:id="rId1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D6BD9-3725-4856-BFEA-F80E92288625}">
  <sheetPr codeName="Sheet53">
    <tabColor theme="8" tint="0.59999389629810485"/>
  </sheetPr>
  <dimension ref="A1:AS698"/>
  <sheetViews>
    <sheetView zoomScale="85" zoomScaleNormal="85" workbookViewId="0"/>
  </sheetViews>
  <sheetFormatPr defaultColWidth="0" defaultRowHeight="15"/>
  <cols>
    <col min="1" max="1" width="4.7109375" customWidth="1"/>
    <col min="2" max="2" width="30.28515625" bestFit="1" customWidth="1"/>
    <col min="3" max="3" width="8.5703125" bestFit="1" customWidth="1"/>
    <col min="4" max="4" width="4.7109375" customWidth="1"/>
    <col min="5" max="5" width="33.42578125" bestFit="1" customWidth="1"/>
    <col min="6" max="6" width="11.5703125" bestFit="1" customWidth="1"/>
    <col min="7" max="7" width="8.5703125" bestFit="1" customWidth="1"/>
    <col min="8" max="8" width="4.7109375" customWidth="1"/>
    <col min="9" max="10" width="22.85546875" bestFit="1" customWidth="1"/>
    <col min="11" max="11" width="37.28515625" bestFit="1" customWidth="1"/>
    <col min="12" max="12" width="20.7109375" bestFit="1" customWidth="1"/>
    <col min="13" max="13" width="19" bestFit="1" customWidth="1"/>
    <col min="14" max="14" width="18" bestFit="1" customWidth="1"/>
    <col min="15" max="15" width="13.28515625" bestFit="1" customWidth="1"/>
    <col min="16" max="16" width="25.7109375" customWidth="1"/>
    <col min="17" max="17" width="11.42578125" bestFit="1" customWidth="1"/>
    <col min="18" max="18" width="15.5703125" bestFit="1" customWidth="1"/>
    <col min="19" max="19" width="29.85546875" bestFit="1" customWidth="1"/>
    <col min="20" max="20" width="14.140625" bestFit="1" customWidth="1"/>
    <col min="21" max="21" width="4.140625" bestFit="1" customWidth="1"/>
    <col min="22" max="45" width="4.7109375" customWidth="1"/>
    <col min="46" max="16384" width="4.7109375" hidden="1"/>
  </cols>
  <sheetData>
    <row r="1" spans="2:16">
      <c r="E1" t="s">
        <v>1950</v>
      </c>
      <c r="J1" t="s">
        <v>1951</v>
      </c>
      <c r="O1" t="s">
        <v>3019</v>
      </c>
    </row>
    <row r="2" spans="2:16">
      <c r="B2" t="s">
        <v>1907</v>
      </c>
      <c r="C2" t="s">
        <v>336</v>
      </c>
      <c r="E2" t="s">
        <v>1908</v>
      </c>
      <c r="F2" s="273" t="s">
        <v>1206</v>
      </c>
      <c r="G2" s="273" t="s">
        <v>336</v>
      </c>
      <c r="I2" s="273" t="s">
        <v>1928</v>
      </c>
      <c r="J2" s="273" t="s">
        <v>1935</v>
      </c>
      <c r="K2" t="s">
        <v>1955</v>
      </c>
      <c r="L2" t="s">
        <v>1206</v>
      </c>
      <c r="M2" t="s">
        <v>2354</v>
      </c>
      <c r="N2" t="s">
        <v>2353</v>
      </c>
      <c r="O2" t="s">
        <v>1949</v>
      </c>
      <c r="P2" t="s">
        <v>2356</v>
      </c>
    </row>
    <row r="3" spans="2:16">
      <c r="B3" s="38" t="s">
        <v>1237</v>
      </c>
      <c r="C3" s="38">
        <v>1</v>
      </c>
      <c r="E3" t="s">
        <v>1876</v>
      </c>
      <c r="F3" s="227" t="s">
        <v>1876</v>
      </c>
      <c r="G3" s="279">
        <v>1</v>
      </c>
      <c r="I3" s="31" t="s">
        <v>1876</v>
      </c>
      <c r="J3" s="31" t="str">
        <f>STDLIGHTINEFCAT2[[#This Row],[Ineff DropDown 2]]&amp;"_"&amp;STDLIGHTINEFCAT2[[#This Row],[Ineff DropDown 2]]</f>
        <v>A-Series_A-Series</v>
      </c>
      <c r="K3" s="277" t="str">
        <f>STDLIGHTINEFCAT2[[#This Row],[Match]]&amp;"_"&amp;STDLIGHTINEFCAT2[[#This Row],[Options]]</f>
        <v>A-Series_A-Series_A-Series</v>
      </c>
      <c r="L3" s="277" t="s">
        <v>1876</v>
      </c>
      <c r="M3" s="277"/>
      <c r="N3" s="277"/>
      <c r="O3">
        <v>1</v>
      </c>
      <c r="P3" s="227"/>
    </row>
    <row r="4" spans="2:16">
      <c r="B4" t="s">
        <v>1244</v>
      </c>
      <c r="C4">
        <v>2</v>
      </c>
      <c r="E4" s="227" t="s">
        <v>1911</v>
      </c>
      <c r="F4" s="227" t="s">
        <v>1878</v>
      </c>
      <c r="G4" s="279">
        <v>2</v>
      </c>
      <c r="I4" s="31" t="s">
        <v>1911</v>
      </c>
      <c r="J4" s="31" t="str">
        <f>"BR/R"&amp;"_"&amp;STDLIGHTINEFCAT2[[#This Row],[Ineff DropDown 2]]</f>
        <v>BR/R_BR_R</v>
      </c>
      <c r="K4" s="277" t="str">
        <f>STDLIGHTINEFCAT2[[#This Row],[Match]]&amp;"_"&amp;STDLIGHTINEFCAT2[[#This Row],[Options]]</f>
        <v>BR/R_BR_R_BR/R</v>
      </c>
      <c r="L4" s="277" t="s">
        <v>1878</v>
      </c>
      <c r="M4" s="277"/>
      <c r="N4" s="277"/>
      <c r="O4">
        <v>2</v>
      </c>
      <c r="P4" s="227"/>
    </row>
    <row r="5" spans="2:16">
      <c r="B5" t="s">
        <v>3018</v>
      </c>
      <c r="C5">
        <v>3</v>
      </c>
      <c r="E5" s="509" t="s">
        <v>570</v>
      </c>
      <c r="F5" s="353" t="s">
        <v>570</v>
      </c>
      <c r="G5" s="279">
        <v>3</v>
      </c>
      <c r="I5" s="31" t="s">
        <v>570</v>
      </c>
      <c r="J5" s="31" t="str">
        <f>"CFL_"&amp;STDLIGHTINEFCAT2[[#This Row],[Ineff DropDown 2]]</f>
        <v>CFL_CFL</v>
      </c>
      <c r="K5" s="514" t="str">
        <f>STDLIGHTINEFCAT2[[#This Row],[Match]]&amp;"_"&amp;STDLIGHTINEFCAT2[[#This Row],[Options]]</f>
        <v>CFL_CFL_CFL Lamp</v>
      </c>
      <c r="L5" s="439" t="s">
        <v>398</v>
      </c>
      <c r="M5" s="277"/>
      <c r="N5" s="514"/>
      <c r="O5">
        <v>3</v>
      </c>
      <c r="P5" s="227"/>
    </row>
    <row r="6" spans="2:16">
      <c r="B6" t="s">
        <v>1966</v>
      </c>
      <c r="C6" s="38">
        <v>4</v>
      </c>
      <c r="E6" s="510" t="s">
        <v>2903</v>
      </c>
      <c r="F6" s="510" t="s">
        <v>2903</v>
      </c>
      <c r="G6" s="279">
        <v>4</v>
      </c>
      <c r="I6" s="31" t="s">
        <v>2903</v>
      </c>
      <c r="J6" s="31" t="str">
        <f>"Halogen_"&amp;STDLIGHTINEFCAT2[[#This Row],[Ineff DropDown 2]]</f>
        <v>Halogen_Halogen</v>
      </c>
      <c r="K6" s="439" t="str">
        <f>STDLIGHTINEFCAT2[[#This Row],[Match]]&amp;"_"&amp;STDLIGHTINEFCAT2[[#This Row],[Options]]</f>
        <v>Halogen_Halogen_Halogen</v>
      </c>
      <c r="L6" s="439" t="s">
        <v>2903</v>
      </c>
      <c r="M6" s="277"/>
      <c r="N6" s="439"/>
      <c r="O6">
        <v>4</v>
      </c>
      <c r="P6" s="227"/>
    </row>
    <row r="7" spans="2:16">
      <c r="B7" t="s">
        <v>1967</v>
      </c>
      <c r="C7" s="38">
        <v>5</v>
      </c>
      <c r="E7" s="278" t="s">
        <v>1909</v>
      </c>
      <c r="F7" s="277" t="s">
        <v>1909</v>
      </c>
      <c r="G7" s="279">
        <v>5</v>
      </c>
      <c r="I7" s="31" t="s">
        <v>2488</v>
      </c>
      <c r="J7" s="31" t="str">
        <f>"HID_"&amp;STDLIGHTINEFCAT2[[#This Row],[Ineff DropDown 2]]</f>
        <v>HID_Ext  &gt;500</v>
      </c>
      <c r="K7" s="277" t="str">
        <f>STDLIGHTINEFCAT2[[#This Row],[Match]]&amp;"_"&amp;STDLIGHTINEFCAT2[[#This Row],[Options]]</f>
        <v>HID_Ext  &gt;500_--Metal Halide--</v>
      </c>
      <c r="L7" s="277" t="s">
        <v>1887</v>
      </c>
      <c r="M7" s="277"/>
      <c r="N7" s="277"/>
      <c r="O7">
        <v>5</v>
      </c>
      <c r="P7" s="277" t="s">
        <v>1887</v>
      </c>
    </row>
    <row r="8" spans="2:16">
      <c r="B8" t="s">
        <v>2543</v>
      </c>
      <c r="C8">
        <v>6</v>
      </c>
      <c r="E8" s="278" t="s">
        <v>2111</v>
      </c>
      <c r="F8" s="277" t="s">
        <v>1909</v>
      </c>
      <c r="G8" s="279">
        <v>6</v>
      </c>
      <c r="I8" s="31" t="s">
        <v>2488</v>
      </c>
      <c r="J8" s="31" t="str">
        <f>"HID_"&amp;STDLIGHTINEFCAT2[[#This Row],[Ineff DropDown 2]]</f>
        <v>HID_Ext  &gt;500</v>
      </c>
      <c r="K8" s="277" t="str">
        <f>STDLIGHTINEFCAT2[[#This Row],[Match]]&amp;"_"&amp;STDLIGHTINEFCAT2[[#This Row],[Options]]</f>
        <v>HID_Ext  &gt;500_MH 450W</v>
      </c>
      <c r="L8" s="277" t="s">
        <v>2230</v>
      </c>
      <c r="M8" s="277">
        <v>450</v>
      </c>
      <c r="N8" s="277">
        <v>506</v>
      </c>
      <c r="O8">
        <v>6</v>
      </c>
      <c r="P8" s="277" t="s">
        <v>1943</v>
      </c>
    </row>
    <row r="9" spans="2:16">
      <c r="B9" t="s">
        <v>1245</v>
      </c>
      <c r="C9">
        <v>8</v>
      </c>
      <c r="E9" s="278" t="s">
        <v>2111</v>
      </c>
      <c r="F9" s="227" t="s">
        <v>98</v>
      </c>
      <c r="G9" s="279">
        <v>7</v>
      </c>
      <c r="I9" s="31" t="s">
        <v>2488</v>
      </c>
      <c r="J9" s="31" t="str">
        <f>"HID_"&amp;STDLIGHTINEFCAT2[[#This Row],[Ineff DropDown 2]]</f>
        <v>HID_Ext  &gt;500</v>
      </c>
      <c r="K9" s="273" t="str">
        <f>STDLIGHTINEFCAT2[[#This Row],[Match]]&amp;"_"&amp;STDLIGHTINEFCAT2[[#This Row],[Options]]</f>
        <v>HID_Ext  &gt;500_MH 750W</v>
      </c>
      <c r="L9" s="277" t="s">
        <v>2231</v>
      </c>
      <c r="M9" s="277">
        <v>750</v>
      </c>
      <c r="N9" s="273">
        <v>814</v>
      </c>
      <c r="O9">
        <v>7</v>
      </c>
      <c r="P9" s="277" t="s">
        <v>1944</v>
      </c>
    </row>
    <row r="10" spans="2:16">
      <c r="B10" s="38" t="s">
        <v>2128</v>
      </c>
      <c r="C10" s="38">
        <v>9</v>
      </c>
      <c r="E10" s="278" t="s">
        <v>2530</v>
      </c>
      <c r="F10" s="511" t="s">
        <v>1909</v>
      </c>
      <c r="G10" s="279">
        <v>8</v>
      </c>
      <c r="I10" s="31" t="s">
        <v>2488</v>
      </c>
      <c r="J10" s="31" t="str">
        <f>"HID_"&amp;STDLIGHTINEFCAT2[[#This Row],[Ineff DropDown 2]]</f>
        <v>HID_Ext  &gt;500</v>
      </c>
      <c r="K10" s="277" t="str">
        <f>STDLIGHTINEFCAT2[[#This Row],[Match]]&amp;"_"&amp;STDLIGHTINEFCAT2[[#This Row],[Options]]</f>
        <v>HID_Ext  &gt;500_MH 1,000W</v>
      </c>
      <c r="L10" s="277" t="s">
        <v>2232</v>
      </c>
      <c r="M10" s="277">
        <v>1000</v>
      </c>
      <c r="N10" s="277">
        <v>1080</v>
      </c>
      <c r="O10">
        <v>8</v>
      </c>
      <c r="P10" s="277" t="s">
        <v>1956</v>
      </c>
    </row>
    <row r="11" spans="2:16">
      <c r="B11" t="s">
        <v>1860</v>
      </c>
      <c r="C11" s="38">
        <v>10</v>
      </c>
      <c r="E11" s="278" t="s">
        <v>2530</v>
      </c>
      <c r="F11" s="511" t="s">
        <v>98</v>
      </c>
      <c r="G11" s="279">
        <v>9</v>
      </c>
      <c r="I11" s="31" t="s">
        <v>2488</v>
      </c>
      <c r="J11" s="31" t="str">
        <f>"HID_"&amp;STDLIGHTINEFCAT2[[#This Row],[Ineff DropDown 2]]</f>
        <v>HID_Ext  &gt;500</v>
      </c>
      <c r="K11" s="277" t="str">
        <f>STDLIGHTINEFCAT2[[#This Row],[Match]]&amp;"_"&amp;STDLIGHTINEFCAT2[[#This Row],[Options]]</f>
        <v>HID_Ext  &gt;500_--Mercury Vapor--</v>
      </c>
      <c r="L11" s="277" t="s">
        <v>1888</v>
      </c>
      <c r="M11" s="277"/>
      <c r="N11" s="277"/>
      <c r="O11">
        <v>9</v>
      </c>
      <c r="P11" s="277" t="s">
        <v>1888</v>
      </c>
    </row>
    <row r="12" spans="2:16">
      <c r="B12" s="1" t="s">
        <v>1861</v>
      </c>
      <c r="C12">
        <v>11</v>
      </c>
      <c r="E12" s="278" t="s">
        <v>2530</v>
      </c>
      <c r="F12" s="511" t="s">
        <v>2417</v>
      </c>
      <c r="G12" s="279">
        <v>10</v>
      </c>
      <c r="I12" s="31" t="s">
        <v>2488</v>
      </c>
      <c r="J12" s="31" t="str">
        <f>"HID_"&amp;STDLIGHTINEFCAT2[[#This Row],[Ineff DropDown 2]]</f>
        <v>HID_Ext  &gt;500</v>
      </c>
      <c r="K12" s="277" t="str">
        <f>STDLIGHTINEFCAT2[[#This Row],[Match]]&amp;"_"&amp;STDLIGHTINEFCAT2[[#This Row],[Options]]</f>
        <v>HID_Ext  &gt;500_MV 700W</v>
      </c>
      <c r="L12" s="277" t="s">
        <v>2233</v>
      </c>
      <c r="M12" s="277">
        <v>700</v>
      </c>
      <c r="N12" s="277">
        <v>780</v>
      </c>
      <c r="O12">
        <v>10</v>
      </c>
      <c r="P12" s="277" t="s">
        <v>1945</v>
      </c>
    </row>
    <row r="13" spans="2:16">
      <c r="E13" s="278" t="s">
        <v>2500</v>
      </c>
      <c r="F13" s="277" t="s">
        <v>1909</v>
      </c>
      <c r="G13" s="279">
        <v>11</v>
      </c>
      <c r="I13" s="31" t="s">
        <v>2488</v>
      </c>
      <c r="J13" s="31" t="str">
        <f>"HID_"&amp;STDLIGHTINEFCAT2[[#This Row],[Ineff DropDown 2]]</f>
        <v>HID_Ext  &gt;500</v>
      </c>
      <c r="K13" s="277" t="str">
        <f>STDLIGHTINEFCAT2[[#This Row],[Match]]&amp;"_"&amp;STDLIGHTINEFCAT2[[#This Row],[Options]]</f>
        <v>HID_Ext  &gt;500_MV 1,000W</v>
      </c>
      <c r="L13" s="277" t="s">
        <v>2234</v>
      </c>
      <c r="M13" s="277">
        <v>1000</v>
      </c>
      <c r="N13" s="277">
        <v>1075</v>
      </c>
      <c r="O13">
        <v>11</v>
      </c>
      <c r="P13" s="277" t="s">
        <v>1957</v>
      </c>
    </row>
    <row r="14" spans="2:16">
      <c r="E14" s="512" t="s">
        <v>2500</v>
      </c>
      <c r="F14" s="229" t="s">
        <v>98</v>
      </c>
      <c r="G14" s="279">
        <v>12</v>
      </c>
      <c r="I14" s="31" t="s">
        <v>2489</v>
      </c>
      <c r="J14" s="31" t="str">
        <f>"HID_"&amp;STDLIGHTINEFCAT2[[#This Row],[Ineff DropDown 2]]</f>
        <v>HID_Ext ≤210</v>
      </c>
      <c r="K14" s="281" t="str">
        <f>STDLIGHTINEFCAT2[[#This Row],[Match]]&amp;"_"&amp;STDLIGHTINEFCAT2[[#This Row],[Options]]</f>
        <v>HID_Ext ≤210_--Metal Halide--</v>
      </c>
      <c r="L14" s="281" t="s">
        <v>1887</v>
      </c>
      <c r="M14" s="281"/>
      <c r="N14" s="281"/>
      <c r="O14">
        <v>12</v>
      </c>
      <c r="P14" s="281" t="s">
        <v>1887</v>
      </c>
    </row>
    <row r="15" spans="2:16">
      <c r="E15" s="31" t="s">
        <v>2500</v>
      </c>
      <c r="F15" s="513" t="s">
        <v>93</v>
      </c>
      <c r="G15" s="279">
        <v>13</v>
      </c>
      <c r="I15" s="31" t="s">
        <v>2489</v>
      </c>
      <c r="J15" s="31" t="str">
        <f>"HID_"&amp;STDLIGHTINEFCAT2[[#This Row],[Ineff DropDown 2]]</f>
        <v>HID_Ext ≤210</v>
      </c>
      <c r="K15" s="273" t="str">
        <f>STDLIGHTINEFCAT2[[#This Row],[Match]]&amp;"_"&amp;STDLIGHTINEFCAT2[[#This Row],[Options]]</f>
        <v>HID_Ext ≤210_MH 50W</v>
      </c>
      <c r="L15" s="277" t="s">
        <v>682</v>
      </c>
      <c r="M15" s="277">
        <v>50</v>
      </c>
      <c r="N15" s="273">
        <v>62</v>
      </c>
      <c r="O15">
        <v>13</v>
      </c>
      <c r="P15" s="277" t="s">
        <v>1929</v>
      </c>
    </row>
    <row r="16" spans="2:16">
      <c r="E16" s="31" t="s">
        <v>2500</v>
      </c>
      <c r="F16" s="227" t="s">
        <v>92</v>
      </c>
      <c r="G16" s="279">
        <v>14</v>
      </c>
      <c r="I16" s="31" t="s">
        <v>2489</v>
      </c>
      <c r="J16" s="31" t="str">
        <f>"HID_"&amp;STDLIGHTINEFCAT2[[#This Row],[Ineff DropDown 2]]</f>
        <v>HID_Ext ≤210</v>
      </c>
      <c r="K16" s="277" t="str">
        <f>STDLIGHTINEFCAT2[[#This Row],[Match]]&amp;"_"&amp;STDLIGHTINEFCAT2[[#This Row],[Options]]</f>
        <v>HID_Ext ≤210_MH 70W</v>
      </c>
      <c r="L16" s="277" t="s">
        <v>506</v>
      </c>
      <c r="M16" s="277">
        <v>70</v>
      </c>
      <c r="N16" s="277">
        <v>93</v>
      </c>
      <c r="O16">
        <v>14</v>
      </c>
      <c r="P16" s="277" t="s">
        <v>1930</v>
      </c>
    </row>
    <row r="17" spans="2:16">
      <c r="C17" s="273"/>
      <c r="D17" s="273"/>
      <c r="E17" s="278" t="s">
        <v>2500</v>
      </c>
      <c r="F17" s="277" t="s">
        <v>2417</v>
      </c>
      <c r="G17" s="279">
        <v>15</v>
      </c>
      <c r="I17" s="31" t="s">
        <v>2489</v>
      </c>
      <c r="J17" s="31" t="str">
        <f>"HID_"&amp;STDLIGHTINEFCAT2[[#This Row],[Ineff DropDown 2]]</f>
        <v>HID_Ext ≤210</v>
      </c>
      <c r="K17" s="277" t="str">
        <f>STDLIGHTINEFCAT2[[#This Row],[Match]]&amp;"_"&amp;STDLIGHTINEFCAT2[[#This Row],[Options]]</f>
        <v>HID_Ext ≤210_MH 100W</v>
      </c>
      <c r="L17" s="277" t="s">
        <v>507</v>
      </c>
      <c r="M17" s="277">
        <v>100</v>
      </c>
      <c r="N17" s="277">
        <v>125</v>
      </c>
      <c r="O17">
        <v>15</v>
      </c>
      <c r="P17" s="277" t="s">
        <v>1931</v>
      </c>
    </row>
    <row r="18" spans="2:16">
      <c r="D18" s="273"/>
      <c r="E18" s="278" t="s">
        <v>2529</v>
      </c>
      <c r="F18" s="511" t="s">
        <v>1909</v>
      </c>
      <c r="G18" s="279">
        <v>16</v>
      </c>
      <c r="I18" s="31" t="s">
        <v>2489</v>
      </c>
      <c r="J18" s="31" t="str">
        <f>"HID_"&amp;STDLIGHTINEFCAT2[[#This Row],[Ineff DropDown 2]]</f>
        <v>HID_Ext ≤210</v>
      </c>
      <c r="K18" s="277" t="str">
        <f>STDLIGHTINEFCAT2[[#This Row],[Match]]&amp;"_"&amp;STDLIGHTINEFCAT2[[#This Row],[Options]]</f>
        <v>HID_Ext ≤210_MH 125W</v>
      </c>
      <c r="L18" s="277" t="s">
        <v>2225</v>
      </c>
      <c r="M18" s="277">
        <v>125</v>
      </c>
      <c r="N18" s="277">
        <v>150</v>
      </c>
      <c r="O18">
        <v>16</v>
      </c>
      <c r="P18" s="277" t="s">
        <v>1932</v>
      </c>
    </row>
    <row r="19" spans="2:16">
      <c r="D19" s="273"/>
      <c r="E19" s="278" t="s">
        <v>2529</v>
      </c>
      <c r="F19" s="511" t="s">
        <v>98</v>
      </c>
      <c r="G19" s="279">
        <v>17</v>
      </c>
      <c r="I19" s="31" t="s">
        <v>2489</v>
      </c>
      <c r="J19" s="31" t="str">
        <f>"HID_"&amp;STDLIGHTINEFCAT2[[#This Row],[Ineff DropDown 2]]</f>
        <v>HID_Ext ≤210</v>
      </c>
      <c r="K19" s="277" t="str">
        <f>STDLIGHTINEFCAT2[[#This Row],[Match]]&amp;"_"&amp;STDLIGHTINEFCAT2[[#This Row],[Options]]</f>
        <v>HID_Ext ≤210_MH 150W</v>
      </c>
      <c r="L19" s="277" t="s">
        <v>683</v>
      </c>
      <c r="M19" s="277">
        <v>150</v>
      </c>
      <c r="N19" s="277">
        <v>173</v>
      </c>
      <c r="O19">
        <v>17</v>
      </c>
      <c r="P19" s="277" t="s">
        <v>1933</v>
      </c>
    </row>
    <row r="20" spans="2:16">
      <c r="D20" s="273"/>
      <c r="E20" s="278" t="s">
        <v>2529</v>
      </c>
      <c r="F20" s="511" t="s">
        <v>93</v>
      </c>
      <c r="G20" s="279">
        <v>18</v>
      </c>
      <c r="I20" s="31" t="s">
        <v>2489</v>
      </c>
      <c r="J20" s="31" t="str">
        <f>"HID_"&amp;STDLIGHTINEFCAT2[[#This Row],[Ineff DropDown 2]]</f>
        <v>HID_Ext ≤210</v>
      </c>
      <c r="K20" s="277" t="str">
        <f>STDLIGHTINEFCAT2[[#This Row],[Match]]&amp;"_"&amp;STDLIGHTINEFCAT2[[#This Row],[Options]]</f>
        <v>HID_Ext ≤210_MH 175W</v>
      </c>
      <c r="L20" s="277" t="s">
        <v>508</v>
      </c>
      <c r="M20" s="277">
        <v>175</v>
      </c>
      <c r="N20" s="277">
        <v>210</v>
      </c>
      <c r="O20">
        <v>18</v>
      </c>
      <c r="P20" s="277" t="s">
        <v>1936</v>
      </c>
    </row>
    <row r="21" spans="2:16">
      <c r="D21" s="273"/>
      <c r="E21" s="278" t="s">
        <v>2529</v>
      </c>
      <c r="F21" s="511" t="s">
        <v>2417</v>
      </c>
      <c r="G21" s="279">
        <v>19</v>
      </c>
      <c r="I21" s="31" t="s">
        <v>2489</v>
      </c>
      <c r="J21" s="31" t="str">
        <f>"HID_"&amp;STDLIGHTINEFCAT2[[#This Row],[Ineff DropDown 2]]</f>
        <v>HID_Ext ≤210</v>
      </c>
      <c r="K21" s="274" t="str">
        <f>STDLIGHTINEFCAT2[[#This Row],[Match]]&amp;"_"&amp;STDLIGHTINEFCAT2[[#This Row],[Options]]</f>
        <v>HID_Ext ≤210_--Mercury Vapor--</v>
      </c>
      <c r="L21" s="281" t="s">
        <v>1888</v>
      </c>
      <c r="M21" s="274"/>
      <c r="N21" s="273"/>
      <c r="O21">
        <v>19</v>
      </c>
      <c r="P21" s="274" t="s">
        <v>1888</v>
      </c>
    </row>
    <row r="22" spans="2:16">
      <c r="D22" s="273"/>
      <c r="E22" s="277" t="s">
        <v>1910</v>
      </c>
      <c r="F22" s="280" t="s">
        <v>1875</v>
      </c>
      <c r="G22" s="279">
        <v>20</v>
      </c>
      <c r="I22" s="31" t="s">
        <v>2489</v>
      </c>
      <c r="J22" s="31" t="str">
        <f>"HID_"&amp;STDLIGHTINEFCAT2[[#This Row],[Ineff DropDown 2]]</f>
        <v>HID_Ext ≤210</v>
      </c>
      <c r="K22" s="273" t="str">
        <f>STDLIGHTINEFCAT2[[#This Row],[Match]]&amp;"_"&amp;STDLIGHTINEFCAT2[[#This Row],[Options]]</f>
        <v>HID_Ext ≤210_MV 50W</v>
      </c>
      <c r="L22" s="277" t="s">
        <v>491</v>
      </c>
      <c r="M22" s="273">
        <v>50</v>
      </c>
      <c r="N22" s="273">
        <v>75</v>
      </c>
      <c r="O22">
        <v>20</v>
      </c>
      <c r="P22" s="273" t="s">
        <v>1929</v>
      </c>
    </row>
    <row r="23" spans="2:16">
      <c r="D23" s="273"/>
      <c r="E23" s="229" t="s">
        <v>1877</v>
      </c>
      <c r="F23" s="229" t="s">
        <v>1877</v>
      </c>
      <c r="G23" s="279">
        <v>21</v>
      </c>
      <c r="I23" s="31" t="s">
        <v>2489</v>
      </c>
      <c r="J23" s="31" t="str">
        <f>"HID_"&amp;STDLIGHTINEFCAT2[[#This Row],[Ineff DropDown 2]]</f>
        <v>HID_Ext ≤210</v>
      </c>
      <c r="K23" s="273" t="str">
        <f>STDLIGHTINEFCAT2[[#This Row],[Match]]&amp;"_"&amp;STDLIGHTINEFCAT2[[#This Row],[Options]]</f>
        <v>HID_Ext ≤210_MV 75W</v>
      </c>
      <c r="L23" s="277" t="s">
        <v>492</v>
      </c>
      <c r="M23" s="273">
        <v>75</v>
      </c>
      <c r="N23" s="273">
        <v>95</v>
      </c>
      <c r="O23">
        <v>21</v>
      </c>
      <c r="P23" s="273" t="s">
        <v>1934</v>
      </c>
    </row>
    <row r="24" spans="2:16">
      <c r="B24" s="273"/>
      <c r="D24" s="273"/>
      <c r="E24" s="229" t="s">
        <v>1879</v>
      </c>
      <c r="F24" s="229" t="s">
        <v>1879</v>
      </c>
      <c r="G24" s="279">
        <v>22</v>
      </c>
      <c r="I24" s="31" t="s">
        <v>2489</v>
      </c>
      <c r="J24" s="31" t="str">
        <f>"HID_"&amp;STDLIGHTINEFCAT2[[#This Row],[Ineff DropDown 2]]</f>
        <v>HID_Ext ≤210</v>
      </c>
      <c r="K24" s="273" t="str">
        <f>STDLIGHTINEFCAT2[[#This Row],[Match]]&amp;"_"&amp;STDLIGHTINEFCAT2[[#This Row],[Options]]</f>
        <v>HID_Ext ≤210_MV 100W</v>
      </c>
      <c r="L24" s="277" t="s">
        <v>493</v>
      </c>
      <c r="M24" s="273">
        <v>100</v>
      </c>
      <c r="N24" s="273">
        <v>120</v>
      </c>
      <c r="O24">
        <v>22</v>
      </c>
      <c r="P24" s="273" t="s">
        <v>1931</v>
      </c>
    </row>
    <row r="25" spans="2:16">
      <c r="D25" s="273"/>
      <c r="E25" s="229" t="s">
        <v>1970</v>
      </c>
      <c r="F25" s="280" t="s">
        <v>98</v>
      </c>
      <c r="G25" s="279">
        <v>23</v>
      </c>
      <c r="I25" s="31" t="s">
        <v>2489</v>
      </c>
      <c r="J25" s="31" t="str">
        <f>"HID_"&amp;STDLIGHTINEFCAT2[[#This Row],[Ineff DropDown 2]]</f>
        <v>HID_Ext ≤210</v>
      </c>
      <c r="K25" s="273" t="str">
        <f>STDLIGHTINEFCAT2[[#This Row],[Match]]&amp;"_"&amp;STDLIGHTINEFCAT2[[#This Row],[Options]]</f>
        <v>HID_Ext ≤210_MV 175W</v>
      </c>
      <c r="L25" s="277" t="s">
        <v>494</v>
      </c>
      <c r="M25" s="273">
        <v>175</v>
      </c>
      <c r="N25" s="273">
        <v>205</v>
      </c>
      <c r="O25">
        <v>23</v>
      </c>
      <c r="P25" s="273" t="s">
        <v>1936</v>
      </c>
    </row>
    <row r="26" spans="2:16">
      <c r="D26" s="273"/>
      <c r="E26" s="227" t="s">
        <v>1970</v>
      </c>
      <c r="F26" s="277" t="s">
        <v>93</v>
      </c>
      <c r="G26" s="279">
        <v>24</v>
      </c>
      <c r="I26" s="31" t="s">
        <v>2489</v>
      </c>
      <c r="J26" s="31" t="str">
        <f>"HID_"&amp;STDLIGHTINEFCAT2[[#This Row],[Ineff DropDown 2]]</f>
        <v>HID_Ext ≤210</v>
      </c>
      <c r="K26" s="274" t="str">
        <f>STDLIGHTINEFCAT2[[#This Row],[Match]]&amp;"_"&amp;STDLIGHTINEFCAT2[[#This Row],[Options]]</f>
        <v>HID_Ext ≤210_--High Pres. Sodium--</v>
      </c>
      <c r="L26" s="281" t="s">
        <v>1889</v>
      </c>
      <c r="M26" s="274"/>
      <c r="N26" s="273"/>
      <c r="O26">
        <v>24</v>
      </c>
      <c r="P26" s="274" t="s">
        <v>1889</v>
      </c>
    </row>
    <row r="27" spans="2:16">
      <c r="D27" s="273"/>
      <c r="E27" s="227" t="s">
        <v>2418</v>
      </c>
      <c r="F27" s="227" t="s">
        <v>98</v>
      </c>
      <c r="G27" s="279">
        <v>25</v>
      </c>
      <c r="I27" s="31" t="s">
        <v>2489</v>
      </c>
      <c r="J27" s="31" t="str">
        <f>"HID_"&amp;STDLIGHTINEFCAT2[[#This Row],[Ineff DropDown 2]]</f>
        <v>HID_Ext ≤210</v>
      </c>
      <c r="K27" s="273" t="str">
        <f>STDLIGHTINEFCAT2[[#This Row],[Match]]&amp;"_"&amp;STDLIGHTINEFCAT2[[#This Row],[Options]]</f>
        <v>HID_Ext ≤210_HPS 50W</v>
      </c>
      <c r="L27" s="277" t="s">
        <v>498</v>
      </c>
      <c r="M27" s="273">
        <v>50</v>
      </c>
      <c r="N27" s="274">
        <v>64</v>
      </c>
      <c r="O27">
        <v>25</v>
      </c>
      <c r="P27" s="273" t="s">
        <v>1929</v>
      </c>
    </row>
    <row r="28" spans="2:16">
      <c r="D28" s="273"/>
      <c r="E28" s="227" t="s">
        <v>2418</v>
      </c>
      <c r="F28" s="227" t="s">
        <v>93</v>
      </c>
      <c r="G28" s="279">
        <v>26</v>
      </c>
      <c r="I28" s="31" t="s">
        <v>2489</v>
      </c>
      <c r="J28" s="31" t="str">
        <f>"HID_"&amp;STDLIGHTINEFCAT2[[#This Row],[Ineff DropDown 2]]</f>
        <v>HID_Ext ≤210</v>
      </c>
      <c r="K28" s="273" t="str">
        <f>STDLIGHTINEFCAT2[[#This Row],[Match]]&amp;"_"&amp;STDLIGHTINEFCAT2[[#This Row],[Options]]</f>
        <v>HID_Ext ≤210_HPS 70W</v>
      </c>
      <c r="L28" s="277" t="s">
        <v>499</v>
      </c>
      <c r="M28" s="273">
        <v>70</v>
      </c>
      <c r="N28" s="274">
        <v>86</v>
      </c>
      <c r="O28">
        <v>26</v>
      </c>
      <c r="P28" s="273" t="s">
        <v>1930</v>
      </c>
    </row>
    <row r="29" spans="2:16">
      <c r="D29" s="273"/>
      <c r="E29" s="227" t="s">
        <v>2418</v>
      </c>
      <c r="F29" s="227" t="s">
        <v>92</v>
      </c>
      <c r="G29" s="279">
        <v>27</v>
      </c>
      <c r="I29" s="31" t="s">
        <v>2489</v>
      </c>
      <c r="J29" s="31" t="str">
        <f>"HID_"&amp;STDLIGHTINEFCAT2[[#This Row],[Ineff DropDown 2]]</f>
        <v>HID_Ext ≤210</v>
      </c>
      <c r="K29" s="273" t="str">
        <f>STDLIGHTINEFCAT2[[#This Row],[Match]]&amp;"_"&amp;STDLIGHTINEFCAT2[[#This Row],[Options]]</f>
        <v>HID_Ext ≤210_HPS 100W</v>
      </c>
      <c r="L29" s="277" t="s">
        <v>500</v>
      </c>
      <c r="M29" s="273">
        <v>100</v>
      </c>
      <c r="N29" s="273">
        <v>126</v>
      </c>
      <c r="O29">
        <v>27</v>
      </c>
      <c r="P29" s="273" t="s">
        <v>1931</v>
      </c>
    </row>
    <row r="30" spans="2:16">
      <c r="D30" s="273"/>
      <c r="E30" s="227" t="s">
        <v>2418</v>
      </c>
      <c r="F30" s="360" t="s">
        <v>2417</v>
      </c>
      <c r="G30" s="279">
        <v>28</v>
      </c>
      <c r="I30" s="31" t="s">
        <v>2489</v>
      </c>
      <c r="J30" s="31" t="str">
        <f>"HID_"&amp;STDLIGHTINEFCAT2[[#This Row],[Ineff DropDown 2]]</f>
        <v>HID_Ext ≤210</v>
      </c>
      <c r="K30" s="273" t="str">
        <f>STDLIGHTINEFCAT2[[#This Row],[Match]]&amp;"_"&amp;STDLIGHTINEFCAT2[[#This Row],[Options]]</f>
        <v>HID_Ext ≤210_HPS 150W</v>
      </c>
      <c r="L30" s="277" t="s">
        <v>501</v>
      </c>
      <c r="M30" s="273">
        <v>150</v>
      </c>
      <c r="N30" s="273">
        <v>188</v>
      </c>
      <c r="O30">
        <v>28</v>
      </c>
      <c r="P30" s="273" t="s">
        <v>1933</v>
      </c>
    </row>
    <row r="31" spans="2:16">
      <c r="E31" s="369" t="s">
        <v>2458</v>
      </c>
      <c r="F31" s="353" t="s">
        <v>92</v>
      </c>
      <c r="G31" s="279">
        <v>29</v>
      </c>
      <c r="I31" s="31" t="s">
        <v>2490</v>
      </c>
      <c r="J31" s="31" t="str">
        <f>"HID_"&amp;STDLIGHTINEFCAT2[[#This Row],[Ineff DropDown 2]]</f>
        <v>HID_Ext 211-300</v>
      </c>
      <c r="K31" s="274" t="str">
        <f>STDLIGHTINEFCAT2[[#This Row],[Match]]&amp;"_"&amp;STDLIGHTINEFCAT2[[#This Row],[Options]]</f>
        <v>HID_Ext 211-300_--Metal Halide--</v>
      </c>
      <c r="L31" s="281" t="s">
        <v>1887</v>
      </c>
      <c r="M31" s="274"/>
      <c r="N31" s="274"/>
      <c r="O31">
        <v>29</v>
      </c>
      <c r="P31" s="274" t="s">
        <v>1887</v>
      </c>
    </row>
    <row r="32" spans="2:16">
      <c r="E32" s="369" t="s">
        <v>2458</v>
      </c>
      <c r="F32" s="354" t="s">
        <v>2417</v>
      </c>
      <c r="G32" s="279">
        <v>30</v>
      </c>
      <c r="I32" s="31" t="s">
        <v>2490</v>
      </c>
      <c r="J32" s="31" t="str">
        <f>"HID_"&amp;STDLIGHTINEFCAT2[[#This Row],[Ineff DropDown 2]]</f>
        <v>HID_Ext 211-300</v>
      </c>
      <c r="K32" s="273" t="str">
        <f>STDLIGHTINEFCAT2[[#This Row],[Match]]&amp;"_"&amp;STDLIGHTINEFCAT2[[#This Row],[Options]]</f>
        <v>HID_Ext 211-300_MH 200W</v>
      </c>
      <c r="L32" s="277" t="s">
        <v>2226</v>
      </c>
      <c r="M32" s="273">
        <v>200</v>
      </c>
      <c r="N32" s="273">
        <v>232</v>
      </c>
      <c r="O32">
        <v>30</v>
      </c>
      <c r="P32" s="273" t="s">
        <v>1937</v>
      </c>
    </row>
    <row r="33" spans="9:16">
      <c r="I33" s="31" t="s">
        <v>2490</v>
      </c>
      <c r="J33" s="31" t="str">
        <f>"HID_"&amp;STDLIGHTINEFCAT2[[#This Row],[Ineff DropDown 2]]</f>
        <v>HID_Ext 211-300</v>
      </c>
      <c r="K33" s="273" t="str">
        <f>STDLIGHTINEFCAT2[[#This Row],[Match]]&amp;"_"&amp;STDLIGHTINEFCAT2[[#This Row],[Options]]</f>
        <v>HID_Ext 211-300_MH 250W</v>
      </c>
      <c r="L33" s="277" t="s">
        <v>509</v>
      </c>
      <c r="M33" s="273">
        <v>250</v>
      </c>
      <c r="N33" s="273">
        <v>295</v>
      </c>
      <c r="O33">
        <v>31</v>
      </c>
      <c r="P33" s="273" t="s">
        <v>1938</v>
      </c>
    </row>
    <row r="34" spans="9:16">
      <c r="I34" s="31" t="s">
        <v>2490</v>
      </c>
      <c r="J34" s="31" t="str">
        <f>"HID_"&amp;STDLIGHTINEFCAT2[[#This Row],[Ineff DropDown 2]]</f>
        <v>HID_Ext 211-300</v>
      </c>
      <c r="K34" s="274" t="str">
        <f>STDLIGHTINEFCAT2[[#This Row],[Match]]&amp;"_"&amp;STDLIGHTINEFCAT2[[#This Row],[Options]]</f>
        <v>HID_Ext 211-300_--Mercury Vapor--</v>
      </c>
      <c r="L34" s="281" t="s">
        <v>1888</v>
      </c>
      <c r="M34" s="274"/>
      <c r="N34" s="273"/>
      <c r="O34">
        <v>32</v>
      </c>
      <c r="P34" s="274" t="s">
        <v>1888</v>
      </c>
    </row>
    <row r="35" spans="9:16">
      <c r="I35" s="31" t="s">
        <v>2490</v>
      </c>
      <c r="J35" s="31" t="str">
        <f>"HID_"&amp;STDLIGHTINEFCAT2[[#This Row],[Ineff DropDown 2]]</f>
        <v>HID_Ext 211-300</v>
      </c>
      <c r="K35" s="273" t="str">
        <f>STDLIGHTINEFCAT2[[#This Row],[Match]]&amp;"_"&amp;STDLIGHTINEFCAT2[[#This Row],[Options]]</f>
        <v>HID_Ext 211-300_MV 250W</v>
      </c>
      <c r="L35" s="277" t="s">
        <v>495</v>
      </c>
      <c r="M35" s="273">
        <v>250</v>
      </c>
      <c r="N35" s="273">
        <v>285</v>
      </c>
      <c r="O35">
        <v>33</v>
      </c>
      <c r="P35" s="273" t="s">
        <v>1938</v>
      </c>
    </row>
    <row r="36" spans="9:16">
      <c r="I36" s="31" t="s">
        <v>2490</v>
      </c>
      <c r="J36" s="31" t="str">
        <f>"HID_"&amp;STDLIGHTINEFCAT2[[#This Row],[Ineff DropDown 2]]</f>
        <v>HID_Ext 211-300</v>
      </c>
      <c r="K36" s="274" t="str">
        <f>STDLIGHTINEFCAT2[[#This Row],[Match]]&amp;"_"&amp;STDLIGHTINEFCAT2[[#This Row],[Options]]</f>
        <v>HID_Ext 211-300_--High Pres. Sodium--</v>
      </c>
      <c r="L36" s="281" t="s">
        <v>1889</v>
      </c>
      <c r="M36" s="274"/>
      <c r="N36" s="273"/>
      <c r="O36">
        <v>34</v>
      </c>
      <c r="P36" s="274" t="s">
        <v>1889</v>
      </c>
    </row>
    <row r="37" spans="9:16">
      <c r="I37" s="31" t="s">
        <v>2490</v>
      </c>
      <c r="J37" s="31" t="str">
        <f>"HID_"&amp;STDLIGHTINEFCAT2[[#This Row],[Ineff DropDown 2]]</f>
        <v>HID_Ext 211-300</v>
      </c>
      <c r="K37" s="273" t="str">
        <f>STDLIGHTINEFCAT2[[#This Row],[Match]]&amp;"_"&amp;STDLIGHTINEFCAT2[[#This Row],[Options]]</f>
        <v>HID_Ext 211-300_HPS 200W</v>
      </c>
      <c r="L37" s="277" t="s">
        <v>502</v>
      </c>
      <c r="M37" s="273">
        <v>200</v>
      </c>
      <c r="N37" s="273">
        <v>240</v>
      </c>
      <c r="O37">
        <v>35</v>
      </c>
      <c r="P37" s="273" t="s">
        <v>1937</v>
      </c>
    </row>
    <row r="38" spans="9:16">
      <c r="I38" s="31" t="s">
        <v>2490</v>
      </c>
      <c r="J38" s="31" t="str">
        <f>"HID_"&amp;STDLIGHTINEFCAT2[[#This Row],[Ineff DropDown 2]]</f>
        <v>HID_Ext 211-300</v>
      </c>
      <c r="K38" s="273" t="str">
        <f>STDLIGHTINEFCAT2[[#This Row],[Match]]&amp;"_"&amp;STDLIGHTINEFCAT2[[#This Row],[Options]]</f>
        <v>HID_Ext 211-300_HPS 250W</v>
      </c>
      <c r="L38" s="277" t="s">
        <v>503</v>
      </c>
      <c r="M38" s="273">
        <v>250</v>
      </c>
      <c r="N38" s="273">
        <v>295</v>
      </c>
      <c r="O38">
        <v>36</v>
      </c>
      <c r="P38" s="273" t="s">
        <v>1938</v>
      </c>
    </row>
    <row r="39" spans="9:16">
      <c r="I39" s="31" t="s">
        <v>2491</v>
      </c>
      <c r="J39" s="31" t="str">
        <f>"HID_"&amp;STDLIGHTINEFCAT2[[#This Row],[Ineff DropDown 2]]</f>
        <v>HID_Ext 301-500</v>
      </c>
      <c r="K39" s="273" t="str">
        <f>STDLIGHTINEFCAT2[[#This Row],[Match]]&amp;"_"&amp;STDLIGHTINEFCAT2[[#This Row],[Options]]</f>
        <v>HID_Ext 301-500_--Metal Halide--</v>
      </c>
      <c r="L39" s="277" t="s">
        <v>1887</v>
      </c>
      <c r="M39" s="273"/>
      <c r="N39" s="273"/>
      <c r="O39">
        <v>37</v>
      </c>
      <c r="P39" s="273" t="s">
        <v>1887</v>
      </c>
    </row>
    <row r="40" spans="9:16">
      <c r="I40" s="31" t="s">
        <v>2491</v>
      </c>
      <c r="J40" s="31" t="str">
        <f>"HID_"&amp;STDLIGHTINEFCAT2[[#This Row],[Ineff DropDown 2]]</f>
        <v>HID_Ext 301-500</v>
      </c>
      <c r="K40" s="273" t="str">
        <f>STDLIGHTINEFCAT2[[#This Row],[Match]]&amp;"_"&amp;STDLIGHTINEFCAT2[[#This Row],[Options]]</f>
        <v>HID_Ext 301-500_MH 320W</v>
      </c>
      <c r="L40" s="277" t="s">
        <v>2227</v>
      </c>
      <c r="M40" s="273">
        <v>320</v>
      </c>
      <c r="N40" s="273">
        <v>370</v>
      </c>
      <c r="O40">
        <v>38</v>
      </c>
      <c r="P40" s="273" t="s">
        <v>1939</v>
      </c>
    </row>
    <row r="41" spans="9:16">
      <c r="I41" s="31" t="s">
        <v>2491</v>
      </c>
      <c r="J41" s="31" t="str">
        <f>"HID_"&amp;STDLIGHTINEFCAT2[[#This Row],[Ineff DropDown 2]]</f>
        <v>HID_Ext 301-500</v>
      </c>
      <c r="K41" s="273" t="str">
        <f>STDLIGHTINEFCAT2[[#This Row],[Match]]&amp;"_"&amp;STDLIGHTINEFCAT2[[#This Row],[Options]]</f>
        <v>HID_Ext 301-500_MH 350W</v>
      </c>
      <c r="L41" s="277" t="s">
        <v>2228</v>
      </c>
      <c r="M41" s="273">
        <v>350</v>
      </c>
      <c r="N41" s="273">
        <v>410</v>
      </c>
      <c r="O41">
        <v>39</v>
      </c>
      <c r="P41" s="273" t="s">
        <v>1940</v>
      </c>
    </row>
    <row r="42" spans="9:16">
      <c r="I42" s="31" t="s">
        <v>2491</v>
      </c>
      <c r="J42" s="31" t="str">
        <f>"HID_"&amp;STDLIGHTINEFCAT2[[#This Row],[Ineff DropDown 2]]</f>
        <v>HID_Ext 301-500</v>
      </c>
      <c r="K42" s="273" t="str">
        <f>STDLIGHTINEFCAT2[[#This Row],[Match]]&amp;"_"&amp;STDLIGHTINEFCAT2[[#This Row],[Options]]</f>
        <v>HID_Ext 301-500_MH 400W</v>
      </c>
      <c r="L42" s="277" t="s">
        <v>510</v>
      </c>
      <c r="M42" s="273">
        <v>400</v>
      </c>
      <c r="N42" s="273">
        <v>454</v>
      </c>
      <c r="O42">
        <v>40</v>
      </c>
      <c r="P42" s="273" t="s">
        <v>1941</v>
      </c>
    </row>
    <row r="43" spans="9:16">
      <c r="I43" s="31" t="s">
        <v>2491</v>
      </c>
      <c r="J43" s="31" t="str">
        <f>"HID_"&amp;STDLIGHTINEFCAT2[[#This Row],[Ineff DropDown 2]]</f>
        <v>HID_Ext 301-500</v>
      </c>
      <c r="K43" s="273" t="str">
        <f>STDLIGHTINEFCAT2[[#This Row],[Match]]&amp;"_"&amp;STDLIGHTINEFCAT2[[#This Row],[Options]]</f>
        <v>HID_Ext 301-500_--Mercury Vapor--</v>
      </c>
      <c r="L43" s="277" t="s">
        <v>1888</v>
      </c>
      <c r="M43" s="273"/>
      <c r="N43" s="273"/>
      <c r="O43">
        <v>41</v>
      </c>
      <c r="P43" s="273" t="s">
        <v>1888</v>
      </c>
    </row>
    <row r="44" spans="9:16">
      <c r="I44" s="31" t="s">
        <v>2491</v>
      </c>
      <c r="J44" s="31" t="str">
        <f>"HID_"&amp;STDLIGHTINEFCAT2[[#This Row],[Ineff DropDown 2]]</f>
        <v>HID_Ext 301-500</v>
      </c>
      <c r="K44" s="273" t="str">
        <f>STDLIGHTINEFCAT2[[#This Row],[Match]]&amp;"_"&amp;STDLIGHTINEFCAT2[[#This Row],[Options]]</f>
        <v>HID_Ext 301-500_MV 400W</v>
      </c>
      <c r="L44" s="277" t="s">
        <v>496</v>
      </c>
      <c r="M44" s="273">
        <v>400</v>
      </c>
      <c r="N44" s="273">
        <v>454</v>
      </c>
      <c r="O44">
        <v>42</v>
      </c>
      <c r="P44" s="273" t="s">
        <v>1941</v>
      </c>
    </row>
    <row r="45" spans="9:16">
      <c r="I45" s="31" t="s">
        <v>2491</v>
      </c>
      <c r="J45" s="31" t="str">
        <f>"HID_"&amp;STDLIGHTINEFCAT2[[#This Row],[Ineff DropDown 2]]</f>
        <v>HID_Ext 301-500</v>
      </c>
      <c r="K45" s="273" t="str">
        <f>STDLIGHTINEFCAT2[[#This Row],[Match]]&amp;"_"&amp;STDLIGHTINEFCAT2[[#This Row],[Options]]</f>
        <v>HID_Ext 301-500_--High Pres. Sodium--</v>
      </c>
      <c r="L45" s="277" t="s">
        <v>1889</v>
      </c>
      <c r="M45" s="273"/>
      <c r="N45" s="273"/>
      <c r="O45">
        <v>43</v>
      </c>
      <c r="P45" s="273" t="s">
        <v>1889</v>
      </c>
    </row>
    <row r="46" spans="9:16">
      <c r="I46" s="31" t="s">
        <v>2491</v>
      </c>
      <c r="J46" s="31" t="str">
        <f>"HID_"&amp;STDLIGHTINEFCAT2[[#This Row],[Ineff DropDown 2]]</f>
        <v>HID_Ext 301-500</v>
      </c>
      <c r="K46" s="273" t="str">
        <f>STDLIGHTINEFCAT2[[#This Row],[Match]]&amp;"_"&amp;STDLIGHTINEFCAT2[[#This Row],[Options]]</f>
        <v>HID_Ext 301-500_HPS 310W</v>
      </c>
      <c r="L46" s="277" t="s">
        <v>2229</v>
      </c>
      <c r="M46" s="273">
        <v>310</v>
      </c>
      <c r="N46" s="273">
        <v>365</v>
      </c>
      <c r="O46">
        <v>44</v>
      </c>
      <c r="P46" s="273" t="s">
        <v>1942</v>
      </c>
    </row>
    <row r="47" spans="9:16">
      <c r="I47" s="31" t="s">
        <v>2491</v>
      </c>
      <c r="J47" s="31" t="str">
        <f>"HID_"&amp;STDLIGHTINEFCAT2[[#This Row],[Ineff DropDown 2]]</f>
        <v>HID_Ext 301-500</v>
      </c>
      <c r="K47" s="273" t="str">
        <f>STDLIGHTINEFCAT2[[#This Row],[Match]]&amp;"_"&amp;STDLIGHTINEFCAT2[[#This Row],[Options]]</f>
        <v>HID_Ext 301-500_HPS 400W</v>
      </c>
      <c r="L47" s="277" t="s">
        <v>504</v>
      </c>
      <c r="M47" s="273">
        <v>400</v>
      </c>
      <c r="N47" s="273">
        <v>457</v>
      </c>
      <c r="O47">
        <v>45</v>
      </c>
      <c r="P47" s="273" t="s">
        <v>1941</v>
      </c>
    </row>
    <row r="48" spans="9:16">
      <c r="I48" s="31" t="s">
        <v>2496</v>
      </c>
      <c r="J48" s="31" t="str">
        <f>"HID_"&amp;STDLIGHTINEFCAT2[[#This Row],[Ineff DropDown 2]]</f>
        <v>HID_HID &gt;850</v>
      </c>
      <c r="K48" s="273" t="str">
        <f>STDLIGHTINEFCAT2[[#This Row],[Match]]&amp;"_"&amp;STDLIGHTINEFCAT2[[#This Row],[Options]]</f>
        <v>HID_HID &gt;850_--Metal Halide--</v>
      </c>
      <c r="L48" s="281" t="s">
        <v>1887</v>
      </c>
      <c r="M48" s="274"/>
      <c r="N48" s="274"/>
      <c r="O48">
        <v>46</v>
      </c>
    </row>
    <row r="49" spans="9:15">
      <c r="I49" s="31" t="s">
        <v>2496</v>
      </c>
      <c r="J49" s="31" t="str">
        <f>"HID_"&amp;STDLIGHTINEFCAT2[[#This Row],[Ineff DropDown 2]]</f>
        <v>HID_HID &gt;850</v>
      </c>
      <c r="K49" s="273" t="str">
        <f>STDLIGHTINEFCAT2[[#This Row],[Match]]&amp;"_"&amp;STDLIGHTINEFCAT2[[#This Row],[Options]]</f>
        <v>HID_HID &gt;850_1,000W Mogul Base</v>
      </c>
      <c r="L49" s="277" t="s">
        <v>1964</v>
      </c>
      <c r="M49" s="273">
        <v>1000</v>
      </c>
      <c r="N49" s="273">
        <v>1080</v>
      </c>
      <c r="O49">
        <v>47</v>
      </c>
    </row>
    <row r="50" spans="9:15">
      <c r="I50" s="31" t="s">
        <v>2496</v>
      </c>
      <c r="J50" s="31" t="str">
        <f>"HID_"&amp;STDLIGHTINEFCAT2[[#This Row],[Ineff DropDown 2]]</f>
        <v>HID_HID &gt;850</v>
      </c>
      <c r="K50" s="273" t="str">
        <f>STDLIGHTINEFCAT2[[#This Row],[Match]]&amp;"_"&amp;STDLIGHTINEFCAT2[[#This Row],[Options]]</f>
        <v>HID_HID &gt;850_1,500W Mogul Base</v>
      </c>
      <c r="L50" s="277" t="s">
        <v>1965</v>
      </c>
      <c r="M50" s="273">
        <v>1500</v>
      </c>
      <c r="N50" s="273">
        <v>1610</v>
      </c>
      <c r="O50">
        <v>48</v>
      </c>
    </row>
    <row r="51" spans="9:15">
      <c r="I51" s="31" t="s">
        <v>2496</v>
      </c>
      <c r="J51" s="31" t="str">
        <f>"HID_"&amp;STDLIGHTINEFCAT2[[#This Row],[Ineff DropDown 2]]</f>
        <v>HID_HID &gt;850</v>
      </c>
      <c r="K51" s="273" t="str">
        <f>STDLIGHTINEFCAT2[[#This Row],[Match]]&amp;"_"&amp;STDLIGHTINEFCAT2[[#This Row],[Options]]</f>
        <v>HID_HID &gt;850_--Mercury Vapor--</v>
      </c>
      <c r="L51" s="281" t="s">
        <v>1888</v>
      </c>
      <c r="M51" s="274"/>
      <c r="N51" s="274"/>
      <c r="O51">
        <v>49</v>
      </c>
    </row>
    <row r="52" spans="9:15">
      <c r="I52" s="31" t="s">
        <v>2496</v>
      </c>
      <c r="J52" s="31" t="str">
        <f>"HID_"&amp;STDLIGHTINEFCAT2[[#This Row],[Ineff DropDown 2]]</f>
        <v>HID_HID &gt;850</v>
      </c>
      <c r="K52" s="273" t="str">
        <f>STDLIGHTINEFCAT2[[#This Row],[Match]]&amp;"_"&amp;STDLIGHTINEFCAT2[[#This Row],[Options]]</f>
        <v>HID_HID &gt;850_1,000W Mogul Base</v>
      </c>
      <c r="L52" s="277" t="s">
        <v>1964</v>
      </c>
      <c r="M52" s="273">
        <v>1000</v>
      </c>
      <c r="N52" s="273">
        <v>1080</v>
      </c>
      <c r="O52">
        <v>50</v>
      </c>
    </row>
    <row r="53" spans="9:15">
      <c r="I53" s="31" t="s">
        <v>2496</v>
      </c>
      <c r="J53" s="31" t="str">
        <f>"HID_"&amp;STDLIGHTINEFCAT2[[#This Row],[Ineff DropDown 2]]</f>
        <v>HID_HID &gt;850</v>
      </c>
      <c r="K53" s="273" t="str">
        <f>STDLIGHTINEFCAT2[[#This Row],[Match]]&amp;"_"&amp;STDLIGHTINEFCAT2[[#This Row],[Options]]</f>
        <v>HID_HID &gt;850_--High Pres. Sodium--</v>
      </c>
      <c r="L53" s="281" t="s">
        <v>1889</v>
      </c>
      <c r="M53" s="274"/>
      <c r="N53" s="274"/>
      <c r="O53">
        <v>51</v>
      </c>
    </row>
    <row r="54" spans="9:15">
      <c r="I54" s="31" t="s">
        <v>2496</v>
      </c>
      <c r="J54" s="31" t="str">
        <f>"HID_"&amp;STDLIGHTINEFCAT2[[#This Row],[Ineff DropDown 2]]</f>
        <v>HID_HID &gt;850</v>
      </c>
      <c r="K54" s="273" t="str">
        <f>STDLIGHTINEFCAT2[[#This Row],[Match]]&amp;"_"&amp;STDLIGHTINEFCAT2[[#This Row],[Options]]</f>
        <v>HID_HID &gt;850_1,000W Mogul Base</v>
      </c>
      <c r="L54" s="277" t="s">
        <v>1964</v>
      </c>
      <c r="M54" s="273">
        <v>1000</v>
      </c>
      <c r="N54" s="273">
        <v>1100</v>
      </c>
      <c r="O54">
        <v>52</v>
      </c>
    </row>
    <row r="55" spans="9:15">
      <c r="I55" t="s">
        <v>2497</v>
      </c>
      <c r="J55" s="31" t="str">
        <f>"HID_"&amp;STDLIGHTINEFCAT2[[#This Row],[Ineff DropDown 2]]</f>
        <v>HID_HID 150-350</v>
      </c>
      <c r="K55" s="273" t="str">
        <f>STDLIGHTINEFCAT2[[#This Row],[Match]]&amp;"_"&amp;STDLIGHTINEFCAT2[[#This Row],[Options]]</f>
        <v>HID_HID 150-350_--Metal Halide--</v>
      </c>
      <c r="L55" s="277" t="s">
        <v>1887</v>
      </c>
      <c r="M55" s="273"/>
      <c r="N55" s="273"/>
      <c r="O55">
        <v>53</v>
      </c>
    </row>
    <row r="56" spans="9:15">
      <c r="I56" t="s">
        <v>2497</v>
      </c>
      <c r="J56" s="31" t="str">
        <f>"HID_"&amp;STDLIGHTINEFCAT2[[#This Row],[Ineff DropDown 2]]</f>
        <v>HID_HID 150-350</v>
      </c>
      <c r="K56" s="273" t="str">
        <f>STDLIGHTINEFCAT2[[#This Row],[Match]]&amp;"_"&amp;STDLIGHTINEFCAT2[[#This Row],[Options]]</f>
        <v>HID_HID 150-350_150W Med. Base</v>
      </c>
      <c r="L56" s="277" t="s">
        <v>1883</v>
      </c>
      <c r="M56" s="273">
        <v>150</v>
      </c>
      <c r="N56" s="273">
        <v>173</v>
      </c>
      <c r="O56">
        <v>54</v>
      </c>
    </row>
    <row r="57" spans="9:15">
      <c r="I57" t="s">
        <v>2497</v>
      </c>
      <c r="J57" s="31" t="str">
        <f>"HID_"&amp;STDLIGHTINEFCAT2[[#This Row],[Ineff DropDown 2]]</f>
        <v>HID_HID 150-350</v>
      </c>
      <c r="K57" s="273" t="str">
        <f>STDLIGHTINEFCAT2[[#This Row],[Match]]&amp;"_"&amp;STDLIGHTINEFCAT2[[#This Row],[Options]]</f>
        <v>HID_HID 150-350_150W Double Ended</v>
      </c>
      <c r="L57" s="277" t="s">
        <v>1884</v>
      </c>
      <c r="M57" s="273">
        <v>150</v>
      </c>
      <c r="N57" s="273">
        <v>185</v>
      </c>
      <c r="O57">
        <v>55</v>
      </c>
    </row>
    <row r="58" spans="9:15">
      <c r="I58" t="s">
        <v>2497</v>
      </c>
      <c r="J58" s="31" t="str">
        <f>"HID_"&amp;STDLIGHTINEFCAT2[[#This Row],[Ineff DropDown 2]]</f>
        <v>HID_HID 150-350</v>
      </c>
      <c r="K58" s="273" t="str">
        <f>STDLIGHTINEFCAT2[[#This Row],[Match]]&amp;"_"&amp;STDLIGHTINEFCAT2[[#This Row],[Options]]</f>
        <v>HID_HID 150-350_175W Mogul Base</v>
      </c>
      <c r="L58" s="277" t="s">
        <v>1881</v>
      </c>
      <c r="M58" s="273">
        <v>175</v>
      </c>
      <c r="N58" s="273">
        <v>210</v>
      </c>
      <c r="O58">
        <v>56</v>
      </c>
    </row>
    <row r="59" spans="9:15">
      <c r="I59" t="s">
        <v>2497</v>
      </c>
      <c r="J59" s="31" t="str">
        <f>"HID_"&amp;STDLIGHTINEFCAT2[[#This Row],[Ineff DropDown 2]]</f>
        <v>HID_HID 150-350</v>
      </c>
      <c r="K59" s="273" t="str">
        <f>STDLIGHTINEFCAT2[[#This Row],[Match]]&amp;"_"&amp;STDLIGHTINEFCAT2[[#This Row],[Options]]</f>
        <v>HID_HID 150-350_250W Mogul Base</v>
      </c>
      <c r="L59" s="277" t="s">
        <v>1882</v>
      </c>
      <c r="M59" s="273">
        <v>250</v>
      </c>
      <c r="N59" s="273">
        <v>295</v>
      </c>
      <c r="O59">
        <v>57</v>
      </c>
    </row>
    <row r="60" spans="9:15">
      <c r="I60" t="s">
        <v>2497</v>
      </c>
      <c r="J60" s="31" t="str">
        <f>"HID_"&amp;STDLIGHTINEFCAT2[[#This Row],[Ineff DropDown 2]]</f>
        <v>HID_HID 150-350</v>
      </c>
      <c r="K60" s="273" t="str">
        <f>STDLIGHTINEFCAT2[[#This Row],[Match]]&amp;"_"&amp;STDLIGHTINEFCAT2[[#This Row],[Options]]</f>
        <v>HID_HID 150-350_300W Mogul Base</v>
      </c>
      <c r="L60" s="277" t="s">
        <v>1960</v>
      </c>
      <c r="M60" s="273">
        <v>300</v>
      </c>
      <c r="N60" s="273">
        <v>342</v>
      </c>
      <c r="O60">
        <v>58</v>
      </c>
    </row>
    <row r="61" spans="9:15">
      <c r="I61" t="s">
        <v>2497</v>
      </c>
      <c r="J61" s="31" t="str">
        <f>"HID_"&amp;STDLIGHTINEFCAT2[[#This Row],[Ineff DropDown 2]]</f>
        <v>HID_HID 150-350</v>
      </c>
      <c r="K61" s="273" t="str">
        <f>STDLIGHTINEFCAT2[[#This Row],[Match]]&amp;"_"&amp;STDLIGHTINEFCAT2[[#This Row],[Options]]</f>
        <v>HID_HID 150-350_--Mercury Vapor--</v>
      </c>
      <c r="L61" s="277" t="s">
        <v>1888</v>
      </c>
      <c r="M61" s="273"/>
      <c r="N61" s="273"/>
      <c r="O61">
        <v>59</v>
      </c>
    </row>
    <row r="62" spans="9:15">
      <c r="I62" t="s">
        <v>2497</v>
      </c>
      <c r="J62" s="31" t="str">
        <f>"HID_"&amp;STDLIGHTINEFCAT2[[#This Row],[Ineff DropDown 2]]</f>
        <v>HID_HID 150-350</v>
      </c>
      <c r="K62" s="273" t="str">
        <f>STDLIGHTINEFCAT2[[#This Row],[Match]]&amp;"_"&amp;STDLIGHTINEFCAT2[[#This Row],[Options]]</f>
        <v>HID_HID 150-350_175W Med. Base</v>
      </c>
      <c r="L62" s="277" t="s">
        <v>1880</v>
      </c>
      <c r="M62" s="273">
        <v>175</v>
      </c>
      <c r="N62" s="273">
        <v>205</v>
      </c>
      <c r="O62">
        <v>60</v>
      </c>
    </row>
    <row r="63" spans="9:15">
      <c r="I63" t="s">
        <v>2497</v>
      </c>
      <c r="J63" s="31" t="str">
        <f>"HID_"&amp;STDLIGHTINEFCAT2[[#This Row],[Ineff DropDown 2]]</f>
        <v>HID_HID 150-350</v>
      </c>
      <c r="K63" s="273" t="str">
        <f>STDLIGHTINEFCAT2[[#This Row],[Match]]&amp;"_"&amp;STDLIGHTINEFCAT2[[#This Row],[Options]]</f>
        <v>HID_HID 150-350_175W Mogul Base</v>
      </c>
      <c r="L63" s="277" t="s">
        <v>1881</v>
      </c>
      <c r="M63" s="273">
        <v>175</v>
      </c>
      <c r="N63" s="273">
        <v>205</v>
      </c>
      <c r="O63">
        <v>61</v>
      </c>
    </row>
    <row r="64" spans="9:15">
      <c r="I64" t="s">
        <v>2497</v>
      </c>
      <c r="J64" s="31" t="str">
        <f>"HID_"&amp;STDLIGHTINEFCAT2[[#This Row],[Ineff DropDown 2]]</f>
        <v>HID_HID 150-350</v>
      </c>
      <c r="K64" s="273" t="str">
        <f>STDLIGHTINEFCAT2[[#This Row],[Match]]&amp;"_"&amp;STDLIGHTINEFCAT2[[#This Row],[Options]]</f>
        <v>HID_HID 150-350_250W Mogul Base</v>
      </c>
      <c r="L64" s="277" t="s">
        <v>1882</v>
      </c>
      <c r="M64" s="273">
        <v>250</v>
      </c>
      <c r="N64" s="273">
        <v>285</v>
      </c>
      <c r="O64">
        <v>62</v>
      </c>
    </row>
    <row r="65" spans="9:15">
      <c r="I65" t="s">
        <v>2497</v>
      </c>
      <c r="J65" s="31" t="str">
        <f>"HID_"&amp;STDLIGHTINEFCAT2[[#This Row],[Ineff DropDown 2]]</f>
        <v>HID_HID 150-350</v>
      </c>
      <c r="K65" s="273" t="str">
        <f>STDLIGHTINEFCAT2[[#This Row],[Match]]&amp;"_"&amp;STDLIGHTINEFCAT2[[#This Row],[Options]]</f>
        <v>HID_HID 150-350_--High Pres. Sodium--</v>
      </c>
      <c r="L65" s="277" t="s">
        <v>1889</v>
      </c>
      <c r="M65" s="273"/>
      <c r="N65" s="273"/>
      <c r="O65">
        <v>63</v>
      </c>
    </row>
    <row r="66" spans="9:15">
      <c r="I66" t="s">
        <v>2497</v>
      </c>
      <c r="J66" s="31" t="str">
        <f>"HID_"&amp;STDLIGHTINEFCAT2[[#This Row],[Ineff DropDown 2]]</f>
        <v>HID_HID 150-350</v>
      </c>
      <c r="K66" s="273" t="str">
        <f>STDLIGHTINEFCAT2[[#This Row],[Match]]&amp;"_"&amp;STDLIGHTINEFCAT2[[#This Row],[Options]]</f>
        <v>HID_HID 150-350_150W Med. Base</v>
      </c>
      <c r="L66" s="277" t="s">
        <v>1883</v>
      </c>
      <c r="M66" s="273">
        <v>150</v>
      </c>
      <c r="N66" s="273">
        <v>188</v>
      </c>
      <c r="O66">
        <v>64</v>
      </c>
    </row>
    <row r="67" spans="9:15">
      <c r="I67" t="s">
        <v>2497</v>
      </c>
      <c r="J67" s="31" t="str">
        <f>"HID_"&amp;STDLIGHTINEFCAT2[[#This Row],[Ineff DropDown 2]]</f>
        <v>HID_HID 150-350</v>
      </c>
      <c r="K67" s="273" t="str">
        <f>STDLIGHTINEFCAT2[[#This Row],[Match]]&amp;"_"&amp;STDLIGHTINEFCAT2[[#This Row],[Options]]</f>
        <v>HID_HID 150-350_150W Mogul Base</v>
      </c>
      <c r="L67" s="277" t="s">
        <v>1885</v>
      </c>
      <c r="M67" s="273">
        <v>150</v>
      </c>
      <c r="N67" s="273">
        <v>188</v>
      </c>
      <c r="O67">
        <v>65</v>
      </c>
    </row>
    <row r="68" spans="9:15">
      <c r="I68" t="s">
        <v>2497</v>
      </c>
      <c r="J68" s="31" t="str">
        <f>"HID_"&amp;STDLIGHTINEFCAT2[[#This Row],[Ineff DropDown 2]]</f>
        <v>HID_HID 150-350</v>
      </c>
      <c r="K68" s="273" t="str">
        <f>STDLIGHTINEFCAT2[[#This Row],[Match]]&amp;"_"&amp;STDLIGHTINEFCAT2[[#This Row],[Options]]</f>
        <v>HID_HID 150-350_200W Mogul Base</v>
      </c>
      <c r="L68" s="277" t="s">
        <v>1886</v>
      </c>
      <c r="M68" s="273">
        <v>200</v>
      </c>
      <c r="N68" s="273">
        <v>240</v>
      </c>
      <c r="O68">
        <v>66</v>
      </c>
    </row>
    <row r="69" spans="9:15">
      <c r="I69" t="s">
        <v>2497</v>
      </c>
      <c r="J69" s="31" t="str">
        <f>"HID_"&amp;STDLIGHTINEFCAT2[[#This Row],[Ineff DropDown 2]]</f>
        <v>HID_HID 150-350</v>
      </c>
      <c r="K69" s="273" t="str">
        <f>STDLIGHTINEFCAT2[[#This Row],[Match]]&amp;"_"&amp;STDLIGHTINEFCAT2[[#This Row],[Options]]</f>
        <v>HID_HID 150-350_250W Mogul Base</v>
      </c>
      <c r="L69" s="277" t="s">
        <v>1882</v>
      </c>
      <c r="M69" s="273">
        <v>250</v>
      </c>
      <c r="N69" s="273">
        <v>295</v>
      </c>
      <c r="O69">
        <v>67</v>
      </c>
    </row>
    <row r="70" spans="9:15">
      <c r="I70" s="31" t="s">
        <v>2498</v>
      </c>
      <c r="J70" s="31" t="str">
        <f>"HID_"&amp;STDLIGHTINEFCAT2[[#This Row],[Ineff DropDown 2]]</f>
        <v>HID_HID 351-500</v>
      </c>
      <c r="K70" s="273" t="str">
        <f>STDLIGHTINEFCAT2[[#This Row],[Match]]&amp;"_"&amp;STDLIGHTINEFCAT2[[#This Row],[Options]]</f>
        <v>HID_HID 351-500_--Metal Halide--</v>
      </c>
      <c r="L70" s="281" t="s">
        <v>1887</v>
      </c>
      <c r="M70" s="274"/>
      <c r="N70" s="274"/>
      <c r="O70">
        <v>68</v>
      </c>
    </row>
    <row r="71" spans="9:15">
      <c r="I71" s="31" t="s">
        <v>2498</v>
      </c>
      <c r="J71" s="31" t="str">
        <f>"HID_"&amp;STDLIGHTINEFCAT2[[#This Row],[Ineff DropDown 2]]</f>
        <v>HID_HID 351-500</v>
      </c>
      <c r="K71" s="273" t="str">
        <f>STDLIGHTINEFCAT2[[#This Row],[Match]]&amp;"_"&amp;STDLIGHTINEFCAT2[[#This Row],[Options]]</f>
        <v>HID_HID 351-500_325W Mogul Base</v>
      </c>
      <c r="L71" s="277" t="s">
        <v>1961</v>
      </c>
      <c r="M71" s="273">
        <v>325</v>
      </c>
      <c r="N71" s="273">
        <v>375</v>
      </c>
      <c r="O71">
        <v>69</v>
      </c>
    </row>
    <row r="72" spans="9:15">
      <c r="I72" s="31" t="s">
        <v>2498</v>
      </c>
      <c r="J72" s="31" t="str">
        <f>"HID_"&amp;STDLIGHTINEFCAT2[[#This Row],[Ineff DropDown 2]]</f>
        <v>HID_HID 351-500</v>
      </c>
      <c r="K72" s="273" t="str">
        <f>STDLIGHTINEFCAT2[[#This Row],[Match]]&amp;"_"&amp;STDLIGHTINEFCAT2[[#This Row],[Options]]</f>
        <v>HID_HID 351-500_360W Mogul Base</v>
      </c>
      <c r="L72" s="277" t="s">
        <v>1962</v>
      </c>
      <c r="M72" s="273">
        <v>360</v>
      </c>
      <c r="N72" s="273">
        <v>430</v>
      </c>
      <c r="O72">
        <v>70</v>
      </c>
    </row>
    <row r="73" spans="9:15">
      <c r="I73" s="31" t="s">
        <v>2498</v>
      </c>
      <c r="J73" s="31" t="str">
        <f>"HID_"&amp;STDLIGHTINEFCAT2[[#This Row],[Ineff DropDown 2]]</f>
        <v>HID_HID 351-500</v>
      </c>
      <c r="K73" s="277" t="str">
        <f>STDLIGHTINEFCAT2[[#This Row],[Match]]&amp;"_"&amp;STDLIGHTINEFCAT2[[#This Row],[Options]]</f>
        <v>HID_HID 351-500_400W Mogul Base</v>
      </c>
      <c r="L73" s="277" t="s">
        <v>1891</v>
      </c>
      <c r="M73" s="273">
        <v>400</v>
      </c>
      <c r="N73" s="277">
        <v>458</v>
      </c>
      <c r="O73">
        <v>71</v>
      </c>
    </row>
    <row r="74" spans="9:15">
      <c r="I74" s="31" t="s">
        <v>2498</v>
      </c>
      <c r="J74" s="31" t="str">
        <f>"HID_"&amp;STDLIGHTINEFCAT2[[#This Row],[Ineff DropDown 2]]</f>
        <v>HID_HID 351-500</v>
      </c>
      <c r="K74" s="277" t="str">
        <f>STDLIGHTINEFCAT2[[#This Row],[Match]]&amp;"_"&amp;STDLIGHTINEFCAT2[[#This Row],[Options]]</f>
        <v>HID_HID 351-500_--Mercury Vapor--</v>
      </c>
      <c r="L74" s="281" t="s">
        <v>1888</v>
      </c>
      <c r="M74" s="281"/>
      <c r="N74" s="281"/>
      <c r="O74">
        <v>72</v>
      </c>
    </row>
    <row r="75" spans="9:15">
      <c r="I75" s="31" t="s">
        <v>2498</v>
      </c>
      <c r="J75" s="31" t="str">
        <f>"HID_"&amp;STDLIGHTINEFCAT2[[#This Row],[Ineff DropDown 2]]</f>
        <v>HID_HID 351-500</v>
      </c>
      <c r="K75" s="277" t="str">
        <f>STDLIGHTINEFCAT2[[#This Row],[Match]]&amp;"_"&amp;STDLIGHTINEFCAT2[[#This Row],[Options]]</f>
        <v>HID_HID 351-500_400W Mogul Base</v>
      </c>
      <c r="L75" s="277" t="s">
        <v>1891</v>
      </c>
      <c r="M75" s="277">
        <v>400</v>
      </c>
      <c r="N75" s="277">
        <v>454</v>
      </c>
      <c r="O75">
        <v>73</v>
      </c>
    </row>
    <row r="76" spans="9:15">
      <c r="I76" s="31" t="s">
        <v>2498</v>
      </c>
      <c r="J76" s="31" t="str">
        <f>"HID_"&amp;STDLIGHTINEFCAT2[[#This Row],[Ineff DropDown 2]]</f>
        <v>HID_HID 351-500</v>
      </c>
      <c r="K76" s="277" t="str">
        <f>STDLIGHTINEFCAT2[[#This Row],[Match]]&amp;"_"&amp;STDLIGHTINEFCAT2[[#This Row],[Options]]</f>
        <v>HID_HID 351-500_--High Pres. Sodium--</v>
      </c>
      <c r="L76" s="281" t="s">
        <v>1889</v>
      </c>
      <c r="M76" s="281"/>
      <c r="N76" s="281"/>
      <c r="O76">
        <v>74</v>
      </c>
    </row>
    <row r="77" spans="9:15">
      <c r="I77" s="31" t="s">
        <v>2498</v>
      </c>
      <c r="J77" s="31" t="str">
        <f>"HID_"&amp;STDLIGHTINEFCAT2[[#This Row],[Ineff DropDown 2]]</f>
        <v>HID_HID 351-500</v>
      </c>
      <c r="K77" s="273" t="str">
        <f>STDLIGHTINEFCAT2[[#This Row],[Match]]&amp;"_"&amp;STDLIGHTINEFCAT2[[#This Row],[Options]]</f>
        <v>HID_HID 351-500_310W Mogul Base</v>
      </c>
      <c r="L77" s="280" t="s">
        <v>1890</v>
      </c>
      <c r="M77" s="273">
        <v>310</v>
      </c>
      <c r="N77" s="273">
        <v>365</v>
      </c>
      <c r="O77">
        <v>75</v>
      </c>
    </row>
    <row r="78" spans="9:15">
      <c r="I78" s="31" t="s">
        <v>2498</v>
      </c>
      <c r="J78" s="31" t="str">
        <f>"HID_"&amp;STDLIGHTINEFCAT2[[#This Row],[Ineff DropDown 2]]</f>
        <v>HID_HID 351-500</v>
      </c>
      <c r="K78" s="277" t="str">
        <f>STDLIGHTINEFCAT2[[#This Row],[Match]]&amp;"_"&amp;STDLIGHTINEFCAT2[[#This Row],[Options]]</f>
        <v>HID_HID 351-500_400W Mogul Base</v>
      </c>
      <c r="L78" s="277" t="s">
        <v>1891</v>
      </c>
      <c r="M78" s="273">
        <v>400</v>
      </c>
      <c r="N78" s="277">
        <v>457</v>
      </c>
      <c r="O78">
        <v>76</v>
      </c>
    </row>
    <row r="79" spans="9:15">
      <c r="I79" s="31" t="s">
        <v>2499</v>
      </c>
      <c r="J79" s="31" t="str">
        <f>"HID_"&amp;STDLIGHTINEFCAT2[[#This Row],[Ineff DropDown 2]]</f>
        <v>HID_HID 501-850</v>
      </c>
      <c r="K79" s="277" t="str">
        <f>STDLIGHTINEFCAT2[[#This Row],[Match]]&amp;"_"&amp;STDLIGHTINEFCAT2[[#This Row],[Options]]</f>
        <v>HID_HID 501-850_--Metal Halide--</v>
      </c>
      <c r="L79" s="281" t="s">
        <v>1887</v>
      </c>
      <c r="M79" s="274"/>
      <c r="N79" s="281"/>
      <c r="O79">
        <v>77</v>
      </c>
    </row>
    <row r="80" spans="9:15">
      <c r="I80" s="31" t="s">
        <v>2499</v>
      </c>
      <c r="J80" s="31" t="str">
        <f>"HID_"&amp;STDLIGHTINEFCAT2[[#This Row],[Ineff DropDown 2]]</f>
        <v>HID_HID 501-850</v>
      </c>
      <c r="K80" s="277" t="str">
        <f>STDLIGHTINEFCAT2[[#This Row],[Match]]&amp;"_"&amp;STDLIGHTINEFCAT2[[#This Row],[Options]]</f>
        <v>HID_HID 501-850_750W Mogul Base</v>
      </c>
      <c r="L80" s="277" t="s">
        <v>1893</v>
      </c>
      <c r="M80" s="277">
        <v>750</v>
      </c>
      <c r="N80" s="277">
        <v>850</v>
      </c>
      <c r="O80">
        <v>78</v>
      </c>
    </row>
    <row r="81" spans="9:15">
      <c r="I81" s="31" t="s">
        <v>2499</v>
      </c>
      <c r="J81" s="31" t="str">
        <f>"HID_"&amp;STDLIGHTINEFCAT2[[#This Row],[Ineff DropDown 2]]</f>
        <v>HID_HID 501-850</v>
      </c>
      <c r="K81" s="277" t="str">
        <f>STDLIGHTINEFCAT2[[#This Row],[Match]]&amp;"_"&amp;STDLIGHTINEFCAT2[[#This Row],[Options]]</f>
        <v>HID_HID 501-850_--Mercury Vapor--</v>
      </c>
      <c r="L81" s="281" t="s">
        <v>1888</v>
      </c>
      <c r="M81" s="281"/>
      <c r="N81" s="281"/>
      <c r="O81">
        <v>79</v>
      </c>
    </row>
    <row r="82" spans="9:15">
      <c r="I82" s="31" t="s">
        <v>2499</v>
      </c>
      <c r="J82" s="31" t="str">
        <f>"HID_"&amp;STDLIGHTINEFCAT2[[#This Row],[Ineff DropDown 2]]</f>
        <v>HID_HID 501-850</v>
      </c>
      <c r="K82" s="277" t="str">
        <f>STDLIGHTINEFCAT2[[#This Row],[Match]]&amp;"_"&amp;STDLIGHTINEFCAT2[[#This Row],[Options]]</f>
        <v>HID_HID 501-850_700W Mogul Base</v>
      </c>
      <c r="L82" s="277" t="s">
        <v>1963</v>
      </c>
      <c r="M82" s="277">
        <v>700</v>
      </c>
      <c r="N82" s="277">
        <v>780</v>
      </c>
      <c r="O82">
        <v>80</v>
      </c>
    </row>
    <row r="83" spans="9:15">
      <c r="I83" s="31" t="s">
        <v>2499</v>
      </c>
      <c r="J83" s="31" t="str">
        <f>"HID_"&amp;STDLIGHTINEFCAT2[[#This Row],[Ineff DropDown 2]]</f>
        <v>HID_HID 501-850</v>
      </c>
      <c r="K83" s="277" t="str">
        <f>STDLIGHTINEFCAT2[[#This Row],[Match]]&amp;"_"&amp;STDLIGHTINEFCAT2[[#This Row],[Options]]</f>
        <v>HID_HID 501-850_--High Pres. Sodium--</v>
      </c>
      <c r="L83" s="281" t="s">
        <v>1889</v>
      </c>
      <c r="M83" s="281"/>
      <c r="N83" s="281"/>
      <c r="O83">
        <v>81</v>
      </c>
    </row>
    <row r="84" spans="9:15">
      <c r="I84" s="31" t="s">
        <v>2499</v>
      </c>
      <c r="J84" s="31" t="str">
        <f>"HID_"&amp;STDLIGHTINEFCAT2[[#This Row],[Ineff DropDown 2]]</f>
        <v>HID_HID 501-850</v>
      </c>
      <c r="K84" s="277" t="str">
        <f>STDLIGHTINEFCAT2[[#This Row],[Match]]&amp;"_"&amp;STDLIGHTINEFCAT2[[#This Row],[Options]]</f>
        <v>HID_HID 501-850_600W Mogul Base</v>
      </c>
      <c r="L84" s="277" t="s">
        <v>1892</v>
      </c>
      <c r="M84" s="277">
        <v>600</v>
      </c>
      <c r="N84" s="277">
        <v>665</v>
      </c>
      <c r="O84">
        <v>82</v>
      </c>
    </row>
    <row r="85" spans="9:15">
      <c r="I85" s="31" t="s">
        <v>2499</v>
      </c>
      <c r="J85" s="31" t="str">
        <f>"HID_"&amp;STDLIGHTINEFCAT2[[#This Row],[Ineff DropDown 2]]</f>
        <v>HID_HID 501-850</v>
      </c>
      <c r="K85" s="277" t="str">
        <f>STDLIGHTINEFCAT2[[#This Row],[Match]]&amp;"_"&amp;STDLIGHTINEFCAT2[[#This Row],[Options]]</f>
        <v>HID_HID 501-850_750W Mogul Base</v>
      </c>
      <c r="L85" s="277" t="s">
        <v>1893</v>
      </c>
      <c r="M85" s="277">
        <v>750</v>
      </c>
      <c r="N85" s="277">
        <v>840</v>
      </c>
      <c r="O85">
        <v>83</v>
      </c>
    </row>
    <row r="86" spans="9:15">
      <c r="I86" t="s">
        <v>2493</v>
      </c>
      <c r="J86" s="31" t="str">
        <f>"HID_"&amp;STDLIGHTINEFCAT2[[#This Row],[Ineff DropDown 2]]</f>
        <v>HID_PG &lt;=130</v>
      </c>
      <c r="K86" s="277" t="str">
        <f>STDLIGHTINEFCAT2[[#This Row],[Match]]&amp;"_"&amp;STDLIGHTINEFCAT2[[#This Row],[Options]]</f>
        <v>HID_PG &lt;=130_--Metal Halide--</v>
      </c>
      <c r="L86" s="277" t="s">
        <v>1887</v>
      </c>
      <c r="M86" s="277"/>
      <c r="N86" s="277"/>
      <c r="O86">
        <v>84</v>
      </c>
    </row>
    <row r="87" spans="9:15">
      <c r="I87" t="s">
        <v>2493</v>
      </c>
      <c r="J87" s="31" t="str">
        <f>"HID_"&amp;STDLIGHTINEFCAT2[[#This Row],[Ineff DropDown 2]]</f>
        <v>HID_PG &lt;=130</v>
      </c>
      <c r="K87" s="277" t="str">
        <f>STDLIGHTINEFCAT2[[#This Row],[Match]]&amp;"_"&amp;STDLIGHTINEFCAT2[[#This Row],[Options]]</f>
        <v>HID_PG &lt;=130_32W Med Base</v>
      </c>
      <c r="L87" s="277" t="s">
        <v>2112</v>
      </c>
      <c r="M87" s="277">
        <v>32</v>
      </c>
      <c r="N87" s="277">
        <v>38</v>
      </c>
      <c r="O87">
        <v>85</v>
      </c>
    </row>
    <row r="88" spans="9:15">
      <c r="I88" t="s">
        <v>2493</v>
      </c>
      <c r="J88" s="31" t="str">
        <f>"HID_"&amp;STDLIGHTINEFCAT2[[#This Row],[Ineff DropDown 2]]</f>
        <v>HID_PG &lt;=130</v>
      </c>
      <c r="K88" s="277" t="str">
        <f>STDLIGHTINEFCAT2[[#This Row],[Match]]&amp;"_"&amp;STDLIGHTINEFCAT2[[#This Row],[Options]]</f>
        <v xml:space="preserve">HID_PG &lt;=130_35W/39W Med Base </v>
      </c>
      <c r="L88" s="277" t="s">
        <v>2113</v>
      </c>
      <c r="M88" s="277">
        <v>35</v>
      </c>
      <c r="N88" s="277">
        <v>48</v>
      </c>
      <c r="O88">
        <v>86</v>
      </c>
    </row>
    <row r="89" spans="9:15">
      <c r="I89" t="s">
        <v>2493</v>
      </c>
      <c r="J89" s="31" t="str">
        <f>"HID_"&amp;STDLIGHTINEFCAT2[[#This Row],[Ineff DropDown 2]]</f>
        <v>HID_PG &lt;=130</v>
      </c>
      <c r="K89" s="277" t="str">
        <f>STDLIGHTINEFCAT2[[#This Row],[Match]]&amp;"_"&amp;STDLIGHTINEFCAT2[[#This Row],[Options]]</f>
        <v>HID_PG &lt;=130_50W Med Base</v>
      </c>
      <c r="L89" s="277" t="s">
        <v>2114</v>
      </c>
      <c r="M89" s="277">
        <v>50</v>
      </c>
      <c r="N89" s="277">
        <v>62</v>
      </c>
      <c r="O89">
        <v>87</v>
      </c>
    </row>
    <row r="90" spans="9:15">
      <c r="I90" t="s">
        <v>2493</v>
      </c>
      <c r="J90" s="31" t="str">
        <f>"HID_"&amp;STDLIGHTINEFCAT2[[#This Row],[Ineff DropDown 2]]</f>
        <v>HID_PG &lt;=130</v>
      </c>
      <c r="K90" s="277" t="str">
        <f>STDLIGHTINEFCAT2[[#This Row],[Match]]&amp;"_"&amp;STDLIGHTINEFCAT2[[#This Row],[Options]]</f>
        <v>HID_PG &lt;=130_70W Med Base</v>
      </c>
      <c r="L90" s="277" t="s">
        <v>2115</v>
      </c>
      <c r="M90" s="277">
        <v>70</v>
      </c>
      <c r="N90" s="277">
        <v>93</v>
      </c>
      <c r="O90">
        <v>88</v>
      </c>
    </row>
    <row r="91" spans="9:15">
      <c r="I91" t="s">
        <v>2493</v>
      </c>
      <c r="J91" s="31" t="str">
        <f>"HID_"&amp;STDLIGHTINEFCAT2[[#This Row],[Ineff DropDown 2]]</f>
        <v>HID_PG &lt;=130</v>
      </c>
      <c r="K91" s="277" t="str">
        <f>STDLIGHTINEFCAT2[[#This Row],[Match]]&amp;"_"&amp;STDLIGHTINEFCAT2[[#This Row],[Options]]</f>
        <v xml:space="preserve">HID_PG &lt;=130_70W Double Ended </v>
      </c>
      <c r="L91" s="277" t="s">
        <v>2116</v>
      </c>
      <c r="M91" s="277">
        <v>70</v>
      </c>
      <c r="N91" s="277">
        <v>94</v>
      </c>
      <c r="O91">
        <v>89</v>
      </c>
    </row>
    <row r="92" spans="9:15">
      <c r="I92" t="s">
        <v>2493</v>
      </c>
      <c r="J92" s="31" t="str">
        <f>"HID_"&amp;STDLIGHTINEFCAT2[[#This Row],[Ineff DropDown 2]]</f>
        <v>HID_PG &lt;=130</v>
      </c>
      <c r="K92" s="277" t="str">
        <f>STDLIGHTINEFCAT2[[#This Row],[Match]]&amp;"_"&amp;STDLIGHTINEFCAT2[[#This Row],[Options]]</f>
        <v>HID_PG &lt;=130_100W Med Base</v>
      </c>
      <c r="L92" s="277" t="s">
        <v>2117</v>
      </c>
      <c r="M92" s="277">
        <v>100</v>
      </c>
      <c r="N92" s="277">
        <v>125</v>
      </c>
      <c r="O92">
        <v>90</v>
      </c>
    </row>
    <row r="93" spans="9:15">
      <c r="I93" t="s">
        <v>2493</v>
      </c>
      <c r="J93" s="31" t="str">
        <f>"HID_"&amp;STDLIGHTINEFCAT2[[#This Row],[Ineff DropDown 2]]</f>
        <v>HID_PG &lt;=130</v>
      </c>
      <c r="K93" s="277" t="str">
        <f>STDLIGHTINEFCAT2[[#This Row],[Match]]&amp;"_"&amp;STDLIGHTINEFCAT2[[#This Row],[Options]]</f>
        <v xml:space="preserve">HID_PG &lt;=130_100W Double Ended </v>
      </c>
      <c r="L93" s="277" t="s">
        <v>2118</v>
      </c>
      <c r="M93" s="277">
        <v>100</v>
      </c>
      <c r="N93" s="277">
        <v>130</v>
      </c>
      <c r="O93">
        <v>91</v>
      </c>
    </row>
    <row r="94" spans="9:15">
      <c r="I94" t="s">
        <v>2493</v>
      </c>
      <c r="J94" s="31" t="str">
        <f>"HID_"&amp;STDLIGHTINEFCAT2[[#This Row],[Ineff DropDown 2]]</f>
        <v>HID_PG &lt;=130</v>
      </c>
      <c r="K94" s="277" t="str">
        <f>STDLIGHTINEFCAT2[[#This Row],[Match]]&amp;"_"&amp;STDLIGHTINEFCAT2[[#This Row],[Options]]</f>
        <v>HID_PG &lt;=130_--Mercury Vapor--</v>
      </c>
      <c r="L94" s="277" t="s">
        <v>1888</v>
      </c>
      <c r="M94" s="277"/>
      <c r="N94" s="277"/>
      <c r="O94">
        <v>92</v>
      </c>
    </row>
    <row r="95" spans="9:15">
      <c r="I95" t="s">
        <v>2493</v>
      </c>
      <c r="J95" s="31" t="str">
        <f>"HID_"&amp;STDLIGHTINEFCAT2[[#This Row],[Ineff DropDown 2]]</f>
        <v>HID_PG &lt;=130</v>
      </c>
      <c r="K95" s="277" t="str">
        <f>STDLIGHTINEFCAT2[[#This Row],[Match]]&amp;"_"&amp;STDLIGHTINEFCAT2[[#This Row],[Options]]</f>
        <v>HID_PG &lt;=130_50W Med Base</v>
      </c>
      <c r="L95" s="277" t="s">
        <v>2114</v>
      </c>
      <c r="M95" s="277">
        <v>50</v>
      </c>
      <c r="N95" s="277">
        <v>75</v>
      </c>
      <c r="O95">
        <v>93</v>
      </c>
    </row>
    <row r="96" spans="9:15">
      <c r="I96" t="s">
        <v>2493</v>
      </c>
      <c r="J96" s="31" t="str">
        <f>"HID_"&amp;STDLIGHTINEFCAT2[[#This Row],[Ineff DropDown 2]]</f>
        <v>HID_PG &lt;=130</v>
      </c>
      <c r="K96" s="277" t="str">
        <f>STDLIGHTINEFCAT2[[#This Row],[Match]]&amp;"_"&amp;STDLIGHTINEFCAT2[[#This Row],[Options]]</f>
        <v>HID_PG &lt;=130_75W Med Base</v>
      </c>
      <c r="L96" s="277" t="s">
        <v>2119</v>
      </c>
      <c r="M96" s="277">
        <v>75</v>
      </c>
      <c r="N96" s="277">
        <v>75</v>
      </c>
      <c r="O96">
        <v>94</v>
      </c>
    </row>
    <row r="97" spans="9:15">
      <c r="I97" t="s">
        <v>2493</v>
      </c>
      <c r="J97" s="31" t="str">
        <f>"HID_"&amp;STDLIGHTINEFCAT2[[#This Row],[Ineff DropDown 2]]</f>
        <v>HID_PG &lt;=130</v>
      </c>
      <c r="K97" s="277" t="str">
        <f>STDLIGHTINEFCAT2[[#This Row],[Match]]&amp;"_"&amp;STDLIGHTINEFCAT2[[#This Row],[Options]]</f>
        <v>HID_PG &lt;=130_100W Med Base</v>
      </c>
      <c r="L97" s="277" t="s">
        <v>2117</v>
      </c>
      <c r="M97" s="277">
        <v>100</v>
      </c>
      <c r="N97" s="277">
        <v>122</v>
      </c>
      <c r="O97">
        <v>95</v>
      </c>
    </row>
    <row r="98" spans="9:15">
      <c r="I98" t="s">
        <v>2493</v>
      </c>
      <c r="J98" s="31" t="str">
        <f>"HID_"&amp;STDLIGHTINEFCAT2[[#This Row],[Ineff DropDown 2]]</f>
        <v>HID_PG &lt;=130</v>
      </c>
      <c r="K98" s="273" t="str">
        <f>STDLIGHTINEFCAT2[[#This Row],[Match]]&amp;"_"&amp;STDLIGHTINEFCAT2[[#This Row],[Options]]</f>
        <v>HID_PG &lt;=130_--High Pres. Sodium--</v>
      </c>
      <c r="L98" s="277" t="s">
        <v>1889</v>
      </c>
      <c r="M98" s="277"/>
      <c r="N98" s="277"/>
      <c r="O98">
        <v>96</v>
      </c>
    </row>
    <row r="99" spans="9:15">
      <c r="I99" t="s">
        <v>2493</v>
      </c>
      <c r="J99" s="31" t="str">
        <f>"HID_"&amp;STDLIGHTINEFCAT2[[#This Row],[Ineff DropDown 2]]</f>
        <v>HID_PG &lt;=130</v>
      </c>
      <c r="K99" s="273" t="str">
        <f>STDLIGHTINEFCAT2[[#This Row],[Match]]&amp;"_"&amp;STDLIGHTINEFCAT2[[#This Row],[Options]]</f>
        <v>HID_PG &lt;=130_35W Med Base</v>
      </c>
      <c r="L99" s="277" t="s">
        <v>2120</v>
      </c>
      <c r="M99" s="277">
        <v>35</v>
      </c>
      <c r="N99" s="277">
        <v>43</v>
      </c>
      <c r="O99">
        <v>97</v>
      </c>
    </row>
    <row r="100" spans="9:15">
      <c r="I100" t="s">
        <v>2493</v>
      </c>
      <c r="J100" s="31" t="str">
        <f>"HID_"&amp;STDLIGHTINEFCAT2[[#This Row],[Ineff DropDown 2]]</f>
        <v>HID_PG &lt;=130</v>
      </c>
      <c r="K100" s="273" t="str">
        <f>STDLIGHTINEFCAT2[[#This Row],[Match]]&amp;"_"&amp;STDLIGHTINEFCAT2[[#This Row],[Options]]</f>
        <v>HID_PG &lt;=130_50W Med Base</v>
      </c>
      <c r="L100" s="277" t="s">
        <v>2114</v>
      </c>
      <c r="M100" s="277">
        <v>50</v>
      </c>
      <c r="N100" s="277">
        <v>64</v>
      </c>
      <c r="O100">
        <v>98</v>
      </c>
    </row>
    <row r="101" spans="9:15">
      <c r="I101" t="s">
        <v>2493</v>
      </c>
      <c r="J101" s="31" t="str">
        <f>"HID_"&amp;STDLIGHTINEFCAT2[[#This Row],[Ineff DropDown 2]]</f>
        <v>HID_PG &lt;=130</v>
      </c>
      <c r="K101" s="273" t="str">
        <f>STDLIGHTINEFCAT2[[#This Row],[Match]]&amp;"_"&amp;STDLIGHTINEFCAT2[[#This Row],[Options]]</f>
        <v>HID_PG &lt;=130_70W Med Base</v>
      </c>
      <c r="L101" s="277" t="s">
        <v>2115</v>
      </c>
      <c r="M101" s="277">
        <v>70</v>
      </c>
      <c r="N101" s="277">
        <v>86</v>
      </c>
      <c r="O101">
        <v>99</v>
      </c>
    </row>
    <row r="102" spans="9:15">
      <c r="I102" t="s">
        <v>2493</v>
      </c>
      <c r="J102" s="31" t="str">
        <f>"HID_"&amp;STDLIGHTINEFCAT2[[#This Row],[Ineff DropDown 2]]</f>
        <v>HID_PG &lt;=130</v>
      </c>
      <c r="K102" s="273" t="str">
        <f>STDLIGHTINEFCAT2[[#This Row],[Match]]&amp;"_"&amp;STDLIGHTINEFCAT2[[#This Row],[Options]]</f>
        <v>HID_PG &lt;=130_100W Med Base</v>
      </c>
      <c r="L102" s="277" t="s">
        <v>2117</v>
      </c>
      <c r="M102" s="277">
        <v>100</v>
      </c>
      <c r="N102" s="277">
        <v>126</v>
      </c>
      <c r="O102">
        <v>100</v>
      </c>
    </row>
    <row r="103" spans="9:15">
      <c r="I103" t="s">
        <v>2493</v>
      </c>
      <c r="J103" s="31" t="str">
        <f>"HID_"&amp;STDLIGHTINEFCAT2[[#This Row],[Ineff DropDown 2]]</f>
        <v>HID_PG &lt;=130</v>
      </c>
      <c r="K103" s="273" t="str">
        <f>STDLIGHTINEFCAT2[[#This Row],[Match]]&amp;"_"&amp;STDLIGHTINEFCAT2[[#This Row],[Options]]</f>
        <v>HID_PG &lt;=130_100W Mogul Base</v>
      </c>
      <c r="L103" s="277" t="s">
        <v>2121</v>
      </c>
      <c r="M103" s="277">
        <v>100</v>
      </c>
      <c r="N103" s="277">
        <v>130</v>
      </c>
      <c r="O103">
        <v>101</v>
      </c>
    </row>
    <row r="104" spans="9:15">
      <c r="I104" t="s">
        <v>2494</v>
      </c>
      <c r="J104" s="31" t="str">
        <f>"HID_"&amp;STDLIGHTINEFCAT2[[#This Row],[Ineff DropDown 2]]</f>
        <v>HID_PG &gt;210</v>
      </c>
      <c r="K104" s="273" t="str">
        <f>STDLIGHTINEFCAT2[[#This Row],[Match]]&amp;"_"&amp;STDLIGHTINEFCAT2[[#This Row],[Options]]</f>
        <v>HID_PG &gt;210_--Metal Halide--</v>
      </c>
      <c r="L104" s="277" t="s">
        <v>1887</v>
      </c>
      <c r="M104" s="277"/>
      <c r="N104" s="277"/>
      <c r="O104">
        <v>102</v>
      </c>
    </row>
    <row r="105" spans="9:15">
      <c r="I105" t="s">
        <v>2494</v>
      </c>
      <c r="J105" s="31" t="str">
        <f>"HID_"&amp;STDLIGHTINEFCAT2[[#This Row],[Ineff DropDown 2]]</f>
        <v>HID_PG &gt;210</v>
      </c>
      <c r="K105" s="273" t="str">
        <f>STDLIGHTINEFCAT2[[#This Row],[Match]]&amp;"_"&amp;STDLIGHTINEFCAT2[[#This Row],[Options]]</f>
        <v>HID_PG &gt;210_250W Mogul Base</v>
      </c>
      <c r="L105" s="277" t="s">
        <v>1882</v>
      </c>
      <c r="M105" s="277">
        <v>250</v>
      </c>
      <c r="N105" s="277">
        <v>295</v>
      </c>
      <c r="O105">
        <v>103</v>
      </c>
    </row>
    <row r="106" spans="9:15">
      <c r="I106" t="s">
        <v>2494</v>
      </c>
      <c r="J106" s="31" t="str">
        <f>"HID_"&amp;STDLIGHTINEFCAT2[[#This Row],[Ineff DropDown 2]]</f>
        <v>HID_PG &gt;210</v>
      </c>
      <c r="K106" s="273" t="str">
        <f>STDLIGHTINEFCAT2[[#This Row],[Match]]&amp;"_"&amp;STDLIGHTINEFCAT2[[#This Row],[Options]]</f>
        <v>HID_PG &gt;210_300W Mogul Base</v>
      </c>
      <c r="L106" s="277" t="s">
        <v>1960</v>
      </c>
      <c r="M106" s="277">
        <v>300</v>
      </c>
      <c r="N106" s="277">
        <v>342</v>
      </c>
      <c r="O106">
        <v>104</v>
      </c>
    </row>
    <row r="107" spans="9:15">
      <c r="I107" t="s">
        <v>2494</v>
      </c>
      <c r="J107" s="31" t="str">
        <f>"HID_"&amp;STDLIGHTINEFCAT2[[#This Row],[Ineff DropDown 2]]</f>
        <v>HID_PG &gt;210</v>
      </c>
      <c r="K107" s="273" t="str">
        <f>STDLIGHTINEFCAT2[[#This Row],[Match]]&amp;"_"&amp;STDLIGHTINEFCAT2[[#This Row],[Options]]</f>
        <v>HID_PG &gt;210_325W Mogul Base</v>
      </c>
      <c r="L107" s="277" t="s">
        <v>1961</v>
      </c>
      <c r="M107" s="277">
        <v>325</v>
      </c>
      <c r="N107" s="277">
        <v>375</v>
      </c>
      <c r="O107">
        <v>105</v>
      </c>
    </row>
    <row r="108" spans="9:15">
      <c r="I108" t="s">
        <v>2494</v>
      </c>
      <c r="J108" s="31" t="str">
        <f>"HID_"&amp;STDLIGHTINEFCAT2[[#This Row],[Ineff DropDown 2]]</f>
        <v>HID_PG &gt;210</v>
      </c>
      <c r="K108" s="273" t="str">
        <f>STDLIGHTINEFCAT2[[#This Row],[Match]]&amp;"_"&amp;STDLIGHTINEFCAT2[[#This Row],[Options]]</f>
        <v>HID_PG &gt;210_360W Mogul Base</v>
      </c>
      <c r="L108" s="277" t="s">
        <v>1962</v>
      </c>
      <c r="M108" s="277">
        <v>360</v>
      </c>
      <c r="N108" s="277">
        <v>430</v>
      </c>
      <c r="O108">
        <v>106</v>
      </c>
    </row>
    <row r="109" spans="9:15">
      <c r="I109" t="s">
        <v>2494</v>
      </c>
      <c r="J109" s="31" t="str">
        <f>"HID_"&amp;STDLIGHTINEFCAT2[[#This Row],[Ineff DropDown 2]]</f>
        <v>HID_PG &gt;210</v>
      </c>
      <c r="K109" s="273" t="str">
        <f>STDLIGHTINEFCAT2[[#This Row],[Match]]&amp;"_"&amp;STDLIGHTINEFCAT2[[#This Row],[Options]]</f>
        <v>HID_PG &gt;210_400W Mogul Base</v>
      </c>
      <c r="L109" s="277" t="s">
        <v>1891</v>
      </c>
      <c r="M109" s="277">
        <v>400</v>
      </c>
      <c r="N109" s="277">
        <v>458</v>
      </c>
      <c r="O109">
        <v>107</v>
      </c>
    </row>
    <row r="110" spans="9:15">
      <c r="I110" t="s">
        <v>2494</v>
      </c>
      <c r="J110" s="31" t="str">
        <f>"HID_"&amp;STDLIGHTINEFCAT2[[#This Row],[Ineff DropDown 2]]</f>
        <v>HID_PG &gt;210</v>
      </c>
      <c r="K110" s="273" t="str">
        <f>STDLIGHTINEFCAT2[[#This Row],[Match]]&amp;"_"&amp;STDLIGHTINEFCAT2[[#This Row],[Options]]</f>
        <v>HID_PG &gt;210_750W Mogul Base</v>
      </c>
      <c r="L110" s="277" t="s">
        <v>1893</v>
      </c>
      <c r="M110" s="277">
        <v>750</v>
      </c>
      <c r="N110" s="277">
        <v>850</v>
      </c>
      <c r="O110">
        <v>108</v>
      </c>
    </row>
    <row r="111" spans="9:15">
      <c r="I111" t="s">
        <v>2494</v>
      </c>
      <c r="J111" s="31" t="str">
        <f>"HID_"&amp;STDLIGHTINEFCAT2[[#This Row],[Ineff DropDown 2]]</f>
        <v>HID_PG &gt;210</v>
      </c>
      <c r="K111" s="273" t="str">
        <f>STDLIGHTINEFCAT2[[#This Row],[Match]]&amp;"_"&amp;STDLIGHTINEFCAT2[[#This Row],[Options]]</f>
        <v>HID_PG &gt;210_1,000W Mogul Base</v>
      </c>
      <c r="L111" s="277" t="s">
        <v>1964</v>
      </c>
      <c r="M111" s="277">
        <v>1000</v>
      </c>
      <c r="N111" s="277">
        <v>1080</v>
      </c>
      <c r="O111">
        <v>109</v>
      </c>
    </row>
    <row r="112" spans="9:15">
      <c r="I112" t="s">
        <v>2494</v>
      </c>
      <c r="J112" s="31" t="str">
        <f>"HID_"&amp;STDLIGHTINEFCAT2[[#This Row],[Ineff DropDown 2]]</f>
        <v>HID_PG &gt;210</v>
      </c>
      <c r="K112" s="273" t="str">
        <f>STDLIGHTINEFCAT2[[#This Row],[Match]]&amp;"_"&amp;STDLIGHTINEFCAT2[[#This Row],[Options]]</f>
        <v>HID_PG &gt;210_1,500W Mogul Base</v>
      </c>
      <c r="L112" s="277" t="s">
        <v>1965</v>
      </c>
      <c r="M112" s="277">
        <v>1500</v>
      </c>
      <c r="N112" s="277">
        <v>1610</v>
      </c>
      <c r="O112">
        <v>110</v>
      </c>
    </row>
    <row r="113" spans="9:15">
      <c r="I113" t="s">
        <v>2494</v>
      </c>
      <c r="J113" s="31" t="str">
        <f>"HID_"&amp;STDLIGHTINEFCAT2[[#This Row],[Ineff DropDown 2]]</f>
        <v>HID_PG &gt;210</v>
      </c>
      <c r="K113" s="273" t="str">
        <f>STDLIGHTINEFCAT2[[#This Row],[Match]]&amp;"_"&amp;STDLIGHTINEFCAT2[[#This Row],[Options]]</f>
        <v>HID_PG &gt;210_--Mercury Vapor--</v>
      </c>
      <c r="L113" s="277" t="s">
        <v>1888</v>
      </c>
      <c r="M113" s="277"/>
      <c r="N113" s="277"/>
      <c r="O113">
        <v>111</v>
      </c>
    </row>
    <row r="114" spans="9:15">
      <c r="I114" t="s">
        <v>2494</v>
      </c>
      <c r="J114" s="31" t="str">
        <f>"HID_"&amp;STDLIGHTINEFCAT2[[#This Row],[Ineff DropDown 2]]</f>
        <v>HID_PG &gt;210</v>
      </c>
      <c r="K114" s="273" t="str">
        <f>STDLIGHTINEFCAT2[[#This Row],[Match]]&amp;"_"&amp;STDLIGHTINEFCAT2[[#This Row],[Options]]</f>
        <v>HID_PG &gt;210_250W Mogul Base</v>
      </c>
      <c r="L114" s="277" t="s">
        <v>1882</v>
      </c>
      <c r="M114" s="277">
        <v>250</v>
      </c>
      <c r="N114" s="277">
        <v>285</v>
      </c>
      <c r="O114">
        <v>112</v>
      </c>
    </row>
    <row r="115" spans="9:15">
      <c r="I115" t="s">
        <v>2494</v>
      </c>
      <c r="J115" s="31" t="str">
        <f>"HID_"&amp;STDLIGHTINEFCAT2[[#This Row],[Ineff DropDown 2]]</f>
        <v>HID_PG &gt;210</v>
      </c>
      <c r="K115" s="273" t="str">
        <f>STDLIGHTINEFCAT2[[#This Row],[Match]]&amp;"_"&amp;STDLIGHTINEFCAT2[[#This Row],[Options]]</f>
        <v>HID_PG &gt;210_400W Mogul Base</v>
      </c>
      <c r="L115" s="280" t="s">
        <v>1891</v>
      </c>
      <c r="M115" s="277">
        <v>400</v>
      </c>
      <c r="N115" s="280">
        <v>454</v>
      </c>
      <c r="O115">
        <v>113</v>
      </c>
    </row>
    <row r="116" spans="9:15">
      <c r="I116" t="s">
        <v>2494</v>
      </c>
      <c r="J116" s="31" t="str">
        <f>"HID_"&amp;STDLIGHTINEFCAT2[[#This Row],[Ineff DropDown 2]]</f>
        <v>HID_PG &gt;210</v>
      </c>
      <c r="K116" s="273" t="str">
        <f>STDLIGHTINEFCAT2[[#This Row],[Match]]&amp;"_"&amp;STDLIGHTINEFCAT2[[#This Row],[Options]]</f>
        <v>HID_PG &gt;210_700W Mogul Base</v>
      </c>
      <c r="L116" s="277" t="s">
        <v>1963</v>
      </c>
      <c r="M116" s="277">
        <v>700</v>
      </c>
      <c r="N116" s="280">
        <v>780</v>
      </c>
      <c r="O116">
        <v>114</v>
      </c>
    </row>
    <row r="117" spans="9:15">
      <c r="I117" t="s">
        <v>2494</v>
      </c>
      <c r="J117" s="31" t="str">
        <f>"HID_"&amp;STDLIGHTINEFCAT2[[#This Row],[Ineff DropDown 2]]</f>
        <v>HID_PG &gt;210</v>
      </c>
      <c r="K117" s="277" t="str">
        <f>STDLIGHTINEFCAT2[[#This Row],[Match]]&amp;"_"&amp;STDLIGHTINEFCAT2[[#This Row],[Options]]</f>
        <v>HID_PG &gt;210_1,000W Mogul Base</v>
      </c>
      <c r="L117" s="275" t="s">
        <v>1964</v>
      </c>
      <c r="M117" s="277">
        <v>1000</v>
      </c>
      <c r="N117" s="277">
        <v>1080</v>
      </c>
      <c r="O117">
        <v>115</v>
      </c>
    </row>
    <row r="118" spans="9:15">
      <c r="I118" t="s">
        <v>2494</v>
      </c>
      <c r="J118" s="31" t="str">
        <f>"HID_"&amp;STDLIGHTINEFCAT2[[#This Row],[Ineff DropDown 2]]</f>
        <v>HID_PG &gt;210</v>
      </c>
      <c r="K118" s="277" t="str">
        <f>STDLIGHTINEFCAT2[[#This Row],[Match]]&amp;"_"&amp;STDLIGHTINEFCAT2[[#This Row],[Options]]</f>
        <v>HID_PG &gt;210_--High Pres. Sodium--</v>
      </c>
      <c r="L118" s="275" t="s">
        <v>1889</v>
      </c>
      <c r="M118" s="277"/>
      <c r="N118" s="277"/>
      <c r="O118">
        <v>116</v>
      </c>
    </row>
    <row r="119" spans="9:15">
      <c r="I119" t="s">
        <v>2494</v>
      </c>
      <c r="J119" s="31" t="str">
        <f>"HID_"&amp;STDLIGHTINEFCAT2[[#This Row],[Ineff DropDown 2]]</f>
        <v>HID_PG &gt;210</v>
      </c>
      <c r="K119" s="277" t="str">
        <f>STDLIGHTINEFCAT2[[#This Row],[Match]]&amp;"_"&amp;STDLIGHTINEFCAT2[[#This Row],[Options]]</f>
        <v>HID_PG &gt;210_200W Mogul Base</v>
      </c>
      <c r="L119" s="275" t="s">
        <v>1886</v>
      </c>
      <c r="M119" s="277">
        <v>200</v>
      </c>
      <c r="N119" s="277">
        <v>240</v>
      </c>
      <c r="O119">
        <v>117</v>
      </c>
    </row>
    <row r="120" spans="9:15">
      <c r="I120" t="s">
        <v>2494</v>
      </c>
      <c r="J120" s="31" t="str">
        <f>"HID_"&amp;STDLIGHTINEFCAT2[[#This Row],[Ineff DropDown 2]]</f>
        <v>HID_PG &gt;210</v>
      </c>
      <c r="K120" s="277" t="str">
        <f>STDLIGHTINEFCAT2[[#This Row],[Match]]&amp;"_"&amp;STDLIGHTINEFCAT2[[#This Row],[Options]]</f>
        <v>HID_PG &gt;210_250W Mogul Base</v>
      </c>
      <c r="L120" s="275" t="s">
        <v>1882</v>
      </c>
      <c r="M120" s="277">
        <v>250</v>
      </c>
      <c r="N120" s="277">
        <v>295</v>
      </c>
      <c r="O120">
        <v>118</v>
      </c>
    </row>
    <row r="121" spans="9:15">
      <c r="I121" t="s">
        <v>2494</v>
      </c>
      <c r="J121" s="31" t="str">
        <f>"HID_"&amp;STDLIGHTINEFCAT2[[#This Row],[Ineff DropDown 2]]</f>
        <v>HID_PG &gt;210</v>
      </c>
      <c r="K121" s="277" t="str">
        <f>STDLIGHTINEFCAT2[[#This Row],[Match]]&amp;"_"&amp;STDLIGHTINEFCAT2[[#This Row],[Options]]</f>
        <v>HID_PG &gt;210_310W Mogul Base</v>
      </c>
      <c r="L121" s="275" t="s">
        <v>1890</v>
      </c>
      <c r="M121" s="277">
        <v>310</v>
      </c>
      <c r="N121" s="277">
        <v>365</v>
      </c>
      <c r="O121">
        <v>119</v>
      </c>
    </row>
    <row r="122" spans="9:15">
      <c r="I122" t="s">
        <v>2494</v>
      </c>
      <c r="J122" s="31" t="str">
        <f>"HID_"&amp;STDLIGHTINEFCAT2[[#This Row],[Ineff DropDown 2]]</f>
        <v>HID_PG &gt;210</v>
      </c>
      <c r="K122" s="277" t="str">
        <f>STDLIGHTINEFCAT2[[#This Row],[Match]]&amp;"_"&amp;STDLIGHTINEFCAT2[[#This Row],[Options]]</f>
        <v>HID_PG &gt;210_400W Mogul Base</v>
      </c>
      <c r="L122" s="275" t="s">
        <v>1891</v>
      </c>
      <c r="M122" s="277">
        <v>400</v>
      </c>
      <c r="N122" s="277">
        <v>457</v>
      </c>
      <c r="O122">
        <v>120</v>
      </c>
    </row>
    <row r="123" spans="9:15">
      <c r="I123" t="s">
        <v>2494</v>
      </c>
      <c r="J123" s="31" t="str">
        <f>"HID_"&amp;STDLIGHTINEFCAT2[[#This Row],[Ineff DropDown 2]]</f>
        <v>HID_PG &gt;210</v>
      </c>
      <c r="K123" s="277" t="str">
        <f>STDLIGHTINEFCAT2[[#This Row],[Match]]&amp;"_"&amp;STDLIGHTINEFCAT2[[#This Row],[Options]]</f>
        <v>HID_PG &gt;210_600W Mogul Base</v>
      </c>
      <c r="L123" s="277" t="s">
        <v>1892</v>
      </c>
      <c r="M123" s="277">
        <v>600</v>
      </c>
      <c r="N123" s="277">
        <v>665</v>
      </c>
      <c r="O123">
        <v>121</v>
      </c>
    </row>
    <row r="124" spans="9:15">
      <c r="I124" t="s">
        <v>2494</v>
      </c>
      <c r="J124" s="31" t="str">
        <f>"HID_"&amp;STDLIGHTINEFCAT2[[#This Row],[Ineff DropDown 2]]</f>
        <v>HID_PG &gt;210</v>
      </c>
      <c r="K124" s="277" t="str">
        <f>STDLIGHTINEFCAT2[[#This Row],[Match]]&amp;"_"&amp;STDLIGHTINEFCAT2[[#This Row],[Options]]</f>
        <v>HID_PG &gt;210_750W Mogul Base</v>
      </c>
      <c r="L124" s="275" t="s">
        <v>1893</v>
      </c>
      <c r="M124" s="277">
        <v>750</v>
      </c>
      <c r="N124" s="277">
        <v>840</v>
      </c>
      <c r="O124">
        <v>122</v>
      </c>
    </row>
    <row r="125" spans="9:15">
      <c r="I125" t="s">
        <v>2494</v>
      </c>
      <c r="J125" s="31" t="str">
        <f>"HID_"&amp;STDLIGHTINEFCAT2[[#This Row],[Ineff DropDown 2]]</f>
        <v>HID_PG &gt;210</v>
      </c>
      <c r="K125" s="277" t="str">
        <f>STDLIGHTINEFCAT2[[#This Row],[Match]]&amp;"_"&amp;STDLIGHTINEFCAT2[[#This Row],[Options]]</f>
        <v>HID_PG &gt;210_1,000W Mogul Base</v>
      </c>
      <c r="L125" s="275" t="s">
        <v>1964</v>
      </c>
      <c r="M125" s="277">
        <v>1000</v>
      </c>
      <c r="N125" s="277">
        <v>1100</v>
      </c>
      <c r="O125">
        <v>123</v>
      </c>
    </row>
    <row r="126" spans="9:15">
      <c r="I126" s="31" t="s">
        <v>2495</v>
      </c>
      <c r="J126" s="31" t="str">
        <f>"HID_"&amp;STDLIGHTINEFCAT2[[#This Row],[Ineff DropDown 2]]</f>
        <v>HID_PG 131-210</v>
      </c>
      <c r="K126" s="277" t="str">
        <f>STDLIGHTINEFCAT2[[#This Row],[Match]]&amp;"_"&amp;STDLIGHTINEFCAT2[[#This Row],[Options]]</f>
        <v>HID_PG 131-210_--Metal Halide--</v>
      </c>
      <c r="L126" s="285" t="s">
        <v>1887</v>
      </c>
      <c r="M126" s="281"/>
      <c r="N126" s="277"/>
      <c r="O126">
        <v>124</v>
      </c>
    </row>
    <row r="127" spans="9:15">
      <c r="I127" s="31" t="s">
        <v>2495</v>
      </c>
      <c r="J127" s="31" t="str">
        <f>"HID_"&amp;STDLIGHTINEFCAT2[[#This Row],[Ineff DropDown 2]]</f>
        <v>HID_PG 131-210</v>
      </c>
      <c r="K127" s="277" t="str">
        <f>STDLIGHTINEFCAT2[[#This Row],[Match]]&amp;"_"&amp;STDLIGHTINEFCAT2[[#This Row],[Options]]</f>
        <v>HID_PG 131-210_150W Med Base</v>
      </c>
      <c r="L127" s="275" t="s">
        <v>2122</v>
      </c>
      <c r="M127" s="277">
        <v>150</v>
      </c>
      <c r="N127" s="277">
        <v>173</v>
      </c>
      <c r="O127">
        <v>125</v>
      </c>
    </row>
    <row r="128" spans="9:15">
      <c r="I128" s="31" t="s">
        <v>2495</v>
      </c>
      <c r="J128" s="31" t="str">
        <f>"HID_"&amp;STDLIGHTINEFCAT2[[#This Row],[Ineff DropDown 2]]</f>
        <v>HID_PG 131-210</v>
      </c>
      <c r="K128" s="277" t="str">
        <f>STDLIGHTINEFCAT2[[#This Row],[Match]]&amp;"_"&amp;STDLIGHTINEFCAT2[[#This Row],[Options]]</f>
        <v>HID_PG 131-210_150W Double Ended</v>
      </c>
      <c r="L128" s="277" t="s">
        <v>1884</v>
      </c>
      <c r="M128" s="277">
        <v>150</v>
      </c>
      <c r="N128" s="277">
        <v>185</v>
      </c>
      <c r="O128">
        <v>126</v>
      </c>
    </row>
    <row r="129" spans="9:16">
      <c r="I129" s="31" t="s">
        <v>2495</v>
      </c>
      <c r="J129" s="31" t="str">
        <f>"HID_"&amp;STDLIGHTINEFCAT2[[#This Row],[Ineff DropDown 2]]</f>
        <v>HID_PG 131-210</v>
      </c>
      <c r="K129" s="277" t="str">
        <f>STDLIGHTINEFCAT2[[#This Row],[Match]]&amp;"_"&amp;STDLIGHTINEFCAT2[[#This Row],[Options]]</f>
        <v>HID_PG 131-210_175W Mogul Base</v>
      </c>
      <c r="L129" s="275" t="s">
        <v>1881</v>
      </c>
      <c r="M129" s="277">
        <v>175</v>
      </c>
      <c r="N129" s="277">
        <v>210</v>
      </c>
      <c r="O129">
        <v>127</v>
      </c>
    </row>
    <row r="130" spans="9:16">
      <c r="I130" s="31" t="s">
        <v>2495</v>
      </c>
      <c r="J130" s="31" t="str">
        <f>"HID_"&amp;STDLIGHTINEFCAT2[[#This Row],[Ineff DropDown 2]]</f>
        <v>HID_PG 131-210</v>
      </c>
      <c r="K130" s="277" t="str">
        <f>STDLIGHTINEFCAT2[[#This Row],[Match]]&amp;"_"&amp;STDLIGHTINEFCAT2[[#This Row],[Options]]</f>
        <v>HID_PG 131-210_--Mercury Vapor--</v>
      </c>
      <c r="L130" s="285" t="s">
        <v>1888</v>
      </c>
      <c r="M130" s="281"/>
      <c r="N130" s="277"/>
      <c r="O130">
        <v>128</v>
      </c>
    </row>
    <row r="131" spans="9:16">
      <c r="I131" s="31" t="s">
        <v>2495</v>
      </c>
      <c r="J131" s="31" t="str">
        <f>"HID_"&amp;STDLIGHTINEFCAT2[[#This Row],[Ineff DropDown 2]]</f>
        <v>HID_PG 131-210</v>
      </c>
      <c r="K131" s="277" t="str">
        <f>STDLIGHTINEFCAT2[[#This Row],[Match]]&amp;"_"&amp;STDLIGHTINEFCAT2[[#This Row],[Options]]</f>
        <v>HID_PG 131-210_175W Med Base</v>
      </c>
      <c r="L131" s="275" t="s">
        <v>2123</v>
      </c>
      <c r="M131" s="277">
        <v>175</v>
      </c>
      <c r="N131" s="277">
        <v>205</v>
      </c>
      <c r="O131">
        <v>129</v>
      </c>
    </row>
    <row r="132" spans="9:16">
      <c r="I132" s="31" t="s">
        <v>2495</v>
      </c>
      <c r="J132" s="31" t="str">
        <f>"HID_"&amp;STDLIGHTINEFCAT2[[#This Row],[Ineff DropDown 2]]</f>
        <v>HID_PG 131-210</v>
      </c>
      <c r="K132" s="277" t="str">
        <f>STDLIGHTINEFCAT2[[#This Row],[Match]]&amp;"_"&amp;STDLIGHTINEFCAT2[[#This Row],[Options]]</f>
        <v>HID_PG 131-210_175W Mogul Base</v>
      </c>
      <c r="L132" s="275" t="s">
        <v>1881</v>
      </c>
      <c r="M132" s="277">
        <v>175</v>
      </c>
      <c r="N132" s="277">
        <v>205</v>
      </c>
      <c r="O132">
        <v>130</v>
      </c>
    </row>
    <row r="133" spans="9:16">
      <c r="I133" s="31" t="s">
        <v>2495</v>
      </c>
      <c r="J133" s="31" t="str">
        <f>"HID_"&amp;STDLIGHTINEFCAT2[[#This Row],[Ineff DropDown 2]]</f>
        <v>HID_PG 131-210</v>
      </c>
      <c r="K133" s="277" t="str">
        <f>STDLIGHTINEFCAT2[[#This Row],[Match]]&amp;"_"&amp;STDLIGHTINEFCAT2[[#This Row],[Options]]</f>
        <v>HID_PG 131-210_--High Pres. Sodium--</v>
      </c>
      <c r="L133" s="285" t="s">
        <v>1889</v>
      </c>
      <c r="M133" s="281"/>
      <c r="N133" s="277"/>
      <c r="O133">
        <v>131</v>
      </c>
    </row>
    <row r="134" spans="9:16">
      <c r="I134" s="31" t="s">
        <v>2495</v>
      </c>
      <c r="J134" s="31" t="str">
        <f>"HID_"&amp;STDLIGHTINEFCAT2[[#This Row],[Ineff DropDown 2]]</f>
        <v>HID_PG 131-210</v>
      </c>
      <c r="K134" s="277" t="str">
        <f>STDLIGHTINEFCAT2[[#This Row],[Match]]&amp;"_"&amp;STDLIGHTINEFCAT2[[#This Row],[Options]]</f>
        <v>HID_PG 131-210_150W Med Base</v>
      </c>
      <c r="L134" s="275" t="s">
        <v>2122</v>
      </c>
      <c r="M134" s="277">
        <v>150</v>
      </c>
      <c r="N134" s="277">
        <v>188</v>
      </c>
      <c r="O134">
        <v>132</v>
      </c>
    </row>
    <row r="135" spans="9:16">
      <c r="I135" s="31" t="s">
        <v>2495</v>
      </c>
      <c r="J135" s="31" t="str">
        <f>"HID_"&amp;STDLIGHTINEFCAT2[[#This Row],[Ineff DropDown 2]]</f>
        <v>HID_PG 131-210</v>
      </c>
      <c r="K135" s="273" t="str">
        <f>STDLIGHTINEFCAT2[[#This Row],[Match]]&amp;"_"&amp;STDLIGHTINEFCAT2[[#This Row],[Options]]</f>
        <v>HID_PG 131-210_150W Mogul Base</v>
      </c>
      <c r="L135" s="277" t="s">
        <v>1885</v>
      </c>
      <c r="M135" s="277">
        <v>150</v>
      </c>
      <c r="N135" s="273">
        <v>188</v>
      </c>
      <c r="O135">
        <v>133</v>
      </c>
      <c r="P135" s="227"/>
    </row>
    <row r="136" spans="9:16">
      <c r="I136" s="277" t="s">
        <v>1910</v>
      </c>
      <c r="J136" s="31" t="str">
        <f>"Incand./CFL_"&amp;STDLIGHTINEFCAT2[[#This Row],[Ineff DropDown 2]]</f>
        <v>Incand./CFL_Incand_CFL</v>
      </c>
      <c r="K136" s="273" t="str">
        <f>STDLIGHTINEFCAT2[[#This Row],[Match]]&amp;"_"&amp;STDLIGHTINEFCAT2[[#This Row],[Options]]</f>
        <v>Incand./CFL_Incand_CFL_Incandescent</v>
      </c>
      <c r="L136" s="277" t="s">
        <v>2542</v>
      </c>
      <c r="M136" s="273"/>
      <c r="N136" s="273"/>
      <c r="O136">
        <v>134</v>
      </c>
      <c r="P136" s="227"/>
    </row>
    <row r="137" spans="9:16">
      <c r="I137" s="277" t="s">
        <v>1910</v>
      </c>
      <c r="J137" s="31" t="str">
        <f>"Incand./CFL_"&amp;STDLIGHTINEFCAT2[[#This Row],[Ineff DropDown 2]]</f>
        <v>Incand./CFL_Incand_CFL</v>
      </c>
      <c r="K137" s="361" t="str">
        <f>STDLIGHTINEFCAT2[[#This Row],[Match]]&amp;"_"&amp;STDLIGHTINEFCAT2[[#This Row],[Options]]</f>
        <v>Incand./CFL_Incand_CFL_CFL</v>
      </c>
      <c r="L137" s="361" t="s">
        <v>570</v>
      </c>
      <c r="M137" s="277"/>
      <c r="N137" s="361"/>
      <c r="O137">
        <v>135</v>
      </c>
      <c r="P137" s="227"/>
    </row>
    <row r="138" spans="9:16">
      <c r="I138" s="31" t="s">
        <v>1877</v>
      </c>
      <c r="J138" s="31" t="str">
        <f>STDLIGHTINEFCAT2[[#This Row],[Ineff DropDown 2]]&amp;"_"&amp;STDLIGHTINEFCAT2[[#This Row],[Ineff DropDown 2]]</f>
        <v>MR-16_MR-16</v>
      </c>
      <c r="K138" s="273" t="str">
        <f>STDLIGHTINEFCAT2[[#This Row],[Match]]&amp;"_"&amp;STDLIGHTINEFCAT2[[#This Row],[Options]]</f>
        <v>MR-16_MR-16_MR-16</v>
      </c>
      <c r="L138" s="278" t="s">
        <v>1877</v>
      </c>
      <c r="M138" s="31"/>
      <c r="N138" s="273"/>
      <c r="O138">
        <v>136</v>
      </c>
      <c r="P138" s="227"/>
    </row>
    <row r="139" spans="9:16">
      <c r="I139" s="31" t="s">
        <v>1879</v>
      </c>
      <c r="J139" s="31" t="str">
        <f>STDLIGHTINEFCAT2[[#This Row],[Ineff DropDown 2]]&amp;"_"&amp;STDLIGHTINEFCAT2[[#This Row],[Ineff DropDown 2]]</f>
        <v>PAR_PAR</v>
      </c>
      <c r="K139" s="273" t="str">
        <f>STDLIGHTINEFCAT2[[#This Row],[Match]]&amp;"_"&amp;STDLIGHTINEFCAT2[[#This Row],[Options]]</f>
        <v>PAR_PAR_PAR</v>
      </c>
      <c r="L139" s="277" t="s">
        <v>1879</v>
      </c>
      <c r="M139" s="273"/>
      <c r="N139" s="273"/>
      <c r="O139">
        <v>137</v>
      </c>
      <c r="P139" s="227"/>
    </row>
    <row r="140" spans="9:16">
      <c r="I140" s="31" t="s">
        <v>1925</v>
      </c>
      <c r="J140" s="31" t="s">
        <v>1946</v>
      </c>
      <c r="K140" s="273" t="str">
        <f>STDLIGHTINEFCAT2[[#This Row],[Match]]&amp;"_"&amp;STDLIGHTINEFCAT2[[#This Row],[Options]]</f>
        <v>T12_2ft_Lamp_T12 2' 20W</v>
      </c>
      <c r="L140" s="277" t="s">
        <v>1862</v>
      </c>
      <c r="M140" s="273">
        <v>20</v>
      </c>
      <c r="N140" s="273">
        <v>20</v>
      </c>
      <c r="O140">
        <v>138</v>
      </c>
      <c r="P140" s="227"/>
    </row>
    <row r="141" spans="9:16">
      <c r="I141" s="31" t="s">
        <v>1925</v>
      </c>
      <c r="J141" s="31" t="s">
        <v>1946</v>
      </c>
      <c r="K141" s="273" t="str">
        <f>STDLIGHTINEFCAT2[[#This Row],[Match]]&amp;"_"&amp;STDLIGHTINEFCAT2[[#This Row],[Options]]</f>
        <v>T12_2ft_Lamp_T12 2' 35W</v>
      </c>
      <c r="L141" s="277" t="s">
        <v>1924</v>
      </c>
      <c r="M141" s="273">
        <v>35</v>
      </c>
      <c r="N141" s="273">
        <v>35</v>
      </c>
      <c r="O141">
        <v>139</v>
      </c>
      <c r="P141" s="227"/>
    </row>
    <row r="142" spans="9:16">
      <c r="I142" s="31" t="s">
        <v>2492</v>
      </c>
      <c r="J142" s="31" t="str">
        <f>"T12_"&amp;STDLIGHTINEFCAT2[[#This Row],[Ineff DropDown 2]]</f>
        <v>T12_301-500</v>
      </c>
      <c r="K142" s="273" t="str">
        <f>STDLIGHTINEFCAT2[[#This Row],[Match]]&amp;"_"&amp;STDLIGHTINEFCAT2[[#This Row],[Options]]</f>
        <v>T12_301-500_2L T12 8' 215W</v>
      </c>
      <c r="L142" s="282" t="s">
        <v>2047</v>
      </c>
      <c r="M142" s="272">
        <f>2*215</f>
        <v>430</v>
      </c>
      <c r="N142" s="316">
        <v>320</v>
      </c>
      <c r="O142">
        <v>140</v>
      </c>
      <c r="P142" s="227"/>
    </row>
    <row r="143" spans="9:16">
      <c r="I143" s="31" t="s">
        <v>1926</v>
      </c>
      <c r="J143" s="31" t="s">
        <v>1952</v>
      </c>
      <c r="K143" s="272" t="str">
        <f>STDLIGHTINEFCAT2[[#This Row],[Match]]&amp;"_"&amp;STDLIGHTINEFCAT2[[#This Row],[Options]]</f>
        <v>T12_4ft_Lamp_T12 4' 30W</v>
      </c>
      <c r="L143" s="297" t="s">
        <v>1863</v>
      </c>
      <c r="M143" s="273">
        <v>30</v>
      </c>
      <c r="N143" s="273">
        <v>30</v>
      </c>
      <c r="O143">
        <v>141</v>
      </c>
    </row>
    <row r="144" spans="9:16">
      <c r="I144" s="31" t="s">
        <v>1926</v>
      </c>
      <c r="J144" s="31" t="s">
        <v>1952</v>
      </c>
      <c r="K144" s="272" t="str">
        <f>STDLIGHTINEFCAT2[[#This Row],[Match]]&amp;"_"&amp;STDLIGHTINEFCAT2[[#This Row],[Options]]</f>
        <v>T12_4ft_Lamp_T12 4' 34W</v>
      </c>
      <c r="L144" s="282" t="s">
        <v>1864</v>
      </c>
      <c r="M144" s="273">
        <v>34</v>
      </c>
      <c r="N144" s="273">
        <v>34</v>
      </c>
      <c r="O144">
        <v>142</v>
      </c>
    </row>
    <row r="145" spans="9:16">
      <c r="I145" s="31" t="s">
        <v>1926</v>
      </c>
      <c r="J145" s="31" t="s">
        <v>1952</v>
      </c>
      <c r="K145" s="272" t="str">
        <f>STDLIGHTINEFCAT2[[#This Row],[Match]]&amp;"_"&amp;STDLIGHTINEFCAT2[[#This Row],[Options]]</f>
        <v>T12_4ft_Lamp_T12 4' 40W</v>
      </c>
      <c r="L145" s="297" t="s">
        <v>1865</v>
      </c>
      <c r="M145" s="273">
        <v>40</v>
      </c>
      <c r="N145" s="273">
        <v>40</v>
      </c>
      <c r="O145">
        <v>143</v>
      </c>
    </row>
    <row r="146" spans="9:16">
      <c r="I146" s="31" t="s">
        <v>1926</v>
      </c>
      <c r="J146" s="31" t="s">
        <v>1952</v>
      </c>
      <c r="K146" s="272" t="str">
        <f>STDLIGHTINEFCAT2[[#This Row],[Match]]&amp;"_"&amp;STDLIGHTINEFCAT2[[#This Row],[Options]]</f>
        <v>T12_4ft_Lamp_T12 4' 60W</v>
      </c>
      <c r="L146" s="282" t="s">
        <v>1915</v>
      </c>
      <c r="M146" s="273">
        <v>60</v>
      </c>
      <c r="N146" s="273">
        <v>60</v>
      </c>
      <c r="O146">
        <v>144</v>
      </c>
    </row>
    <row r="147" spans="9:16">
      <c r="I147" s="31" t="s">
        <v>1926</v>
      </c>
      <c r="J147" s="31" t="s">
        <v>1952</v>
      </c>
      <c r="K147" s="272" t="str">
        <f>STDLIGHTINEFCAT2[[#This Row],[Match]]&amp;"_"&amp;STDLIGHTINEFCAT2[[#This Row],[Options]]</f>
        <v>T12_4ft_Lamp_T12 4' 116W</v>
      </c>
      <c r="L147" s="297" t="s">
        <v>1916</v>
      </c>
      <c r="M147" s="273">
        <v>116</v>
      </c>
      <c r="N147" s="273">
        <v>116</v>
      </c>
      <c r="O147">
        <v>145</v>
      </c>
    </row>
    <row r="148" spans="9:16">
      <c r="I148" s="31" t="s">
        <v>1927</v>
      </c>
      <c r="J148" s="31" t="s">
        <v>1958</v>
      </c>
      <c r="K148" s="273" t="str">
        <f>STDLIGHTINEFCAT2[[#This Row],[Match]]&amp;"_"&amp;STDLIGHTINEFCAT2[[#This Row],[Options]]</f>
        <v>T12_8ft_Lamp_T12 8' 60W</v>
      </c>
      <c r="L148" s="297" t="s">
        <v>1866</v>
      </c>
      <c r="M148" s="273">
        <v>60</v>
      </c>
      <c r="N148" s="273">
        <v>60</v>
      </c>
      <c r="O148">
        <v>146</v>
      </c>
    </row>
    <row r="149" spans="9:16">
      <c r="I149" s="31" t="s">
        <v>1927</v>
      </c>
      <c r="J149" s="31" t="s">
        <v>1958</v>
      </c>
      <c r="K149" s="273" t="str">
        <f>STDLIGHTINEFCAT2[[#This Row],[Match]]&amp;"_"&amp;STDLIGHTINEFCAT2[[#This Row],[Options]]</f>
        <v>T12_8ft_Lamp_T12 8' 75W</v>
      </c>
      <c r="L149" s="297" t="s">
        <v>1867</v>
      </c>
      <c r="M149" s="273">
        <v>75</v>
      </c>
      <c r="N149" s="273">
        <v>75</v>
      </c>
      <c r="O149">
        <v>147</v>
      </c>
    </row>
    <row r="150" spans="9:16">
      <c r="I150" s="31" t="s">
        <v>1927</v>
      </c>
      <c r="J150" s="31" t="s">
        <v>1958</v>
      </c>
      <c r="K150" s="273" t="str">
        <f>STDLIGHTINEFCAT2[[#This Row],[Match]]&amp;"_"&amp;STDLIGHTINEFCAT2[[#This Row],[Options]]</f>
        <v>T12_8ft_Lamp_T12 8' 95W</v>
      </c>
      <c r="L150" s="282" t="s">
        <v>1917</v>
      </c>
      <c r="M150" s="273">
        <v>95</v>
      </c>
      <c r="N150" s="273">
        <v>95</v>
      </c>
      <c r="O150">
        <v>148</v>
      </c>
    </row>
    <row r="151" spans="9:16">
      <c r="I151" s="31" t="s">
        <v>1927</v>
      </c>
      <c r="J151" s="31" t="s">
        <v>1958</v>
      </c>
      <c r="K151" s="273" t="str">
        <f>STDLIGHTINEFCAT2[[#This Row],[Match]]&amp;"_"&amp;STDLIGHTINEFCAT2[[#This Row],[Options]]</f>
        <v>T12_8ft_Lamp_T12 8' 110W</v>
      </c>
      <c r="L151" s="282" t="s">
        <v>1918</v>
      </c>
      <c r="M151" s="273">
        <v>110</v>
      </c>
      <c r="N151" s="273">
        <v>110</v>
      </c>
      <c r="O151">
        <v>149</v>
      </c>
    </row>
    <row r="152" spans="9:16">
      <c r="I152" s="31" t="s">
        <v>1927</v>
      </c>
      <c r="J152" s="31" t="s">
        <v>1958</v>
      </c>
      <c r="K152" s="273" t="str">
        <f>STDLIGHTINEFCAT2[[#This Row],[Match]]&amp;"_"&amp;STDLIGHTINEFCAT2[[#This Row],[Options]]</f>
        <v>T12_8ft_Lamp_T12 8' 185W</v>
      </c>
      <c r="L152" s="297" t="s">
        <v>1919</v>
      </c>
      <c r="M152" s="273">
        <v>185</v>
      </c>
      <c r="N152" s="273">
        <v>185</v>
      </c>
      <c r="O152">
        <v>150</v>
      </c>
      <c r="P152" s="229"/>
    </row>
    <row r="153" spans="9:16">
      <c r="I153" s="31" t="s">
        <v>1927</v>
      </c>
      <c r="J153" s="31" t="s">
        <v>1958</v>
      </c>
      <c r="K153" s="273" t="str">
        <f>STDLIGHTINEFCAT2[[#This Row],[Match]]&amp;"_"&amp;STDLIGHTINEFCAT2[[#This Row],[Options]]</f>
        <v>T12_8ft_Lamp_T12 8' 215W</v>
      </c>
      <c r="L153" s="282" t="s">
        <v>1920</v>
      </c>
      <c r="M153" s="273">
        <v>215</v>
      </c>
      <c r="N153" s="273">
        <v>215</v>
      </c>
      <c r="O153">
        <v>151</v>
      </c>
    </row>
    <row r="154" spans="9:16">
      <c r="I154" s="31" t="s">
        <v>2488</v>
      </c>
      <c r="J154" s="31" t="str">
        <f>"T12_"&amp;STDLIGHTINEFCAT2[[#This Row],[Ineff DropDown 2]]</f>
        <v>T12_Ext  &gt;500</v>
      </c>
      <c r="K154" s="273" t="str">
        <f>STDLIGHTINEFCAT2[[#This Row],[Match]]&amp;"_"&amp;STDLIGHTINEFCAT2[[#This Row],[Options]]</f>
        <v>T12_Ext  &gt;500_----8 ft Lamps----</v>
      </c>
      <c r="L154" s="285" t="s">
        <v>2056</v>
      </c>
      <c r="M154" s="274"/>
      <c r="N154" s="277"/>
      <c r="O154">
        <v>152</v>
      </c>
    </row>
    <row r="155" spans="9:16">
      <c r="I155" s="31" t="s">
        <v>2488</v>
      </c>
      <c r="J155" s="31" t="str">
        <f>"T12_"&amp;STDLIGHTINEFCAT2[[#This Row],[Ineff DropDown 2]]</f>
        <v>T12_Ext  &gt;500</v>
      </c>
      <c r="K155" s="273" t="str">
        <f>STDLIGHTINEFCAT2[[#This Row],[Match]]&amp;"_"&amp;STDLIGHTINEFCAT2[[#This Row],[Options]]</f>
        <v>T12_Ext  &gt;500_3L T12 8' 185W</v>
      </c>
      <c r="L155" s="280" t="s">
        <v>2045</v>
      </c>
      <c r="M155" s="273">
        <f>3*185</f>
        <v>555</v>
      </c>
      <c r="N155" s="273">
        <v>550</v>
      </c>
      <c r="O155">
        <v>153</v>
      </c>
      <c r="P155" s="229"/>
    </row>
    <row r="156" spans="9:16">
      <c r="I156" s="31" t="s">
        <v>2488</v>
      </c>
      <c r="J156" s="31" t="str">
        <f>"T12_"&amp;STDLIGHTINEFCAT2[[#This Row],[Ineff DropDown 2]]</f>
        <v>T12_Ext  &gt;500</v>
      </c>
      <c r="K156" s="277" t="str">
        <f>STDLIGHTINEFCAT2[[#This Row],[Match]]&amp;"_"&amp;STDLIGHTINEFCAT2[[#This Row],[Options]]</f>
        <v>T12_Ext  &gt;500_3L T12 8' 215W</v>
      </c>
      <c r="L156" s="362" t="s">
        <v>2048</v>
      </c>
      <c r="M156" s="362">
        <f>3*215</f>
        <v>645</v>
      </c>
      <c r="N156" s="358">
        <v>518</v>
      </c>
      <c r="O156">
        <v>154</v>
      </c>
      <c r="P156" s="227"/>
    </row>
    <row r="157" spans="9:16">
      <c r="I157" s="31" t="s">
        <v>2489</v>
      </c>
      <c r="J157" s="31" t="str">
        <f>"T12_"&amp;STDLIGHTINEFCAT2[[#This Row],[Ineff DropDown 2]]</f>
        <v>T12_Ext ≤210</v>
      </c>
      <c r="K157" s="277" t="str">
        <f>STDLIGHTINEFCAT2[[#This Row],[Match]]&amp;"_"&amp;STDLIGHTINEFCAT2[[#This Row],[Options]]</f>
        <v>T12_Ext ≤210_----2 ft Lamps----</v>
      </c>
      <c r="L157" s="281" t="s">
        <v>2050</v>
      </c>
      <c r="M157" s="357"/>
      <c r="N157" s="277"/>
      <c r="O157">
        <v>155</v>
      </c>
    </row>
    <row r="158" spans="9:16">
      <c r="I158" s="31" t="s">
        <v>2489</v>
      </c>
      <c r="J158" s="31" t="str">
        <f>"T12_"&amp;STDLIGHTINEFCAT2[[#This Row],[Ineff DropDown 2]]</f>
        <v>T12_Ext ≤210</v>
      </c>
      <c r="K158" s="277" t="str">
        <f>STDLIGHTINEFCAT2[[#This Row],[Match]]&amp;"_"&amp;STDLIGHTINEFCAT2[[#This Row],[Options]]</f>
        <v>T12_Ext ≤210_1L T12 2' 20W</v>
      </c>
      <c r="L158" s="280" t="s">
        <v>1971</v>
      </c>
      <c r="M158" s="280">
        <v>20</v>
      </c>
      <c r="N158" s="277">
        <v>21</v>
      </c>
      <c r="O158">
        <v>156</v>
      </c>
      <c r="P158" s="227"/>
    </row>
    <row r="159" spans="9:16">
      <c r="I159" s="31" t="s">
        <v>2489</v>
      </c>
      <c r="J159" s="31" t="str">
        <f>"T12_"&amp;STDLIGHTINEFCAT2[[#This Row],[Ineff DropDown 2]]</f>
        <v>T12_Ext ≤210</v>
      </c>
      <c r="K159" s="277" t="str">
        <f>STDLIGHTINEFCAT2[[#This Row],[Match]]&amp;"_"&amp;STDLIGHTINEFCAT2[[#This Row],[Options]]</f>
        <v>T12_Ext ≤210_2L T12 2' 20W</v>
      </c>
      <c r="L159" s="277" t="s">
        <v>1972</v>
      </c>
      <c r="M159" s="280">
        <v>40</v>
      </c>
      <c r="N159" s="277">
        <v>53</v>
      </c>
      <c r="O159">
        <v>157</v>
      </c>
      <c r="P159" s="227"/>
    </row>
    <row r="160" spans="9:16">
      <c r="I160" s="31" t="s">
        <v>2489</v>
      </c>
      <c r="J160" s="31" t="str">
        <f>"T12_"&amp;STDLIGHTINEFCAT2[[#This Row],[Ineff DropDown 2]]</f>
        <v>T12_Ext ≤210</v>
      </c>
      <c r="K160" s="277" t="str">
        <f>STDLIGHTINEFCAT2[[#This Row],[Match]]&amp;"_"&amp;STDLIGHTINEFCAT2[[#This Row],[Options]]</f>
        <v>T12_Ext ≤210_3L T12 2' 20W</v>
      </c>
      <c r="L160" s="277" t="s">
        <v>1973</v>
      </c>
      <c r="M160" s="277">
        <v>60</v>
      </c>
      <c r="N160" s="277">
        <v>64</v>
      </c>
      <c r="O160">
        <v>158</v>
      </c>
      <c r="P160" s="227"/>
    </row>
    <row r="161" spans="9:16">
      <c r="I161" s="31" t="s">
        <v>2489</v>
      </c>
      <c r="J161" s="31" t="str">
        <f>"T12_"&amp;STDLIGHTINEFCAT2[[#This Row],[Ineff DropDown 2]]</f>
        <v>T12_Ext ≤210</v>
      </c>
      <c r="K161" s="277" t="str">
        <f>STDLIGHTINEFCAT2[[#This Row],[Match]]&amp;"_"&amp;STDLIGHTINEFCAT2[[#This Row],[Options]]</f>
        <v>T12_Ext ≤210_4L T12 2' 20W</v>
      </c>
      <c r="L161" s="277" t="s">
        <v>1974</v>
      </c>
      <c r="M161" s="277">
        <v>80</v>
      </c>
      <c r="N161" s="277">
        <v>91</v>
      </c>
      <c r="O161">
        <v>159</v>
      </c>
      <c r="P161" s="227"/>
    </row>
    <row r="162" spans="9:16">
      <c r="I162" s="31" t="s">
        <v>2489</v>
      </c>
      <c r="J162" s="31" t="str">
        <f>"T12_"&amp;STDLIGHTINEFCAT2[[#This Row],[Ineff DropDown 2]]</f>
        <v>T12_Ext ≤210</v>
      </c>
      <c r="K162" s="277" t="str">
        <f>STDLIGHTINEFCAT2[[#This Row],[Match]]&amp;"_"&amp;STDLIGHTINEFCAT2[[#This Row],[Options]]</f>
        <v>T12_Ext ≤210_1L T12 2' 35W</v>
      </c>
      <c r="L162" s="277" t="s">
        <v>1975</v>
      </c>
      <c r="M162" s="277">
        <v>35</v>
      </c>
      <c r="N162" s="277">
        <v>64</v>
      </c>
      <c r="O162">
        <v>160</v>
      </c>
      <c r="P162" s="227"/>
    </row>
    <row r="163" spans="9:16">
      <c r="I163" s="31" t="s">
        <v>2489</v>
      </c>
      <c r="J163" s="31" t="str">
        <f>"T12_"&amp;STDLIGHTINEFCAT2[[#This Row],[Ineff DropDown 2]]</f>
        <v>T12_Ext ≤210</v>
      </c>
      <c r="K163" s="277" t="str">
        <f>STDLIGHTINEFCAT2[[#This Row],[Match]]&amp;"_"&amp;STDLIGHTINEFCAT2[[#This Row],[Options]]</f>
        <v>T12_Ext ≤210_2L T12 2' 35W</v>
      </c>
      <c r="L163" s="277" t="s">
        <v>1976</v>
      </c>
      <c r="M163" s="277">
        <v>70</v>
      </c>
      <c r="N163" s="277">
        <v>95</v>
      </c>
      <c r="O163">
        <v>161</v>
      </c>
      <c r="P163" s="227"/>
    </row>
    <row r="164" spans="9:16">
      <c r="I164" s="31" t="s">
        <v>2489</v>
      </c>
      <c r="J164" s="31" t="str">
        <f>"T12_"&amp;STDLIGHTINEFCAT2[[#This Row],[Ineff DropDown 2]]</f>
        <v>T12_Ext ≤210</v>
      </c>
      <c r="K164" s="277" t="str">
        <f>STDLIGHTINEFCAT2[[#This Row],[Match]]&amp;"_"&amp;STDLIGHTINEFCAT2[[#This Row],[Options]]</f>
        <v>T12_Ext ≤210_3L T12 2' 35W</v>
      </c>
      <c r="L164" s="277" t="s">
        <v>1977</v>
      </c>
      <c r="M164" s="277">
        <v>105</v>
      </c>
      <c r="N164" s="277">
        <v>148</v>
      </c>
      <c r="O164">
        <v>162</v>
      </c>
    </row>
    <row r="165" spans="9:16">
      <c r="I165" s="31" t="s">
        <v>2489</v>
      </c>
      <c r="J165" s="31" t="str">
        <f>"T12_"&amp;STDLIGHTINEFCAT2[[#This Row],[Ineff DropDown 2]]</f>
        <v>T12_Ext ≤210</v>
      </c>
      <c r="K165" s="277" t="str">
        <f>STDLIGHTINEFCAT2[[#This Row],[Match]]&amp;"_"&amp;STDLIGHTINEFCAT2[[#This Row],[Options]]</f>
        <v>T12_Ext ≤210_4L T12 2' 35W</v>
      </c>
      <c r="L165" s="277" t="s">
        <v>1978</v>
      </c>
      <c r="M165" s="277">
        <f>4*35</f>
        <v>140</v>
      </c>
      <c r="N165" s="277">
        <v>183</v>
      </c>
      <c r="O165">
        <v>163</v>
      </c>
    </row>
    <row r="166" spans="9:16">
      <c r="I166" s="31" t="s">
        <v>2489</v>
      </c>
      <c r="J166" s="31" t="str">
        <f>"T12_"&amp;STDLIGHTINEFCAT2[[#This Row],[Ineff DropDown 2]]</f>
        <v>T12_Ext ≤210</v>
      </c>
      <c r="K166" s="277" t="str">
        <f>STDLIGHTINEFCAT2[[#This Row],[Match]]&amp;"_"&amp;STDLIGHTINEFCAT2[[#This Row],[Options]]</f>
        <v>T12_Ext ≤210_----3 ft Lamps----</v>
      </c>
      <c r="L166" s="281" t="s">
        <v>2051</v>
      </c>
      <c r="M166" s="281"/>
      <c r="N166" s="277"/>
      <c r="O166">
        <v>164</v>
      </c>
    </row>
    <row r="167" spans="9:16">
      <c r="I167" s="31" t="s">
        <v>2489</v>
      </c>
      <c r="J167" s="31" t="str">
        <f>"T12_"&amp;STDLIGHTINEFCAT2[[#This Row],[Ineff DropDown 2]]</f>
        <v>T12_Ext ≤210</v>
      </c>
      <c r="K167" s="277" t="str">
        <f>STDLIGHTINEFCAT2[[#This Row],[Match]]&amp;"_"&amp;STDLIGHTINEFCAT2[[#This Row],[Options]]</f>
        <v>T12_Ext ≤210_1L T12 3' 21W</v>
      </c>
      <c r="L167" s="277" t="s">
        <v>1979</v>
      </c>
      <c r="M167" s="277">
        <v>21</v>
      </c>
      <c r="N167" s="277">
        <v>25</v>
      </c>
      <c r="O167">
        <v>165</v>
      </c>
      <c r="P167" s="227"/>
    </row>
    <row r="168" spans="9:16">
      <c r="I168" s="31" t="s">
        <v>2489</v>
      </c>
      <c r="J168" s="31" t="str">
        <f>"T12_"&amp;STDLIGHTINEFCAT2[[#This Row],[Ineff DropDown 2]]</f>
        <v>T12_Ext ≤210</v>
      </c>
      <c r="K168" s="277" t="str">
        <f>STDLIGHTINEFCAT2[[#This Row],[Match]]&amp;"_"&amp;STDLIGHTINEFCAT2[[#This Row],[Options]]</f>
        <v>T12_Ext ≤210_2L T12 3' 21W</v>
      </c>
      <c r="L168" s="277" t="s">
        <v>1980</v>
      </c>
      <c r="M168" s="277">
        <v>42</v>
      </c>
      <c r="N168" s="277">
        <v>49</v>
      </c>
      <c r="O168">
        <v>166</v>
      </c>
    </row>
    <row r="169" spans="9:16">
      <c r="I169" s="31" t="s">
        <v>2489</v>
      </c>
      <c r="J169" s="31" t="str">
        <f>"T12_"&amp;STDLIGHTINEFCAT2[[#This Row],[Ineff DropDown 2]]</f>
        <v>T12_Ext ≤210</v>
      </c>
      <c r="K169" s="277" t="str">
        <f>STDLIGHTINEFCAT2[[#This Row],[Match]]&amp;"_"&amp;STDLIGHTINEFCAT2[[#This Row],[Options]]</f>
        <v>T12_Ext ≤210_1L T12 3' 24W</v>
      </c>
      <c r="L169" s="277" t="s">
        <v>1981</v>
      </c>
      <c r="M169" s="277">
        <v>24</v>
      </c>
      <c r="N169" s="277">
        <v>45</v>
      </c>
      <c r="O169">
        <v>167</v>
      </c>
    </row>
    <row r="170" spans="9:16">
      <c r="I170" s="31" t="s">
        <v>2489</v>
      </c>
      <c r="J170" s="31" t="str">
        <f>"T12_"&amp;STDLIGHTINEFCAT2[[#This Row],[Ineff DropDown 2]]</f>
        <v>T12_Ext ≤210</v>
      </c>
      <c r="K170" s="277" t="str">
        <f>STDLIGHTINEFCAT2[[#This Row],[Match]]&amp;"_"&amp;STDLIGHTINEFCAT2[[#This Row],[Options]]</f>
        <v>T12_Ext ≤210_2L T12 3' 24W</v>
      </c>
      <c r="L170" s="277" t="s">
        <v>1982</v>
      </c>
      <c r="M170" s="277">
        <v>48</v>
      </c>
      <c r="N170" s="277">
        <v>65</v>
      </c>
      <c r="O170">
        <v>168</v>
      </c>
      <c r="P170" s="227"/>
    </row>
    <row r="171" spans="9:16">
      <c r="I171" s="31" t="s">
        <v>2489</v>
      </c>
      <c r="J171" s="31" t="str">
        <f>"T12_"&amp;STDLIGHTINEFCAT2[[#This Row],[Ineff DropDown 2]]</f>
        <v>T12_Ext ≤210</v>
      </c>
      <c r="K171" s="277" t="str">
        <f>STDLIGHTINEFCAT2[[#This Row],[Match]]&amp;"_"&amp;STDLIGHTINEFCAT2[[#This Row],[Options]]</f>
        <v>T12_Ext ≤210_1L T12 3' 25W</v>
      </c>
      <c r="L171" s="277" t="s">
        <v>1983</v>
      </c>
      <c r="M171" s="277">
        <v>25</v>
      </c>
      <c r="N171" s="277">
        <v>35</v>
      </c>
      <c r="O171">
        <v>169</v>
      </c>
    </row>
    <row r="172" spans="9:16">
      <c r="I172" s="31" t="s">
        <v>2489</v>
      </c>
      <c r="J172" s="31" t="str">
        <f>"T12_"&amp;STDLIGHTINEFCAT2[[#This Row],[Ineff DropDown 2]]</f>
        <v>T12_Ext ≤210</v>
      </c>
      <c r="K172" s="277" t="str">
        <f>STDLIGHTINEFCAT2[[#This Row],[Match]]&amp;"_"&amp;STDLIGHTINEFCAT2[[#This Row],[Options]]</f>
        <v>T12_Ext ≤210_2L T12 3' 25W</v>
      </c>
      <c r="L172" s="277" t="s">
        <v>1984</v>
      </c>
      <c r="M172" s="277">
        <v>50</v>
      </c>
      <c r="N172" s="277">
        <v>71</v>
      </c>
      <c r="O172">
        <v>170</v>
      </c>
    </row>
    <row r="173" spans="9:16">
      <c r="I173" s="31" t="s">
        <v>2489</v>
      </c>
      <c r="J173" s="31" t="str">
        <f>"T12_"&amp;STDLIGHTINEFCAT2[[#This Row],[Ineff DropDown 2]]</f>
        <v>T12_Ext ≤210</v>
      </c>
      <c r="K173" s="277" t="str">
        <f>STDLIGHTINEFCAT2[[#This Row],[Match]]&amp;"_"&amp;STDLIGHTINEFCAT2[[#This Row],[Options]]</f>
        <v>T12_Ext ≤210_3L T12 3' 25W</v>
      </c>
      <c r="L173" s="277" t="s">
        <v>1985</v>
      </c>
      <c r="M173" s="277">
        <v>75</v>
      </c>
      <c r="N173" s="277">
        <v>70</v>
      </c>
      <c r="O173">
        <v>171</v>
      </c>
    </row>
    <row r="174" spans="9:16">
      <c r="I174" s="31" t="s">
        <v>2489</v>
      </c>
      <c r="J174" s="31" t="str">
        <f>"T12_"&amp;STDLIGHTINEFCAT2[[#This Row],[Ineff DropDown 2]]</f>
        <v>T12_Ext ≤210</v>
      </c>
      <c r="K174" s="277" t="str">
        <f>STDLIGHTINEFCAT2[[#This Row],[Match]]&amp;"_"&amp;STDLIGHTINEFCAT2[[#This Row],[Options]]</f>
        <v>T12_Ext ≤210_4L T12 3' 25W</v>
      </c>
      <c r="L174" s="277" t="s">
        <v>1986</v>
      </c>
      <c r="M174" s="277">
        <v>100</v>
      </c>
      <c r="N174" s="277">
        <v>88</v>
      </c>
      <c r="O174">
        <v>172</v>
      </c>
    </row>
    <row r="175" spans="9:16">
      <c r="I175" s="31" t="s">
        <v>2489</v>
      </c>
      <c r="J175" s="31" t="str">
        <f>"T12_"&amp;STDLIGHTINEFCAT2[[#This Row],[Ineff DropDown 2]]</f>
        <v>T12_Ext ≤210</v>
      </c>
      <c r="K175" s="277" t="str">
        <f>STDLIGHTINEFCAT2[[#This Row],[Match]]&amp;"_"&amp;STDLIGHTINEFCAT2[[#This Row],[Options]]</f>
        <v>T12_Ext ≤210_1L T12 3' 30W</v>
      </c>
      <c r="L175" s="277" t="s">
        <v>1987</v>
      </c>
      <c r="M175" s="277">
        <v>30</v>
      </c>
      <c r="N175" s="277">
        <v>40</v>
      </c>
      <c r="O175">
        <v>173</v>
      </c>
    </row>
    <row r="176" spans="9:16">
      <c r="I176" s="31" t="s">
        <v>2489</v>
      </c>
      <c r="J176" s="31" t="str">
        <f>"T12_"&amp;STDLIGHTINEFCAT2[[#This Row],[Ineff DropDown 2]]</f>
        <v>T12_Ext ≤210</v>
      </c>
      <c r="K176" s="277" t="str">
        <f>STDLIGHTINEFCAT2[[#This Row],[Match]]&amp;"_"&amp;STDLIGHTINEFCAT2[[#This Row],[Options]]</f>
        <v>T12_Ext ≤210_2L T12 3' 30W</v>
      </c>
      <c r="L176" s="277" t="s">
        <v>1988</v>
      </c>
      <c r="M176" s="277">
        <v>60</v>
      </c>
      <c r="N176" s="277">
        <v>75</v>
      </c>
      <c r="O176">
        <v>174</v>
      </c>
    </row>
    <row r="177" spans="9:16">
      <c r="I177" s="31" t="s">
        <v>2489</v>
      </c>
      <c r="J177" s="31" t="str">
        <f>"T12_"&amp;STDLIGHTINEFCAT2[[#This Row],[Ineff DropDown 2]]</f>
        <v>T12_Ext ≤210</v>
      </c>
      <c r="K177" s="277" t="str">
        <f>STDLIGHTINEFCAT2[[#This Row],[Match]]&amp;"_"&amp;STDLIGHTINEFCAT2[[#This Row],[Options]]</f>
        <v>T12_Ext ≤210_3L T12 3' 30W</v>
      </c>
      <c r="L177" s="277" t="s">
        <v>1989</v>
      </c>
      <c r="M177" s="277">
        <v>90</v>
      </c>
      <c r="N177" s="277">
        <v>113</v>
      </c>
      <c r="O177">
        <v>175</v>
      </c>
    </row>
    <row r="178" spans="9:16">
      <c r="I178" s="31" t="s">
        <v>2489</v>
      </c>
      <c r="J178" s="31" t="str">
        <f>"T12_"&amp;STDLIGHTINEFCAT2[[#This Row],[Ineff DropDown 2]]</f>
        <v>T12_Ext ≤210</v>
      </c>
      <c r="K178" s="277" t="str">
        <f>STDLIGHTINEFCAT2[[#This Row],[Match]]&amp;"_"&amp;STDLIGHTINEFCAT2[[#This Row],[Options]]</f>
        <v>T12_Ext ≤210_4L T12 3' 30W</v>
      </c>
      <c r="L178" s="277" t="s">
        <v>1990</v>
      </c>
      <c r="M178" s="277">
        <v>120</v>
      </c>
      <c r="N178" s="277">
        <v>138</v>
      </c>
      <c r="O178">
        <v>176</v>
      </c>
    </row>
    <row r="179" spans="9:16">
      <c r="I179" s="31" t="s">
        <v>2489</v>
      </c>
      <c r="J179" s="31" t="str">
        <f>"T12_"&amp;STDLIGHTINEFCAT2[[#This Row],[Ineff DropDown 2]]</f>
        <v>T12_Ext ≤210</v>
      </c>
      <c r="K179" s="277" t="str">
        <f>STDLIGHTINEFCAT2[[#This Row],[Match]]&amp;"_"&amp;STDLIGHTINEFCAT2[[#This Row],[Options]]</f>
        <v>T12_Ext ≤210_1L T12 3' 50W</v>
      </c>
      <c r="L179" s="275" t="s">
        <v>1991</v>
      </c>
      <c r="M179" s="277">
        <v>50</v>
      </c>
      <c r="N179" s="277">
        <v>72</v>
      </c>
      <c r="O179">
        <v>177</v>
      </c>
    </row>
    <row r="180" spans="9:16">
      <c r="I180" s="31" t="s">
        <v>2489</v>
      </c>
      <c r="J180" s="31" t="str">
        <f>"T12_"&amp;STDLIGHTINEFCAT2[[#This Row],[Ineff DropDown 2]]</f>
        <v>T12_Ext ≤210</v>
      </c>
      <c r="K180" s="277" t="str">
        <f>STDLIGHTINEFCAT2[[#This Row],[Match]]&amp;"_"&amp;STDLIGHTINEFCAT2[[#This Row],[Options]]</f>
        <v>T12_Ext ≤210_2L T12 3' 50W</v>
      </c>
      <c r="L180" s="275" t="s">
        <v>1992</v>
      </c>
      <c r="M180" s="277">
        <v>100</v>
      </c>
      <c r="N180" s="277">
        <v>110</v>
      </c>
      <c r="O180">
        <v>178</v>
      </c>
    </row>
    <row r="181" spans="9:16">
      <c r="I181" s="31" t="s">
        <v>2489</v>
      </c>
      <c r="J181" s="31" t="str">
        <f>"T12_"&amp;STDLIGHTINEFCAT2[[#This Row],[Ineff DropDown 2]]</f>
        <v>T12_Ext ≤210</v>
      </c>
      <c r="K181" s="277" t="str">
        <f>STDLIGHTINEFCAT2[[#This Row],[Match]]&amp;"_"&amp;STDLIGHTINEFCAT2[[#This Row],[Options]]</f>
        <v>T12_Ext ≤210_3L T12 3' 50W</v>
      </c>
      <c r="L181" s="277" t="s">
        <v>1993</v>
      </c>
      <c r="M181" s="277">
        <v>150</v>
      </c>
      <c r="N181" s="277">
        <v>166</v>
      </c>
      <c r="O181">
        <v>179</v>
      </c>
    </row>
    <row r="182" spans="9:16">
      <c r="I182" s="31" t="s">
        <v>2489</v>
      </c>
      <c r="J182" s="31" t="str">
        <f>"T12_"&amp;STDLIGHTINEFCAT2[[#This Row],[Ineff DropDown 2]]</f>
        <v>T12_Ext ≤210</v>
      </c>
      <c r="K182" s="277" t="str">
        <f>STDLIGHTINEFCAT2[[#This Row],[Match]]&amp;"_"&amp;STDLIGHTINEFCAT2[[#This Row],[Options]]</f>
        <v>T12_Ext ≤210_----4 ft Lamps----</v>
      </c>
      <c r="L182" s="281" t="s">
        <v>2052</v>
      </c>
      <c r="M182" s="281"/>
      <c r="N182" s="277"/>
      <c r="O182">
        <v>180</v>
      </c>
      <c r="P182" s="227"/>
    </row>
    <row r="183" spans="9:16">
      <c r="I183" s="31" t="s">
        <v>2489</v>
      </c>
      <c r="J183" s="31" t="str">
        <f>"T12_"&amp;STDLIGHTINEFCAT2[[#This Row],[Ineff DropDown 2]]</f>
        <v>T12_Ext ≤210</v>
      </c>
      <c r="K183" s="277" t="str">
        <f>STDLIGHTINEFCAT2[[#This Row],[Match]]&amp;"_"&amp;STDLIGHTINEFCAT2[[#This Row],[Options]]</f>
        <v>T12_Ext ≤210_1L T12 4' 30W</v>
      </c>
      <c r="L183" s="277" t="s">
        <v>1995</v>
      </c>
      <c r="M183" s="277">
        <v>30</v>
      </c>
      <c r="N183" s="277">
        <v>49</v>
      </c>
      <c r="O183">
        <v>181</v>
      </c>
      <c r="P183" s="227"/>
    </row>
    <row r="184" spans="9:16">
      <c r="I184" s="31" t="s">
        <v>2489</v>
      </c>
      <c r="J184" s="31" t="str">
        <f>"T12_"&amp;STDLIGHTINEFCAT2[[#This Row],[Ineff DropDown 2]]</f>
        <v>T12_Ext ≤210</v>
      </c>
      <c r="K184" s="277" t="str">
        <f>STDLIGHTINEFCAT2[[#This Row],[Match]]&amp;"_"&amp;STDLIGHTINEFCAT2[[#This Row],[Options]]</f>
        <v>T12_Ext ≤210_2L T12 4' 30W</v>
      </c>
      <c r="L184" s="277" t="s">
        <v>1996</v>
      </c>
      <c r="M184" s="277">
        <v>60</v>
      </c>
      <c r="N184" s="277">
        <v>80</v>
      </c>
      <c r="O184">
        <v>182</v>
      </c>
      <c r="P184" s="227"/>
    </row>
    <row r="185" spans="9:16">
      <c r="I185" s="31" t="s">
        <v>2489</v>
      </c>
      <c r="J185" s="31" t="str">
        <f>"T12_"&amp;STDLIGHTINEFCAT2[[#This Row],[Ineff DropDown 2]]</f>
        <v>T12_Ext ≤210</v>
      </c>
      <c r="K185" s="277" t="str">
        <f>STDLIGHTINEFCAT2[[#This Row],[Match]]&amp;"_"&amp;STDLIGHTINEFCAT2[[#This Row],[Options]]</f>
        <v>T12_Ext ≤210_1L T12 4' 34W</v>
      </c>
      <c r="L185" s="277" t="s">
        <v>1997</v>
      </c>
      <c r="M185" s="277">
        <v>34</v>
      </c>
      <c r="N185" s="277">
        <v>45</v>
      </c>
      <c r="O185">
        <v>183</v>
      </c>
    </row>
    <row r="186" spans="9:16">
      <c r="I186" s="31" t="s">
        <v>2489</v>
      </c>
      <c r="J186" s="31" t="str">
        <f>"T12_"&amp;STDLIGHTINEFCAT2[[#This Row],[Ineff DropDown 2]]</f>
        <v>T12_Ext ≤210</v>
      </c>
      <c r="K186" s="277" t="str">
        <f>STDLIGHTINEFCAT2[[#This Row],[Match]]&amp;"_"&amp;STDLIGHTINEFCAT2[[#This Row],[Options]]</f>
        <v>T12_Ext ≤210_2L T12 4' 34W</v>
      </c>
      <c r="L186" s="277" t="s">
        <v>1998</v>
      </c>
      <c r="M186" s="277">
        <v>68</v>
      </c>
      <c r="N186" s="277">
        <v>84</v>
      </c>
      <c r="O186">
        <v>184</v>
      </c>
    </row>
    <row r="187" spans="9:16">
      <c r="I187" s="31" t="s">
        <v>2489</v>
      </c>
      <c r="J187" s="31" t="str">
        <f>"T12_"&amp;STDLIGHTINEFCAT2[[#This Row],[Ineff DropDown 2]]</f>
        <v>T12_Ext ≤210</v>
      </c>
      <c r="K187" s="277" t="str">
        <f>STDLIGHTINEFCAT2[[#This Row],[Match]]&amp;"_"&amp;STDLIGHTINEFCAT2[[#This Row],[Options]]</f>
        <v>T12_Ext ≤210_3L T12 4' 34W</v>
      </c>
      <c r="L187" s="280" t="s">
        <v>1999</v>
      </c>
      <c r="M187" s="280">
        <v>102</v>
      </c>
      <c r="N187" s="280">
        <v>127</v>
      </c>
      <c r="O187">
        <v>185</v>
      </c>
    </row>
    <row r="188" spans="9:16">
      <c r="I188" s="31" t="s">
        <v>2489</v>
      </c>
      <c r="J188" s="31" t="str">
        <f>"T12_"&amp;STDLIGHTINEFCAT2[[#This Row],[Ineff DropDown 2]]</f>
        <v>T12_Ext ≤210</v>
      </c>
      <c r="K188" s="277" t="str">
        <f>STDLIGHTINEFCAT2[[#This Row],[Match]]&amp;"_"&amp;STDLIGHTINEFCAT2[[#This Row],[Options]]</f>
        <v>T12_Ext ≤210_4L T12 4' 34W</v>
      </c>
      <c r="L188" s="277" t="s">
        <v>2000</v>
      </c>
      <c r="M188" s="277">
        <v>136</v>
      </c>
      <c r="N188" s="277">
        <v>156</v>
      </c>
      <c r="O188">
        <v>186</v>
      </c>
      <c r="P188" s="227"/>
    </row>
    <row r="189" spans="9:16">
      <c r="I189" s="31" t="s">
        <v>2489</v>
      </c>
      <c r="J189" s="31" t="str">
        <f>"T12_"&amp;STDLIGHTINEFCAT2[[#This Row],[Ineff DropDown 2]]</f>
        <v>T12_Ext ≤210</v>
      </c>
      <c r="K189" s="277" t="str">
        <f>STDLIGHTINEFCAT2[[#This Row],[Match]]&amp;"_"&amp;STDLIGHTINEFCAT2[[#This Row],[Options]]</f>
        <v>T12_Ext ≤210_1L T12 4' 40W</v>
      </c>
      <c r="L189" s="277" t="s">
        <v>2001</v>
      </c>
      <c r="M189" s="277">
        <v>40</v>
      </c>
      <c r="N189" s="277">
        <v>51</v>
      </c>
      <c r="O189">
        <v>187</v>
      </c>
      <c r="P189" s="227"/>
    </row>
    <row r="190" spans="9:16">
      <c r="I190" s="31" t="s">
        <v>2489</v>
      </c>
      <c r="J190" s="31" t="str">
        <f>"T12_"&amp;STDLIGHTINEFCAT2[[#This Row],[Ineff DropDown 2]]</f>
        <v>T12_Ext ≤210</v>
      </c>
      <c r="K190" s="273" t="str">
        <f>STDLIGHTINEFCAT2[[#This Row],[Match]]&amp;"_"&amp;STDLIGHTINEFCAT2[[#This Row],[Options]]</f>
        <v>T12_Ext ≤210_2L T12 4' 40W</v>
      </c>
      <c r="L190" s="273" t="s">
        <v>2002</v>
      </c>
      <c r="M190" s="273">
        <v>80</v>
      </c>
      <c r="N190" s="277">
        <v>97</v>
      </c>
      <c r="O190">
        <v>188</v>
      </c>
    </row>
    <row r="191" spans="9:16">
      <c r="I191" s="31" t="s">
        <v>2489</v>
      </c>
      <c r="J191" s="31" t="str">
        <f>"T12_"&amp;STDLIGHTINEFCAT2[[#This Row],[Ineff DropDown 2]]</f>
        <v>T12_Ext ≤210</v>
      </c>
      <c r="K191" s="277" t="str">
        <f>STDLIGHTINEFCAT2[[#This Row],[Match]]&amp;"_"&amp;STDLIGHTINEFCAT2[[#This Row],[Options]]</f>
        <v>T12_Ext ≤210_3L T12 4' 40W</v>
      </c>
      <c r="L191" s="277" t="s">
        <v>2003</v>
      </c>
      <c r="M191" s="277">
        <f>3*40</f>
        <v>120</v>
      </c>
      <c r="N191" s="277">
        <v>135</v>
      </c>
      <c r="O191">
        <v>189</v>
      </c>
    </row>
    <row r="192" spans="9:16">
      <c r="I192" s="31" t="s">
        <v>2489</v>
      </c>
      <c r="J192" s="31" t="str">
        <f>"T12_"&amp;STDLIGHTINEFCAT2[[#This Row],[Ineff DropDown 2]]</f>
        <v>T12_Ext ≤210</v>
      </c>
      <c r="K192" s="277" t="str">
        <f>STDLIGHTINEFCAT2[[#This Row],[Match]]&amp;"_"&amp;STDLIGHTINEFCAT2[[#This Row],[Options]]</f>
        <v>T12_Ext ≤210_4L T12 4' 40W</v>
      </c>
      <c r="L192" s="277" t="s">
        <v>2004</v>
      </c>
      <c r="M192" s="277">
        <f>4*40</f>
        <v>160</v>
      </c>
      <c r="N192" s="277">
        <v>175</v>
      </c>
      <c r="O192">
        <v>190</v>
      </c>
    </row>
    <row r="193" spans="9:15">
      <c r="I193" s="31" t="s">
        <v>2489</v>
      </c>
      <c r="J193" s="31" t="str">
        <f>"T12_"&amp;STDLIGHTINEFCAT2[[#This Row],[Ineff DropDown 2]]</f>
        <v>T12_Ext ≤210</v>
      </c>
      <c r="K193" s="277" t="str">
        <f>STDLIGHTINEFCAT2[[#This Row],[Match]]&amp;"_"&amp;STDLIGHTINEFCAT2[[#This Row],[Options]]</f>
        <v>T12_Ext ≤210_1L T12 4' 60W</v>
      </c>
      <c r="L193" s="277" t="s">
        <v>2005</v>
      </c>
      <c r="M193" s="277">
        <v>60</v>
      </c>
      <c r="N193" s="277">
        <v>82</v>
      </c>
      <c r="O193">
        <v>191</v>
      </c>
    </row>
    <row r="194" spans="9:15">
      <c r="I194" s="31" t="s">
        <v>2489</v>
      </c>
      <c r="J194" s="31" t="str">
        <f>"T12_"&amp;STDLIGHTINEFCAT2[[#This Row],[Ineff DropDown 2]]</f>
        <v>T12_Ext ≤210</v>
      </c>
      <c r="K194" s="277" t="str">
        <f>STDLIGHTINEFCAT2[[#This Row],[Match]]&amp;"_"&amp;STDLIGHTINEFCAT2[[#This Row],[Options]]</f>
        <v>T12_Ext ≤210_2L T12 4' 60W</v>
      </c>
      <c r="L194" s="277" t="s">
        <v>2006</v>
      </c>
      <c r="M194" s="277">
        <v>120</v>
      </c>
      <c r="N194" s="277">
        <v>133</v>
      </c>
      <c r="O194">
        <v>192</v>
      </c>
    </row>
    <row r="195" spans="9:15">
      <c r="I195" s="31" t="s">
        <v>2489</v>
      </c>
      <c r="J195" s="31" t="str">
        <f>"T12_"&amp;STDLIGHTINEFCAT2[[#This Row],[Ineff DropDown 2]]</f>
        <v>T12_Ext ≤210</v>
      </c>
      <c r="K195" s="277" t="str">
        <f>STDLIGHTINEFCAT2[[#This Row],[Match]]&amp;"_"&amp;STDLIGHTINEFCAT2[[#This Row],[Options]]</f>
        <v>T12_Ext ≤210_3L T12 4' 60W</v>
      </c>
      <c r="L195" s="277" t="s">
        <v>2007</v>
      </c>
      <c r="M195" s="277">
        <f>3*60</f>
        <v>180</v>
      </c>
      <c r="N195" s="277">
        <v>204</v>
      </c>
      <c r="O195">
        <v>193</v>
      </c>
    </row>
    <row r="196" spans="9:15">
      <c r="I196" s="31" t="s">
        <v>2489</v>
      </c>
      <c r="J196" s="31" t="str">
        <f>"T12_"&amp;STDLIGHTINEFCAT2[[#This Row],[Ineff DropDown 2]]</f>
        <v>T12_Ext ≤210</v>
      </c>
      <c r="K196" s="277" t="str">
        <f>STDLIGHTINEFCAT2[[#This Row],[Match]]&amp;"_"&amp;STDLIGHTINEFCAT2[[#This Row],[Options]]</f>
        <v>T12_Ext ≤210_1L T12 4' 116W</v>
      </c>
      <c r="L196" s="277" t="s">
        <v>2009</v>
      </c>
      <c r="M196" s="277">
        <v>116</v>
      </c>
      <c r="N196" s="277">
        <v>130</v>
      </c>
      <c r="O196">
        <v>194</v>
      </c>
    </row>
    <row r="197" spans="9:15">
      <c r="I197" s="31" t="s">
        <v>2489</v>
      </c>
      <c r="J197" s="31" t="str">
        <f>"T12_"&amp;STDLIGHTINEFCAT2[[#This Row],[Ineff DropDown 2]]</f>
        <v>T12_Ext ≤210</v>
      </c>
      <c r="K197" s="277" t="str">
        <f>STDLIGHTINEFCAT2[[#This Row],[Match]]&amp;"_"&amp;STDLIGHTINEFCAT2[[#This Row],[Options]]</f>
        <v>T12_Ext ≤210_----6 ft Lamps----</v>
      </c>
      <c r="L197" s="281" t="s">
        <v>2054</v>
      </c>
      <c r="M197" s="281"/>
      <c r="N197" s="277"/>
      <c r="O197">
        <v>195</v>
      </c>
    </row>
    <row r="198" spans="9:15">
      <c r="I198" s="31" t="s">
        <v>2489</v>
      </c>
      <c r="J198" s="31" t="str">
        <f>"T12_"&amp;STDLIGHTINEFCAT2[[#This Row],[Ineff DropDown 2]]</f>
        <v>T12_Ext ≤210</v>
      </c>
      <c r="K198" s="277" t="str">
        <f>STDLIGHTINEFCAT2[[#This Row],[Match]]&amp;"_"&amp;STDLIGHTINEFCAT2[[#This Row],[Options]]</f>
        <v>T12_Ext ≤210_1L T12 6' 168W</v>
      </c>
      <c r="L198" s="277" t="s">
        <v>2020</v>
      </c>
      <c r="M198" s="277">
        <v>168</v>
      </c>
      <c r="N198" s="277">
        <v>169</v>
      </c>
      <c r="O198">
        <v>196</v>
      </c>
    </row>
    <row r="199" spans="9:15">
      <c r="I199" s="31" t="s">
        <v>2489</v>
      </c>
      <c r="J199" s="31" t="str">
        <f>"T12_"&amp;STDLIGHTINEFCAT2[[#This Row],[Ineff DropDown 2]]</f>
        <v>T12_Ext ≤210</v>
      </c>
      <c r="K199" s="277" t="str">
        <f>STDLIGHTINEFCAT2[[#This Row],[Match]]&amp;"_"&amp;STDLIGHTINEFCAT2[[#This Row],[Options]]</f>
        <v>T12_Ext ≤210_1L T12 6' 57W</v>
      </c>
      <c r="L199" s="277" t="s">
        <v>2023</v>
      </c>
      <c r="M199" s="277">
        <v>57</v>
      </c>
      <c r="N199" s="277">
        <v>80</v>
      </c>
      <c r="O199">
        <v>197</v>
      </c>
    </row>
    <row r="200" spans="9:15">
      <c r="I200" s="31" t="s">
        <v>2489</v>
      </c>
      <c r="J200" s="31" t="str">
        <f>"T12_"&amp;STDLIGHTINEFCAT2[[#This Row],[Ineff DropDown 2]]</f>
        <v>T12_Ext ≤210</v>
      </c>
      <c r="K200" s="277" t="str">
        <f>STDLIGHTINEFCAT2[[#This Row],[Match]]&amp;"_"&amp;STDLIGHTINEFCAT2[[#This Row],[Options]]</f>
        <v>T12_Ext ≤210_2L T12 6' 57W</v>
      </c>
      <c r="L200" s="277" t="s">
        <v>2024</v>
      </c>
      <c r="M200" s="277">
        <f>57*2</f>
        <v>114</v>
      </c>
      <c r="N200" s="277">
        <v>122</v>
      </c>
      <c r="O200">
        <v>198</v>
      </c>
    </row>
    <row r="201" spans="9:15">
      <c r="I201" s="31" t="s">
        <v>2489</v>
      </c>
      <c r="J201" s="31" t="str">
        <f>"T12_"&amp;STDLIGHTINEFCAT2[[#This Row],[Ineff DropDown 2]]</f>
        <v>T12_Ext ≤210</v>
      </c>
      <c r="K201" s="277" t="str">
        <f>STDLIGHTINEFCAT2[[#This Row],[Match]]&amp;"_"&amp;STDLIGHTINEFCAT2[[#This Row],[Options]]</f>
        <v>T12_Ext ≤210_1L T12 6' 85W</v>
      </c>
      <c r="L201" s="277" t="s">
        <v>2025</v>
      </c>
      <c r="M201" s="277">
        <v>85</v>
      </c>
      <c r="N201" s="277">
        <v>106</v>
      </c>
      <c r="O201">
        <v>199</v>
      </c>
    </row>
    <row r="202" spans="9:15">
      <c r="I202" s="31" t="s">
        <v>2489</v>
      </c>
      <c r="J202" s="31" t="str">
        <f>"T12_"&amp;STDLIGHTINEFCAT2[[#This Row],[Ineff DropDown 2]]</f>
        <v>T12_Ext ≤210</v>
      </c>
      <c r="K202" s="273" t="str">
        <f>STDLIGHTINEFCAT2[[#This Row],[Match]]&amp;"_"&amp;STDLIGHTINEFCAT2[[#This Row],[Options]]</f>
        <v>T12_Ext ≤210_2L T12 6' 85W</v>
      </c>
      <c r="L202" s="273" t="s">
        <v>2026</v>
      </c>
      <c r="M202" s="273">
        <f>2*85</f>
        <v>170</v>
      </c>
      <c r="N202" s="277">
        <v>190</v>
      </c>
      <c r="O202">
        <v>200</v>
      </c>
    </row>
    <row r="203" spans="9:15">
      <c r="I203" s="31" t="s">
        <v>2489</v>
      </c>
      <c r="J203" s="31" t="str">
        <f>"T12_"&amp;STDLIGHTINEFCAT2[[#This Row],[Ineff DropDown 2]]</f>
        <v>T12_Ext ≤210</v>
      </c>
      <c r="K203" s="273" t="str">
        <f>STDLIGHTINEFCAT2[[#This Row],[Match]]&amp;"_"&amp;STDLIGHTINEFCAT2[[#This Row],[Options]]</f>
        <v>T12_Ext ≤210_----8 ft Lamps----</v>
      </c>
      <c r="L203" s="274" t="s">
        <v>2056</v>
      </c>
      <c r="M203" s="274"/>
      <c r="N203" s="277"/>
      <c r="O203">
        <v>201</v>
      </c>
    </row>
    <row r="204" spans="9:15">
      <c r="I204" s="31" t="s">
        <v>2489</v>
      </c>
      <c r="J204" s="31" t="str">
        <f>"T12_"&amp;STDLIGHTINEFCAT2[[#This Row],[Ineff DropDown 2]]</f>
        <v>T12_Ext ≤210</v>
      </c>
      <c r="K204" s="273" t="str">
        <f>STDLIGHTINEFCAT2[[#This Row],[Match]]&amp;"_"&amp;STDLIGHTINEFCAT2[[#This Row],[Options]]</f>
        <v>T12_Ext ≤210_1L T12 8' 60W</v>
      </c>
      <c r="L204" s="273" t="s">
        <v>2034</v>
      </c>
      <c r="M204" s="273">
        <v>60</v>
      </c>
      <c r="N204" s="277">
        <v>74</v>
      </c>
      <c r="O204">
        <v>202</v>
      </c>
    </row>
    <row r="205" spans="9:15">
      <c r="I205" s="31" t="s">
        <v>2489</v>
      </c>
      <c r="J205" s="31" t="str">
        <f>"T12_"&amp;STDLIGHTINEFCAT2[[#This Row],[Ineff DropDown 2]]</f>
        <v>T12_Ext ≤210</v>
      </c>
      <c r="K205" s="273" t="str">
        <f>STDLIGHTINEFCAT2[[#This Row],[Match]]&amp;"_"&amp;STDLIGHTINEFCAT2[[#This Row],[Options]]</f>
        <v>T12_Ext ≤210_2L T12 8' 60W</v>
      </c>
      <c r="L205" s="273" t="s">
        <v>2035</v>
      </c>
      <c r="M205" s="273">
        <v>120</v>
      </c>
      <c r="N205" s="277">
        <v>113</v>
      </c>
      <c r="O205">
        <v>203</v>
      </c>
    </row>
    <row r="206" spans="9:15">
      <c r="I206" s="31" t="s">
        <v>2489</v>
      </c>
      <c r="J206" s="31" t="str">
        <f>"T12_"&amp;STDLIGHTINEFCAT2[[#This Row],[Ineff DropDown 2]]</f>
        <v>T12_Ext ≤210</v>
      </c>
      <c r="K206" s="273" t="str">
        <f>STDLIGHTINEFCAT2[[#This Row],[Match]]&amp;"_"&amp;STDLIGHTINEFCAT2[[#This Row],[Options]]</f>
        <v>T12_Ext ≤210_1L T12 8' 75W</v>
      </c>
      <c r="L206" s="273" t="s">
        <v>2037</v>
      </c>
      <c r="M206" s="273">
        <v>75</v>
      </c>
      <c r="N206" s="277">
        <v>94</v>
      </c>
      <c r="O206">
        <v>204</v>
      </c>
    </row>
    <row r="207" spans="9:15">
      <c r="I207" s="31" t="s">
        <v>2489</v>
      </c>
      <c r="J207" s="31" t="str">
        <f>"T12_"&amp;STDLIGHTINEFCAT2[[#This Row],[Ineff DropDown 2]]</f>
        <v>T12_Ext ≤210</v>
      </c>
      <c r="K207" s="273" t="str">
        <f>STDLIGHTINEFCAT2[[#This Row],[Match]]&amp;"_"&amp;STDLIGHTINEFCAT2[[#This Row],[Options]]</f>
        <v>T12_Ext ≤210_2L T12 8' 75W</v>
      </c>
      <c r="L207" s="273" t="s">
        <v>2038</v>
      </c>
      <c r="M207" s="273">
        <f>2*75</f>
        <v>150</v>
      </c>
      <c r="N207" s="277">
        <v>145</v>
      </c>
      <c r="O207">
        <v>205</v>
      </c>
    </row>
    <row r="208" spans="9:15">
      <c r="I208" s="31" t="s">
        <v>2489</v>
      </c>
      <c r="J208" s="31" t="str">
        <f>"T12_"&amp;STDLIGHTINEFCAT2[[#This Row],[Ineff DropDown 2]]</f>
        <v>T12_Ext ≤210</v>
      </c>
      <c r="K208" s="273" t="str">
        <f>STDLIGHTINEFCAT2[[#This Row],[Match]]&amp;"_"&amp;STDLIGHTINEFCAT2[[#This Row],[Options]]</f>
        <v>T12_Ext ≤210_1L T12 8' 95W</v>
      </c>
      <c r="L208" s="273" t="s">
        <v>2039</v>
      </c>
      <c r="M208" s="273">
        <v>95</v>
      </c>
      <c r="N208" s="277">
        <v>125</v>
      </c>
      <c r="O208">
        <v>206</v>
      </c>
    </row>
    <row r="209" spans="9:15">
      <c r="I209" s="31" t="s">
        <v>2489</v>
      </c>
      <c r="J209" s="31" t="str">
        <f>"T12_"&amp;STDLIGHTINEFCAT2[[#This Row],[Ineff DropDown 2]]</f>
        <v>T12_Ext ≤210</v>
      </c>
      <c r="K209" s="273" t="str">
        <f>STDLIGHTINEFCAT2[[#This Row],[Match]]&amp;"_"&amp;STDLIGHTINEFCAT2[[#This Row],[Options]]</f>
        <v>T12_Ext ≤210_1L T12 8' 110W</v>
      </c>
      <c r="L209" s="273" t="s">
        <v>2041</v>
      </c>
      <c r="M209" s="273">
        <v>110</v>
      </c>
      <c r="N209" s="277">
        <v>140</v>
      </c>
      <c r="O209">
        <v>207</v>
      </c>
    </row>
    <row r="210" spans="9:15">
      <c r="I210" s="31" t="s">
        <v>2489</v>
      </c>
      <c r="J210" s="31" t="str">
        <f>"T12_"&amp;STDLIGHTINEFCAT2[[#This Row],[Ineff DropDown 2]]</f>
        <v>T12_Ext ≤210</v>
      </c>
      <c r="K210" s="273" t="str">
        <f>STDLIGHTINEFCAT2[[#This Row],[Match]]&amp;"_"&amp;STDLIGHTINEFCAT2[[#This Row],[Options]]</f>
        <v>T12_Ext ≤210_1L T12 8' 185W</v>
      </c>
      <c r="L210" s="273" t="s">
        <v>2043</v>
      </c>
      <c r="M210" s="273">
        <v>185</v>
      </c>
      <c r="N210" s="277">
        <v>198</v>
      </c>
      <c r="O210">
        <v>208</v>
      </c>
    </row>
    <row r="211" spans="9:15">
      <c r="I211" s="31" t="s">
        <v>2490</v>
      </c>
      <c r="J211" s="31" t="str">
        <f>"T12_"&amp;STDLIGHTINEFCAT2[[#This Row],[Ineff DropDown 2]]</f>
        <v>T12_Ext 211-300</v>
      </c>
      <c r="K211" s="277" t="str">
        <f>STDLIGHTINEFCAT2[[#This Row],[Match]]&amp;"_"&amp;STDLIGHTINEFCAT2[[#This Row],[Options]]</f>
        <v>T12_Ext 211-300_----3 ft Lamps----</v>
      </c>
      <c r="L211" s="274" t="s">
        <v>2051</v>
      </c>
      <c r="M211" s="281"/>
      <c r="N211" s="277"/>
      <c r="O211">
        <v>209</v>
      </c>
    </row>
    <row r="212" spans="9:15">
      <c r="I212" s="31" t="s">
        <v>2490</v>
      </c>
      <c r="J212" s="31" t="str">
        <f>"T12_"&amp;STDLIGHTINEFCAT2[[#This Row],[Ineff DropDown 2]]</f>
        <v>T12_Ext 211-300</v>
      </c>
      <c r="K212" s="277" t="str">
        <f>STDLIGHTINEFCAT2[[#This Row],[Match]]&amp;"_"&amp;STDLIGHTINEFCAT2[[#This Row],[Options]]</f>
        <v>T12_Ext 211-300_4L T12 3' 50W</v>
      </c>
      <c r="L212" s="273" t="s">
        <v>1994</v>
      </c>
      <c r="M212" s="277">
        <f>4*50</f>
        <v>200</v>
      </c>
      <c r="N212" s="277">
        <v>212</v>
      </c>
      <c r="O212">
        <v>210</v>
      </c>
    </row>
    <row r="213" spans="9:15">
      <c r="I213" s="31" t="s">
        <v>2490</v>
      </c>
      <c r="J213" s="31" t="str">
        <f>"T12_"&amp;STDLIGHTINEFCAT2[[#This Row],[Ineff DropDown 2]]</f>
        <v>T12_Ext 211-300</v>
      </c>
      <c r="K213" s="273" t="str">
        <f>STDLIGHTINEFCAT2[[#This Row],[Match]]&amp;"_"&amp;STDLIGHTINEFCAT2[[#This Row],[Options]]</f>
        <v>T12_Ext 211-300_----4 ft Lamps----</v>
      </c>
      <c r="L213" s="274" t="s">
        <v>2052</v>
      </c>
      <c r="M213" s="274"/>
      <c r="N213" s="277"/>
      <c r="O213">
        <v>211</v>
      </c>
    </row>
    <row r="214" spans="9:15">
      <c r="I214" s="31" t="s">
        <v>2490</v>
      </c>
      <c r="J214" s="31" t="str">
        <f>"T12_"&amp;STDLIGHTINEFCAT2[[#This Row],[Ineff DropDown 2]]</f>
        <v>T12_Ext 211-300</v>
      </c>
      <c r="K214" s="273" t="str">
        <f>STDLIGHTINEFCAT2[[#This Row],[Match]]&amp;"_"&amp;STDLIGHTINEFCAT2[[#This Row],[Options]]</f>
        <v>T12_Ext 211-300_4L T12 4' 60W</v>
      </c>
      <c r="L214" s="272" t="s">
        <v>2008</v>
      </c>
      <c r="M214" s="272">
        <f>4*60</f>
        <v>240</v>
      </c>
      <c r="N214" s="284">
        <v>263</v>
      </c>
      <c r="O214">
        <v>212</v>
      </c>
    </row>
    <row r="215" spans="9:15">
      <c r="I215" s="31" t="s">
        <v>2490</v>
      </c>
      <c r="J215" s="31" t="str">
        <f>"T12_"&amp;STDLIGHTINEFCAT2[[#This Row],[Ineff DropDown 2]]</f>
        <v>T12_Ext 211-300</v>
      </c>
      <c r="K215" s="273" t="str">
        <f>STDLIGHTINEFCAT2[[#This Row],[Match]]&amp;"_"&amp;STDLIGHTINEFCAT2[[#This Row],[Options]]</f>
        <v>T12_Ext 211-300_2L T12 4' 116W</v>
      </c>
      <c r="L215" s="273" t="s">
        <v>2010</v>
      </c>
      <c r="M215" s="273">
        <f>2*116</f>
        <v>232</v>
      </c>
      <c r="N215" s="277">
        <v>230</v>
      </c>
      <c r="O215">
        <v>213</v>
      </c>
    </row>
    <row r="216" spans="9:15">
      <c r="I216" s="31" t="s">
        <v>2490</v>
      </c>
      <c r="J216" s="31" t="str">
        <f>"T12_"&amp;STDLIGHTINEFCAT2[[#This Row],[Ineff DropDown 2]]</f>
        <v>T12_Ext 211-300</v>
      </c>
      <c r="K216" s="356" t="str">
        <f>STDLIGHTINEFCAT2[[#This Row],[Match]]&amp;"_"&amp;STDLIGHTINEFCAT2[[#This Row],[Options]]</f>
        <v>T12_Ext 211-300_----6 ft Lamps----</v>
      </c>
      <c r="L216" s="281" t="s">
        <v>2054</v>
      </c>
      <c r="M216" s="277"/>
      <c r="N216" s="356"/>
      <c r="O216">
        <v>214</v>
      </c>
    </row>
    <row r="217" spans="9:15">
      <c r="I217" s="31" t="s">
        <v>2490</v>
      </c>
      <c r="J217" s="31" t="str">
        <f>"T12_"&amp;STDLIGHTINEFCAT2[[#This Row],[Ineff DropDown 2]]</f>
        <v>T12_Ext 211-300</v>
      </c>
      <c r="K217" s="277" t="str">
        <f>STDLIGHTINEFCAT2[[#This Row],[Match]]&amp;"_"&amp;STDLIGHTINEFCAT2[[#This Row],[Options]]</f>
        <v>T12_Ext 211-300_3L T12 6' 85W</v>
      </c>
      <c r="L217" s="272" t="s">
        <v>2027</v>
      </c>
      <c r="M217" s="282">
        <f>3*85</f>
        <v>255</v>
      </c>
      <c r="N217" s="284">
        <v>291</v>
      </c>
      <c r="O217">
        <v>215</v>
      </c>
    </row>
    <row r="218" spans="9:15">
      <c r="I218" s="31" t="s">
        <v>2490</v>
      </c>
      <c r="J218" s="31" t="str">
        <f>"T12_"&amp;STDLIGHTINEFCAT2[[#This Row],[Ineff DropDown 2]]</f>
        <v>T12_Ext 211-300</v>
      </c>
      <c r="K218" s="277" t="str">
        <f>STDLIGHTINEFCAT2[[#This Row],[Match]]&amp;"_"&amp;STDLIGHTINEFCAT2[[#This Row],[Options]]</f>
        <v>T12_Ext 211-300_----8 ft Lamps----</v>
      </c>
      <c r="L218" s="274" t="s">
        <v>2056</v>
      </c>
      <c r="M218" s="274"/>
      <c r="N218" s="277"/>
      <c r="O218">
        <v>216</v>
      </c>
    </row>
    <row r="219" spans="9:15">
      <c r="I219" s="31" t="s">
        <v>2490</v>
      </c>
      <c r="J219" s="31" t="str">
        <f>"T12_"&amp;STDLIGHTINEFCAT2[[#This Row],[Ineff DropDown 2]]</f>
        <v>T12_Ext 211-300</v>
      </c>
      <c r="K219" s="280" t="str">
        <f>STDLIGHTINEFCAT2[[#This Row],[Match]]&amp;"_"&amp;STDLIGHTINEFCAT2[[#This Row],[Options]]</f>
        <v>T12_Ext 211-300_4L T12 8' 60W</v>
      </c>
      <c r="L219" s="273" t="s">
        <v>2036</v>
      </c>
      <c r="M219" s="273">
        <f>4*60</f>
        <v>240</v>
      </c>
      <c r="N219" s="280">
        <v>246</v>
      </c>
      <c r="O219">
        <v>217</v>
      </c>
    </row>
    <row r="220" spans="9:15">
      <c r="I220" s="31" t="s">
        <v>2490</v>
      </c>
      <c r="J220" s="31" t="str">
        <f>"T12_"&amp;STDLIGHTINEFCAT2[[#This Row],[Ineff DropDown 2]]</f>
        <v>T12_Ext 211-300</v>
      </c>
      <c r="K220" s="280" t="str">
        <f>STDLIGHTINEFCAT2[[#This Row],[Match]]&amp;"_"&amp;STDLIGHTINEFCAT2[[#This Row],[Options]]</f>
        <v>T12_Ext 211-300_2L T12 8' 95W</v>
      </c>
      <c r="L220" s="273" t="s">
        <v>2040</v>
      </c>
      <c r="M220" s="273">
        <f>2*95</f>
        <v>190</v>
      </c>
      <c r="N220" s="277">
        <v>216</v>
      </c>
      <c r="O220">
        <v>218</v>
      </c>
    </row>
    <row r="221" spans="9:15">
      <c r="I221" s="31" t="s">
        <v>2490</v>
      </c>
      <c r="J221" s="31" t="str">
        <f>"T12_"&amp;STDLIGHTINEFCAT2[[#This Row],[Ineff DropDown 2]]</f>
        <v>T12_Ext 211-300</v>
      </c>
      <c r="K221" s="280" t="str">
        <f>STDLIGHTINEFCAT2[[#This Row],[Match]]&amp;"_"&amp;STDLIGHTINEFCAT2[[#This Row],[Options]]</f>
        <v>T12_Ext 211-300_2L T12 8' 110W</v>
      </c>
      <c r="L221" s="282" t="s">
        <v>2042</v>
      </c>
      <c r="M221" s="272">
        <f>2*110</f>
        <v>220</v>
      </c>
      <c r="N221" s="284">
        <v>258</v>
      </c>
      <c r="O221">
        <v>219</v>
      </c>
    </row>
    <row r="222" spans="9:15">
      <c r="I222" s="31" t="s">
        <v>2490</v>
      </c>
      <c r="J222" s="31" t="str">
        <f>"T12_"&amp;STDLIGHTINEFCAT2[[#This Row],[Ineff DropDown 2]]</f>
        <v>T12_Ext 211-300</v>
      </c>
      <c r="K222" s="277" t="str">
        <f>STDLIGHTINEFCAT2[[#This Row],[Match]]&amp;"_"&amp;STDLIGHTINEFCAT2[[#This Row],[Options]]</f>
        <v>T12_Ext 211-300_1L T12 8' 215W</v>
      </c>
      <c r="L222" s="273" t="s">
        <v>2046</v>
      </c>
      <c r="M222" s="273">
        <v>215</v>
      </c>
      <c r="N222" s="277">
        <v>213</v>
      </c>
      <c r="O222">
        <v>220</v>
      </c>
    </row>
    <row r="223" spans="9:15">
      <c r="I223" s="31" t="s">
        <v>2491</v>
      </c>
      <c r="J223" s="31" t="str">
        <f>"T12_"&amp;STDLIGHTINEFCAT2[[#This Row],[Ineff DropDown 2]]</f>
        <v>T12_Ext 301-500</v>
      </c>
      <c r="K223" s="280" t="str">
        <f>STDLIGHTINEFCAT2[[#This Row],[Match]]&amp;"_"&amp;STDLIGHTINEFCAT2[[#This Row],[Options]]</f>
        <v>T12_Ext 301-500_----4 ft Lamps----</v>
      </c>
      <c r="L223" s="281" t="s">
        <v>2052</v>
      </c>
      <c r="M223" s="274"/>
      <c r="N223" s="277"/>
      <c r="O223">
        <v>221</v>
      </c>
    </row>
    <row r="224" spans="9:15">
      <c r="I224" s="31" t="s">
        <v>2491</v>
      </c>
      <c r="J224" s="31" t="str">
        <f>"T12_"&amp;STDLIGHTINEFCAT2[[#This Row],[Ineff DropDown 2]]</f>
        <v>T12_Ext 301-500</v>
      </c>
      <c r="K224" s="280" t="str">
        <f>STDLIGHTINEFCAT2[[#This Row],[Match]]&amp;"_"&amp;STDLIGHTINEFCAT2[[#This Row],[Options]]</f>
        <v>T12_Ext 301-500_3L T12 4' 116W</v>
      </c>
      <c r="L224" s="282" t="s">
        <v>2011</v>
      </c>
      <c r="M224" s="282">
        <f>3*116</f>
        <v>348</v>
      </c>
      <c r="N224" s="284">
        <v>329</v>
      </c>
      <c r="O224">
        <v>222</v>
      </c>
    </row>
    <row r="225" spans="9:15">
      <c r="I225" s="31" t="s">
        <v>2491</v>
      </c>
      <c r="J225" s="31" t="str">
        <f>"T12_"&amp;STDLIGHTINEFCAT2[[#This Row],[Ineff DropDown 2]]</f>
        <v>T12_Ext 301-500</v>
      </c>
      <c r="K225" s="280" t="str">
        <f>STDLIGHTINEFCAT2[[#This Row],[Match]]&amp;"_"&amp;STDLIGHTINEFCAT2[[#This Row],[Options]]</f>
        <v>T12_Ext 301-500_----6 ft Lamps----</v>
      </c>
      <c r="L225" s="281" t="s">
        <v>2054</v>
      </c>
      <c r="M225" s="281"/>
      <c r="N225" s="284"/>
      <c r="O225">
        <v>223</v>
      </c>
    </row>
    <row r="226" spans="9:15">
      <c r="I226" s="31" t="s">
        <v>2491</v>
      </c>
      <c r="J226" s="31" t="str">
        <f>"T12_"&amp;STDLIGHTINEFCAT2[[#This Row],[Ineff DropDown 2]]</f>
        <v>T12_Ext 301-500</v>
      </c>
      <c r="K226" s="280" t="str">
        <f>STDLIGHTINEFCAT2[[#This Row],[Match]]&amp;"_"&amp;STDLIGHTINEFCAT2[[#This Row],[Options]]</f>
        <v>T12_Ext 301-500_2L T12 6' 168W</v>
      </c>
      <c r="L226" s="282" t="s">
        <v>2021</v>
      </c>
      <c r="M226" s="282">
        <f>2*168</f>
        <v>336</v>
      </c>
      <c r="N226" s="284">
        <v>314</v>
      </c>
      <c r="O226">
        <v>224</v>
      </c>
    </row>
    <row r="227" spans="9:15">
      <c r="I227" s="31" t="s">
        <v>2491</v>
      </c>
      <c r="J227" s="31" t="str">
        <f>"T12_"&amp;STDLIGHTINEFCAT2[[#This Row],[Ineff DropDown 2]]</f>
        <v>T12_Ext 301-500</v>
      </c>
      <c r="K227" s="280" t="str">
        <f>STDLIGHTINEFCAT2[[#This Row],[Match]]&amp;"_"&amp;STDLIGHTINEFCAT2[[#This Row],[Options]]</f>
        <v>T12_Ext 301-500_3L T12 6' 168W</v>
      </c>
      <c r="L227" s="282" t="s">
        <v>2022</v>
      </c>
      <c r="M227" s="282">
        <f>3*168</f>
        <v>504</v>
      </c>
      <c r="N227" s="284">
        <v>424</v>
      </c>
      <c r="O227">
        <v>225</v>
      </c>
    </row>
    <row r="228" spans="9:15">
      <c r="I228" s="31" t="s">
        <v>2491</v>
      </c>
      <c r="J228" s="31" t="str">
        <f>"T12_"&amp;STDLIGHTINEFCAT2[[#This Row],[Ineff DropDown 2]]</f>
        <v>T12_Ext 301-500</v>
      </c>
      <c r="K228" s="280" t="str">
        <f>STDLIGHTINEFCAT2[[#This Row],[Match]]&amp;"_"&amp;STDLIGHTINEFCAT2[[#This Row],[Options]]</f>
        <v>T12_Ext 301-500_4L T12 6' 85W</v>
      </c>
      <c r="L228" s="282" t="s">
        <v>2028</v>
      </c>
      <c r="M228" s="282">
        <f>4*85</f>
        <v>340</v>
      </c>
      <c r="N228" s="284">
        <v>323</v>
      </c>
      <c r="O228">
        <v>226</v>
      </c>
    </row>
    <row r="229" spans="9:15">
      <c r="I229" s="31" t="s">
        <v>2491</v>
      </c>
      <c r="J229" s="31" t="str">
        <f>"T12_"&amp;STDLIGHTINEFCAT2[[#This Row],[Ineff DropDown 2]]</f>
        <v>T12_Ext 301-500</v>
      </c>
      <c r="K229" s="280" t="str">
        <f>STDLIGHTINEFCAT2[[#This Row],[Match]]&amp;"_"&amp;STDLIGHTINEFCAT2[[#This Row],[Options]]</f>
        <v>T12_Ext 301-500_----8 ft Lamps----</v>
      </c>
      <c r="L229" s="281" t="s">
        <v>2056</v>
      </c>
      <c r="M229" s="281"/>
      <c r="N229" s="284"/>
      <c r="O229">
        <v>227</v>
      </c>
    </row>
    <row r="230" spans="9:15">
      <c r="I230" s="31" t="s">
        <v>2491</v>
      </c>
      <c r="J230" s="31" t="str">
        <f>"T12_"&amp;STDLIGHTINEFCAT2[[#This Row],[Ineff DropDown 2]]</f>
        <v>T12_Ext 301-500</v>
      </c>
      <c r="K230" s="280" t="str">
        <f>STDLIGHTINEFCAT2[[#This Row],[Match]]&amp;"_"&amp;STDLIGHTINEFCAT2[[#This Row],[Options]]</f>
        <v>T12_Ext 301-500_2L T12 8' 185W</v>
      </c>
      <c r="L230" s="282" t="s">
        <v>2044</v>
      </c>
      <c r="M230" s="282">
        <f>2*185</f>
        <v>370</v>
      </c>
      <c r="N230" s="284">
        <v>398</v>
      </c>
      <c r="O230">
        <v>228</v>
      </c>
    </row>
    <row r="231" spans="9:15">
      <c r="I231" s="31" t="s">
        <v>91</v>
      </c>
      <c r="J231" s="31" t="str">
        <f>"T12_"&amp;STDLIGHTINEFCAT2[[#This Row],[Ineff DropDown 2]]</f>
        <v>T12_Fixture</v>
      </c>
      <c r="K231" s="280" t="str">
        <f>STDLIGHTINEFCAT2[[#This Row],[Match]]&amp;"_"&amp;STDLIGHTINEFCAT2[[#This Row],[Options]]</f>
        <v>T12_Fixture_----2 ft Lamps----</v>
      </c>
      <c r="L231" s="281" t="s">
        <v>2050</v>
      </c>
      <c r="M231" s="281"/>
      <c r="N231" s="277"/>
      <c r="O231">
        <v>229</v>
      </c>
    </row>
    <row r="232" spans="9:15">
      <c r="I232" s="31" t="s">
        <v>91</v>
      </c>
      <c r="J232" s="31" t="str">
        <f>"T12_"&amp;STDLIGHTINEFCAT2[[#This Row],[Ineff DropDown 2]]</f>
        <v>T12_Fixture</v>
      </c>
      <c r="K232" s="280" t="str">
        <f>STDLIGHTINEFCAT2[[#This Row],[Match]]&amp;"_"&amp;STDLIGHTINEFCAT2[[#This Row],[Options]]</f>
        <v>T12_Fixture_1L T12 2' 20W</v>
      </c>
      <c r="L232" s="277" t="s">
        <v>1971</v>
      </c>
      <c r="M232" s="277">
        <v>20</v>
      </c>
      <c r="N232" s="277">
        <v>21</v>
      </c>
      <c r="O232">
        <v>230</v>
      </c>
    </row>
    <row r="233" spans="9:15">
      <c r="I233" s="31" t="s">
        <v>91</v>
      </c>
      <c r="J233" s="31" t="str">
        <f>"T12_"&amp;STDLIGHTINEFCAT2[[#This Row],[Ineff DropDown 2]]</f>
        <v>T12_Fixture</v>
      </c>
      <c r="K233" s="280" t="str">
        <f>STDLIGHTINEFCAT2[[#This Row],[Match]]&amp;"_"&amp;STDLIGHTINEFCAT2[[#This Row],[Options]]</f>
        <v>T12_Fixture_2L T12 2' 20W</v>
      </c>
      <c r="L233" s="280" t="s">
        <v>1972</v>
      </c>
      <c r="M233" s="277">
        <v>40</v>
      </c>
      <c r="N233" s="280">
        <v>53</v>
      </c>
      <c r="O233">
        <v>231</v>
      </c>
    </row>
    <row r="234" spans="9:15">
      <c r="I234" s="31" t="s">
        <v>91</v>
      </c>
      <c r="J234" s="31" t="str">
        <f>"T12_"&amp;STDLIGHTINEFCAT2[[#This Row],[Ineff DropDown 2]]</f>
        <v>T12_Fixture</v>
      </c>
      <c r="K234" s="280" t="str">
        <f>STDLIGHTINEFCAT2[[#This Row],[Match]]&amp;"_"&amp;STDLIGHTINEFCAT2[[#This Row],[Options]]</f>
        <v>T12_Fixture_3L T12 2' 20W</v>
      </c>
      <c r="L234" s="277" t="s">
        <v>1973</v>
      </c>
      <c r="M234" s="277">
        <v>60</v>
      </c>
      <c r="N234" s="277">
        <v>64</v>
      </c>
      <c r="O234">
        <v>232</v>
      </c>
    </row>
    <row r="235" spans="9:15">
      <c r="I235" s="31" t="s">
        <v>91</v>
      </c>
      <c r="J235" s="31" t="str">
        <f>"T12_"&amp;STDLIGHTINEFCAT2[[#This Row],[Ineff DropDown 2]]</f>
        <v>T12_Fixture</v>
      </c>
      <c r="K235" s="280" t="str">
        <f>STDLIGHTINEFCAT2[[#This Row],[Match]]&amp;"_"&amp;STDLIGHTINEFCAT2[[#This Row],[Options]]</f>
        <v>T12_Fixture_4L T12 2' 20W</v>
      </c>
      <c r="L235" s="277" t="s">
        <v>1974</v>
      </c>
      <c r="M235" s="277">
        <v>80</v>
      </c>
      <c r="N235" s="277">
        <v>91</v>
      </c>
      <c r="O235">
        <v>233</v>
      </c>
    </row>
    <row r="236" spans="9:15">
      <c r="I236" s="31" t="s">
        <v>91</v>
      </c>
      <c r="J236" s="31" t="str">
        <f>"T12_"&amp;STDLIGHTINEFCAT2[[#This Row],[Ineff DropDown 2]]</f>
        <v>T12_Fixture</v>
      </c>
      <c r="K236" s="280" t="str">
        <f>STDLIGHTINEFCAT2[[#This Row],[Match]]&amp;"_"&amp;STDLIGHTINEFCAT2[[#This Row],[Options]]</f>
        <v>T12_Fixture_1L T12 2' 35W</v>
      </c>
      <c r="L236" s="277" t="s">
        <v>1975</v>
      </c>
      <c r="M236" s="277">
        <v>35</v>
      </c>
      <c r="N236" s="277">
        <v>64</v>
      </c>
      <c r="O236">
        <v>234</v>
      </c>
    </row>
    <row r="237" spans="9:15">
      <c r="I237" s="31" t="s">
        <v>91</v>
      </c>
      <c r="J237" s="31" t="str">
        <f>"T12_"&amp;STDLIGHTINEFCAT2[[#This Row],[Ineff DropDown 2]]</f>
        <v>T12_Fixture</v>
      </c>
      <c r="K237" s="280" t="str">
        <f>STDLIGHTINEFCAT2[[#This Row],[Match]]&amp;"_"&amp;STDLIGHTINEFCAT2[[#This Row],[Options]]</f>
        <v>T12_Fixture_2L T12 2' 35W</v>
      </c>
      <c r="L237" s="277" t="s">
        <v>1976</v>
      </c>
      <c r="M237" s="277">
        <v>70</v>
      </c>
      <c r="N237" s="277">
        <v>95</v>
      </c>
      <c r="O237">
        <v>235</v>
      </c>
    </row>
    <row r="238" spans="9:15">
      <c r="I238" s="31" t="s">
        <v>91</v>
      </c>
      <c r="J238" s="31" t="str">
        <f>"T12_"&amp;STDLIGHTINEFCAT2[[#This Row],[Ineff DropDown 2]]</f>
        <v>T12_Fixture</v>
      </c>
      <c r="K238" s="280" t="str">
        <f>STDLIGHTINEFCAT2[[#This Row],[Match]]&amp;"_"&amp;STDLIGHTINEFCAT2[[#This Row],[Options]]</f>
        <v>T12_Fixture_3L T12 2' 35W</v>
      </c>
      <c r="L238" s="277" t="s">
        <v>1977</v>
      </c>
      <c r="M238" s="277">
        <v>105</v>
      </c>
      <c r="N238" s="277">
        <v>148</v>
      </c>
      <c r="O238">
        <v>236</v>
      </c>
    </row>
    <row r="239" spans="9:15">
      <c r="I239" s="31" t="s">
        <v>91</v>
      </c>
      <c r="J239" s="31" t="str">
        <f>"T12_"&amp;STDLIGHTINEFCAT2[[#This Row],[Ineff DropDown 2]]</f>
        <v>T12_Fixture</v>
      </c>
      <c r="K239" s="280" t="str">
        <f>STDLIGHTINEFCAT2[[#This Row],[Match]]&amp;"_"&amp;STDLIGHTINEFCAT2[[#This Row],[Options]]</f>
        <v>T12_Fixture_4L T12 2' 35W</v>
      </c>
      <c r="L239" s="277" t="s">
        <v>1978</v>
      </c>
      <c r="M239" s="277">
        <f>4*35</f>
        <v>140</v>
      </c>
      <c r="N239" s="277">
        <v>183</v>
      </c>
      <c r="O239">
        <v>237</v>
      </c>
    </row>
    <row r="240" spans="9:15">
      <c r="I240" s="31" t="s">
        <v>91</v>
      </c>
      <c r="J240" s="31" t="str">
        <f>"T12_"&amp;STDLIGHTINEFCAT2[[#This Row],[Ineff DropDown 2]]</f>
        <v>T12_Fixture</v>
      </c>
      <c r="K240" s="280" t="str">
        <f>STDLIGHTINEFCAT2[[#This Row],[Match]]&amp;"_"&amp;STDLIGHTINEFCAT2[[#This Row],[Options]]</f>
        <v>T12_Fixture_----3 ft Lamps----</v>
      </c>
      <c r="L240" s="281" t="s">
        <v>2051</v>
      </c>
      <c r="M240" s="281"/>
      <c r="N240" s="277"/>
      <c r="O240">
        <v>238</v>
      </c>
    </row>
    <row r="241" spans="9:15">
      <c r="I241" s="31" t="s">
        <v>91</v>
      </c>
      <c r="J241" s="31" t="str">
        <f>"T12_"&amp;STDLIGHTINEFCAT2[[#This Row],[Ineff DropDown 2]]</f>
        <v>T12_Fixture</v>
      </c>
      <c r="K241" s="280" t="str">
        <f>STDLIGHTINEFCAT2[[#This Row],[Match]]&amp;"_"&amp;STDLIGHTINEFCAT2[[#This Row],[Options]]</f>
        <v>T12_Fixture_1L T12 3' 21W</v>
      </c>
      <c r="L241" s="277" t="s">
        <v>1979</v>
      </c>
      <c r="M241" s="277">
        <v>21</v>
      </c>
      <c r="N241" s="277">
        <v>25</v>
      </c>
      <c r="O241">
        <v>239</v>
      </c>
    </row>
    <row r="242" spans="9:15">
      <c r="I242" s="31" t="s">
        <v>91</v>
      </c>
      <c r="J242" s="31" t="str">
        <f>"T12_"&amp;STDLIGHTINEFCAT2[[#This Row],[Ineff DropDown 2]]</f>
        <v>T12_Fixture</v>
      </c>
      <c r="K242" s="280" t="str">
        <f>STDLIGHTINEFCAT2[[#This Row],[Match]]&amp;"_"&amp;STDLIGHTINEFCAT2[[#This Row],[Options]]</f>
        <v>T12_Fixture_2L T12 3' 21W</v>
      </c>
      <c r="L242" s="273" t="s">
        <v>1980</v>
      </c>
      <c r="M242" s="277">
        <v>42</v>
      </c>
      <c r="N242" s="273">
        <v>49</v>
      </c>
      <c r="O242">
        <v>240</v>
      </c>
    </row>
    <row r="243" spans="9:15">
      <c r="I243" s="31" t="s">
        <v>91</v>
      </c>
      <c r="J243" s="31" t="str">
        <f>"T12_"&amp;STDLIGHTINEFCAT2[[#This Row],[Ineff DropDown 2]]</f>
        <v>T12_Fixture</v>
      </c>
      <c r="K243" s="280" t="str">
        <f>STDLIGHTINEFCAT2[[#This Row],[Match]]&amp;"_"&amp;STDLIGHTINEFCAT2[[#This Row],[Options]]</f>
        <v>T12_Fixture_1L T12 3' 24W</v>
      </c>
      <c r="L243" s="273" t="s">
        <v>1981</v>
      </c>
      <c r="M243" s="273">
        <v>24</v>
      </c>
      <c r="N243" s="273">
        <v>45</v>
      </c>
      <c r="O243">
        <v>241</v>
      </c>
    </row>
    <row r="244" spans="9:15">
      <c r="I244" s="31" t="s">
        <v>91</v>
      </c>
      <c r="J244" s="31" t="str">
        <f>"T12_"&amp;STDLIGHTINEFCAT2[[#This Row],[Ineff DropDown 2]]</f>
        <v>T12_Fixture</v>
      </c>
      <c r="K244" s="280" t="str">
        <f>STDLIGHTINEFCAT2[[#This Row],[Match]]&amp;"_"&amp;STDLIGHTINEFCAT2[[#This Row],[Options]]</f>
        <v>T12_Fixture_2L T12 3' 24W</v>
      </c>
      <c r="L244" s="273" t="s">
        <v>1982</v>
      </c>
      <c r="M244" s="273">
        <v>48</v>
      </c>
      <c r="N244" s="273">
        <v>65</v>
      </c>
      <c r="O244">
        <v>242</v>
      </c>
    </row>
    <row r="245" spans="9:15">
      <c r="I245" s="31" t="s">
        <v>91</v>
      </c>
      <c r="J245" s="31" t="str">
        <f>"T12_"&amp;STDLIGHTINEFCAT2[[#This Row],[Ineff DropDown 2]]</f>
        <v>T12_Fixture</v>
      </c>
      <c r="K245" s="280" t="str">
        <f>STDLIGHTINEFCAT2[[#This Row],[Match]]&amp;"_"&amp;STDLIGHTINEFCAT2[[#This Row],[Options]]</f>
        <v>T12_Fixture_1L T12 3' 25W</v>
      </c>
      <c r="L245" s="273" t="s">
        <v>1983</v>
      </c>
      <c r="M245" s="273">
        <v>25</v>
      </c>
      <c r="N245" s="273">
        <v>35</v>
      </c>
      <c r="O245">
        <v>243</v>
      </c>
    </row>
    <row r="246" spans="9:15">
      <c r="I246" s="31" t="s">
        <v>91</v>
      </c>
      <c r="J246" s="31" t="str">
        <f>"T12_"&amp;STDLIGHTINEFCAT2[[#This Row],[Ineff DropDown 2]]</f>
        <v>T12_Fixture</v>
      </c>
      <c r="K246" s="280" t="str">
        <f>STDLIGHTINEFCAT2[[#This Row],[Match]]&amp;"_"&amp;STDLIGHTINEFCAT2[[#This Row],[Options]]</f>
        <v>T12_Fixture_2L T12 3' 25W</v>
      </c>
      <c r="L246" s="273" t="s">
        <v>1984</v>
      </c>
      <c r="M246" s="273">
        <v>50</v>
      </c>
      <c r="N246" s="273">
        <v>71</v>
      </c>
      <c r="O246">
        <v>244</v>
      </c>
    </row>
    <row r="247" spans="9:15">
      <c r="I247" s="31" t="s">
        <v>91</v>
      </c>
      <c r="J247" s="31" t="str">
        <f>"T12_"&amp;STDLIGHTINEFCAT2[[#This Row],[Ineff DropDown 2]]</f>
        <v>T12_Fixture</v>
      </c>
      <c r="K247" s="280" t="str">
        <f>STDLIGHTINEFCAT2[[#This Row],[Match]]&amp;"_"&amp;STDLIGHTINEFCAT2[[#This Row],[Options]]</f>
        <v>T12_Fixture_3L T12 3' 25W</v>
      </c>
      <c r="L247" s="273" t="s">
        <v>1985</v>
      </c>
      <c r="M247" s="273">
        <v>75</v>
      </c>
      <c r="N247" s="273">
        <v>70</v>
      </c>
      <c r="O247">
        <v>245</v>
      </c>
    </row>
    <row r="248" spans="9:15">
      <c r="I248" s="31" t="s">
        <v>91</v>
      </c>
      <c r="J248" s="31" t="str">
        <f>"T12_"&amp;STDLIGHTINEFCAT2[[#This Row],[Ineff DropDown 2]]</f>
        <v>T12_Fixture</v>
      </c>
      <c r="K248" s="280" t="str">
        <f>STDLIGHTINEFCAT2[[#This Row],[Match]]&amp;"_"&amp;STDLIGHTINEFCAT2[[#This Row],[Options]]</f>
        <v>T12_Fixture_4L T12 3' 25W</v>
      </c>
      <c r="L248" s="273" t="s">
        <v>1986</v>
      </c>
      <c r="M248" s="273">
        <v>100</v>
      </c>
      <c r="N248" s="273">
        <v>88</v>
      </c>
      <c r="O248">
        <v>246</v>
      </c>
    </row>
    <row r="249" spans="9:15">
      <c r="I249" s="31" t="s">
        <v>91</v>
      </c>
      <c r="J249" s="31" t="str">
        <f>"T12_"&amp;STDLIGHTINEFCAT2[[#This Row],[Ineff DropDown 2]]</f>
        <v>T12_Fixture</v>
      </c>
      <c r="K249" s="280" t="str">
        <f>STDLIGHTINEFCAT2[[#This Row],[Match]]&amp;"_"&amp;STDLIGHTINEFCAT2[[#This Row],[Options]]</f>
        <v>T12_Fixture_1L T12 3' 30W</v>
      </c>
      <c r="L249" s="273" t="s">
        <v>1987</v>
      </c>
      <c r="M249" s="273">
        <v>30</v>
      </c>
      <c r="N249" s="273">
        <v>40</v>
      </c>
      <c r="O249">
        <v>247</v>
      </c>
    </row>
    <row r="250" spans="9:15">
      <c r="I250" s="31" t="s">
        <v>91</v>
      </c>
      <c r="J250" s="31" t="str">
        <f>"T12_"&amp;STDLIGHTINEFCAT2[[#This Row],[Ineff DropDown 2]]</f>
        <v>T12_Fixture</v>
      </c>
      <c r="K250" s="280" t="str">
        <f>STDLIGHTINEFCAT2[[#This Row],[Match]]&amp;"_"&amp;STDLIGHTINEFCAT2[[#This Row],[Options]]</f>
        <v>T12_Fixture_2L T12 3' 30W</v>
      </c>
      <c r="L250" s="273" t="s">
        <v>1988</v>
      </c>
      <c r="M250" s="273">
        <v>60</v>
      </c>
      <c r="N250" s="273">
        <v>75</v>
      </c>
      <c r="O250">
        <v>248</v>
      </c>
    </row>
    <row r="251" spans="9:15">
      <c r="I251" s="31" t="s">
        <v>91</v>
      </c>
      <c r="J251" s="31" t="str">
        <f>"T12_"&amp;STDLIGHTINEFCAT2[[#This Row],[Ineff DropDown 2]]</f>
        <v>T12_Fixture</v>
      </c>
      <c r="K251" s="280" t="str">
        <f>STDLIGHTINEFCAT2[[#This Row],[Match]]&amp;"_"&amp;STDLIGHTINEFCAT2[[#This Row],[Options]]</f>
        <v>T12_Fixture_3L T12 3' 30W</v>
      </c>
      <c r="L251" s="277" t="s">
        <v>1989</v>
      </c>
      <c r="M251" s="273">
        <v>90</v>
      </c>
      <c r="N251" s="277">
        <v>113</v>
      </c>
      <c r="O251">
        <v>249</v>
      </c>
    </row>
    <row r="252" spans="9:15">
      <c r="I252" s="31" t="s">
        <v>91</v>
      </c>
      <c r="J252" s="31" t="str">
        <f>"T12_"&amp;STDLIGHTINEFCAT2[[#This Row],[Ineff DropDown 2]]</f>
        <v>T12_Fixture</v>
      </c>
      <c r="K252" s="280" t="str">
        <f>STDLIGHTINEFCAT2[[#This Row],[Match]]&amp;"_"&amp;STDLIGHTINEFCAT2[[#This Row],[Options]]</f>
        <v>T12_Fixture_4L T12 3' 30W</v>
      </c>
      <c r="L252" s="273" t="s">
        <v>1990</v>
      </c>
      <c r="M252" s="273">
        <v>120</v>
      </c>
      <c r="N252" s="273">
        <v>138</v>
      </c>
      <c r="O252">
        <v>250</v>
      </c>
    </row>
    <row r="253" spans="9:15">
      <c r="I253" s="31" t="s">
        <v>91</v>
      </c>
      <c r="J253" s="31" t="str">
        <f>"T12_"&amp;STDLIGHTINEFCAT2[[#This Row],[Ineff DropDown 2]]</f>
        <v>T12_Fixture</v>
      </c>
      <c r="K253" s="280" t="str">
        <f>STDLIGHTINEFCAT2[[#This Row],[Match]]&amp;"_"&amp;STDLIGHTINEFCAT2[[#This Row],[Options]]</f>
        <v>T12_Fixture_1L T12 3' 50W</v>
      </c>
      <c r="L253" s="273" t="s">
        <v>1991</v>
      </c>
      <c r="M253" s="273">
        <v>50</v>
      </c>
      <c r="N253" s="273">
        <v>72</v>
      </c>
      <c r="O253">
        <v>251</v>
      </c>
    </row>
    <row r="254" spans="9:15">
      <c r="I254" s="31" t="s">
        <v>91</v>
      </c>
      <c r="J254" s="31" t="str">
        <f>"T12_"&amp;STDLIGHTINEFCAT2[[#This Row],[Ineff DropDown 2]]</f>
        <v>T12_Fixture</v>
      </c>
      <c r="K254" s="280" t="str">
        <f>STDLIGHTINEFCAT2[[#This Row],[Match]]&amp;"_"&amp;STDLIGHTINEFCAT2[[#This Row],[Options]]</f>
        <v>T12_Fixture_2L T12 3' 50W</v>
      </c>
      <c r="L254" s="273" t="s">
        <v>1992</v>
      </c>
      <c r="M254" s="273">
        <v>100</v>
      </c>
      <c r="N254" s="273">
        <v>110</v>
      </c>
      <c r="O254">
        <v>252</v>
      </c>
    </row>
    <row r="255" spans="9:15">
      <c r="I255" s="31" t="s">
        <v>91</v>
      </c>
      <c r="J255" s="31" t="str">
        <f>"T12_"&amp;STDLIGHTINEFCAT2[[#This Row],[Ineff DropDown 2]]</f>
        <v>T12_Fixture</v>
      </c>
      <c r="K255" s="280" t="str">
        <f>STDLIGHTINEFCAT2[[#This Row],[Match]]&amp;"_"&amp;STDLIGHTINEFCAT2[[#This Row],[Options]]</f>
        <v>T12_Fixture_3L T12 3' 50W</v>
      </c>
      <c r="L255" s="273" t="s">
        <v>1993</v>
      </c>
      <c r="M255" s="273">
        <v>150</v>
      </c>
      <c r="N255" s="273">
        <v>166</v>
      </c>
      <c r="O255">
        <v>253</v>
      </c>
    </row>
    <row r="256" spans="9:15">
      <c r="I256" s="31" t="s">
        <v>91</v>
      </c>
      <c r="J256" s="31" t="str">
        <f>"T12_"&amp;STDLIGHTINEFCAT2[[#This Row],[Ineff DropDown 2]]</f>
        <v>T12_Fixture</v>
      </c>
      <c r="K256" s="280" t="str">
        <f>STDLIGHTINEFCAT2[[#This Row],[Match]]&amp;"_"&amp;STDLIGHTINEFCAT2[[#This Row],[Options]]</f>
        <v>T12_Fixture_4L T12 3' 50W</v>
      </c>
      <c r="L256" s="273" t="s">
        <v>1994</v>
      </c>
      <c r="M256" s="273">
        <f>4*50</f>
        <v>200</v>
      </c>
      <c r="N256" s="273">
        <v>212</v>
      </c>
      <c r="O256">
        <v>254</v>
      </c>
    </row>
    <row r="257" spans="9:15">
      <c r="I257" s="31" t="s">
        <v>91</v>
      </c>
      <c r="J257" s="31" t="str">
        <f>"T12_"&amp;STDLIGHTINEFCAT2[[#This Row],[Ineff DropDown 2]]</f>
        <v>T12_Fixture</v>
      </c>
      <c r="K257" s="280" t="str">
        <f>STDLIGHTINEFCAT2[[#This Row],[Match]]&amp;"_"&amp;STDLIGHTINEFCAT2[[#This Row],[Options]]</f>
        <v>T12_Fixture_----4 ft Lamps----</v>
      </c>
      <c r="L257" s="274" t="s">
        <v>2052</v>
      </c>
      <c r="M257" s="274"/>
      <c r="N257" s="273"/>
      <c r="O257">
        <v>255</v>
      </c>
    </row>
    <row r="258" spans="9:15">
      <c r="I258" s="31" t="s">
        <v>91</v>
      </c>
      <c r="J258" s="31" t="str">
        <f>"T12_"&amp;STDLIGHTINEFCAT2[[#This Row],[Ineff DropDown 2]]</f>
        <v>T12_Fixture</v>
      </c>
      <c r="K258" s="280" t="str">
        <f>STDLIGHTINEFCAT2[[#This Row],[Match]]&amp;"_"&amp;STDLIGHTINEFCAT2[[#This Row],[Options]]</f>
        <v>T12_Fixture_1L T12 4' 30W</v>
      </c>
      <c r="L258" s="273" t="s">
        <v>1995</v>
      </c>
      <c r="M258" s="273">
        <v>30</v>
      </c>
      <c r="N258" s="273">
        <v>49</v>
      </c>
      <c r="O258">
        <v>256</v>
      </c>
    </row>
    <row r="259" spans="9:15">
      <c r="I259" s="31" t="s">
        <v>91</v>
      </c>
      <c r="J259" s="31" t="str">
        <f>"T12_"&amp;STDLIGHTINEFCAT2[[#This Row],[Ineff DropDown 2]]</f>
        <v>T12_Fixture</v>
      </c>
      <c r="K259" s="280" t="str">
        <f>STDLIGHTINEFCAT2[[#This Row],[Match]]&amp;"_"&amp;STDLIGHTINEFCAT2[[#This Row],[Options]]</f>
        <v>T12_Fixture_2L T12 4' 30W</v>
      </c>
      <c r="L259" s="277" t="s">
        <v>1996</v>
      </c>
      <c r="M259" s="277">
        <v>60</v>
      </c>
      <c r="N259" s="277">
        <v>80</v>
      </c>
      <c r="O259">
        <v>257</v>
      </c>
    </row>
    <row r="260" spans="9:15">
      <c r="I260" s="31" t="s">
        <v>91</v>
      </c>
      <c r="J260" s="31" t="str">
        <f>"T12_"&amp;STDLIGHTINEFCAT2[[#This Row],[Ineff DropDown 2]]</f>
        <v>T12_Fixture</v>
      </c>
      <c r="K260" s="280" t="str">
        <f>STDLIGHTINEFCAT2[[#This Row],[Match]]&amp;"_"&amp;STDLIGHTINEFCAT2[[#This Row],[Options]]</f>
        <v>T12_Fixture_1L T12 4' 34W</v>
      </c>
      <c r="L260" s="273" t="s">
        <v>1997</v>
      </c>
      <c r="M260" s="273">
        <v>34</v>
      </c>
      <c r="N260" s="273">
        <v>45</v>
      </c>
      <c r="O260">
        <v>258</v>
      </c>
    </row>
    <row r="261" spans="9:15">
      <c r="I261" s="31" t="s">
        <v>91</v>
      </c>
      <c r="J261" s="31" t="str">
        <f>"T12_"&amp;STDLIGHTINEFCAT2[[#This Row],[Ineff DropDown 2]]</f>
        <v>T12_Fixture</v>
      </c>
      <c r="K261" s="277" t="str">
        <f>STDLIGHTINEFCAT2[[#This Row],[Match]]&amp;"_"&amp;STDLIGHTINEFCAT2[[#This Row],[Options]]</f>
        <v>T12_Fixture_2L T12 4' 34W</v>
      </c>
      <c r="L261" s="273" t="s">
        <v>1998</v>
      </c>
      <c r="M261" s="273">
        <v>68</v>
      </c>
      <c r="N261" s="273">
        <v>84</v>
      </c>
      <c r="O261">
        <v>259</v>
      </c>
    </row>
    <row r="262" spans="9:15">
      <c r="I262" s="31" t="s">
        <v>91</v>
      </c>
      <c r="J262" s="31" t="str">
        <f>"T12_"&amp;STDLIGHTINEFCAT2[[#This Row],[Ineff DropDown 2]]</f>
        <v>T12_Fixture</v>
      </c>
      <c r="K262" s="277" t="str">
        <f>STDLIGHTINEFCAT2[[#This Row],[Match]]&amp;"_"&amp;STDLIGHTINEFCAT2[[#This Row],[Options]]</f>
        <v>T12_Fixture_3L T12 4' 34W</v>
      </c>
      <c r="L262" s="277" t="s">
        <v>1999</v>
      </c>
      <c r="M262" s="273">
        <v>102</v>
      </c>
      <c r="N262" s="273">
        <v>127</v>
      </c>
      <c r="O262">
        <v>260</v>
      </c>
    </row>
    <row r="263" spans="9:15">
      <c r="I263" s="31" t="s">
        <v>91</v>
      </c>
      <c r="J263" s="31" t="str">
        <f>"T12_"&amp;STDLIGHTINEFCAT2[[#This Row],[Ineff DropDown 2]]</f>
        <v>T12_Fixture</v>
      </c>
      <c r="K263" s="277" t="str">
        <f>STDLIGHTINEFCAT2[[#This Row],[Match]]&amp;"_"&amp;STDLIGHTINEFCAT2[[#This Row],[Options]]</f>
        <v>T12_Fixture_4L T12 4' 34W</v>
      </c>
      <c r="L263" s="273" t="s">
        <v>2000</v>
      </c>
      <c r="M263" s="273">
        <v>136</v>
      </c>
      <c r="N263" s="273">
        <v>156</v>
      </c>
      <c r="O263">
        <v>261</v>
      </c>
    </row>
    <row r="264" spans="9:15">
      <c r="I264" s="31" t="s">
        <v>91</v>
      </c>
      <c r="J264" s="31" t="str">
        <f>"T12_"&amp;STDLIGHTINEFCAT2[[#This Row],[Ineff DropDown 2]]</f>
        <v>T12_Fixture</v>
      </c>
      <c r="K264" s="277" t="str">
        <f>STDLIGHTINEFCAT2[[#This Row],[Match]]&amp;"_"&amp;STDLIGHTINEFCAT2[[#This Row],[Options]]</f>
        <v>T12_Fixture_1L T12 4' 40W</v>
      </c>
      <c r="L264" s="273" t="s">
        <v>2001</v>
      </c>
      <c r="M264" s="273">
        <v>40</v>
      </c>
      <c r="N264" s="273">
        <v>51</v>
      </c>
      <c r="O264">
        <v>262</v>
      </c>
    </row>
    <row r="265" spans="9:15">
      <c r="I265" s="31" t="s">
        <v>91</v>
      </c>
      <c r="J265" s="31" t="str">
        <f>"T12_"&amp;STDLIGHTINEFCAT2[[#This Row],[Ineff DropDown 2]]</f>
        <v>T12_Fixture</v>
      </c>
      <c r="K265" s="277" t="str">
        <f>STDLIGHTINEFCAT2[[#This Row],[Match]]&amp;"_"&amp;STDLIGHTINEFCAT2[[#This Row],[Options]]</f>
        <v>T12_Fixture_2L T12 4' 40W</v>
      </c>
      <c r="L265" s="273" t="s">
        <v>2002</v>
      </c>
      <c r="M265" s="273">
        <v>80</v>
      </c>
      <c r="N265" s="273">
        <v>97</v>
      </c>
      <c r="O265">
        <v>263</v>
      </c>
    </row>
    <row r="266" spans="9:15">
      <c r="I266" s="31" t="s">
        <v>91</v>
      </c>
      <c r="J266" s="31" t="str">
        <f>"T12_"&amp;STDLIGHTINEFCAT2[[#This Row],[Ineff DropDown 2]]</f>
        <v>T12_Fixture</v>
      </c>
      <c r="K266" s="277" t="str">
        <f>STDLIGHTINEFCAT2[[#This Row],[Match]]&amp;"_"&amp;STDLIGHTINEFCAT2[[#This Row],[Options]]</f>
        <v>T12_Fixture_3L T12 4' 40W</v>
      </c>
      <c r="L266" s="273" t="s">
        <v>2003</v>
      </c>
      <c r="M266" s="273">
        <f>3*40</f>
        <v>120</v>
      </c>
      <c r="N266" s="273">
        <v>135</v>
      </c>
      <c r="O266">
        <v>264</v>
      </c>
    </row>
    <row r="267" spans="9:15">
      <c r="I267" s="31" t="s">
        <v>91</v>
      </c>
      <c r="J267" s="31" t="str">
        <f>"T12_"&amp;STDLIGHTINEFCAT2[[#This Row],[Ineff DropDown 2]]</f>
        <v>T12_Fixture</v>
      </c>
      <c r="K267" s="277" t="str">
        <f>STDLIGHTINEFCAT2[[#This Row],[Match]]&amp;"_"&amp;STDLIGHTINEFCAT2[[#This Row],[Options]]</f>
        <v>T12_Fixture_4L T12 4' 40W</v>
      </c>
      <c r="L267" s="273" t="s">
        <v>2004</v>
      </c>
      <c r="M267" s="273">
        <f>4*40</f>
        <v>160</v>
      </c>
      <c r="N267" s="273">
        <v>175</v>
      </c>
      <c r="O267">
        <v>265</v>
      </c>
    </row>
    <row r="268" spans="9:15">
      <c r="I268" s="31" t="s">
        <v>91</v>
      </c>
      <c r="J268" s="31" t="str">
        <f>"T12_"&amp;STDLIGHTINEFCAT2[[#This Row],[Ineff DropDown 2]]</f>
        <v>T12_Fixture</v>
      </c>
      <c r="K268" s="277" t="str">
        <f>STDLIGHTINEFCAT2[[#This Row],[Match]]&amp;"_"&amp;STDLIGHTINEFCAT2[[#This Row],[Options]]</f>
        <v>T12_Fixture_1L T12 4' 60W</v>
      </c>
      <c r="L268" s="277" t="s">
        <v>2005</v>
      </c>
      <c r="M268" s="273">
        <v>60</v>
      </c>
      <c r="N268" s="277">
        <v>82</v>
      </c>
      <c r="O268">
        <v>266</v>
      </c>
    </row>
    <row r="269" spans="9:15">
      <c r="I269" s="31" t="s">
        <v>91</v>
      </c>
      <c r="J269" s="31" t="str">
        <f>"T12_"&amp;STDLIGHTINEFCAT2[[#This Row],[Ineff DropDown 2]]</f>
        <v>T12_Fixture</v>
      </c>
      <c r="K269" s="277" t="str">
        <f>STDLIGHTINEFCAT2[[#This Row],[Match]]&amp;"_"&amp;STDLIGHTINEFCAT2[[#This Row],[Options]]</f>
        <v>T12_Fixture_2L T12 4' 60W</v>
      </c>
      <c r="L269" s="273" t="s">
        <v>2006</v>
      </c>
      <c r="M269" s="273">
        <v>120</v>
      </c>
      <c r="N269" s="277">
        <v>133</v>
      </c>
      <c r="O269">
        <v>267</v>
      </c>
    </row>
    <row r="270" spans="9:15">
      <c r="I270" s="31" t="s">
        <v>91</v>
      </c>
      <c r="J270" s="31" t="str">
        <f>"T12_"&amp;STDLIGHTINEFCAT2[[#This Row],[Ineff DropDown 2]]</f>
        <v>T12_Fixture</v>
      </c>
      <c r="K270" s="277" t="str">
        <f>STDLIGHTINEFCAT2[[#This Row],[Match]]&amp;"_"&amp;STDLIGHTINEFCAT2[[#This Row],[Options]]</f>
        <v>T12_Fixture_3L T12 4' 60W</v>
      </c>
      <c r="L270" s="273" t="s">
        <v>2007</v>
      </c>
      <c r="M270" s="273">
        <f>3*60</f>
        <v>180</v>
      </c>
      <c r="N270" s="277">
        <v>204</v>
      </c>
      <c r="O270">
        <v>268</v>
      </c>
    </row>
    <row r="271" spans="9:15">
      <c r="I271" s="31" t="s">
        <v>91</v>
      </c>
      <c r="J271" s="31" t="str">
        <f>"T12_"&amp;STDLIGHTINEFCAT2[[#This Row],[Ineff DropDown 2]]</f>
        <v>T12_Fixture</v>
      </c>
      <c r="K271" s="277" t="str">
        <f>STDLIGHTINEFCAT2[[#This Row],[Match]]&amp;"_"&amp;STDLIGHTINEFCAT2[[#This Row],[Options]]</f>
        <v>T12_Fixture_4L T12 4' 60W</v>
      </c>
      <c r="L271" s="277" t="s">
        <v>2008</v>
      </c>
      <c r="M271" s="272">
        <f>4*60</f>
        <v>240</v>
      </c>
      <c r="N271" s="277">
        <v>263</v>
      </c>
      <c r="O271">
        <v>269</v>
      </c>
    </row>
    <row r="272" spans="9:15">
      <c r="I272" s="31" t="s">
        <v>91</v>
      </c>
      <c r="J272" s="31" t="str">
        <f>"T12_"&amp;STDLIGHTINEFCAT2[[#This Row],[Ineff DropDown 2]]</f>
        <v>T12_Fixture</v>
      </c>
      <c r="K272" s="277" t="str">
        <f>STDLIGHTINEFCAT2[[#This Row],[Match]]&amp;"_"&amp;STDLIGHTINEFCAT2[[#This Row],[Options]]</f>
        <v>T12_Fixture_1L T12 4' 116W</v>
      </c>
      <c r="L272" s="273" t="s">
        <v>2009</v>
      </c>
      <c r="M272" s="273">
        <v>116</v>
      </c>
      <c r="N272" s="277">
        <v>130</v>
      </c>
      <c r="O272">
        <v>270</v>
      </c>
    </row>
    <row r="273" spans="9:15">
      <c r="I273" s="31" t="s">
        <v>91</v>
      </c>
      <c r="J273" s="31" t="str">
        <f>"T12_"&amp;STDLIGHTINEFCAT2[[#This Row],[Ineff DropDown 2]]</f>
        <v>T12_Fixture</v>
      </c>
      <c r="K273" s="277" t="str">
        <f>STDLIGHTINEFCAT2[[#This Row],[Match]]&amp;"_"&amp;STDLIGHTINEFCAT2[[#This Row],[Options]]</f>
        <v>T12_Fixture_2L T12 4' 116W</v>
      </c>
      <c r="L273" s="273" t="s">
        <v>2010</v>
      </c>
      <c r="M273" s="273">
        <f>2*116</f>
        <v>232</v>
      </c>
      <c r="N273" s="277">
        <v>230</v>
      </c>
      <c r="O273">
        <v>271</v>
      </c>
    </row>
    <row r="274" spans="9:15">
      <c r="I274" s="31" t="s">
        <v>91</v>
      </c>
      <c r="J274" s="31" t="str">
        <f>"T12_"&amp;STDLIGHTINEFCAT2[[#This Row],[Ineff DropDown 2]]</f>
        <v>T12_Fixture</v>
      </c>
      <c r="K274" s="277" t="str">
        <f>STDLIGHTINEFCAT2[[#This Row],[Match]]&amp;"_"&amp;STDLIGHTINEFCAT2[[#This Row],[Options]]</f>
        <v>T12_Fixture_3L T12 4' 116W</v>
      </c>
      <c r="L274" s="273" t="s">
        <v>2011</v>
      </c>
      <c r="M274" s="272">
        <f>3*116</f>
        <v>348</v>
      </c>
      <c r="N274" s="277">
        <v>329</v>
      </c>
      <c r="O274">
        <v>272</v>
      </c>
    </row>
    <row r="275" spans="9:15">
      <c r="I275" s="31" t="s">
        <v>91</v>
      </c>
      <c r="J275" s="31" t="str">
        <f>"T12_"&amp;STDLIGHTINEFCAT2[[#This Row],[Ineff DropDown 2]]</f>
        <v>T12_Fixture</v>
      </c>
      <c r="K275" s="277" t="str">
        <f>STDLIGHTINEFCAT2[[#This Row],[Match]]&amp;"_"&amp;STDLIGHTINEFCAT2[[#This Row],[Options]]</f>
        <v>T12_Fixture_----5 ft Lamps----</v>
      </c>
      <c r="L275" s="281" t="s">
        <v>2053</v>
      </c>
      <c r="M275" s="274"/>
      <c r="N275" s="277"/>
      <c r="O275">
        <v>273</v>
      </c>
    </row>
    <row r="276" spans="9:15">
      <c r="I276" s="31" t="s">
        <v>91</v>
      </c>
      <c r="J276" s="31" t="str">
        <f>"T12_"&amp;STDLIGHTINEFCAT2[[#This Row],[Ineff DropDown 2]]</f>
        <v>T12_Fixture</v>
      </c>
      <c r="K276" s="280" t="str">
        <f>STDLIGHTINEFCAT2[[#This Row],[Match]]&amp;"_"&amp;STDLIGHTINEFCAT2[[#This Row],[Options]]</f>
        <v>T12_Fixture_1L T12 5' 138W</v>
      </c>
      <c r="L276" s="280" t="s">
        <v>2012</v>
      </c>
      <c r="M276" s="273">
        <v>138</v>
      </c>
      <c r="N276" s="280">
        <v>140</v>
      </c>
      <c r="O276">
        <v>274</v>
      </c>
    </row>
    <row r="277" spans="9:15">
      <c r="I277" s="31" t="s">
        <v>91</v>
      </c>
      <c r="J277" s="31" t="str">
        <f>"T12_"&amp;STDLIGHTINEFCAT2[[#This Row],[Ineff DropDown 2]]</f>
        <v>T12_Fixture</v>
      </c>
      <c r="K277" s="277" t="str">
        <f>STDLIGHTINEFCAT2[[#This Row],[Match]]&amp;"_"&amp;STDLIGHTINEFCAT2[[#This Row],[Options]]</f>
        <v>T12_Fixture_2L T12 5' 138W</v>
      </c>
      <c r="L277" s="277" t="s">
        <v>2013</v>
      </c>
      <c r="M277" s="277">
        <v>138</v>
      </c>
      <c r="N277" s="277">
        <v>241</v>
      </c>
      <c r="O277">
        <v>275</v>
      </c>
    </row>
    <row r="278" spans="9:15">
      <c r="I278" s="31" t="s">
        <v>91</v>
      </c>
      <c r="J278" s="31" t="str">
        <f>"T12_"&amp;STDLIGHTINEFCAT2[[#This Row],[Ineff DropDown 2]]</f>
        <v>T12_Fixture</v>
      </c>
      <c r="K278" s="277" t="str">
        <f>STDLIGHTINEFCAT2[[#This Row],[Match]]&amp;"_"&amp;STDLIGHTINEFCAT2[[#This Row],[Options]]</f>
        <v>T12_Fixture_1L T12 5' 50W</v>
      </c>
      <c r="L278" s="277" t="s">
        <v>2014</v>
      </c>
      <c r="M278" s="277">
        <v>50</v>
      </c>
      <c r="N278" s="277">
        <v>72</v>
      </c>
      <c r="O278">
        <v>276</v>
      </c>
    </row>
    <row r="279" spans="9:15">
      <c r="I279" s="31" t="s">
        <v>91</v>
      </c>
      <c r="J279" s="31" t="str">
        <f>"T12_"&amp;STDLIGHTINEFCAT2[[#This Row],[Ineff DropDown 2]]</f>
        <v>T12_Fixture</v>
      </c>
      <c r="K279" s="277" t="str">
        <f>STDLIGHTINEFCAT2[[#This Row],[Match]]&amp;"_"&amp;STDLIGHTINEFCAT2[[#This Row],[Options]]</f>
        <v>T12_Fixture_2L T12 5' 50W</v>
      </c>
      <c r="L279" s="277" t="s">
        <v>2015</v>
      </c>
      <c r="M279" s="277">
        <v>100</v>
      </c>
      <c r="N279" s="277">
        <v>111</v>
      </c>
      <c r="O279">
        <v>277</v>
      </c>
    </row>
    <row r="280" spans="9:15">
      <c r="I280" s="31" t="s">
        <v>91</v>
      </c>
      <c r="J280" s="31" t="str">
        <f>"T12_"&amp;STDLIGHTINEFCAT2[[#This Row],[Ineff DropDown 2]]</f>
        <v>T12_Fixture</v>
      </c>
      <c r="K280" s="277" t="str">
        <f>STDLIGHTINEFCAT2[[#This Row],[Match]]&amp;"_"&amp;STDLIGHTINEFCAT2[[#This Row],[Options]]</f>
        <v>T12_Fixture_1L T12 5' 75W</v>
      </c>
      <c r="L280" s="277" t="s">
        <v>2016</v>
      </c>
      <c r="M280" s="277">
        <v>75</v>
      </c>
      <c r="N280" s="277">
        <v>98</v>
      </c>
      <c r="O280">
        <v>278</v>
      </c>
    </row>
    <row r="281" spans="9:15">
      <c r="I281" s="31" t="s">
        <v>91</v>
      </c>
      <c r="J281" s="31" t="str">
        <f>"T12_"&amp;STDLIGHTINEFCAT2[[#This Row],[Ineff DropDown 2]]</f>
        <v>T12_Fixture</v>
      </c>
      <c r="K281" s="277" t="str">
        <f>STDLIGHTINEFCAT2[[#This Row],[Match]]&amp;"_"&amp;STDLIGHTINEFCAT2[[#This Row],[Options]]</f>
        <v>T12_Fixture_2L T12 5' 75W</v>
      </c>
      <c r="L281" s="277" t="s">
        <v>2017</v>
      </c>
      <c r="M281" s="277">
        <f>75*2</f>
        <v>150</v>
      </c>
      <c r="N281" s="277">
        <v>163</v>
      </c>
      <c r="O281">
        <v>279</v>
      </c>
    </row>
    <row r="282" spans="9:15">
      <c r="I282" s="31" t="s">
        <v>91</v>
      </c>
      <c r="J282" s="31" t="str">
        <f>"T12_"&amp;STDLIGHTINEFCAT2[[#This Row],[Ineff DropDown 2]]</f>
        <v>T12_Fixture</v>
      </c>
      <c r="K282" s="277" t="str">
        <f>STDLIGHTINEFCAT2[[#This Row],[Match]]&amp;"_"&amp;STDLIGHTINEFCAT2[[#This Row],[Options]]</f>
        <v>T12_Fixture_3L T12 5' 75W</v>
      </c>
      <c r="L282" s="277" t="s">
        <v>2018</v>
      </c>
      <c r="M282" s="277">
        <f>3*75</f>
        <v>225</v>
      </c>
      <c r="N282" s="277">
        <v>223</v>
      </c>
      <c r="O282">
        <v>280</v>
      </c>
    </row>
    <row r="283" spans="9:15">
      <c r="I283" s="31" t="s">
        <v>91</v>
      </c>
      <c r="J283" s="31" t="str">
        <f>"T12_"&amp;STDLIGHTINEFCAT2[[#This Row],[Ineff DropDown 2]]</f>
        <v>T12_Fixture</v>
      </c>
      <c r="K283" s="277" t="str">
        <f>STDLIGHTINEFCAT2[[#This Row],[Match]]&amp;"_"&amp;STDLIGHTINEFCAT2[[#This Row],[Options]]</f>
        <v>T12_Fixture_4L T12 5' 75W</v>
      </c>
      <c r="L283" s="277" t="s">
        <v>2019</v>
      </c>
      <c r="M283" s="277">
        <f>4*75</f>
        <v>300</v>
      </c>
      <c r="N283" s="277">
        <v>278</v>
      </c>
      <c r="O283">
        <v>281</v>
      </c>
    </row>
    <row r="284" spans="9:15">
      <c r="I284" s="31" t="s">
        <v>91</v>
      </c>
      <c r="J284" s="31" t="str">
        <f>"T12_"&amp;STDLIGHTINEFCAT2[[#This Row],[Ineff DropDown 2]]</f>
        <v>T12_Fixture</v>
      </c>
      <c r="K284" s="277" t="str">
        <f>STDLIGHTINEFCAT2[[#This Row],[Match]]&amp;"_"&amp;STDLIGHTINEFCAT2[[#This Row],[Options]]</f>
        <v>T12_Fixture_----6 ft Lamps----</v>
      </c>
      <c r="L284" s="281" t="s">
        <v>2054</v>
      </c>
      <c r="M284" s="281"/>
      <c r="N284" s="277"/>
      <c r="O284">
        <v>282</v>
      </c>
    </row>
    <row r="285" spans="9:15">
      <c r="I285" s="31" t="s">
        <v>91</v>
      </c>
      <c r="J285" s="31" t="str">
        <f>"T12_"&amp;STDLIGHTINEFCAT2[[#This Row],[Ineff DropDown 2]]</f>
        <v>T12_Fixture</v>
      </c>
      <c r="K285" s="277" t="str">
        <f>STDLIGHTINEFCAT2[[#This Row],[Match]]&amp;"_"&amp;STDLIGHTINEFCAT2[[#This Row],[Options]]</f>
        <v>T12_Fixture_1L T12 6' 168W</v>
      </c>
      <c r="L285" s="277" t="s">
        <v>2020</v>
      </c>
      <c r="M285" s="277">
        <v>168</v>
      </c>
      <c r="N285" s="277">
        <v>169</v>
      </c>
      <c r="O285">
        <v>283</v>
      </c>
    </row>
    <row r="286" spans="9:15">
      <c r="I286" s="31" t="s">
        <v>91</v>
      </c>
      <c r="J286" s="31" t="str">
        <f>"T12_"&amp;STDLIGHTINEFCAT2[[#This Row],[Ineff DropDown 2]]</f>
        <v>T12_Fixture</v>
      </c>
      <c r="K286" s="277" t="str">
        <f>STDLIGHTINEFCAT2[[#This Row],[Match]]&amp;"_"&amp;STDLIGHTINEFCAT2[[#This Row],[Options]]</f>
        <v>T12_Fixture_2L T12 6' 168W</v>
      </c>
      <c r="L286" s="277" t="s">
        <v>2021</v>
      </c>
      <c r="M286" s="282">
        <f>2*168</f>
        <v>336</v>
      </c>
      <c r="N286" s="277">
        <v>314</v>
      </c>
      <c r="O286">
        <v>284</v>
      </c>
    </row>
    <row r="287" spans="9:15">
      <c r="I287" s="31" t="s">
        <v>91</v>
      </c>
      <c r="J287" s="31" t="str">
        <f>"T12_"&amp;STDLIGHTINEFCAT2[[#This Row],[Ineff DropDown 2]]</f>
        <v>T12_Fixture</v>
      </c>
      <c r="K287" s="277" t="str">
        <f>STDLIGHTINEFCAT2[[#This Row],[Match]]&amp;"_"&amp;STDLIGHTINEFCAT2[[#This Row],[Options]]</f>
        <v>T12_Fixture_3L T12 6' 168W</v>
      </c>
      <c r="L287" s="277" t="s">
        <v>2022</v>
      </c>
      <c r="M287" s="283">
        <f>3*168</f>
        <v>504</v>
      </c>
      <c r="N287" s="277">
        <v>424</v>
      </c>
      <c r="O287">
        <v>285</v>
      </c>
    </row>
    <row r="288" spans="9:15">
      <c r="I288" s="31" t="s">
        <v>91</v>
      </c>
      <c r="J288" s="31" t="str">
        <f>"T12_"&amp;STDLIGHTINEFCAT2[[#This Row],[Ineff DropDown 2]]</f>
        <v>T12_Fixture</v>
      </c>
      <c r="K288" s="277" t="str">
        <f>STDLIGHTINEFCAT2[[#This Row],[Match]]&amp;"_"&amp;STDLIGHTINEFCAT2[[#This Row],[Options]]</f>
        <v>T12_Fixture_1L T12 6' 57W</v>
      </c>
      <c r="L288" s="277" t="s">
        <v>2023</v>
      </c>
      <c r="M288" s="277">
        <v>57</v>
      </c>
      <c r="N288" s="277">
        <v>80</v>
      </c>
      <c r="O288">
        <v>286</v>
      </c>
    </row>
    <row r="289" spans="9:15">
      <c r="I289" s="31" t="s">
        <v>91</v>
      </c>
      <c r="J289" s="31" t="str">
        <f>"T12_"&amp;STDLIGHTINEFCAT2[[#This Row],[Ineff DropDown 2]]</f>
        <v>T12_Fixture</v>
      </c>
      <c r="K289" s="277" t="str">
        <f>STDLIGHTINEFCAT2[[#This Row],[Match]]&amp;"_"&amp;STDLIGHTINEFCAT2[[#This Row],[Options]]</f>
        <v>T12_Fixture_2L T12 6' 57W</v>
      </c>
      <c r="L289" s="277" t="s">
        <v>2024</v>
      </c>
      <c r="M289" s="277">
        <f>57*2</f>
        <v>114</v>
      </c>
      <c r="N289" s="277">
        <v>122</v>
      </c>
      <c r="O289">
        <v>287</v>
      </c>
    </row>
    <row r="290" spans="9:15">
      <c r="I290" s="31" t="s">
        <v>91</v>
      </c>
      <c r="J290" s="31" t="str">
        <f>"T12_"&amp;STDLIGHTINEFCAT2[[#This Row],[Ineff DropDown 2]]</f>
        <v>T12_Fixture</v>
      </c>
      <c r="K290" s="277" t="str">
        <f>STDLIGHTINEFCAT2[[#This Row],[Match]]&amp;"_"&amp;STDLIGHTINEFCAT2[[#This Row],[Options]]</f>
        <v>T12_Fixture_1L T12 6' 85W</v>
      </c>
      <c r="L290" s="277" t="s">
        <v>2025</v>
      </c>
      <c r="M290" s="277">
        <v>85</v>
      </c>
      <c r="N290" s="277">
        <v>106</v>
      </c>
      <c r="O290">
        <v>288</v>
      </c>
    </row>
    <row r="291" spans="9:15">
      <c r="I291" s="31" t="s">
        <v>91</v>
      </c>
      <c r="J291" s="31" t="str">
        <f>"T12_"&amp;STDLIGHTINEFCAT2[[#This Row],[Ineff DropDown 2]]</f>
        <v>T12_Fixture</v>
      </c>
      <c r="K291" s="280" t="str">
        <f>STDLIGHTINEFCAT2[[#This Row],[Match]]&amp;"_"&amp;STDLIGHTINEFCAT2[[#This Row],[Options]]</f>
        <v>T12_Fixture_2L T12 6' 85W</v>
      </c>
      <c r="L291" s="280" t="s">
        <v>2026</v>
      </c>
      <c r="M291" s="280">
        <f>2*85</f>
        <v>170</v>
      </c>
      <c r="N291" s="280">
        <v>190</v>
      </c>
      <c r="O291">
        <v>289</v>
      </c>
    </row>
    <row r="292" spans="9:15">
      <c r="I292" s="31" t="s">
        <v>91</v>
      </c>
      <c r="J292" s="31" t="str">
        <f>"T12_"&amp;STDLIGHTINEFCAT2[[#This Row],[Ineff DropDown 2]]</f>
        <v>T12_Fixture</v>
      </c>
      <c r="K292" s="277" t="str">
        <f>STDLIGHTINEFCAT2[[#This Row],[Match]]&amp;"_"&amp;STDLIGHTINEFCAT2[[#This Row],[Options]]</f>
        <v>T12_Fixture_3L T12 6' 85W</v>
      </c>
      <c r="L292" s="277" t="s">
        <v>2027</v>
      </c>
      <c r="M292" s="297">
        <f>3*85</f>
        <v>255</v>
      </c>
      <c r="N292" s="277">
        <v>291</v>
      </c>
      <c r="O292">
        <v>290</v>
      </c>
    </row>
    <row r="293" spans="9:15">
      <c r="I293" s="31" t="s">
        <v>91</v>
      </c>
      <c r="J293" s="31" t="str">
        <f>"T12_"&amp;STDLIGHTINEFCAT2[[#This Row],[Ineff DropDown 2]]</f>
        <v>T12_Fixture</v>
      </c>
      <c r="K293" s="277" t="str">
        <f>STDLIGHTINEFCAT2[[#This Row],[Match]]&amp;"_"&amp;STDLIGHTINEFCAT2[[#This Row],[Options]]</f>
        <v>T12_Fixture_4L T12 6' 85W</v>
      </c>
      <c r="L293" s="277" t="s">
        <v>2028</v>
      </c>
      <c r="M293" s="297">
        <f>4*85</f>
        <v>340</v>
      </c>
      <c r="N293" s="277">
        <v>323</v>
      </c>
      <c r="O293">
        <v>291</v>
      </c>
    </row>
    <row r="294" spans="9:15">
      <c r="I294" s="31" t="s">
        <v>91</v>
      </c>
      <c r="J294" s="31" t="str">
        <f>"T12_"&amp;STDLIGHTINEFCAT2[[#This Row],[Ineff DropDown 2]]</f>
        <v>T12_Fixture</v>
      </c>
      <c r="K294" s="277" t="str">
        <f>STDLIGHTINEFCAT2[[#This Row],[Match]]&amp;"_"&amp;STDLIGHTINEFCAT2[[#This Row],[Options]]</f>
        <v>T12_Fixture_----7 ft Lamps----</v>
      </c>
      <c r="L294" s="281" t="s">
        <v>2055</v>
      </c>
      <c r="M294" s="357"/>
      <c r="N294" s="277"/>
      <c r="O294">
        <v>292</v>
      </c>
    </row>
    <row r="295" spans="9:15">
      <c r="I295" s="31" t="s">
        <v>91</v>
      </c>
      <c r="J295" s="31" t="str">
        <f>"T12_"&amp;STDLIGHTINEFCAT2[[#This Row],[Ineff DropDown 2]]</f>
        <v>T12_Fixture</v>
      </c>
      <c r="K295" s="277" t="str">
        <f>STDLIGHTINEFCAT2[[#This Row],[Match]]&amp;"_"&amp;STDLIGHTINEFCAT2[[#This Row],[Options]]</f>
        <v>T12_Fixture_1L T12 7' 65W</v>
      </c>
      <c r="L295" s="277" t="s">
        <v>2029</v>
      </c>
      <c r="M295" s="277">
        <v>65</v>
      </c>
      <c r="N295" s="277">
        <v>89</v>
      </c>
      <c r="O295">
        <v>293</v>
      </c>
    </row>
    <row r="296" spans="9:15">
      <c r="I296" s="31" t="s">
        <v>91</v>
      </c>
      <c r="J296" s="31" t="str">
        <f>"T12_"&amp;STDLIGHTINEFCAT2[[#This Row],[Ineff DropDown 2]]</f>
        <v>T12_Fixture</v>
      </c>
      <c r="K296" s="277" t="str">
        <f>STDLIGHTINEFCAT2[[#This Row],[Match]]&amp;"_"&amp;STDLIGHTINEFCAT2[[#This Row],[Options]]</f>
        <v>T12_Fixture_2L T12 7' 65W</v>
      </c>
      <c r="L296" s="277" t="s">
        <v>2030</v>
      </c>
      <c r="M296" s="277">
        <f>65*2</f>
        <v>130</v>
      </c>
      <c r="N296" s="277">
        <v>143</v>
      </c>
      <c r="O296">
        <v>294</v>
      </c>
    </row>
    <row r="297" spans="9:15">
      <c r="I297" s="31" t="s">
        <v>91</v>
      </c>
      <c r="J297" s="31" t="str">
        <f>"T12_"&amp;STDLIGHTINEFCAT2[[#This Row],[Ineff DropDown 2]]</f>
        <v>T12_Fixture</v>
      </c>
      <c r="K297" s="277" t="str">
        <f>STDLIGHTINEFCAT2[[#This Row],[Match]]&amp;"_"&amp;STDLIGHTINEFCAT2[[#This Row],[Options]]</f>
        <v>T12_Fixture_1L T12 7' 100W</v>
      </c>
      <c r="L297" s="277" t="s">
        <v>2031</v>
      </c>
      <c r="M297" s="277">
        <v>100</v>
      </c>
      <c r="N297" s="277">
        <v>113</v>
      </c>
      <c r="O297">
        <v>295</v>
      </c>
    </row>
    <row r="298" spans="9:15">
      <c r="I298" s="31" t="s">
        <v>91</v>
      </c>
      <c r="J298" s="31" t="str">
        <f>"T12_"&amp;STDLIGHTINEFCAT2[[#This Row],[Ineff DropDown 2]]</f>
        <v>T12_Fixture</v>
      </c>
      <c r="K298" s="277" t="str">
        <f>STDLIGHTINEFCAT2[[#This Row],[Match]]&amp;"_"&amp;STDLIGHTINEFCAT2[[#This Row],[Options]]</f>
        <v>T12_Fixture_2L T12 7' 100W</v>
      </c>
      <c r="L298" s="277" t="s">
        <v>2032</v>
      </c>
      <c r="M298" s="277">
        <v>200</v>
      </c>
      <c r="N298" s="277">
        <v>209</v>
      </c>
      <c r="O298">
        <v>296</v>
      </c>
    </row>
    <row r="299" spans="9:15">
      <c r="I299" s="31" t="s">
        <v>91</v>
      </c>
      <c r="J299" s="31" t="str">
        <f>"T12_"&amp;STDLIGHTINEFCAT2[[#This Row],[Ineff DropDown 2]]</f>
        <v>T12_Fixture</v>
      </c>
      <c r="K299" s="277" t="str">
        <f>STDLIGHTINEFCAT2[[#This Row],[Match]]&amp;"_"&amp;STDLIGHTINEFCAT2[[#This Row],[Options]]</f>
        <v>T12_Fixture_3L T12 7' 100W</v>
      </c>
      <c r="L299" s="277" t="s">
        <v>2033</v>
      </c>
      <c r="M299" s="277">
        <v>300</v>
      </c>
      <c r="N299" s="277">
        <v>278</v>
      </c>
      <c r="O299">
        <v>297</v>
      </c>
    </row>
    <row r="300" spans="9:15">
      <c r="I300" s="31" t="s">
        <v>91</v>
      </c>
      <c r="J300" s="31" t="str">
        <f>"T12_"&amp;STDLIGHTINEFCAT2[[#This Row],[Ineff DropDown 2]]</f>
        <v>T12_Fixture</v>
      </c>
      <c r="K300" s="277" t="str">
        <f>STDLIGHTINEFCAT2[[#This Row],[Match]]&amp;"_"&amp;STDLIGHTINEFCAT2[[#This Row],[Options]]</f>
        <v>T12_Fixture_----8 ft Lamps----</v>
      </c>
      <c r="L300" s="281" t="s">
        <v>2056</v>
      </c>
      <c r="M300" s="281"/>
      <c r="N300" s="277"/>
      <c r="O300">
        <v>298</v>
      </c>
    </row>
    <row r="301" spans="9:15">
      <c r="I301" s="31" t="s">
        <v>91</v>
      </c>
      <c r="J301" s="31" t="str">
        <f>"T12_"&amp;STDLIGHTINEFCAT2[[#This Row],[Ineff DropDown 2]]</f>
        <v>T12_Fixture</v>
      </c>
      <c r="K301" s="277" t="str">
        <f>STDLIGHTINEFCAT2[[#This Row],[Match]]&amp;"_"&amp;STDLIGHTINEFCAT2[[#This Row],[Options]]</f>
        <v>T12_Fixture_1L T12 8' 60W</v>
      </c>
      <c r="L301" s="277" t="s">
        <v>2034</v>
      </c>
      <c r="M301" s="277">
        <v>60</v>
      </c>
      <c r="N301" s="277">
        <v>74</v>
      </c>
      <c r="O301">
        <v>299</v>
      </c>
    </row>
    <row r="302" spans="9:15">
      <c r="I302" s="31" t="s">
        <v>91</v>
      </c>
      <c r="J302" s="31" t="str">
        <f>"T12_"&amp;STDLIGHTINEFCAT2[[#This Row],[Ineff DropDown 2]]</f>
        <v>T12_Fixture</v>
      </c>
      <c r="K302" s="277" t="str">
        <f>STDLIGHTINEFCAT2[[#This Row],[Match]]&amp;"_"&amp;STDLIGHTINEFCAT2[[#This Row],[Options]]</f>
        <v>T12_Fixture_2L T12 8' 60W</v>
      </c>
      <c r="L302" s="277" t="s">
        <v>2035</v>
      </c>
      <c r="M302" s="277">
        <v>120</v>
      </c>
      <c r="N302" s="277">
        <v>113</v>
      </c>
      <c r="O302">
        <v>300</v>
      </c>
    </row>
    <row r="303" spans="9:15">
      <c r="I303" s="31" t="s">
        <v>91</v>
      </c>
      <c r="J303" s="31" t="str">
        <f>"T12_"&amp;STDLIGHTINEFCAT2[[#This Row],[Ineff DropDown 2]]</f>
        <v>T12_Fixture</v>
      </c>
      <c r="K303" s="277" t="str">
        <f>STDLIGHTINEFCAT2[[#This Row],[Match]]&amp;"_"&amp;STDLIGHTINEFCAT2[[#This Row],[Options]]</f>
        <v>T12_Fixture_4L T12 8' 60W</v>
      </c>
      <c r="L303" s="277" t="s">
        <v>2036</v>
      </c>
      <c r="M303" s="277">
        <f>4*60</f>
        <v>240</v>
      </c>
      <c r="N303" s="277">
        <v>246</v>
      </c>
      <c r="O303">
        <v>301</v>
      </c>
    </row>
    <row r="304" spans="9:15">
      <c r="I304" s="31" t="s">
        <v>91</v>
      </c>
      <c r="J304" s="31" t="str">
        <f>"T12_"&amp;STDLIGHTINEFCAT2[[#This Row],[Ineff DropDown 2]]</f>
        <v>T12_Fixture</v>
      </c>
      <c r="K304" s="277" t="str">
        <f>STDLIGHTINEFCAT2[[#This Row],[Match]]&amp;"_"&amp;STDLIGHTINEFCAT2[[#This Row],[Options]]</f>
        <v>T12_Fixture_1L T12 8' 75W</v>
      </c>
      <c r="L304" s="277" t="s">
        <v>2037</v>
      </c>
      <c r="M304" s="277">
        <v>75</v>
      </c>
      <c r="N304" s="277">
        <v>94</v>
      </c>
      <c r="O304">
        <v>302</v>
      </c>
    </row>
    <row r="305" spans="9:15">
      <c r="I305" s="31" t="s">
        <v>91</v>
      </c>
      <c r="J305" s="31" t="str">
        <f>"T12_"&amp;STDLIGHTINEFCAT2[[#This Row],[Ineff DropDown 2]]</f>
        <v>T12_Fixture</v>
      </c>
      <c r="K305" s="277" t="str">
        <f>STDLIGHTINEFCAT2[[#This Row],[Match]]&amp;"_"&amp;STDLIGHTINEFCAT2[[#This Row],[Options]]</f>
        <v>T12_Fixture_2L T12 8' 75W</v>
      </c>
      <c r="L305" s="277" t="s">
        <v>2038</v>
      </c>
      <c r="M305" s="277">
        <f>2*75</f>
        <v>150</v>
      </c>
      <c r="N305" s="277">
        <v>145</v>
      </c>
      <c r="O305">
        <v>303</v>
      </c>
    </row>
    <row r="306" spans="9:15">
      <c r="I306" s="31" t="s">
        <v>91</v>
      </c>
      <c r="J306" s="31" t="str">
        <f>"T12_"&amp;STDLIGHTINEFCAT2[[#This Row],[Ineff DropDown 2]]</f>
        <v>T12_Fixture</v>
      </c>
      <c r="K306" s="277" t="str">
        <f>STDLIGHTINEFCAT2[[#This Row],[Match]]&amp;"_"&amp;STDLIGHTINEFCAT2[[#This Row],[Options]]</f>
        <v>T12_Fixture_1L T12 8' 95W</v>
      </c>
      <c r="L306" s="277" t="s">
        <v>2039</v>
      </c>
      <c r="M306" s="277">
        <v>95</v>
      </c>
      <c r="N306" s="277">
        <v>125</v>
      </c>
      <c r="O306">
        <v>304</v>
      </c>
    </row>
    <row r="307" spans="9:15">
      <c r="I307" s="31" t="s">
        <v>91</v>
      </c>
      <c r="J307" s="31" t="str">
        <f>"T12_"&amp;STDLIGHTINEFCAT2[[#This Row],[Ineff DropDown 2]]</f>
        <v>T12_Fixture</v>
      </c>
      <c r="K307" s="277" t="str">
        <f>STDLIGHTINEFCAT2[[#This Row],[Match]]&amp;"_"&amp;STDLIGHTINEFCAT2[[#This Row],[Options]]</f>
        <v>T12_Fixture_2L T12 8' 95W</v>
      </c>
      <c r="L307" s="277" t="s">
        <v>2040</v>
      </c>
      <c r="M307" s="277">
        <f>2*95</f>
        <v>190</v>
      </c>
      <c r="N307" s="277">
        <v>216</v>
      </c>
      <c r="O307">
        <v>305</v>
      </c>
    </row>
    <row r="308" spans="9:15">
      <c r="I308" s="31" t="s">
        <v>91</v>
      </c>
      <c r="J308" s="31" t="str">
        <f>"T12_"&amp;STDLIGHTINEFCAT2[[#This Row],[Ineff DropDown 2]]</f>
        <v>T12_Fixture</v>
      </c>
      <c r="K308" s="277" t="str">
        <f>STDLIGHTINEFCAT2[[#This Row],[Match]]&amp;"_"&amp;STDLIGHTINEFCAT2[[#This Row],[Options]]</f>
        <v>T12_Fixture_1L T12 8' 110W</v>
      </c>
      <c r="L308" s="277" t="s">
        <v>2041</v>
      </c>
      <c r="M308" s="277">
        <v>110</v>
      </c>
      <c r="N308" s="277">
        <v>140</v>
      </c>
      <c r="O308">
        <v>306</v>
      </c>
    </row>
    <row r="309" spans="9:15">
      <c r="I309" s="31" t="s">
        <v>91</v>
      </c>
      <c r="J309" s="31" t="str">
        <f>"T12_"&amp;STDLIGHTINEFCAT2[[#This Row],[Ineff DropDown 2]]</f>
        <v>T12_Fixture</v>
      </c>
      <c r="K309" s="277" t="str">
        <f>STDLIGHTINEFCAT2[[#This Row],[Match]]&amp;"_"&amp;STDLIGHTINEFCAT2[[#This Row],[Options]]</f>
        <v>T12_Fixture_2L T12 8' 110W</v>
      </c>
      <c r="L309" s="277" t="s">
        <v>2042</v>
      </c>
      <c r="M309" s="282">
        <f>2*110</f>
        <v>220</v>
      </c>
      <c r="N309" s="277">
        <v>258</v>
      </c>
      <c r="O309">
        <v>307</v>
      </c>
    </row>
    <row r="310" spans="9:15">
      <c r="I310" s="31" t="s">
        <v>91</v>
      </c>
      <c r="J310" s="31" t="str">
        <f>"T12_"&amp;STDLIGHTINEFCAT2[[#This Row],[Ineff DropDown 2]]</f>
        <v>T12_Fixture</v>
      </c>
      <c r="K310" s="277" t="str">
        <f>STDLIGHTINEFCAT2[[#This Row],[Match]]&amp;"_"&amp;STDLIGHTINEFCAT2[[#This Row],[Options]]</f>
        <v>T12_Fixture_1L T12 8' 185W</v>
      </c>
      <c r="L310" s="277" t="s">
        <v>2043</v>
      </c>
      <c r="M310" s="277">
        <v>185</v>
      </c>
      <c r="N310" s="277">
        <v>198</v>
      </c>
      <c r="O310">
        <v>308</v>
      </c>
    </row>
    <row r="311" spans="9:15">
      <c r="I311" s="31" t="s">
        <v>91</v>
      </c>
      <c r="J311" s="31" t="str">
        <f>"T12_"&amp;STDLIGHTINEFCAT2[[#This Row],[Ineff DropDown 2]]</f>
        <v>T12_Fixture</v>
      </c>
      <c r="K311" s="277" t="str">
        <f>STDLIGHTINEFCAT2[[#This Row],[Match]]&amp;"_"&amp;STDLIGHTINEFCAT2[[#This Row],[Options]]</f>
        <v>T12_Fixture_2L T12 8' 185W</v>
      </c>
      <c r="L311" s="277" t="s">
        <v>2044</v>
      </c>
      <c r="M311" s="282">
        <f>2*185</f>
        <v>370</v>
      </c>
      <c r="N311" s="277">
        <v>398</v>
      </c>
      <c r="O311">
        <v>309</v>
      </c>
    </row>
    <row r="312" spans="9:15">
      <c r="I312" s="31" t="s">
        <v>91</v>
      </c>
      <c r="J312" s="31" t="str">
        <f>"T12_"&amp;STDLIGHTINEFCAT2[[#This Row],[Ineff DropDown 2]]</f>
        <v>T12_Fixture</v>
      </c>
      <c r="K312" s="277" t="str">
        <f>STDLIGHTINEFCAT2[[#This Row],[Match]]&amp;"_"&amp;STDLIGHTINEFCAT2[[#This Row],[Options]]</f>
        <v>T12_Fixture_3L T12 8' 185W</v>
      </c>
      <c r="L312" s="277" t="s">
        <v>2045</v>
      </c>
      <c r="M312" s="277">
        <f>3*185</f>
        <v>555</v>
      </c>
      <c r="N312" s="277">
        <v>550</v>
      </c>
      <c r="O312">
        <v>310</v>
      </c>
    </row>
    <row r="313" spans="9:15">
      <c r="I313" s="31" t="s">
        <v>91</v>
      </c>
      <c r="J313" s="31" t="str">
        <f>"T12_"&amp;STDLIGHTINEFCAT2[[#This Row],[Ineff DropDown 2]]</f>
        <v>T12_Fixture</v>
      </c>
      <c r="K313" s="277" t="str">
        <f>STDLIGHTINEFCAT2[[#This Row],[Match]]&amp;"_"&amp;STDLIGHTINEFCAT2[[#This Row],[Options]]</f>
        <v>T12_Fixture_1L T12 8' 215W</v>
      </c>
      <c r="L313" s="277" t="s">
        <v>2046</v>
      </c>
      <c r="M313" s="277">
        <v>215</v>
      </c>
      <c r="N313" s="277">
        <v>213</v>
      </c>
      <c r="O313">
        <v>311</v>
      </c>
    </row>
    <row r="314" spans="9:15">
      <c r="I314" s="31" t="s">
        <v>91</v>
      </c>
      <c r="J314" s="31" t="str">
        <f>"T12_"&amp;STDLIGHTINEFCAT2[[#This Row],[Ineff DropDown 2]]</f>
        <v>T12_Fixture</v>
      </c>
      <c r="K314" s="277" t="str">
        <f>STDLIGHTINEFCAT2[[#This Row],[Match]]&amp;"_"&amp;STDLIGHTINEFCAT2[[#This Row],[Options]]</f>
        <v>T12_Fixture_2L T12 8' 215W</v>
      </c>
      <c r="L314" s="277" t="s">
        <v>2047</v>
      </c>
      <c r="M314" s="282">
        <f>2*215</f>
        <v>430</v>
      </c>
      <c r="N314" s="277">
        <v>320</v>
      </c>
      <c r="O314">
        <v>312</v>
      </c>
    </row>
    <row r="315" spans="9:15">
      <c r="I315" s="31" t="s">
        <v>91</v>
      </c>
      <c r="J315" s="31" t="str">
        <f>"T12_"&amp;STDLIGHTINEFCAT2[[#This Row],[Ineff DropDown 2]]</f>
        <v>T12_Fixture</v>
      </c>
      <c r="K315" s="277" t="str">
        <f>STDLIGHTINEFCAT2[[#This Row],[Match]]&amp;"_"&amp;STDLIGHTINEFCAT2[[#This Row],[Options]]</f>
        <v>T12_Fixture_3L T12 8' 215W</v>
      </c>
      <c r="L315" s="277" t="s">
        <v>2048</v>
      </c>
      <c r="M315" s="283">
        <f>3*215</f>
        <v>645</v>
      </c>
      <c r="N315" s="277">
        <v>518</v>
      </c>
      <c r="O315">
        <v>313</v>
      </c>
    </row>
    <row r="316" spans="9:15">
      <c r="I316" t="s">
        <v>2493</v>
      </c>
      <c r="J316" s="31" t="str">
        <f>"T12_"&amp;STDLIGHTINEFCAT2[[#This Row],[Ineff DropDown 2]]</f>
        <v>T12_PG &lt;=130</v>
      </c>
      <c r="K316" s="277" t="str">
        <f>STDLIGHTINEFCAT2[[#This Row],[Match]]&amp;"_"&amp;STDLIGHTINEFCAT2[[#This Row],[Options]]</f>
        <v>T12_PG &lt;=130_----2 ft Lamps----</v>
      </c>
      <c r="L316" s="281" t="s">
        <v>2050</v>
      </c>
      <c r="M316" s="281"/>
      <c r="N316" s="277"/>
      <c r="O316">
        <v>314</v>
      </c>
    </row>
    <row r="317" spans="9:15">
      <c r="I317" t="s">
        <v>2493</v>
      </c>
      <c r="J317" s="31" t="str">
        <f>"T12_"&amp;STDLIGHTINEFCAT2[[#This Row],[Ineff DropDown 2]]</f>
        <v>T12_PG &lt;=130</v>
      </c>
      <c r="K317" s="277" t="str">
        <f>STDLIGHTINEFCAT2[[#This Row],[Match]]&amp;"_"&amp;STDLIGHTINEFCAT2[[#This Row],[Options]]</f>
        <v>T12_PG &lt;=130_1L T12 2' 20W</v>
      </c>
      <c r="L317" s="277" t="s">
        <v>1971</v>
      </c>
      <c r="M317" s="277">
        <v>20</v>
      </c>
      <c r="N317" s="277">
        <v>21</v>
      </c>
      <c r="O317">
        <v>315</v>
      </c>
    </row>
    <row r="318" spans="9:15">
      <c r="I318" t="s">
        <v>2493</v>
      </c>
      <c r="J318" s="31" t="str">
        <f>"T12_"&amp;STDLIGHTINEFCAT2[[#This Row],[Ineff DropDown 2]]</f>
        <v>T12_PG &lt;=130</v>
      </c>
      <c r="K318" s="277" t="str">
        <f>STDLIGHTINEFCAT2[[#This Row],[Match]]&amp;"_"&amp;STDLIGHTINEFCAT2[[#This Row],[Options]]</f>
        <v>T12_PG &lt;=130_2L T12 2' 20W</v>
      </c>
      <c r="L318" s="277" t="s">
        <v>1972</v>
      </c>
      <c r="M318" s="277">
        <v>40</v>
      </c>
      <c r="N318" s="277">
        <v>53</v>
      </c>
      <c r="O318">
        <v>316</v>
      </c>
    </row>
    <row r="319" spans="9:15">
      <c r="I319" t="s">
        <v>2493</v>
      </c>
      <c r="J319" s="31" t="str">
        <f>"T12_"&amp;STDLIGHTINEFCAT2[[#This Row],[Ineff DropDown 2]]</f>
        <v>T12_PG &lt;=130</v>
      </c>
      <c r="K319" s="277" t="str">
        <f>STDLIGHTINEFCAT2[[#This Row],[Match]]&amp;"_"&amp;STDLIGHTINEFCAT2[[#This Row],[Options]]</f>
        <v>T12_PG &lt;=130_3L T12 2' 20W</v>
      </c>
      <c r="L319" s="277" t="s">
        <v>1973</v>
      </c>
      <c r="M319" s="277">
        <v>60</v>
      </c>
      <c r="N319" s="277">
        <v>64</v>
      </c>
      <c r="O319">
        <v>317</v>
      </c>
    </row>
    <row r="320" spans="9:15">
      <c r="I320" t="s">
        <v>2493</v>
      </c>
      <c r="J320" s="31" t="str">
        <f>"T12_"&amp;STDLIGHTINEFCAT2[[#This Row],[Ineff DropDown 2]]</f>
        <v>T12_PG &lt;=130</v>
      </c>
      <c r="K320" s="277" t="str">
        <f>STDLIGHTINEFCAT2[[#This Row],[Match]]&amp;"_"&amp;STDLIGHTINEFCAT2[[#This Row],[Options]]</f>
        <v>T12_PG &lt;=130_4L T12 2' 20W</v>
      </c>
      <c r="L320" s="277" t="s">
        <v>1974</v>
      </c>
      <c r="M320" s="277">
        <v>80</v>
      </c>
      <c r="N320" s="277">
        <v>91</v>
      </c>
      <c r="O320">
        <v>318</v>
      </c>
    </row>
    <row r="321" spans="9:15">
      <c r="I321" t="s">
        <v>2493</v>
      </c>
      <c r="J321" s="31" t="str">
        <f>"T12_"&amp;STDLIGHTINEFCAT2[[#This Row],[Ineff DropDown 2]]</f>
        <v>T12_PG &lt;=130</v>
      </c>
      <c r="K321" s="277" t="str">
        <f>STDLIGHTINEFCAT2[[#This Row],[Match]]&amp;"_"&amp;STDLIGHTINEFCAT2[[#This Row],[Options]]</f>
        <v>T12_PG &lt;=130_1L T12 2' 35W</v>
      </c>
      <c r="L321" s="277" t="s">
        <v>1975</v>
      </c>
      <c r="M321" s="277">
        <v>35</v>
      </c>
      <c r="N321" s="277">
        <v>64</v>
      </c>
      <c r="O321">
        <v>319</v>
      </c>
    </row>
    <row r="322" spans="9:15">
      <c r="I322" t="s">
        <v>2493</v>
      </c>
      <c r="J322" s="31" t="str">
        <f>"T12_"&amp;STDLIGHTINEFCAT2[[#This Row],[Ineff DropDown 2]]</f>
        <v>T12_PG &lt;=130</v>
      </c>
      <c r="K322" s="277" t="str">
        <f>STDLIGHTINEFCAT2[[#This Row],[Match]]&amp;"_"&amp;STDLIGHTINEFCAT2[[#This Row],[Options]]</f>
        <v>T12_PG &lt;=130_2L T12 2' 35W</v>
      </c>
      <c r="L322" s="277" t="s">
        <v>1976</v>
      </c>
      <c r="M322" s="277">
        <v>70</v>
      </c>
      <c r="N322" s="277">
        <v>95</v>
      </c>
      <c r="O322">
        <v>320</v>
      </c>
    </row>
    <row r="323" spans="9:15">
      <c r="I323" t="s">
        <v>2493</v>
      </c>
      <c r="J323" s="31" t="str">
        <f>"T12_"&amp;STDLIGHTINEFCAT2[[#This Row],[Ineff DropDown 2]]</f>
        <v>T12_PG &lt;=130</v>
      </c>
      <c r="K323" s="277" t="str">
        <f>STDLIGHTINEFCAT2[[#This Row],[Match]]&amp;"_"&amp;STDLIGHTINEFCAT2[[#This Row],[Options]]</f>
        <v>T12_PG &lt;=130_----3 ft Lamps----</v>
      </c>
      <c r="L323" s="281" t="s">
        <v>2051</v>
      </c>
      <c r="M323" s="281"/>
      <c r="N323" s="277"/>
      <c r="O323">
        <v>321</v>
      </c>
    </row>
    <row r="324" spans="9:15">
      <c r="I324" t="s">
        <v>2493</v>
      </c>
      <c r="J324" s="31" t="str">
        <f>"T12_"&amp;STDLIGHTINEFCAT2[[#This Row],[Ineff DropDown 2]]</f>
        <v>T12_PG &lt;=130</v>
      </c>
      <c r="K324" s="277" t="str">
        <f>STDLIGHTINEFCAT2[[#This Row],[Match]]&amp;"_"&amp;STDLIGHTINEFCAT2[[#This Row],[Options]]</f>
        <v>T12_PG &lt;=130_1L T12 3' 21W</v>
      </c>
      <c r="L324" s="277" t="s">
        <v>1979</v>
      </c>
      <c r="M324" s="277">
        <v>21</v>
      </c>
      <c r="N324" s="277">
        <v>25</v>
      </c>
      <c r="O324">
        <v>322</v>
      </c>
    </row>
    <row r="325" spans="9:15">
      <c r="I325" t="s">
        <v>2493</v>
      </c>
      <c r="J325" s="31" t="str">
        <f>"T12_"&amp;STDLIGHTINEFCAT2[[#This Row],[Ineff DropDown 2]]</f>
        <v>T12_PG &lt;=130</v>
      </c>
      <c r="K325" s="277" t="str">
        <f>STDLIGHTINEFCAT2[[#This Row],[Match]]&amp;"_"&amp;STDLIGHTINEFCAT2[[#This Row],[Options]]</f>
        <v>T12_PG &lt;=130_2L T12 3' 21W</v>
      </c>
      <c r="L325" s="277" t="s">
        <v>1980</v>
      </c>
      <c r="M325" s="277">
        <v>42</v>
      </c>
      <c r="N325" s="277">
        <v>49</v>
      </c>
      <c r="O325">
        <v>323</v>
      </c>
    </row>
    <row r="326" spans="9:15">
      <c r="I326" t="s">
        <v>2493</v>
      </c>
      <c r="J326" s="31" t="str">
        <f>"T12_"&amp;STDLIGHTINEFCAT2[[#This Row],[Ineff DropDown 2]]</f>
        <v>T12_PG &lt;=130</v>
      </c>
      <c r="K326" s="277" t="str">
        <f>STDLIGHTINEFCAT2[[#This Row],[Match]]&amp;"_"&amp;STDLIGHTINEFCAT2[[#This Row],[Options]]</f>
        <v>T12_PG &lt;=130_1L T12 3' 24W</v>
      </c>
      <c r="L326" s="277" t="s">
        <v>1981</v>
      </c>
      <c r="M326" s="277">
        <v>24</v>
      </c>
      <c r="N326" s="277">
        <v>45</v>
      </c>
      <c r="O326">
        <v>324</v>
      </c>
    </row>
    <row r="327" spans="9:15">
      <c r="I327" t="s">
        <v>2493</v>
      </c>
      <c r="J327" s="31" t="str">
        <f>"T12_"&amp;STDLIGHTINEFCAT2[[#This Row],[Ineff DropDown 2]]</f>
        <v>T12_PG &lt;=130</v>
      </c>
      <c r="K327" s="277" t="str">
        <f>STDLIGHTINEFCAT2[[#This Row],[Match]]&amp;"_"&amp;STDLIGHTINEFCAT2[[#This Row],[Options]]</f>
        <v>T12_PG &lt;=130_2L T12 3' 24W</v>
      </c>
      <c r="L327" s="277" t="s">
        <v>1982</v>
      </c>
      <c r="M327" s="277">
        <v>48</v>
      </c>
      <c r="N327" s="277">
        <v>65</v>
      </c>
      <c r="O327">
        <v>325</v>
      </c>
    </row>
    <row r="328" spans="9:15">
      <c r="I328" t="s">
        <v>2493</v>
      </c>
      <c r="J328" s="31" t="str">
        <f>"T12_"&amp;STDLIGHTINEFCAT2[[#This Row],[Ineff DropDown 2]]</f>
        <v>T12_PG &lt;=130</v>
      </c>
      <c r="K328" s="277" t="str">
        <f>STDLIGHTINEFCAT2[[#This Row],[Match]]&amp;"_"&amp;STDLIGHTINEFCAT2[[#This Row],[Options]]</f>
        <v>T12_PG &lt;=130_1L T12 3' 25W</v>
      </c>
      <c r="L328" s="277" t="s">
        <v>1983</v>
      </c>
      <c r="M328" s="277">
        <v>25</v>
      </c>
      <c r="N328" s="277">
        <v>35</v>
      </c>
      <c r="O328">
        <v>326</v>
      </c>
    </row>
    <row r="329" spans="9:15">
      <c r="I329" t="s">
        <v>2493</v>
      </c>
      <c r="J329" s="31" t="str">
        <f>"T12_"&amp;STDLIGHTINEFCAT2[[#This Row],[Ineff DropDown 2]]</f>
        <v>T12_PG &lt;=130</v>
      </c>
      <c r="K329" s="277" t="str">
        <f>STDLIGHTINEFCAT2[[#This Row],[Match]]&amp;"_"&amp;STDLIGHTINEFCAT2[[#This Row],[Options]]</f>
        <v>T12_PG &lt;=130_2L T12 3' 25W</v>
      </c>
      <c r="L329" s="277" t="s">
        <v>1984</v>
      </c>
      <c r="M329" s="277">
        <v>50</v>
      </c>
      <c r="N329" s="277">
        <v>71</v>
      </c>
      <c r="O329">
        <v>327</v>
      </c>
    </row>
    <row r="330" spans="9:15">
      <c r="I330" t="s">
        <v>2493</v>
      </c>
      <c r="J330" s="31" t="str">
        <f>"T12_"&amp;STDLIGHTINEFCAT2[[#This Row],[Ineff DropDown 2]]</f>
        <v>T12_PG &lt;=130</v>
      </c>
      <c r="K330" s="277" t="str">
        <f>STDLIGHTINEFCAT2[[#This Row],[Match]]&amp;"_"&amp;STDLIGHTINEFCAT2[[#This Row],[Options]]</f>
        <v>T12_PG &lt;=130_3L T12 3' 25W</v>
      </c>
      <c r="L330" s="277" t="s">
        <v>1985</v>
      </c>
      <c r="M330" s="277">
        <v>75</v>
      </c>
      <c r="N330" s="277">
        <v>70</v>
      </c>
      <c r="O330">
        <v>328</v>
      </c>
    </row>
    <row r="331" spans="9:15">
      <c r="I331" t="s">
        <v>2493</v>
      </c>
      <c r="J331" s="31" t="str">
        <f>"T12_"&amp;STDLIGHTINEFCAT2[[#This Row],[Ineff DropDown 2]]</f>
        <v>T12_PG &lt;=130</v>
      </c>
      <c r="K331" s="277" t="str">
        <f>STDLIGHTINEFCAT2[[#This Row],[Match]]&amp;"_"&amp;STDLIGHTINEFCAT2[[#This Row],[Options]]</f>
        <v>T12_PG &lt;=130_4L T12 3' 25W</v>
      </c>
      <c r="L331" s="277" t="s">
        <v>1986</v>
      </c>
      <c r="M331" s="277">
        <v>100</v>
      </c>
      <c r="N331" s="277">
        <v>88</v>
      </c>
      <c r="O331">
        <v>329</v>
      </c>
    </row>
    <row r="332" spans="9:15">
      <c r="I332" t="s">
        <v>2493</v>
      </c>
      <c r="J332" s="31" t="str">
        <f>"T12_"&amp;STDLIGHTINEFCAT2[[#This Row],[Ineff DropDown 2]]</f>
        <v>T12_PG &lt;=130</v>
      </c>
      <c r="K332" s="277" t="str">
        <f>STDLIGHTINEFCAT2[[#This Row],[Match]]&amp;"_"&amp;STDLIGHTINEFCAT2[[#This Row],[Options]]</f>
        <v>T12_PG &lt;=130_1L T12 3' 30W</v>
      </c>
      <c r="L332" s="277" t="s">
        <v>1987</v>
      </c>
      <c r="M332" s="277">
        <v>30</v>
      </c>
      <c r="N332" s="277">
        <v>40</v>
      </c>
      <c r="O332">
        <v>330</v>
      </c>
    </row>
    <row r="333" spans="9:15">
      <c r="I333" t="s">
        <v>2493</v>
      </c>
      <c r="J333" s="31" t="str">
        <f>"T12_"&amp;STDLIGHTINEFCAT2[[#This Row],[Ineff DropDown 2]]</f>
        <v>T12_PG &lt;=130</v>
      </c>
      <c r="K333" s="277" t="str">
        <f>STDLIGHTINEFCAT2[[#This Row],[Match]]&amp;"_"&amp;STDLIGHTINEFCAT2[[#This Row],[Options]]</f>
        <v>T12_PG &lt;=130_2L T12 3' 30W</v>
      </c>
      <c r="L333" s="277" t="s">
        <v>1988</v>
      </c>
      <c r="M333" s="277">
        <v>60</v>
      </c>
      <c r="N333" s="277">
        <v>75</v>
      </c>
      <c r="O333">
        <v>331</v>
      </c>
    </row>
    <row r="334" spans="9:15">
      <c r="I334" t="s">
        <v>2493</v>
      </c>
      <c r="J334" s="31" t="str">
        <f>"T12_"&amp;STDLIGHTINEFCAT2[[#This Row],[Ineff DropDown 2]]</f>
        <v>T12_PG &lt;=130</v>
      </c>
      <c r="K334" s="277" t="str">
        <f>STDLIGHTINEFCAT2[[#This Row],[Match]]&amp;"_"&amp;STDLIGHTINEFCAT2[[#This Row],[Options]]</f>
        <v>T12_PG &lt;=130_3L T12 3' 30W</v>
      </c>
      <c r="L334" s="277" t="s">
        <v>1989</v>
      </c>
      <c r="M334" s="277">
        <v>90</v>
      </c>
      <c r="N334" s="277">
        <v>113</v>
      </c>
      <c r="O334">
        <v>332</v>
      </c>
    </row>
    <row r="335" spans="9:15">
      <c r="I335" t="s">
        <v>2493</v>
      </c>
      <c r="J335" s="31" t="str">
        <f>"T12_"&amp;STDLIGHTINEFCAT2[[#This Row],[Ineff DropDown 2]]</f>
        <v>T12_PG &lt;=130</v>
      </c>
      <c r="K335" s="277" t="str">
        <f>STDLIGHTINEFCAT2[[#This Row],[Match]]&amp;"_"&amp;STDLIGHTINEFCAT2[[#This Row],[Options]]</f>
        <v>T12_PG &lt;=130_1L T12 3' 50W</v>
      </c>
      <c r="L335" s="277" t="s">
        <v>1991</v>
      </c>
      <c r="M335" s="277">
        <v>50</v>
      </c>
      <c r="N335" s="277">
        <v>72</v>
      </c>
      <c r="O335">
        <v>333</v>
      </c>
    </row>
    <row r="336" spans="9:15">
      <c r="I336" t="s">
        <v>2493</v>
      </c>
      <c r="J336" s="31" t="str">
        <f>"T12_"&amp;STDLIGHTINEFCAT2[[#This Row],[Ineff DropDown 2]]</f>
        <v>T12_PG &lt;=130</v>
      </c>
      <c r="K336" s="277" t="str">
        <f>STDLIGHTINEFCAT2[[#This Row],[Match]]&amp;"_"&amp;STDLIGHTINEFCAT2[[#This Row],[Options]]</f>
        <v>T12_PG &lt;=130_2L T12 3' 50W</v>
      </c>
      <c r="L336" s="277" t="s">
        <v>1992</v>
      </c>
      <c r="M336" s="277">
        <v>100</v>
      </c>
      <c r="N336" s="277">
        <v>110</v>
      </c>
      <c r="O336">
        <v>334</v>
      </c>
    </row>
    <row r="337" spans="9:15">
      <c r="I337" t="s">
        <v>2493</v>
      </c>
      <c r="J337" s="31" t="str">
        <f>"T12_"&amp;STDLIGHTINEFCAT2[[#This Row],[Ineff DropDown 2]]</f>
        <v>T12_PG &lt;=130</v>
      </c>
      <c r="K337" s="277" t="str">
        <f>STDLIGHTINEFCAT2[[#This Row],[Match]]&amp;"_"&amp;STDLIGHTINEFCAT2[[#This Row],[Options]]</f>
        <v>T12_PG &lt;=130_----4 ft Lamps----</v>
      </c>
      <c r="L337" s="281" t="s">
        <v>2052</v>
      </c>
      <c r="M337" s="281"/>
      <c r="N337" s="277"/>
      <c r="O337">
        <v>335</v>
      </c>
    </row>
    <row r="338" spans="9:15">
      <c r="I338" t="s">
        <v>2493</v>
      </c>
      <c r="J338" s="31" t="str">
        <f>"T12_"&amp;STDLIGHTINEFCAT2[[#This Row],[Ineff DropDown 2]]</f>
        <v>T12_PG &lt;=130</v>
      </c>
      <c r="K338" s="277" t="str">
        <f>STDLIGHTINEFCAT2[[#This Row],[Match]]&amp;"_"&amp;STDLIGHTINEFCAT2[[#This Row],[Options]]</f>
        <v>T12_PG &lt;=130_1L T12 4' 30W</v>
      </c>
      <c r="L338" s="277" t="s">
        <v>1995</v>
      </c>
      <c r="M338" s="277">
        <v>30</v>
      </c>
      <c r="N338" s="277">
        <v>49</v>
      </c>
      <c r="O338">
        <v>336</v>
      </c>
    </row>
    <row r="339" spans="9:15">
      <c r="I339" t="s">
        <v>2493</v>
      </c>
      <c r="J339" s="31" t="str">
        <f>"T12_"&amp;STDLIGHTINEFCAT2[[#This Row],[Ineff DropDown 2]]</f>
        <v>T12_PG &lt;=130</v>
      </c>
      <c r="K339" s="277" t="str">
        <f>STDLIGHTINEFCAT2[[#This Row],[Match]]&amp;"_"&amp;STDLIGHTINEFCAT2[[#This Row],[Options]]</f>
        <v>T12_PG &lt;=130_2L T12 4' 30W</v>
      </c>
      <c r="L339" s="277" t="s">
        <v>1996</v>
      </c>
      <c r="M339" s="277">
        <v>60</v>
      </c>
      <c r="N339" s="277">
        <v>80</v>
      </c>
      <c r="O339">
        <v>337</v>
      </c>
    </row>
    <row r="340" spans="9:15">
      <c r="I340" t="s">
        <v>2493</v>
      </c>
      <c r="J340" s="31" t="str">
        <f>"T12_"&amp;STDLIGHTINEFCAT2[[#This Row],[Ineff DropDown 2]]</f>
        <v>T12_PG &lt;=130</v>
      </c>
      <c r="K340" s="277" t="str">
        <f>STDLIGHTINEFCAT2[[#This Row],[Match]]&amp;"_"&amp;STDLIGHTINEFCAT2[[#This Row],[Options]]</f>
        <v>T12_PG &lt;=130_1L T12 4' 34W</v>
      </c>
      <c r="L340" s="277" t="s">
        <v>1997</v>
      </c>
      <c r="M340" s="277">
        <v>34</v>
      </c>
      <c r="N340" s="277">
        <v>45</v>
      </c>
      <c r="O340">
        <v>338</v>
      </c>
    </row>
    <row r="341" spans="9:15">
      <c r="I341" t="s">
        <v>2493</v>
      </c>
      <c r="J341" s="31" t="str">
        <f>"T12_"&amp;STDLIGHTINEFCAT2[[#This Row],[Ineff DropDown 2]]</f>
        <v>T12_PG &lt;=130</v>
      </c>
      <c r="K341" s="277" t="str">
        <f>STDLIGHTINEFCAT2[[#This Row],[Match]]&amp;"_"&amp;STDLIGHTINEFCAT2[[#This Row],[Options]]</f>
        <v>T12_PG &lt;=130_2L T12 4' 34W</v>
      </c>
      <c r="L341" s="277" t="s">
        <v>1998</v>
      </c>
      <c r="M341" s="277">
        <v>68</v>
      </c>
      <c r="N341" s="277">
        <v>84</v>
      </c>
      <c r="O341">
        <v>339</v>
      </c>
    </row>
    <row r="342" spans="9:15">
      <c r="I342" t="s">
        <v>2493</v>
      </c>
      <c r="J342" s="31" t="str">
        <f>"T12_"&amp;STDLIGHTINEFCAT2[[#This Row],[Ineff DropDown 2]]</f>
        <v>T12_PG &lt;=130</v>
      </c>
      <c r="K342" s="277" t="str">
        <f>STDLIGHTINEFCAT2[[#This Row],[Match]]&amp;"_"&amp;STDLIGHTINEFCAT2[[#This Row],[Options]]</f>
        <v>T12_PG &lt;=130_3L T12 4' 34W</v>
      </c>
      <c r="L342" s="277" t="s">
        <v>1999</v>
      </c>
      <c r="M342" s="277">
        <v>102</v>
      </c>
      <c r="N342" s="277">
        <v>127</v>
      </c>
      <c r="O342">
        <v>340</v>
      </c>
    </row>
    <row r="343" spans="9:15">
      <c r="I343" t="s">
        <v>2493</v>
      </c>
      <c r="J343" s="31" t="str">
        <f>"T12_"&amp;STDLIGHTINEFCAT2[[#This Row],[Ineff DropDown 2]]</f>
        <v>T12_PG &lt;=130</v>
      </c>
      <c r="K343" s="277" t="str">
        <f>STDLIGHTINEFCAT2[[#This Row],[Match]]&amp;"_"&amp;STDLIGHTINEFCAT2[[#This Row],[Options]]</f>
        <v>T12_PG &lt;=130_1L T12 4' 40W</v>
      </c>
      <c r="L343" s="277" t="s">
        <v>2001</v>
      </c>
      <c r="M343" s="277">
        <v>40</v>
      </c>
      <c r="N343" s="277">
        <v>51</v>
      </c>
      <c r="O343">
        <v>341</v>
      </c>
    </row>
    <row r="344" spans="9:15">
      <c r="I344" t="s">
        <v>2493</v>
      </c>
      <c r="J344" s="31" t="str">
        <f>"T12_"&amp;STDLIGHTINEFCAT2[[#This Row],[Ineff DropDown 2]]</f>
        <v>T12_PG &lt;=130</v>
      </c>
      <c r="K344" s="277" t="str">
        <f>STDLIGHTINEFCAT2[[#This Row],[Match]]&amp;"_"&amp;STDLIGHTINEFCAT2[[#This Row],[Options]]</f>
        <v>T12_PG &lt;=130_2L T12 4' 40W</v>
      </c>
      <c r="L344" s="277" t="s">
        <v>2002</v>
      </c>
      <c r="M344" s="277">
        <v>80</v>
      </c>
      <c r="N344" s="277">
        <v>97</v>
      </c>
      <c r="O344">
        <v>342</v>
      </c>
    </row>
    <row r="345" spans="9:15">
      <c r="I345" t="s">
        <v>2493</v>
      </c>
      <c r="J345" s="31" t="str">
        <f>"T12_"&amp;STDLIGHTINEFCAT2[[#This Row],[Ineff DropDown 2]]</f>
        <v>T12_PG &lt;=130</v>
      </c>
      <c r="K345" s="277" t="str">
        <f>STDLIGHTINEFCAT2[[#This Row],[Match]]&amp;"_"&amp;STDLIGHTINEFCAT2[[#This Row],[Options]]</f>
        <v>T12_PG &lt;=130_1L T12 4' 60W</v>
      </c>
      <c r="L345" s="277" t="s">
        <v>2005</v>
      </c>
      <c r="M345" s="277">
        <v>60</v>
      </c>
      <c r="N345" s="277">
        <v>82</v>
      </c>
      <c r="O345">
        <v>343</v>
      </c>
    </row>
    <row r="346" spans="9:15">
      <c r="I346" t="s">
        <v>2493</v>
      </c>
      <c r="J346" s="31" t="str">
        <f>"T12_"&amp;STDLIGHTINEFCAT2[[#This Row],[Ineff DropDown 2]]</f>
        <v>T12_PG &lt;=130</v>
      </c>
      <c r="K346" s="277" t="str">
        <f>STDLIGHTINEFCAT2[[#This Row],[Match]]&amp;"_"&amp;STDLIGHTINEFCAT2[[#This Row],[Options]]</f>
        <v>T12_PG &lt;=130_1L T12 4' 116W</v>
      </c>
      <c r="L346" s="277" t="s">
        <v>2009</v>
      </c>
      <c r="M346" s="277">
        <v>116</v>
      </c>
      <c r="N346" s="277">
        <v>130</v>
      </c>
      <c r="O346">
        <v>344</v>
      </c>
    </row>
    <row r="347" spans="9:15">
      <c r="I347" t="s">
        <v>2493</v>
      </c>
      <c r="J347" s="31" t="str">
        <f>"T12_"&amp;STDLIGHTINEFCAT2[[#This Row],[Ineff DropDown 2]]</f>
        <v>T12_PG &lt;=130</v>
      </c>
      <c r="K347" s="277" t="str">
        <f>STDLIGHTINEFCAT2[[#This Row],[Match]]&amp;"_"&amp;STDLIGHTINEFCAT2[[#This Row],[Options]]</f>
        <v>T12_PG &lt;=130_----6 ft Lamps----</v>
      </c>
      <c r="L347" s="281" t="s">
        <v>2054</v>
      </c>
      <c r="M347" s="281"/>
      <c r="N347" s="277"/>
      <c r="O347">
        <v>345</v>
      </c>
    </row>
    <row r="348" spans="9:15">
      <c r="I348" t="s">
        <v>2493</v>
      </c>
      <c r="J348" s="31" t="str">
        <f>"T12_"&amp;STDLIGHTINEFCAT2[[#This Row],[Ineff DropDown 2]]</f>
        <v>T12_PG &lt;=130</v>
      </c>
      <c r="K348" s="277" t="str">
        <f>STDLIGHTINEFCAT2[[#This Row],[Match]]&amp;"_"&amp;STDLIGHTINEFCAT2[[#This Row],[Options]]</f>
        <v>T12_PG &lt;=130_1L T12 6' 57W</v>
      </c>
      <c r="L348" s="277" t="s">
        <v>2023</v>
      </c>
      <c r="M348" s="277">
        <v>57</v>
      </c>
      <c r="N348" s="277">
        <v>80</v>
      </c>
      <c r="O348">
        <v>346</v>
      </c>
    </row>
    <row r="349" spans="9:15">
      <c r="I349" t="s">
        <v>2493</v>
      </c>
      <c r="J349" s="31" t="str">
        <f>"T12_"&amp;STDLIGHTINEFCAT2[[#This Row],[Ineff DropDown 2]]</f>
        <v>T12_PG &lt;=130</v>
      </c>
      <c r="K349" s="277" t="str">
        <f>STDLIGHTINEFCAT2[[#This Row],[Match]]&amp;"_"&amp;STDLIGHTINEFCAT2[[#This Row],[Options]]</f>
        <v>T12_PG &lt;=130_2L T12 6' 57W</v>
      </c>
      <c r="L349" s="277" t="s">
        <v>2024</v>
      </c>
      <c r="M349" s="277">
        <f>57*2</f>
        <v>114</v>
      </c>
      <c r="N349" s="277">
        <v>122</v>
      </c>
      <c r="O349">
        <v>347</v>
      </c>
    </row>
    <row r="350" spans="9:15">
      <c r="I350" t="s">
        <v>2493</v>
      </c>
      <c r="J350" s="31" t="str">
        <f>"T12_"&amp;STDLIGHTINEFCAT2[[#This Row],[Ineff DropDown 2]]</f>
        <v>T12_PG &lt;=130</v>
      </c>
      <c r="K350" s="277" t="str">
        <f>STDLIGHTINEFCAT2[[#This Row],[Match]]&amp;"_"&amp;STDLIGHTINEFCAT2[[#This Row],[Options]]</f>
        <v>T12_PG &lt;=130_1L T12 6' 85W</v>
      </c>
      <c r="L350" s="277" t="s">
        <v>2025</v>
      </c>
      <c r="M350" s="277">
        <v>85</v>
      </c>
      <c r="N350" s="277">
        <v>106</v>
      </c>
      <c r="O350">
        <v>348</v>
      </c>
    </row>
    <row r="351" spans="9:15">
      <c r="I351" t="s">
        <v>2493</v>
      </c>
      <c r="J351" s="31" t="str">
        <f>"T12_"&amp;STDLIGHTINEFCAT2[[#This Row],[Ineff DropDown 2]]</f>
        <v>T12_PG &lt;=130</v>
      </c>
      <c r="K351" s="277" t="str">
        <f>STDLIGHTINEFCAT2[[#This Row],[Match]]&amp;"_"&amp;STDLIGHTINEFCAT2[[#This Row],[Options]]</f>
        <v>T12_PG &lt;=130_----8 ft Lamps----</v>
      </c>
      <c r="L351" s="281" t="s">
        <v>2056</v>
      </c>
      <c r="M351" s="281"/>
      <c r="N351" s="277"/>
      <c r="O351">
        <v>349</v>
      </c>
    </row>
    <row r="352" spans="9:15">
      <c r="I352" t="s">
        <v>2493</v>
      </c>
      <c r="J352" s="31" t="str">
        <f>"T12_"&amp;STDLIGHTINEFCAT2[[#This Row],[Ineff DropDown 2]]</f>
        <v>T12_PG &lt;=130</v>
      </c>
      <c r="K352" s="277" t="str">
        <f>STDLIGHTINEFCAT2[[#This Row],[Match]]&amp;"_"&amp;STDLIGHTINEFCAT2[[#This Row],[Options]]</f>
        <v>T12_PG &lt;=130_1L T12 8' 60W</v>
      </c>
      <c r="L352" s="277" t="s">
        <v>2034</v>
      </c>
      <c r="M352" s="277">
        <v>60</v>
      </c>
      <c r="N352" s="277">
        <v>74</v>
      </c>
      <c r="O352">
        <v>350</v>
      </c>
    </row>
    <row r="353" spans="9:15">
      <c r="I353" t="s">
        <v>2493</v>
      </c>
      <c r="J353" s="31" t="str">
        <f>"T12_"&amp;STDLIGHTINEFCAT2[[#This Row],[Ineff DropDown 2]]</f>
        <v>T12_PG &lt;=130</v>
      </c>
      <c r="K353" s="277" t="str">
        <f>STDLIGHTINEFCAT2[[#This Row],[Match]]&amp;"_"&amp;STDLIGHTINEFCAT2[[#This Row],[Options]]</f>
        <v>T12_PG &lt;=130_1L T12 8' 75W</v>
      </c>
      <c r="L353" s="277" t="s">
        <v>2037</v>
      </c>
      <c r="M353" s="277">
        <v>75</v>
      </c>
      <c r="N353" s="277">
        <v>94</v>
      </c>
      <c r="O353">
        <v>351</v>
      </c>
    </row>
    <row r="354" spans="9:15">
      <c r="I354" t="s">
        <v>2493</v>
      </c>
      <c r="J354" s="31" t="str">
        <f>"T12_"&amp;STDLIGHTINEFCAT2[[#This Row],[Ineff DropDown 2]]</f>
        <v>T12_PG &lt;=130</v>
      </c>
      <c r="K354" s="277" t="str">
        <f>STDLIGHTINEFCAT2[[#This Row],[Match]]&amp;"_"&amp;STDLIGHTINEFCAT2[[#This Row],[Options]]</f>
        <v>T12_PG &lt;=130_1L T12 8' 95W</v>
      </c>
      <c r="L354" s="277" t="s">
        <v>2039</v>
      </c>
      <c r="M354" s="277">
        <v>95</v>
      </c>
      <c r="N354" s="277">
        <v>125</v>
      </c>
      <c r="O354">
        <v>352</v>
      </c>
    </row>
    <row r="355" spans="9:15">
      <c r="I355" t="s">
        <v>2493</v>
      </c>
      <c r="J355" s="31" t="str">
        <f>"T12_"&amp;STDLIGHTINEFCAT2[[#This Row],[Ineff DropDown 2]]</f>
        <v>T12_PG &lt;=130</v>
      </c>
      <c r="K355" s="277" t="str">
        <f>STDLIGHTINEFCAT2[[#This Row],[Match]]&amp;"_"&amp;STDLIGHTINEFCAT2[[#This Row],[Options]]</f>
        <v>T12_PG &lt;=130_2L T12 8' 60W</v>
      </c>
      <c r="L355" s="277" t="s">
        <v>2035</v>
      </c>
      <c r="M355" s="277">
        <v>120</v>
      </c>
      <c r="N355" s="277">
        <v>113</v>
      </c>
      <c r="O355">
        <v>353</v>
      </c>
    </row>
    <row r="356" spans="9:15">
      <c r="I356" t="s">
        <v>2494</v>
      </c>
      <c r="J356" s="31" t="str">
        <f>"T12_"&amp;STDLIGHTINEFCAT2[[#This Row],[Ineff DropDown 2]]</f>
        <v>T12_PG &gt;210</v>
      </c>
      <c r="K356" s="277" t="str">
        <f>STDLIGHTINEFCAT2[[#This Row],[Match]]&amp;"_"&amp;STDLIGHTINEFCAT2[[#This Row],[Options]]</f>
        <v>T12_PG &gt;210_----3 ft Lamps----</v>
      </c>
      <c r="L356" s="281" t="s">
        <v>2051</v>
      </c>
      <c r="M356" s="281"/>
      <c r="N356" s="277"/>
      <c r="O356">
        <v>354</v>
      </c>
    </row>
    <row r="357" spans="9:15">
      <c r="I357" t="s">
        <v>2494</v>
      </c>
      <c r="J357" s="31" t="str">
        <f>"T12_"&amp;STDLIGHTINEFCAT2[[#This Row],[Ineff DropDown 2]]</f>
        <v>T12_PG &gt;210</v>
      </c>
      <c r="K357" s="277" t="str">
        <f>STDLIGHTINEFCAT2[[#This Row],[Match]]&amp;"_"&amp;STDLIGHTINEFCAT2[[#This Row],[Options]]</f>
        <v>T12_PG &gt;210_4L T12 3' 50W</v>
      </c>
      <c r="L357" s="277" t="s">
        <v>1994</v>
      </c>
      <c r="M357" s="277">
        <f>4*50</f>
        <v>200</v>
      </c>
      <c r="N357" s="277">
        <v>212</v>
      </c>
      <c r="O357">
        <v>355</v>
      </c>
    </row>
    <row r="358" spans="9:15">
      <c r="I358" t="s">
        <v>2494</v>
      </c>
      <c r="J358" s="31" t="str">
        <f>"T12_"&amp;STDLIGHTINEFCAT2[[#This Row],[Ineff DropDown 2]]</f>
        <v>T12_PG &gt;210</v>
      </c>
      <c r="K358" s="277" t="str">
        <f>STDLIGHTINEFCAT2[[#This Row],[Match]]&amp;"_"&amp;STDLIGHTINEFCAT2[[#This Row],[Options]]</f>
        <v>T12_PG &gt;210_----4 ft Lamps----</v>
      </c>
      <c r="L358" s="281" t="s">
        <v>2052</v>
      </c>
      <c r="M358" s="281"/>
      <c r="N358" s="277"/>
      <c r="O358">
        <v>356</v>
      </c>
    </row>
    <row r="359" spans="9:15">
      <c r="I359" t="s">
        <v>2494</v>
      </c>
      <c r="J359" s="31" t="str">
        <f>"T12_"&amp;STDLIGHTINEFCAT2[[#This Row],[Ineff DropDown 2]]</f>
        <v>T12_PG &gt;210</v>
      </c>
      <c r="K359" s="277" t="str">
        <f>STDLIGHTINEFCAT2[[#This Row],[Match]]&amp;"_"&amp;STDLIGHTINEFCAT2[[#This Row],[Options]]</f>
        <v>T12_PG &gt;210_4L T12 4' 60W</v>
      </c>
      <c r="L359" s="277" t="s">
        <v>2008</v>
      </c>
      <c r="M359" s="282">
        <f>4*60</f>
        <v>240</v>
      </c>
      <c r="N359" s="277">
        <v>263</v>
      </c>
      <c r="O359">
        <v>357</v>
      </c>
    </row>
    <row r="360" spans="9:15">
      <c r="I360" t="s">
        <v>2494</v>
      </c>
      <c r="J360" s="31" t="str">
        <f>"T12_"&amp;STDLIGHTINEFCAT2[[#This Row],[Ineff DropDown 2]]</f>
        <v>T12_PG &gt;210</v>
      </c>
      <c r="K360" s="277" t="str">
        <f>STDLIGHTINEFCAT2[[#This Row],[Match]]&amp;"_"&amp;STDLIGHTINEFCAT2[[#This Row],[Options]]</f>
        <v>T12_PG &gt;210_2L T12 4' 116W</v>
      </c>
      <c r="L360" s="277" t="s">
        <v>2010</v>
      </c>
      <c r="M360" s="277">
        <f>2*116</f>
        <v>232</v>
      </c>
      <c r="N360" s="277">
        <v>230</v>
      </c>
      <c r="O360">
        <v>358</v>
      </c>
    </row>
    <row r="361" spans="9:15">
      <c r="I361" t="s">
        <v>2494</v>
      </c>
      <c r="J361" s="31" t="str">
        <f>"T12_"&amp;STDLIGHTINEFCAT2[[#This Row],[Ineff DropDown 2]]</f>
        <v>T12_PG &gt;210</v>
      </c>
      <c r="K361" s="277" t="str">
        <f>STDLIGHTINEFCAT2[[#This Row],[Match]]&amp;"_"&amp;STDLIGHTINEFCAT2[[#This Row],[Options]]</f>
        <v>T12_PG &gt;210_3L T12 4' 116W</v>
      </c>
      <c r="L361" s="277" t="s">
        <v>2011</v>
      </c>
      <c r="M361" s="282">
        <f>3*116</f>
        <v>348</v>
      </c>
      <c r="N361" s="277">
        <v>329</v>
      </c>
      <c r="O361">
        <v>359</v>
      </c>
    </row>
    <row r="362" spans="9:15">
      <c r="I362" t="s">
        <v>2494</v>
      </c>
      <c r="J362" s="31" t="str">
        <f>"T12_"&amp;STDLIGHTINEFCAT2[[#This Row],[Ineff DropDown 2]]</f>
        <v>T12_PG &gt;210</v>
      </c>
      <c r="K362" s="277" t="str">
        <f>STDLIGHTINEFCAT2[[#This Row],[Match]]&amp;"_"&amp;STDLIGHTINEFCAT2[[#This Row],[Options]]</f>
        <v>T12_PG &gt;210_----6 ft Lamps----</v>
      </c>
      <c r="L362" s="281" t="s">
        <v>2054</v>
      </c>
      <c r="M362" s="281"/>
      <c r="N362" s="277"/>
      <c r="O362">
        <v>360</v>
      </c>
    </row>
    <row r="363" spans="9:15">
      <c r="I363" t="s">
        <v>2494</v>
      </c>
      <c r="J363" s="31" t="str">
        <f>"T12_"&amp;STDLIGHTINEFCAT2[[#This Row],[Ineff DropDown 2]]</f>
        <v>T12_PG &gt;210</v>
      </c>
      <c r="K363" s="277" t="str">
        <f>STDLIGHTINEFCAT2[[#This Row],[Match]]&amp;"_"&amp;STDLIGHTINEFCAT2[[#This Row],[Options]]</f>
        <v>T12_PG &gt;210_2L T12 6' 168W</v>
      </c>
      <c r="L363" s="277" t="s">
        <v>2021</v>
      </c>
      <c r="M363" s="282">
        <f>2*168</f>
        <v>336</v>
      </c>
      <c r="N363" s="277">
        <v>314</v>
      </c>
      <c r="O363">
        <v>361</v>
      </c>
    </row>
    <row r="364" spans="9:15">
      <c r="I364" t="s">
        <v>2494</v>
      </c>
      <c r="J364" s="31" t="str">
        <f>"T12_"&amp;STDLIGHTINEFCAT2[[#This Row],[Ineff DropDown 2]]</f>
        <v>T12_PG &gt;210</v>
      </c>
      <c r="K364" s="277" t="str">
        <f>STDLIGHTINEFCAT2[[#This Row],[Match]]&amp;"_"&amp;STDLIGHTINEFCAT2[[#This Row],[Options]]</f>
        <v>T12_PG &gt;210_3L T12 6' 168W</v>
      </c>
      <c r="L364" s="277" t="s">
        <v>2022</v>
      </c>
      <c r="M364" s="283">
        <f>3*168</f>
        <v>504</v>
      </c>
      <c r="N364" s="277">
        <v>424</v>
      </c>
      <c r="O364">
        <v>362</v>
      </c>
    </row>
    <row r="365" spans="9:15">
      <c r="I365" t="s">
        <v>2494</v>
      </c>
      <c r="J365" s="31" t="str">
        <f>"T12_"&amp;STDLIGHTINEFCAT2[[#This Row],[Ineff DropDown 2]]</f>
        <v>T12_PG &gt;210</v>
      </c>
      <c r="K365" s="277" t="str">
        <f>STDLIGHTINEFCAT2[[#This Row],[Match]]&amp;"_"&amp;STDLIGHTINEFCAT2[[#This Row],[Options]]</f>
        <v>T12_PG &gt;210_3L T12 6' 85W</v>
      </c>
      <c r="L365" s="277" t="s">
        <v>2027</v>
      </c>
      <c r="M365" s="282">
        <f>3*85</f>
        <v>255</v>
      </c>
      <c r="N365" s="277">
        <v>291</v>
      </c>
      <c r="O365">
        <v>363</v>
      </c>
    </row>
    <row r="366" spans="9:15">
      <c r="I366" t="s">
        <v>2494</v>
      </c>
      <c r="J366" s="31" t="str">
        <f>"T12_"&amp;STDLIGHTINEFCAT2[[#This Row],[Ineff DropDown 2]]</f>
        <v>T12_PG &gt;210</v>
      </c>
      <c r="K366" s="277" t="str">
        <f>STDLIGHTINEFCAT2[[#This Row],[Match]]&amp;"_"&amp;STDLIGHTINEFCAT2[[#This Row],[Options]]</f>
        <v>T12_PG &gt;210_4L T12 6' 85W</v>
      </c>
      <c r="L366" s="277" t="s">
        <v>2028</v>
      </c>
      <c r="M366" s="282">
        <f>4*85</f>
        <v>340</v>
      </c>
      <c r="N366" s="277">
        <v>323</v>
      </c>
      <c r="O366">
        <v>364</v>
      </c>
    </row>
    <row r="367" spans="9:15">
      <c r="I367" t="s">
        <v>2494</v>
      </c>
      <c r="J367" s="31" t="str">
        <f>"T12_"&amp;STDLIGHTINEFCAT2[[#This Row],[Ineff DropDown 2]]</f>
        <v>T12_PG &gt;210</v>
      </c>
      <c r="K367" s="277" t="str">
        <f>STDLIGHTINEFCAT2[[#This Row],[Match]]&amp;"_"&amp;STDLIGHTINEFCAT2[[#This Row],[Options]]</f>
        <v>T12_PG &gt;210_----8 ft Lamps----</v>
      </c>
      <c r="L367" s="281" t="s">
        <v>2056</v>
      </c>
      <c r="M367" s="281"/>
      <c r="N367" s="277"/>
      <c r="O367">
        <v>365</v>
      </c>
    </row>
    <row r="368" spans="9:15">
      <c r="I368" t="s">
        <v>2494</v>
      </c>
      <c r="J368" s="31" t="str">
        <f>"T12_"&amp;STDLIGHTINEFCAT2[[#This Row],[Ineff DropDown 2]]</f>
        <v>T12_PG &gt;210</v>
      </c>
      <c r="K368" s="277" t="str">
        <f>STDLIGHTINEFCAT2[[#This Row],[Match]]&amp;"_"&amp;STDLIGHTINEFCAT2[[#This Row],[Options]]</f>
        <v>T12_PG &gt;210_4L T12 8' 60W</v>
      </c>
      <c r="L368" s="277" t="s">
        <v>2036</v>
      </c>
      <c r="M368" s="277">
        <f>4*60</f>
        <v>240</v>
      </c>
      <c r="N368" s="277">
        <v>246</v>
      </c>
      <c r="O368">
        <v>366</v>
      </c>
    </row>
    <row r="369" spans="9:15">
      <c r="I369" t="s">
        <v>2494</v>
      </c>
      <c r="J369" s="31" t="str">
        <f>"T12_"&amp;STDLIGHTINEFCAT2[[#This Row],[Ineff DropDown 2]]</f>
        <v>T12_PG &gt;210</v>
      </c>
      <c r="K369" s="277" t="str">
        <f>STDLIGHTINEFCAT2[[#This Row],[Match]]&amp;"_"&amp;STDLIGHTINEFCAT2[[#This Row],[Options]]</f>
        <v>T12_PG &gt;210_2L T12 8' 95W</v>
      </c>
      <c r="L369" s="277" t="s">
        <v>2040</v>
      </c>
      <c r="M369" s="277">
        <f>2*95</f>
        <v>190</v>
      </c>
      <c r="N369" s="277">
        <v>216</v>
      </c>
      <c r="O369">
        <v>367</v>
      </c>
    </row>
    <row r="370" spans="9:15">
      <c r="I370" t="s">
        <v>2494</v>
      </c>
      <c r="J370" s="31" t="str">
        <f>"T12_"&amp;STDLIGHTINEFCAT2[[#This Row],[Ineff DropDown 2]]</f>
        <v>T12_PG &gt;210</v>
      </c>
      <c r="K370" s="277" t="str">
        <f>STDLIGHTINEFCAT2[[#This Row],[Match]]&amp;"_"&amp;STDLIGHTINEFCAT2[[#This Row],[Options]]</f>
        <v>T12_PG &gt;210_2L T12 8' 110W</v>
      </c>
      <c r="L370" s="277" t="s">
        <v>2042</v>
      </c>
      <c r="M370" s="282">
        <f>2*110</f>
        <v>220</v>
      </c>
      <c r="N370" s="277">
        <v>258</v>
      </c>
      <c r="O370">
        <v>368</v>
      </c>
    </row>
    <row r="371" spans="9:15">
      <c r="I371" t="s">
        <v>2494</v>
      </c>
      <c r="J371" s="31" t="str">
        <f>"T12_"&amp;STDLIGHTINEFCAT2[[#This Row],[Ineff DropDown 2]]</f>
        <v>T12_PG &gt;210</v>
      </c>
      <c r="K371" s="277" t="str">
        <f>STDLIGHTINEFCAT2[[#This Row],[Match]]&amp;"_"&amp;STDLIGHTINEFCAT2[[#This Row],[Options]]</f>
        <v>T12_PG &gt;210_2L T12 8' 185W</v>
      </c>
      <c r="L371" s="277" t="s">
        <v>2044</v>
      </c>
      <c r="M371" s="282">
        <f>2*185</f>
        <v>370</v>
      </c>
      <c r="N371" s="277">
        <v>398</v>
      </c>
      <c r="O371">
        <v>369</v>
      </c>
    </row>
    <row r="372" spans="9:15">
      <c r="I372" t="s">
        <v>2494</v>
      </c>
      <c r="J372" s="31" t="str">
        <f>"T12_"&amp;STDLIGHTINEFCAT2[[#This Row],[Ineff DropDown 2]]</f>
        <v>T12_PG &gt;210</v>
      </c>
      <c r="K372" s="277" t="str">
        <f>STDLIGHTINEFCAT2[[#This Row],[Match]]&amp;"_"&amp;STDLIGHTINEFCAT2[[#This Row],[Options]]</f>
        <v>T12_PG &gt;210_3L T12 8' 185W</v>
      </c>
      <c r="L372" s="277" t="s">
        <v>2045</v>
      </c>
      <c r="M372" s="277">
        <f>3*185</f>
        <v>555</v>
      </c>
      <c r="N372" s="277">
        <v>550</v>
      </c>
      <c r="O372">
        <v>370</v>
      </c>
    </row>
    <row r="373" spans="9:15">
      <c r="I373" t="s">
        <v>2494</v>
      </c>
      <c r="J373" s="31" t="str">
        <f>"T12_"&amp;STDLIGHTINEFCAT2[[#This Row],[Ineff DropDown 2]]</f>
        <v>T12_PG &gt;210</v>
      </c>
      <c r="K373" s="277" t="str">
        <f>STDLIGHTINEFCAT2[[#This Row],[Match]]&amp;"_"&amp;STDLIGHTINEFCAT2[[#This Row],[Options]]</f>
        <v>T12_PG &gt;210_1L T12 8' 215W</v>
      </c>
      <c r="L373" s="277" t="s">
        <v>2046</v>
      </c>
      <c r="M373" s="277">
        <v>215</v>
      </c>
      <c r="N373" s="277">
        <v>213</v>
      </c>
      <c r="O373">
        <v>371</v>
      </c>
    </row>
    <row r="374" spans="9:15">
      <c r="I374" t="s">
        <v>2494</v>
      </c>
      <c r="J374" s="31" t="str">
        <f>"T12_"&amp;STDLIGHTINEFCAT2[[#This Row],[Ineff DropDown 2]]</f>
        <v>T12_PG &gt;210</v>
      </c>
      <c r="K374" s="277" t="str">
        <f>STDLIGHTINEFCAT2[[#This Row],[Match]]&amp;"_"&amp;STDLIGHTINEFCAT2[[#This Row],[Options]]</f>
        <v>T12_PG &gt;210_2L T12 8' 215W</v>
      </c>
      <c r="L374" s="277" t="s">
        <v>2047</v>
      </c>
      <c r="M374" s="282">
        <f>2*215</f>
        <v>430</v>
      </c>
      <c r="N374" s="277">
        <v>320</v>
      </c>
      <c r="O374">
        <v>372</v>
      </c>
    </row>
    <row r="375" spans="9:15">
      <c r="I375" t="s">
        <v>2494</v>
      </c>
      <c r="J375" s="31" t="str">
        <f>"T12_"&amp;STDLIGHTINEFCAT2[[#This Row],[Ineff DropDown 2]]</f>
        <v>T12_PG &gt;210</v>
      </c>
      <c r="K375" s="277" t="str">
        <f>STDLIGHTINEFCAT2[[#This Row],[Match]]&amp;"_"&amp;STDLIGHTINEFCAT2[[#This Row],[Options]]</f>
        <v>T12_PG &gt;210_3L T12 8' 215W</v>
      </c>
      <c r="L375" s="277" t="s">
        <v>2048</v>
      </c>
      <c r="M375" s="283">
        <f>3*215</f>
        <v>645</v>
      </c>
      <c r="N375" s="277">
        <v>518</v>
      </c>
      <c r="O375">
        <v>373</v>
      </c>
    </row>
    <row r="376" spans="9:15">
      <c r="I376" s="31" t="s">
        <v>2495</v>
      </c>
      <c r="J376" s="31" t="str">
        <f>"T12_"&amp;STDLIGHTINEFCAT2[[#This Row],[Ineff DropDown 2]]</f>
        <v>T12_PG 131-210</v>
      </c>
      <c r="K376" s="277" t="str">
        <f>STDLIGHTINEFCAT2[[#This Row],[Match]]&amp;"_"&amp;STDLIGHTINEFCAT2[[#This Row],[Options]]</f>
        <v>T12_PG 131-210_----2 ft Lamps----</v>
      </c>
      <c r="L376" s="281" t="s">
        <v>2050</v>
      </c>
      <c r="M376" s="281"/>
      <c r="N376" s="277"/>
      <c r="O376">
        <v>374</v>
      </c>
    </row>
    <row r="377" spans="9:15">
      <c r="I377" s="31" t="s">
        <v>2495</v>
      </c>
      <c r="J377" s="31" t="str">
        <f>"T12_"&amp;STDLIGHTINEFCAT2[[#This Row],[Ineff DropDown 2]]</f>
        <v>T12_PG 131-210</v>
      </c>
      <c r="K377" s="277" t="str">
        <f>STDLIGHTINEFCAT2[[#This Row],[Match]]&amp;"_"&amp;STDLIGHTINEFCAT2[[#This Row],[Options]]</f>
        <v>T12_PG 131-210_3L T12 2' 35W</v>
      </c>
      <c r="L377" s="277" t="s">
        <v>1977</v>
      </c>
      <c r="M377" s="277">
        <v>105</v>
      </c>
      <c r="N377" s="277">
        <v>148</v>
      </c>
      <c r="O377">
        <v>375</v>
      </c>
    </row>
    <row r="378" spans="9:15">
      <c r="I378" s="31" t="s">
        <v>2495</v>
      </c>
      <c r="J378" s="31" t="str">
        <f>"T12_"&amp;STDLIGHTINEFCAT2[[#This Row],[Ineff DropDown 2]]</f>
        <v>T12_PG 131-210</v>
      </c>
      <c r="K378" s="277" t="str">
        <f>STDLIGHTINEFCAT2[[#This Row],[Match]]&amp;"_"&amp;STDLIGHTINEFCAT2[[#This Row],[Options]]</f>
        <v>T12_PG 131-210_4L T12 2' 35W</v>
      </c>
      <c r="L378" s="277" t="s">
        <v>1978</v>
      </c>
      <c r="M378" s="277">
        <f>4*35</f>
        <v>140</v>
      </c>
      <c r="N378" s="277">
        <v>183</v>
      </c>
      <c r="O378">
        <v>376</v>
      </c>
    </row>
    <row r="379" spans="9:15">
      <c r="I379" s="31" t="s">
        <v>2495</v>
      </c>
      <c r="J379" s="31" t="str">
        <f>"T12_"&amp;STDLIGHTINEFCAT2[[#This Row],[Ineff DropDown 2]]</f>
        <v>T12_PG 131-210</v>
      </c>
      <c r="K379" s="277" t="str">
        <f>STDLIGHTINEFCAT2[[#This Row],[Match]]&amp;"_"&amp;STDLIGHTINEFCAT2[[#This Row],[Options]]</f>
        <v>T12_PG 131-210_----3 ft Lamps----</v>
      </c>
      <c r="L379" s="281" t="s">
        <v>2051</v>
      </c>
      <c r="M379" s="281"/>
      <c r="N379" s="277"/>
      <c r="O379">
        <v>377</v>
      </c>
    </row>
    <row r="380" spans="9:15">
      <c r="I380" s="31" t="s">
        <v>2495</v>
      </c>
      <c r="J380" s="31" t="str">
        <f>"T12_"&amp;STDLIGHTINEFCAT2[[#This Row],[Ineff DropDown 2]]</f>
        <v>T12_PG 131-210</v>
      </c>
      <c r="K380" s="277" t="str">
        <f>STDLIGHTINEFCAT2[[#This Row],[Match]]&amp;"_"&amp;STDLIGHTINEFCAT2[[#This Row],[Options]]</f>
        <v>T12_PG 131-210_4L T12 3' 30W</v>
      </c>
      <c r="L380" s="277" t="s">
        <v>1990</v>
      </c>
      <c r="M380" s="277">
        <v>120</v>
      </c>
      <c r="N380" s="277">
        <v>138</v>
      </c>
      <c r="O380">
        <v>378</v>
      </c>
    </row>
    <row r="381" spans="9:15">
      <c r="I381" s="31" t="s">
        <v>2495</v>
      </c>
      <c r="J381" s="31" t="str">
        <f>"T12_"&amp;STDLIGHTINEFCAT2[[#This Row],[Ineff DropDown 2]]</f>
        <v>T12_PG 131-210</v>
      </c>
      <c r="K381" s="277" t="str">
        <f>STDLIGHTINEFCAT2[[#This Row],[Match]]&amp;"_"&amp;STDLIGHTINEFCAT2[[#This Row],[Options]]</f>
        <v>T12_PG 131-210_3L T12 3' 50W</v>
      </c>
      <c r="L381" s="277" t="s">
        <v>1993</v>
      </c>
      <c r="M381" s="277">
        <v>150</v>
      </c>
      <c r="N381" s="277">
        <v>166</v>
      </c>
      <c r="O381">
        <v>379</v>
      </c>
    </row>
    <row r="382" spans="9:15">
      <c r="I382" s="31" t="s">
        <v>2495</v>
      </c>
      <c r="J382" s="31" t="str">
        <f>"T12_"&amp;STDLIGHTINEFCAT2[[#This Row],[Ineff DropDown 2]]</f>
        <v>T12_PG 131-210</v>
      </c>
      <c r="K382" s="277" t="str">
        <f>STDLIGHTINEFCAT2[[#This Row],[Match]]&amp;"_"&amp;STDLIGHTINEFCAT2[[#This Row],[Options]]</f>
        <v>T12_PG 131-210_----4 ft Lamps----</v>
      </c>
      <c r="L382" s="281" t="s">
        <v>2052</v>
      </c>
      <c r="M382" s="281"/>
      <c r="N382" s="277"/>
      <c r="O382">
        <v>380</v>
      </c>
    </row>
    <row r="383" spans="9:15">
      <c r="I383" s="31" t="s">
        <v>2495</v>
      </c>
      <c r="J383" s="31" t="str">
        <f>"T12_"&amp;STDLIGHTINEFCAT2[[#This Row],[Ineff DropDown 2]]</f>
        <v>T12_PG 131-210</v>
      </c>
      <c r="K383" s="277" t="str">
        <f>STDLIGHTINEFCAT2[[#This Row],[Match]]&amp;"_"&amp;STDLIGHTINEFCAT2[[#This Row],[Options]]</f>
        <v>T12_PG 131-210_4L T12 4' 34W</v>
      </c>
      <c r="L383" s="277" t="s">
        <v>2000</v>
      </c>
      <c r="M383" s="277">
        <v>136</v>
      </c>
      <c r="N383" s="277">
        <v>156</v>
      </c>
      <c r="O383">
        <v>381</v>
      </c>
    </row>
    <row r="384" spans="9:15">
      <c r="I384" s="31" t="s">
        <v>2495</v>
      </c>
      <c r="J384" s="31" t="str">
        <f>"T12_"&amp;STDLIGHTINEFCAT2[[#This Row],[Ineff DropDown 2]]</f>
        <v>T12_PG 131-210</v>
      </c>
      <c r="K384" s="277" t="str">
        <f>STDLIGHTINEFCAT2[[#This Row],[Match]]&amp;"_"&amp;STDLIGHTINEFCAT2[[#This Row],[Options]]</f>
        <v>T12_PG 131-210_3L T12 4' 40W</v>
      </c>
      <c r="L384" s="277" t="s">
        <v>2003</v>
      </c>
      <c r="M384" s="277">
        <f>3*40</f>
        <v>120</v>
      </c>
      <c r="N384" s="277">
        <v>135</v>
      </c>
      <c r="O384">
        <v>382</v>
      </c>
    </row>
    <row r="385" spans="9:15">
      <c r="I385" s="31" t="s">
        <v>2495</v>
      </c>
      <c r="J385" s="31" t="str">
        <f>"T12_"&amp;STDLIGHTINEFCAT2[[#This Row],[Ineff DropDown 2]]</f>
        <v>T12_PG 131-210</v>
      </c>
      <c r="K385" s="277" t="str">
        <f>STDLIGHTINEFCAT2[[#This Row],[Match]]&amp;"_"&amp;STDLIGHTINEFCAT2[[#This Row],[Options]]</f>
        <v>T12_PG 131-210_4L T12 4' 40W</v>
      </c>
      <c r="L385" s="277" t="s">
        <v>2004</v>
      </c>
      <c r="M385" s="277">
        <f>4*40</f>
        <v>160</v>
      </c>
      <c r="N385" s="277">
        <v>175</v>
      </c>
      <c r="O385">
        <v>383</v>
      </c>
    </row>
    <row r="386" spans="9:15">
      <c r="I386" s="31" t="s">
        <v>2495</v>
      </c>
      <c r="J386" s="31" t="str">
        <f>"T12_"&amp;STDLIGHTINEFCAT2[[#This Row],[Ineff DropDown 2]]</f>
        <v>T12_PG 131-210</v>
      </c>
      <c r="K386" s="277" t="str">
        <f>STDLIGHTINEFCAT2[[#This Row],[Match]]&amp;"_"&amp;STDLIGHTINEFCAT2[[#This Row],[Options]]</f>
        <v>T12_PG 131-210_2L T12 4' 60W</v>
      </c>
      <c r="L386" s="277" t="s">
        <v>2006</v>
      </c>
      <c r="M386" s="277">
        <v>120</v>
      </c>
      <c r="N386" s="277">
        <v>133</v>
      </c>
      <c r="O386">
        <v>384</v>
      </c>
    </row>
    <row r="387" spans="9:15">
      <c r="I387" s="31" t="s">
        <v>2495</v>
      </c>
      <c r="J387" s="31" t="str">
        <f>"T12_"&amp;STDLIGHTINEFCAT2[[#This Row],[Ineff DropDown 2]]</f>
        <v>T12_PG 131-210</v>
      </c>
      <c r="K387" s="277" t="str">
        <f>STDLIGHTINEFCAT2[[#This Row],[Match]]&amp;"_"&amp;STDLIGHTINEFCAT2[[#This Row],[Options]]</f>
        <v>T12_PG 131-210_3L T12 4' 60W</v>
      </c>
      <c r="L387" s="277" t="s">
        <v>2007</v>
      </c>
      <c r="M387" s="277">
        <f>3*60</f>
        <v>180</v>
      </c>
      <c r="N387" s="277">
        <v>204</v>
      </c>
      <c r="O387">
        <v>385</v>
      </c>
    </row>
    <row r="388" spans="9:15">
      <c r="I388" s="31" t="s">
        <v>2495</v>
      </c>
      <c r="J388" s="31" t="str">
        <f>"T12_"&amp;STDLIGHTINEFCAT2[[#This Row],[Ineff DropDown 2]]</f>
        <v>T12_PG 131-210</v>
      </c>
      <c r="K388" s="277" t="str">
        <f>STDLIGHTINEFCAT2[[#This Row],[Match]]&amp;"_"&amp;STDLIGHTINEFCAT2[[#This Row],[Options]]</f>
        <v>T12_PG 131-210_----6 ft Lamps----</v>
      </c>
      <c r="L388" s="281" t="s">
        <v>2054</v>
      </c>
      <c r="M388" s="281"/>
      <c r="N388" s="277"/>
      <c r="O388">
        <v>386</v>
      </c>
    </row>
    <row r="389" spans="9:15">
      <c r="I389" s="31" t="s">
        <v>2495</v>
      </c>
      <c r="J389" s="31" t="str">
        <f>"T12_"&amp;STDLIGHTINEFCAT2[[#This Row],[Ineff DropDown 2]]</f>
        <v>T12_PG 131-210</v>
      </c>
      <c r="K389" s="277" t="str">
        <f>STDLIGHTINEFCAT2[[#This Row],[Match]]&amp;"_"&amp;STDLIGHTINEFCAT2[[#This Row],[Options]]</f>
        <v>T12_PG 131-210_2L T12 6' 85W</v>
      </c>
      <c r="L389" s="277" t="s">
        <v>2026</v>
      </c>
      <c r="M389" s="277">
        <f>2*85</f>
        <v>170</v>
      </c>
      <c r="N389" s="277">
        <v>190</v>
      </c>
      <c r="O389">
        <v>387</v>
      </c>
    </row>
    <row r="390" spans="9:15">
      <c r="I390" s="31" t="s">
        <v>2495</v>
      </c>
      <c r="J390" s="31" t="str">
        <f>"T12_"&amp;STDLIGHTINEFCAT2[[#This Row],[Ineff DropDown 2]]</f>
        <v>T12_PG 131-210</v>
      </c>
      <c r="K390" s="277" t="str">
        <f>STDLIGHTINEFCAT2[[#This Row],[Match]]&amp;"_"&amp;STDLIGHTINEFCAT2[[#This Row],[Options]]</f>
        <v>T12_PG 131-210_1L T12 6' 168W</v>
      </c>
      <c r="L390" s="277" t="s">
        <v>2020</v>
      </c>
      <c r="M390" s="277">
        <v>168</v>
      </c>
      <c r="N390" s="277">
        <v>169</v>
      </c>
      <c r="O390">
        <v>388</v>
      </c>
    </row>
    <row r="391" spans="9:15">
      <c r="I391" s="31" t="s">
        <v>2495</v>
      </c>
      <c r="J391" s="31" t="str">
        <f>"T12_"&amp;STDLIGHTINEFCAT2[[#This Row],[Ineff DropDown 2]]</f>
        <v>T12_PG 131-210</v>
      </c>
      <c r="K391" s="277" t="str">
        <f>STDLIGHTINEFCAT2[[#This Row],[Match]]&amp;"_"&amp;STDLIGHTINEFCAT2[[#This Row],[Options]]</f>
        <v>T12_PG 131-210_----8 ft Lamps----</v>
      </c>
      <c r="L391" s="281" t="s">
        <v>2056</v>
      </c>
      <c r="M391" s="281"/>
      <c r="N391" s="277"/>
      <c r="O391">
        <v>389</v>
      </c>
    </row>
    <row r="392" spans="9:15">
      <c r="I392" s="31" t="s">
        <v>2495</v>
      </c>
      <c r="J392" s="31" t="str">
        <f>"T12_"&amp;STDLIGHTINEFCAT2[[#This Row],[Ineff DropDown 2]]</f>
        <v>T12_PG 131-210</v>
      </c>
      <c r="K392" s="277" t="str">
        <f>STDLIGHTINEFCAT2[[#This Row],[Match]]&amp;"_"&amp;STDLIGHTINEFCAT2[[#This Row],[Options]]</f>
        <v>T12_PG 131-210_2L T12 8' 75W</v>
      </c>
      <c r="L392" s="277" t="s">
        <v>2038</v>
      </c>
      <c r="M392" s="277">
        <f>2*75</f>
        <v>150</v>
      </c>
      <c r="N392" s="277">
        <v>145</v>
      </c>
      <c r="O392">
        <v>390</v>
      </c>
    </row>
    <row r="393" spans="9:15">
      <c r="I393" s="31" t="s">
        <v>2495</v>
      </c>
      <c r="J393" s="31" t="str">
        <f>"T12_"&amp;STDLIGHTINEFCAT2[[#This Row],[Ineff DropDown 2]]</f>
        <v>T12_PG 131-210</v>
      </c>
      <c r="K393" s="277" t="str">
        <f>STDLIGHTINEFCAT2[[#This Row],[Match]]&amp;"_"&amp;STDLIGHTINEFCAT2[[#This Row],[Options]]</f>
        <v>T12_PG 131-210_1L T12 8' 110W</v>
      </c>
      <c r="L393" s="277" t="s">
        <v>2041</v>
      </c>
      <c r="M393" s="277">
        <v>110</v>
      </c>
      <c r="N393" s="277">
        <v>140</v>
      </c>
      <c r="O393">
        <v>391</v>
      </c>
    </row>
    <row r="394" spans="9:15">
      <c r="I394" s="31" t="s">
        <v>2495</v>
      </c>
      <c r="J394" s="31" t="str">
        <f>"T12_"&amp;STDLIGHTINEFCAT2[[#This Row],[Ineff DropDown 2]]</f>
        <v>T12_PG 131-210</v>
      </c>
      <c r="K394" s="277" t="str">
        <f>STDLIGHTINEFCAT2[[#This Row],[Match]]&amp;"_"&amp;STDLIGHTINEFCAT2[[#This Row],[Options]]</f>
        <v>T12_PG 131-210_1L T12 8' 185W</v>
      </c>
      <c r="L394" s="277" t="s">
        <v>2043</v>
      </c>
      <c r="M394" s="277">
        <v>185</v>
      </c>
      <c r="N394" s="277">
        <v>198</v>
      </c>
      <c r="O394">
        <v>392</v>
      </c>
    </row>
    <row r="395" spans="9:15">
      <c r="I395" s="31" t="s">
        <v>2210</v>
      </c>
      <c r="J395" s="31" t="str">
        <f>"T12_"&amp;STDLIGHTINEFCAT2[[#This Row],[Ineff DropDown 2]]</f>
        <v>T12_Retrofit_2ft</v>
      </c>
      <c r="K395" s="277" t="str">
        <f>STDLIGHTINEFCAT2[[#This Row],[Match]]&amp;"_"&amp;STDLIGHTINEFCAT2[[#This Row],[Options]]</f>
        <v>T12_Retrofit_2ft_1L T12 2' 20W</v>
      </c>
      <c r="L395" s="277" t="s">
        <v>1971</v>
      </c>
      <c r="M395" s="277">
        <v>20</v>
      </c>
      <c r="N395" s="277">
        <v>21</v>
      </c>
      <c r="O395">
        <v>393</v>
      </c>
    </row>
    <row r="396" spans="9:15">
      <c r="I396" s="31" t="s">
        <v>2210</v>
      </c>
      <c r="J396" s="31" t="str">
        <f>"T12_"&amp;STDLIGHTINEFCAT2[[#This Row],[Ineff DropDown 2]]</f>
        <v>T12_Retrofit_2ft</v>
      </c>
      <c r="K396" s="277" t="str">
        <f>STDLIGHTINEFCAT2[[#This Row],[Match]]&amp;"_"&amp;STDLIGHTINEFCAT2[[#This Row],[Options]]</f>
        <v>T12_Retrofit_2ft_1L T12 2' 35W</v>
      </c>
      <c r="L396" s="280" t="s">
        <v>1975</v>
      </c>
      <c r="M396" s="277">
        <v>35</v>
      </c>
      <c r="N396" s="280">
        <v>64</v>
      </c>
      <c r="O396">
        <v>394</v>
      </c>
    </row>
    <row r="397" spans="9:15">
      <c r="I397" s="31" t="s">
        <v>2210</v>
      </c>
      <c r="J397" s="31" t="str">
        <f>"T12_"&amp;STDLIGHTINEFCAT2[[#This Row],[Ineff DropDown 2]]</f>
        <v>T12_Retrofit_2ft</v>
      </c>
      <c r="K397" s="277" t="str">
        <f>STDLIGHTINEFCAT2[[#This Row],[Match]]&amp;"_"&amp;STDLIGHTINEFCAT2[[#This Row],[Options]]</f>
        <v>T12_Retrofit_2ft_2L T12 2' 20W</v>
      </c>
      <c r="L397" s="277" t="s">
        <v>1972</v>
      </c>
      <c r="M397" s="277">
        <v>40</v>
      </c>
      <c r="N397" s="277">
        <v>53</v>
      </c>
      <c r="O397">
        <v>395</v>
      </c>
    </row>
    <row r="398" spans="9:15">
      <c r="I398" s="31" t="s">
        <v>2210</v>
      </c>
      <c r="J398" s="31" t="str">
        <f>"T12_"&amp;STDLIGHTINEFCAT2[[#This Row],[Ineff DropDown 2]]</f>
        <v>T12_Retrofit_2ft</v>
      </c>
      <c r="K398" s="277" t="str">
        <f>STDLIGHTINEFCAT2[[#This Row],[Match]]&amp;"_"&amp;STDLIGHTINEFCAT2[[#This Row],[Options]]</f>
        <v>T12_Retrofit_2ft_2L T12 2' 35W</v>
      </c>
      <c r="L398" s="277" t="s">
        <v>1976</v>
      </c>
      <c r="M398" s="277">
        <v>70</v>
      </c>
      <c r="N398" s="277">
        <v>95</v>
      </c>
      <c r="O398">
        <v>396</v>
      </c>
    </row>
    <row r="399" spans="9:15">
      <c r="I399" s="31" t="s">
        <v>2210</v>
      </c>
      <c r="J399" s="31" t="str">
        <f>"T12_"&amp;STDLIGHTINEFCAT2[[#This Row],[Ineff DropDown 2]]</f>
        <v>T12_Retrofit_2ft</v>
      </c>
      <c r="K399" s="277" t="str">
        <f>STDLIGHTINEFCAT2[[#This Row],[Match]]&amp;"_"&amp;STDLIGHTINEFCAT2[[#This Row],[Options]]</f>
        <v>T12_Retrofit_2ft_3L T12 2' 20W</v>
      </c>
      <c r="L399" s="277" t="s">
        <v>1973</v>
      </c>
      <c r="M399" s="277">
        <v>60</v>
      </c>
      <c r="N399" s="277">
        <v>64</v>
      </c>
      <c r="O399">
        <v>397</v>
      </c>
    </row>
    <row r="400" spans="9:15">
      <c r="I400" s="31" t="s">
        <v>2210</v>
      </c>
      <c r="J400" s="31" t="str">
        <f>"T12_"&amp;STDLIGHTINEFCAT2[[#This Row],[Ineff DropDown 2]]</f>
        <v>T12_Retrofit_2ft</v>
      </c>
      <c r="K400" s="277" t="str">
        <f>STDLIGHTINEFCAT2[[#This Row],[Match]]&amp;"_"&amp;STDLIGHTINEFCAT2[[#This Row],[Options]]</f>
        <v>T12_Retrofit_2ft_3L T12 2' 35W</v>
      </c>
      <c r="L400" s="277" t="s">
        <v>1977</v>
      </c>
      <c r="M400" s="277">
        <v>105</v>
      </c>
      <c r="N400" s="277">
        <v>148</v>
      </c>
      <c r="O400">
        <v>398</v>
      </c>
    </row>
    <row r="401" spans="9:16">
      <c r="I401" s="31" t="s">
        <v>2210</v>
      </c>
      <c r="J401" s="31" t="str">
        <f>"T12_"&amp;STDLIGHTINEFCAT2[[#This Row],[Ineff DropDown 2]]</f>
        <v>T12_Retrofit_2ft</v>
      </c>
      <c r="K401" s="277" t="str">
        <f>STDLIGHTINEFCAT2[[#This Row],[Match]]&amp;"_"&amp;STDLIGHTINEFCAT2[[#This Row],[Options]]</f>
        <v>T12_Retrofit_2ft_4L T12 2' 20W</v>
      </c>
      <c r="L401" s="277" t="s">
        <v>1974</v>
      </c>
      <c r="M401" s="277">
        <v>80</v>
      </c>
      <c r="N401" s="277">
        <v>91</v>
      </c>
      <c r="O401">
        <v>399</v>
      </c>
    </row>
    <row r="402" spans="9:16">
      <c r="I402" s="31" t="s">
        <v>2210</v>
      </c>
      <c r="J402" s="31" t="str">
        <f>"T12_"&amp;STDLIGHTINEFCAT2[[#This Row],[Ineff DropDown 2]]</f>
        <v>T12_Retrofit_2ft</v>
      </c>
      <c r="K402" s="277" t="str">
        <f>STDLIGHTINEFCAT2[[#This Row],[Match]]&amp;"_"&amp;STDLIGHTINEFCAT2[[#This Row],[Options]]</f>
        <v>T12_Retrofit_2ft_4L T12 2' 35W</v>
      </c>
      <c r="L402" s="277" t="s">
        <v>1978</v>
      </c>
      <c r="M402" s="277">
        <f>4*35</f>
        <v>140</v>
      </c>
      <c r="N402" s="277">
        <v>183</v>
      </c>
      <c r="O402">
        <v>400</v>
      </c>
    </row>
    <row r="403" spans="9:16">
      <c r="I403" s="31" t="s">
        <v>2522</v>
      </c>
      <c r="J403" s="31" t="str">
        <f>"T12_"&amp;STDLIGHTINEFCAT2[[#This Row],[Ineff DropDown 2]]</f>
        <v>T12_Retrofit_2U</v>
      </c>
      <c r="K403" s="277" t="str">
        <f>STDLIGHTINEFCAT2[[#This Row],[Match]]&amp;"_"&amp;STDLIGHTINEFCAT2[[#This Row],[Options]]</f>
        <v>T12_Retrofit_2U_1L T12 Ubend 34W</v>
      </c>
      <c r="L403" s="277" t="s">
        <v>2343</v>
      </c>
      <c r="M403" s="277">
        <v>34</v>
      </c>
      <c r="N403" s="277">
        <v>43</v>
      </c>
      <c r="O403">
        <v>401</v>
      </c>
      <c r="P403" t="s">
        <v>2347</v>
      </c>
    </row>
    <row r="404" spans="9:16">
      <c r="I404" s="31" t="s">
        <v>2522</v>
      </c>
      <c r="J404" s="31" t="str">
        <f>"T12_"&amp;STDLIGHTINEFCAT2[[#This Row],[Ineff DropDown 2]]</f>
        <v>T12_Retrofit_2U</v>
      </c>
      <c r="K404" s="277" t="str">
        <f>STDLIGHTINEFCAT2[[#This Row],[Match]]&amp;"_"&amp;STDLIGHTINEFCAT2[[#This Row],[Options]]</f>
        <v>T12_Retrofit_2U_1L T12 Ubend 40W</v>
      </c>
      <c r="L404" s="277" t="s">
        <v>2345</v>
      </c>
      <c r="M404" s="277">
        <v>40</v>
      </c>
      <c r="N404" s="277">
        <v>43</v>
      </c>
      <c r="O404">
        <v>402</v>
      </c>
      <c r="P404" t="s">
        <v>2347</v>
      </c>
    </row>
    <row r="405" spans="9:16">
      <c r="I405" s="31" t="s">
        <v>2522</v>
      </c>
      <c r="J405" s="31" t="str">
        <f>"T12_"&amp;STDLIGHTINEFCAT2[[#This Row],[Ineff DropDown 2]]</f>
        <v>T12_Retrofit_2U</v>
      </c>
      <c r="K405" s="277" t="str">
        <f>STDLIGHTINEFCAT2[[#This Row],[Match]]&amp;"_"&amp;STDLIGHTINEFCAT2[[#This Row],[Options]]</f>
        <v>T12_Retrofit_2U_2L T12 Ubend 34W</v>
      </c>
      <c r="L405" s="277" t="s">
        <v>2344</v>
      </c>
      <c r="M405" s="277">
        <f>34*2</f>
        <v>68</v>
      </c>
      <c r="N405" s="277">
        <v>63</v>
      </c>
      <c r="O405">
        <v>403</v>
      </c>
      <c r="P405" t="s">
        <v>2348</v>
      </c>
    </row>
    <row r="406" spans="9:16">
      <c r="I406" s="31" t="s">
        <v>2522</v>
      </c>
      <c r="J406" s="31" t="str">
        <f>"T12_"&amp;STDLIGHTINEFCAT2[[#This Row],[Ineff DropDown 2]]</f>
        <v>T12_Retrofit_2U</v>
      </c>
      <c r="K406" s="277" t="str">
        <f>STDLIGHTINEFCAT2[[#This Row],[Match]]&amp;"_"&amp;STDLIGHTINEFCAT2[[#This Row],[Options]]</f>
        <v>T12_Retrofit_2U_2L T12 Ubend 40W</v>
      </c>
      <c r="L406" s="277" t="s">
        <v>2346</v>
      </c>
      <c r="M406" s="277">
        <v>80</v>
      </c>
      <c r="N406" s="277">
        <v>63</v>
      </c>
      <c r="O406">
        <v>404</v>
      </c>
      <c r="P406" t="s">
        <v>2349</v>
      </c>
    </row>
    <row r="407" spans="9:16">
      <c r="I407" s="31" t="s">
        <v>2434</v>
      </c>
      <c r="J407" s="31" t="str">
        <f>"T12_"&amp;STDLIGHTINEFCAT2[[#This Row],[Ineff DropDown 2]]</f>
        <v>T12_Retrofit_4ft_1x4</v>
      </c>
      <c r="K407" s="277" t="str">
        <f>STDLIGHTINEFCAT2[[#This Row],[Match]]&amp;"_"&amp;STDLIGHTINEFCAT2[[#This Row],[Options]]</f>
        <v>T12_Retrofit_4ft_1x4_1L T12 4' 30W</v>
      </c>
      <c r="L407" s="277" t="s">
        <v>1995</v>
      </c>
      <c r="M407" s="277">
        <v>30</v>
      </c>
      <c r="N407" s="277">
        <v>49</v>
      </c>
      <c r="O407">
        <v>405</v>
      </c>
    </row>
    <row r="408" spans="9:16">
      <c r="I408" s="31" t="s">
        <v>2434</v>
      </c>
      <c r="J408" s="31" t="str">
        <f>"T12_"&amp;STDLIGHTINEFCAT2[[#This Row],[Ineff DropDown 2]]</f>
        <v>T12_Retrofit_4ft_1x4</v>
      </c>
      <c r="K408" s="277" t="str">
        <f>STDLIGHTINEFCAT2[[#This Row],[Match]]&amp;"_"&amp;STDLIGHTINEFCAT2[[#This Row],[Options]]</f>
        <v>T12_Retrofit_4ft_1x4_1L T12 4' 34W</v>
      </c>
      <c r="L408" s="277" t="s">
        <v>1997</v>
      </c>
      <c r="M408" s="277">
        <v>34</v>
      </c>
      <c r="N408" s="277">
        <v>45</v>
      </c>
      <c r="O408">
        <v>406</v>
      </c>
    </row>
    <row r="409" spans="9:16">
      <c r="I409" s="31" t="s">
        <v>2434</v>
      </c>
      <c r="J409" s="31" t="str">
        <f>"T12_"&amp;STDLIGHTINEFCAT2[[#This Row],[Ineff DropDown 2]]</f>
        <v>T12_Retrofit_4ft_1x4</v>
      </c>
      <c r="K409" s="277" t="str">
        <f>STDLIGHTINEFCAT2[[#This Row],[Match]]&amp;"_"&amp;STDLIGHTINEFCAT2[[#This Row],[Options]]</f>
        <v>T12_Retrofit_4ft_1x4_1L T12 4' 40W</v>
      </c>
      <c r="L409" s="277" t="s">
        <v>2001</v>
      </c>
      <c r="M409" s="277">
        <v>40</v>
      </c>
      <c r="N409" s="277">
        <v>51</v>
      </c>
      <c r="O409">
        <v>407</v>
      </c>
    </row>
    <row r="410" spans="9:16">
      <c r="I410" s="31" t="s">
        <v>2434</v>
      </c>
      <c r="J410" s="31" t="str">
        <f>"T12_"&amp;STDLIGHTINEFCAT2[[#This Row],[Ineff DropDown 2]]</f>
        <v>T12_Retrofit_4ft_1x4</v>
      </c>
      <c r="K410" s="277" t="str">
        <f>STDLIGHTINEFCAT2[[#This Row],[Match]]&amp;"_"&amp;STDLIGHTINEFCAT2[[#This Row],[Options]]</f>
        <v>T12_Retrofit_4ft_1x4_1L T12 4' 60W</v>
      </c>
      <c r="L410" s="277" t="s">
        <v>2005</v>
      </c>
      <c r="M410" s="277">
        <v>60</v>
      </c>
      <c r="N410" s="277">
        <v>82</v>
      </c>
      <c r="O410">
        <v>408</v>
      </c>
    </row>
    <row r="411" spans="9:16">
      <c r="I411" s="31" t="s">
        <v>2434</v>
      </c>
      <c r="J411" s="31" t="str">
        <f>"T12_"&amp;STDLIGHTINEFCAT2[[#This Row],[Ineff DropDown 2]]</f>
        <v>T12_Retrofit_4ft_1x4</v>
      </c>
      <c r="K411" s="277" t="str">
        <f>STDLIGHTINEFCAT2[[#This Row],[Match]]&amp;"_"&amp;STDLIGHTINEFCAT2[[#This Row],[Options]]</f>
        <v>T12_Retrofit_4ft_1x4_1L T12 4' 116W</v>
      </c>
      <c r="L411" s="277" t="s">
        <v>2009</v>
      </c>
      <c r="M411" s="277">
        <v>116</v>
      </c>
      <c r="N411" s="277">
        <v>130</v>
      </c>
      <c r="O411">
        <v>409</v>
      </c>
    </row>
    <row r="412" spans="9:16">
      <c r="I412" s="31" t="s">
        <v>2434</v>
      </c>
      <c r="J412" s="31" t="str">
        <f>"T12_"&amp;STDLIGHTINEFCAT2[[#This Row],[Ineff DropDown 2]]</f>
        <v>T12_Retrofit_4ft_1x4</v>
      </c>
      <c r="K412" s="277" t="str">
        <f>STDLIGHTINEFCAT2[[#This Row],[Match]]&amp;"_"&amp;STDLIGHTINEFCAT2[[#This Row],[Options]]</f>
        <v>T12_Retrofit_4ft_1x4_2L T12 4' 30W</v>
      </c>
      <c r="L412" s="277" t="s">
        <v>1996</v>
      </c>
      <c r="M412" s="277">
        <v>60</v>
      </c>
      <c r="N412" s="277">
        <v>80</v>
      </c>
      <c r="O412">
        <v>410</v>
      </c>
    </row>
    <row r="413" spans="9:16">
      <c r="I413" s="31" t="s">
        <v>2434</v>
      </c>
      <c r="J413" s="31" t="str">
        <f>"T12_"&amp;STDLIGHTINEFCAT2[[#This Row],[Ineff DropDown 2]]</f>
        <v>T12_Retrofit_4ft_1x4</v>
      </c>
      <c r="K413" s="277" t="str">
        <f>STDLIGHTINEFCAT2[[#This Row],[Match]]&amp;"_"&amp;STDLIGHTINEFCAT2[[#This Row],[Options]]</f>
        <v>T12_Retrofit_4ft_1x4_2L T12 4' 34W</v>
      </c>
      <c r="L413" s="277" t="s">
        <v>1998</v>
      </c>
      <c r="M413" s="277">
        <v>68</v>
      </c>
      <c r="N413" s="277">
        <v>84</v>
      </c>
      <c r="O413">
        <v>411</v>
      </c>
    </row>
    <row r="414" spans="9:16">
      <c r="I414" s="31" t="s">
        <v>2434</v>
      </c>
      <c r="J414" s="31" t="str">
        <f>"T12_"&amp;STDLIGHTINEFCAT2[[#This Row],[Ineff DropDown 2]]</f>
        <v>T12_Retrofit_4ft_1x4</v>
      </c>
      <c r="K414" s="277" t="str">
        <f>STDLIGHTINEFCAT2[[#This Row],[Match]]&amp;"_"&amp;STDLIGHTINEFCAT2[[#This Row],[Options]]</f>
        <v>T12_Retrofit_4ft_1x4_2L T12 4' 40W</v>
      </c>
      <c r="L414" s="277" t="s">
        <v>2002</v>
      </c>
      <c r="M414" s="277">
        <v>80</v>
      </c>
      <c r="N414" s="277">
        <v>97</v>
      </c>
      <c r="O414">
        <v>412</v>
      </c>
    </row>
    <row r="415" spans="9:16">
      <c r="I415" s="31" t="s">
        <v>2434</v>
      </c>
      <c r="J415" s="31" t="str">
        <f>"T12_"&amp;STDLIGHTINEFCAT2[[#This Row],[Ineff DropDown 2]]</f>
        <v>T12_Retrofit_4ft_1x4</v>
      </c>
      <c r="K415" s="277" t="str">
        <f>STDLIGHTINEFCAT2[[#This Row],[Match]]&amp;"_"&amp;STDLIGHTINEFCAT2[[#This Row],[Options]]</f>
        <v>T12_Retrofit_4ft_1x4_2L T12 4' 60W</v>
      </c>
      <c r="L415" s="277" t="s">
        <v>2006</v>
      </c>
      <c r="M415" s="277">
        <v>120</v>
      </c>
      <c r="N415" s="277">
        <v>133</v>
      </c>
      <c r="O415">
        <v>413</v>
      </c>
    </row>
    <row r="416" spans="9:16">
      <c r="I416" s="31" t="s">
        <v>2434</v>
      </c>
      <c r="J416" s="31" t="str">
        <f>"T12_"&amp;STDLIGHTINEFCAT2[[#This Row],[Ineff DropDown 2]]</f>
        <v>T12_Retrofit_4ft_1x4</v>
      </c>
      <c r="K416" s="277" t="str">
        <f>STDLIGHTINEFCAT2[[#This Row],[Match]]&amp;"_"&amp;STDLIGHTINEFCAT2[[#This Row],[Options]]</f>
        <v>T12_Retrofit_4ft_1x4_2L T12 4' 116W</v>
      </c>
      <c r="L416" s="277" t="s">
        <v>2010</v>
      </c>
      <c r="M416" s="277">
        <f>2*116</f>
        <v>232</v>
      </c>
      <c r="N416" s="277">
        <v>230</v>
      </c>
      <c r="O416">
        <v>414</v>
      </c>
    </row>
    <row r="417" spans="9:15">
      <c r="I417" s="31" t="s">
        <v>2435</v>
      </c>
      <c r="J417" s="31" t="str">
        <f>"T12_"&amp;STDLIGHTINEFCAT2[[#This Row],[Ineff DropDown 2]]</f>
        <v>T12_Retrofit_4ft_2x4</v>
      </c>
      <c r="K417" s="277" t="str">
        <f>STDLIGHTINEFCAT2[[#This Row],[Match]]&amp;"_"&amp;STDLIGHTINEFCAT2[[#This Row],[Options]]</f>
        <v>T12_Retrofit_4ft_2x4_3L T12 4' 34W</v>
      </c>
      <c r="L417" s="277" t="s">
        <v>1999</v>
      </c>
      <c r="M417" s="277">
        <v>102</v>
      </c>
      <c r="N417" s="277">
        <v>127</v>
      </c>
      <c r="O417">
        <v>415</v>
      </c>
    </row>
    <row r="418" spans="9:15">
      <c r="I418" s="31" t="s">
        <v>2435</v>
      </c>
      <c r="J418" s="31" t="str">
        <f>"T12_"&amp;STDLIGHTINEFCAT2[[#This Row],[Ineff DropDown 2]]</f>
        <v>T12_Retrofit_4ft_2x4</v>
      </c>
      <c r="K418" s="277" t="str">
        <f>STDLIGHTINEFCAT2[[#This Row],[Match]]&amp;"_"&amp;STDLIGHTINEFCAT2[[#This Row],[Options]]</f>
        <v>T12_Retrofit_4ft_2x4_3L T12 4' 40W</v>
      </c>
      <c r="L418" s="277" t="s">
        <v>2003</v>
      </c>
      <c r="M418" s="277">
        <f>3*40</f>
        <v>120</v>
      </c>
      <c r="N418" s="277">
        <v>135</v>
      </c>
      <c r="O418">
        <v>416</v>
      </c>
    </row>
    <row r="419" spans="9:15">
      <c r="I419" s="31" t="s">
        <v>2435</v>
      </c>
      <c r="J419" s="31" t="str">
        <f>"T12_"&amp;STDLIGHTINEFCAT2[[#This Row],[Ineff DropDown 2]]</f>
        <v>T12_Retrofit_4ft_2x4</v>
      </c>
      <c r="K419" s="277" t="str">
        <f>STDLIGHTINEFCAT2[[#This Row],[Match]]&amp;"_"&amp;STDLIGHTINEFCAT2[[#This Row],[Options]]</f>
        <v>T12_Retrofit_4ft_2x4_3L T12 4' 60W</v>
      </c>
      <c r="L419" s="277" t="s">
        <v>2007</v>
      </c>
      <c r="M419" s="277">
        <f>3*60</f>
        <v>180</v>
      </c>
      <c r="N419" s="277">
        <v>204</v>
      </c>
      <c r="O419">
        <v>417</v>
      </c>
    </row>
    <row r="420" spans="9:15">
      <c r="I420" s="31" t="s">
        <v>2435</v>
      </c>
      <c r="J420" s="31" t="str">
        <f>"T12_"&amp;STDLIGHTINEFCAT2[[#This Row],[Ineff DropDown 2]]</f>
        <v>T12_Retrofit_4ft_2x4</v>
      </c>
      <c r="K420" s="277" t="str">
        <f>STDLIGHTINEFCAT2[[#This Row],[Match]]&amp;"_"&amp;STDLIGHTINEFCAT2[[#This Row],[Options]]</f>
        <v>T12_Retrofit_4ft_2x4_3L T12 4' 116W</v>
      </c>
      <c r="L420" s="277" t="s">
        <v>2011</v>
      </c>
      <c r="M420" s="282">
        <f>3*116</f>
        <v>348</v>
      </c>
      <c r="N420" s="277">
        <v>329</v>
      </c>
      <c r="O420">
        <v>418</v>
      </c>
    </row>
    <row r="421" spans="9:15">
      <c r="I421" s="31" t="s">
        <v>2435</v>
      </c>
      <c r="J421" s="31" t="str">
        <f>"T12_"&amp;STDLIGHTINEFCAT2[[#This Row],[Ineff DropDown 2]]</f>
        <v>T12_Retrofit_4ft_2x4</v>
      </c>
      <c r="K421" s="277" t="str">
        <f>STDLIGHTINEFCAT2[[#This Row],[Match]]&amp;"_"&amp;STDLIGHTINEFCAT2[[#This Row],[Options]]</f>
        <v>T12_Retrofit_4ft_2x4_4L T12 4' 34W</v>
      </c>
      <c r="L421" s="277" t="s">
        <v>2000</v>
      </c>
      <c r="M421" s="277">
        <v>136</v>
      </c>
      <c r="N421" s="277">
        <v>156</v>
      </c>
      <c r="O421">
        <v>419</v>
      </c>
    </row>
    <row r="422" spans="9:15">
      <c r="I422" s="31" t="s">
        <v>2435</v>
      </c>
      <c r="J422" s="31" t="str">
        <f>"T12_"&amp;STDLIGHTINEFCAT2[[#This Row],[Ineff DropDown 2]]</f>
        <v>T12_Retrofit_4ft_2x4</v>
      </c>
      <c r="K422" s="277" t="str">
        <f>STDLIGHTINEFCAT2[[#This Row],[Match]]&amp;"_"&amp;STDLIGHTINEFCAT2[[#This Row],[Options]]</f>
        <v>T12_Retrofit_4ft_2x4_4L T12 4' 40W</v>
      </c>
      <c r="L422" s="277" t="s">
        <v>2004</v>
      </c>
      <c r="M422" s="277">
        <f>4*40</f>
        <v>160</v>
      </c>
      <c r="N422" s="277">
        <v>175</v>
      </c>
      <c r="O422">
        <v>420</v>
      </c>
    </row>
    <row r="423" spans="9:15">
      <c r="I423" s="31" t="s">
        <v>2435</v>
      </c>
      <c r="J423" s="31" t="str">
        <f>"T12_"&amp;STDLIGHTINEFCAT2[[#This Row],[Ineff DropDown 2]]</f>
        <v>T12_Retrofit_4ft_2x4</v>
      </c>
      <c r="K423" s="277" t="str">
        <f>STDLIGHTINEFCAT2[[#This Row],[Match]]&amp;"_"&amp;STDLIGHTINEFCAT2[[#This Row],[Options]]</f>
        <v>T12_Retrofit_4ft_2x4_4L T12 4' 60W</v>
      </c>
      <c r="L423" s="277" t="s">
        <v>2008</v>
      </c>
      <c r="M423" s="282">
        <f>4*60</f>
        <v>240</v>
      </c>
      <c r="N423" s="277">
        <v>263</v>
      </c>
      <c r="O423">
        <v>421</v>
      </c>
    </row>
    <row r="424" spans="9:15">
      <c r="I424" s="31" t="s">
        <v>2435</v>
      </c>
      <c r="J424" s="31" t="str">
        <f>"T12_"&amp;STDLIGHTINEFCAT2[[#This Row],[Ineff DropDown 2]]</f>
        <v>T12_Retrofit_4ft_2x4</v>
      </c>
      <c r="K424" s="330" t="str">
        <f>STDLIGHTINEFCAT2[[#This Row],[Match]]&amp;"_"&amp;STDLIGHTINEFCAT2[[#This Row],[Options]]</f>
        <v>T12_Retrofit_4ft_2x4_5L T12 4' 40W</v>
      </c>
      <c r="L424" s="330" t="s">
        <v>2446</v>
      </c>
      <c r="M424" s="277">
        <v>200</v>
      </c>
      <c r="N424" s="330">
        <v>176</v>
      </c>
      <c r="O424">
        <v>422</v>
      </c>
    </row>
    <row r="425" spans="9:15">
      <c r="I425" s="31" t="s">
        <v>2435</v>
      </c>
      <c r="J425" s="31" t="str">
        <f>"T12_"&amp;STDLIGHTINEFCAT2[[#This Row],[Ineff DropDown 2]]</f>
        <v>T12_Retrofit_4ft_2x4</v>
      </c>
      <c r="K425" s="330" t="str">
        <f>STDLIGHTINEFCAT2[[#This Row],[Match]]&amp;"_"&amp;STDLIGHTINEFCAT2[[#This Row],[Options]]</f>
        <v>T12_Retrofit_4ft_2x4_6L T12 4' 40W</v>
      </c>
      <c r="L425" s="330" t="s">
        <v>2445</v>
      </c>
      <c r="M425" s="277">
        <v>240</v>
      </c>
      <c r="N425" s="330">
        <v>282</v>
      </c>
      <c r="O425">
        <v>423</v>
      </c>
    </row>
    <row r="426" spans="9:15">
      <c r="I426" s="31" t="s">
        <v>2211</v>
      </c>
      <c r="J426" s="31" t="str">
        <f>"T12_"&amp;STDLIGHTINEFCAT2[[#This Row],[Ineff DropDown 2]]</f>
        <v>T12_Retrofit_8ft</v>
      </c>
      <c r="K426" s="277" t="str">
        <f>STDLIGHTINEFCAT2[[#This Row],[Match]]&amp;"_"&amp;STDLIGHTINEFCAT2[[#This Row],[Options]]</f>
        <v>T12_Retrofit_8ft_1L T12 8' 60W</v>
      </c>
      <c r="L426" s="277" t="s">
        <v>2034</v>
      </c>
      <c r="M426" s="277">
        <v>60</v>
      </c>
      <c r="N426" s="277">
        <v>74</v>
      </c>
      <c r="O426">
        <v>424</v>
      </c>
    </row>
    <row r="427" spans="9:15">
      <c r="I427" s="31" t="s">
        <v>2211</v>
      </c>
      <c r="J427" s="31" t="str">
        <f>"T12_"&amp;STDLIGHTINEFCAT2[[#This Row],[Ineff DropDown 2]]</f>
        <v>T12_Retrofit_8ft</v>
      </c>
      <c r="K427" s="277" t="str">
        <f>STDLIGHTINEFCAT2[[#This Row],[Match]]&amp;"_"&amp;STDLIGHTINEFCAT2[[#This Row],[Options]]</f>
        <v>T12_Retrofit_8ft_1L T12 8' 75W</v>
      </c>
      <c r="L427" s="277" t="s">
        <v>2037</v>
      </c>
      <c r="M427" s="277">
        <v>75</v>
      </c>
      <c r="N427" s="277">
        <v>94</v>
      </c>
      <c r="O427">
        <v>425</v>
      </c>
    </row>
    <row r="428" spans="9:15">
      <c r="I428" s="31" t="s">
        <v>2211</v>
      </c>
      <c r="J428" s="31" t="str">
        <f>"T12_"&amp;STDLIGHTINEFCAT2[[#This Row],[Ineff DropDown 2]]</f>
        <v>T12_Retrofit_8ft</v>
      </c>
      <c r="K428" s="277" t="str">
        <f>STDLIGHTINEFCAT2[[#This Row],[Match]]&amp;"_"&amp;STDLIGHTINEFCAT2[[#This Row],[Options]]</f>
        <v>T12_Retrofit_8ft_1L T12 8' 95W</v>
      </c>
      <c r="L428" s="277" t="s">
        <v>2039</v>
      </c>
      <c r="M428" s="277">
        <v>95</v>
      </c>
      <c r="N428" s="277">
        <v>125</v>
      </c>
      <c r="O428">
        <v>426</v>
      </c>
    </row>
    <row r="429" spans="9:15">
      <c r="I429" s="31" t="s">
        <v>2211</v>
      </c>
      <c r="J429" s="31" t="str">
        <f>"T12_"&amp;STDLIGHTINEFCAT2[[#This Row],[Ineff DropDown 2]]</f>
        <v>T12_Retrofit_8ft</v>
      </c>
      <c r="K429" s="277" t="str">
        <f>STDLIGHTINEFCAT2[[#This Row],[Match]]&amp;"_"&amp;STDLIGHTINEFCAT2[[#This Row],[Options]]</f>
        <v>T12_Retrofit_8ft_1L T12 8' 110W</v>
      </c>
      <c r="L429" s="277" t="s">
        <v>2041</v>
      </c>
      <c r="M429" s="277">
        <v>110</v>
      </c>
      <c r="N429" s="277">
        <v>140</v>
      </c>
      <c r="O429">
        <v>427</v>
      </c>
    </row>
    <row r="430" spans="9:15">
      <c r="I430" s="31" t="s">
        <v>2211</v>
      </c>
      <c r="J430" s="31" t="str">
        <f>"T12_"&amp;STDLIGHTINEFCAT2[[#This Row],[Ineff DropDown 2]]</f>
        <v>T12_Retrofit_8ft</v>
      </c>
      <c r="K430" s="277" t="str">
        <f>STDLIGHTINEFCAT2[[#This Row],[Match]]&amp;"_"&amp;STDLIGHTINEFCAT2[[#This Row],[Options]]</f>
        <v>T12_Retrofit_8ft_1L T12 8' 185W</v>
      </c>
      <c r="L430" s="277" t="s">
        <v>2043</v>
      </c>
      <c r="M430" s="277">
        <v>185</v>
      </c>
      <c r="N430" s="277">
        <v>198</v>
      </c>
      <c r="O430">
        <v>428</v>
      </c>
    </row>
    <row r="431" spans="9:15">
      <c r="I431" s="31" t="s">
        <v>2211</v>
      </c>
      <c r="J431" s="31" t="str">
        <f>"T12_"&amp;STDLIGHTINEFCAT2[[#This Row],[Ineff DropDown 2]]</f>
        <v>T12_Retrofit_8ft</v>
      </c>
      <c r="K431" s="277" t="str">
        <f>STDLIGHTINEFCAT2[[#This Row],[Match]]&amp;"_"&amp;STDLIGHTINEFCAT2[[#This Row],[Options]]</f>
        <v>T12_Retrofit_8ft_1L T12 8' 215W</v>
      </c>
      <c r="L431" s="277" t="s">
        <v>2046</v>
      </c>
      <c r="M431" s="277">
        <v>215</v>
      </c>
      <c r="N431" s="277">
        <v>213</v>
      </c>
      <c r="O431">
        <v>429</v>
      </c>
    </row>
    <row r="432" spans="9:15">
      <c r="I432" s="31" t="s">
        <v>2211</v>
      </c>
      <c r="J432" s="31" t="str">
        <f>"T12_"&amp;STDLIGHTINEFCAT2[[#This Row],[Ineff DropDown 2]]</f>
        <v>T12_Retrofit_8ft</v>
      </c>
      <c r="K432" s="277" t="str">
        <f>STDLIGHTINEFCAT2[[#This Row],[Match]]&amp;"_"&amp;STDLIGHTINEFCAT2[[#This Row],[Options]]</f>
        <v>T12_Retrofit_8ft_2L T12 8' 60W</v>
      </c>
      <c r="L432" s="277" t="s">
        <v>2035</v>
      </c>
      <c r="M432" s="277">
        <v>120</v>
      </c>
      <c r="N432" s="277">
        <v>113</v>
      </c>
      <c r="O432">
        <v>430</v>
      </c>
    </row>
    <row r="433" spans="9:15">
      <c r="I433" s="31" t="s">
        <v>2211</v>
      </c>
      <c r="J433" s="31" t="str">
        <f>"T12_"&amp;STDLIGHTINEFCAT2[[#This Row],[Ineff DropDown 2]]</f>
        <v>T12_Retrofit_8ft</v>
      </c>
      <c r="K433" s="277" t="str">
        <f>STDLIGHTINEFCAT2[[#This Row],[Match]]&amp;"_"&amp;STDLIGHTINEFCAT2[[#This Row],[Options]]</f>
        <v>T12_Retrofit_8ft_2L T12 8' 75W</v>
      </c>
      <c r="L433" s="280" t="s">
        <v>2038</v>
      </c>
      <c r="M433" s="277">
        <f>2*75</f>
        <v>150</v>
      </c>
      <c r="N433" s="277">
        <v>145</v>
      </c>
      <c r="O433">
        <v>431</v>
      </c>
    </row>
    <row r="434" spans="9:15">
      <c r="I434" s="31" t="s">
        <v>2211</v>
      </c>
      <c r="J434" s="31" t="str">
        <f>"T12_"&amp;STDLIGHTINEFCAT2[[#This Row],[Ineff DropDown 2]]</f>
        <v>T12_Retrofit_8ft</v>
      </c>
      <c r="K434" s="277" t="str">
        <f>STDLIGHTINEFCAT2[[#This Row],[Match]]&amp;"_"&amp;STDLIGHTINEFCAT2[[#This Row],[Options]]</f>
        <v>T12_Retrofit_8ft_2L T12 8' 95W</v>
      </c>
      <c r="L434" s="277" t="s">
        <v>2040</v>
      </c>
      <c r="M434" s="277">
        <f>2*95</f>
        <v>190</v>
      </c>
      <c r="N434" s="277">
        <v>216</v>
      </c>
      <c r="O434">
        <v>432</v>
      </c>
    </row>
    <row r="435" spans="9:15">
      <c r="I435" s="31" t="s">
        <v>2211</v>
      </c>
      <c r="J435" s="31" t="str">
        <f>"T12_"&amp;STDLIGHTINEFCAT2[[#This Row],[Ineff DropDown 2]]</f>
        <v>T12_Retrofit_8ft</v>
      </c>
      <c r="K435" s="277" t="str">
        <f>STDLIGHTINEFCAT2[[#This Row],[Match]]&amp;"_"&amp;STDLIGHTINEFCAT2[[#This Row],[Options]]</f>
        <v>T12_Retrofit_8ft_2L T12 8' 110W</v>
      </c>
      <c r="L435" s="280" t="s">
        <v>2042</v>
      </c>
      <c r="M435" s="282">
        <f>2*110</f>
        <v>220</v>
      </c>
      <c r="N435" s="277">
        <v>258</v>
      </c>
      <c r="O435">
        <v>433</v>
      </c>
    </row>
    <row r="436" spans="9:15">
      <c r="I436" s="31" t="s">
        <v>2211</v>
      </c>
      <c r="J436" s="31" t="str">
        <f>"T12_"&amp;STDLIGHTINEFCAT2[[#This Row],[Ineff DropDown 2]]</f>
        <v>T12_Retrofit_8ft</v>
      </c>
      <c r="K436" s="277" t="str">
        <f>STDLIGHTINEFCAT2[[#This Row],[Match]]&amp;"_"&amp;STDLIGHTINEFCAT2[[#This Row],[Options]]</f>
        <v>T12_Retrofit_8ft_2L T12 8' 185W</v>
      </c>
      <c r="L436" s="277" t="s">
        <v>2044</v>
      </c>
      <c r="M436" s="282">
        <f>2*185</f>
        <v>370</v>
      </c>
      <c r="N436" s="277">
        <v>398</v>
      </c>
      <c r="O436">
        <v>434</v>
      </c>
    </row>
    <row r="437" spans="9:15">
      <c r="I437" s="31" t="s">
        <v>2211</v>
      </c>
      <c r="J437" s="31" t="str">
        <f>"T12_"&amp;STDLIGHTINEFCAT2[[#This Row],[Ineff DropDown 2]]</f>
        <v>T12_Retrofit_8ft</v>
      </c>
      <c r="K437" s="277" t="str">
        <f>STDLIGHTINEFCAT2[[#This Row],[Match]]&amp;"_"&amp;STDLIGHTINEFCAT2[[#This Row],[Options]]</f>
        <v>T12_Retrofit_8ft_2L T12 8' 215W</v>
      </c>
      <c r="L437" s="280" t="s">
        <v>2047</v>
      </c>
      <c r="M437" s="282">
        <f>2*215</f>
        <v>430</v>
      </c>
      <c r="N437" s="277">
        <v>320</v>
      </c>
      <c r="O437">
        <v>435</v>
      </c>
    </row>
    <row r="438" spans="9:15">
      <c r="I438" s="31" t="s">
        <v>1925</v>
      </c>
      <c r="J438" s="31" t="s">
        <v>1948</v>
      </c>
      <c r="K438" s="281" t="str">
        <f>STDLIGHTINEFCAT2[[#This Row],[Match]]&amp;"_"&amp;STDLIGHTINEFCAT2[[#This Row],[Options]]</f>
        <v>T5_2ft_Lamp_T5 2' 13W</v>
      </c>
      <c r="L438" s="281" t="s">
        <v>1872</v>
      </c>
      <c r="M438" s="277">
        <v>13</v>
      </c>
      <c r="N438" s="277">
        <v>13</v>
      </c>
      <c r="O438">
        <v>436</v>
      </c>
    </row>
    <row r="439" spans="9:15">
      <c r="I439" s="31" t="s">
        <v>1925</v>
      </c>
      <c r="J439" s="31" t="s">
        <v>1948</v>
      </c>
      <c r="K439" s="277" t="str">
        <f>STDLIGHTINEFCAT2[[#This Row],[Match]]&amp;"_"&amp;STDLIGHTINEFCAT2[[#This Row],[Options]]</f>
        <v>T5_2ft_Lamp_T5 2' 14W</v>
      </c>
      <c r="L439" s="277" t="s">
        <v>1873</v>
      </c>
      <c r="M439" s="277">
        <v>14</v>
      </c>
      <c r="N439" s="277">
        <v>14</v>
      </c>
      <c r="O439">
        <v>437</v>
      </c>
    </row>
    <row r="440" spans="9:15">
      <c r="I440" s="31" t="s">
        <v>1926</v>
      </c>
      <c r="J440" s="31" t="s">
        <v>1954</v>
      </c>
      <c r="K440" s="281" t="str">
        <f>STDLIGHTINEFCAT2[[#This Row],[Match]]&amp;"_"&amp;STDLIGHTINEFCAT2[[#This Row],[Options]]</f>
        <v>T5_4ft_Lamp_T5 4' 28W</v>
      </c>
      <c r="L440" s="281" t="s">
        <v>1874</v>
      </c>
      <c r="M440" s="277">
        <v>28</v>
      </c>
      <c r="N440" s="277">
        <v>28</v>
      </c>
      <c r="O440">
        <v>438</v>
      </c>
    </row>
    <row r="441" spans="9:15">
      <c r="I441" s="31" t="s">
        <v>2489</v>
      </c>
      <c r="J441" s="31" t="str">
        <f>"T5_"&amp;STDLIGHTINEFCAT2[[#This Row],[Ineff DropDown 2]]</f>
        <v>T5_Ext ≤210</v>
      </c>
      <c r="K441" s="277" t="str">
        <f>STDLIGHTINEFCAT2[[#This Row],[Match]]&amp;"_"&amp;STDLIGHTINEFCAT2[[#This Row],[Options]]</f>
        <v>T5_Ext ≤210_----2 ft Lamps----</v>
      </c>
      <c r="L441" s="281" t="s">
        <v>2050</v>
      </c>
      <c r="M441" s="281"/>
      <c r="N441" s="277"/>
      <c r="O441">
        <v>439</v>
      </c>
    </row>
    <row r="442" spans="9:15">
      <c r="I442" s="31" t="s">
        <v>2489</v>
      </c>
      <c r="J442" s="31" t="str">
        <f>"T5_"&amp;STDLIGHTINEFCAT2[[#This Row],[Ineff DropDown 2]]</f>
        <v>T5_Ext ≤210</v>
      </c>
      <c r="K442" s="277" t="str">
        <f>STDLIGHTINEFCAT2[[#This Row],[Match]]&amp;"_"&amp;STDLIGHTINEFCAT2[[#This Row],[Options]]</f>
        <v>T5_Ext ≤210_1L T5 2' 13W</v>
      </c>
      <c r="L442" s="277" t="s">
        <v>2097</v>
      </c>
      <c r="M442" s="277">
        <v>13</v>
      </c>
      <c r="N442" s="277">
        <v>14</v>
      </c>
      <c r="O442">
        <v>440</v>
      </c>
    </row>
    <row r="443" spans="9:15">
      <c r="I443" s="31" t="s">
        <v>2489</v>
      </c>
      <c r="J443" s="31" t="str">
        <f>"T5_"&amp;STDLIGHTINEFCAT2[[#This Row],[Ineff DropDown 2]]</f>
        <v>T5_Ext ≤210</v>
      </c>
      <c r="K443" s="277" t="str">
        <f>STDLIGHTINEFCAT2[[#This Row],[Match]]&amp;"_"&amp;STDLIGHTINEFCAT2[[#This Row],[Options]]</f>
        <v>T5_Ext ≤210_2L T5 2' 13W</v>
      </c>
      <c r="L443" s="277" t="s">
        <v>2098</v>
      </c>
      <c r="M443" s="277">
        <v>36</v>
      </c>
      <c r="N443" s="277">
        <v>27</v>
      </c>
      <c r="O443">
        <v>441</v>
      </c>
    </row>
    <row r="444" spans="9:15">
      <c r="I444" s="31" t="s">
        <v>2489</v>
      </c>
      <c r="J444" s="31" t="str">
        <f>"T5_"&amp;STDLIGHTINEFCAT2[[#This Row],[Ineff DropDown 2]]</f>
        <v>T5_Ext ≤210</v>
      </c>
      <c r="K444" s="277" t="str">
        <f>STDLIGHTINEFCAT2[[#This Row],[Match]]&amp;"_"&amp;STDLIGHTINEFCAT2[[#This Row],[Options]]</f>
        <v>T5_Ext ≤210_1L T5 2' 14W</v>
      </c>
      <c r="L444" s="277" t="s">
        <v>2099</v>
      </c>
      <c r="M444" s="277">
        <v>14</v>
      </c>
      <c r="N444" s="277">
        <v>14</v>
      </c>
      <c r="O444">
        <v>442</v>
      </c>
    </row>
    <row r="445" spans="9:15">
      <c r="I445" s="31" t="s">
        <v>2489</v>
      </c>
      <c r="J445" s="31" t="str">
        <f>"T5_"&amp;STDLIGHTINEFCAT2[[#This Row],[Ineff DropDown 2]]</f>
        <v>T5_Ext ≤210</v>
      </c>
      <c r="K445" s="277" t="str">
        <f>STDLIGHTINEFCAT2[[#This Row],[Match]]&amp;"_"&amp;STDLIGHTINEFCAT2[[#This Row],[Options]]</f>
        <v>T5_Ext ≤210_2L T5 2' 14W</v>
      </c>
      <c r="L445" s="277" t="s">
        <v>2100</v>
      </c>
      <c r="M445" s="277">
        <v>28</v>
      </c>
      <c r="N445" s="277">
        <v>28</v>
      </c>
      <c r="O445">
        <v>443</v>
      </c>
    </row>
    <row r="446" spans="9:15">
      <c r="I446" s="31" t="s">
        <v>2489</v>
      </c>
      <c r="J446" s="31" t="str">
        <f>"T5_"&amp;STDLIGHTINEFCAT2[[#This Row],[Ineff DropDown 2]]</f>
        <v>T5_Ext ≤210</v>
      </c>
      <c r="K446" s="277" t="str">
        <f>STDLIGHTINEFCAT2[[#This Row],[Match]]&amp;"_"&amp;STDLIGHTINEFCAT2[[#This Row],[Options]]</f>
        <v>T5_Ext ≤210_----3 ft Lamps----</v>
      </c>
      <c r="L446" s="281" t="s">
        <v>2051</v>
      </c>
      <c r="M446" s="281"/>
      <c r="N446" s="277"/>
      <c r="O446">
        <v>444</v>
      </c>
    </row>
    <row r="447" spans="9:15">
      <c r="I447" s="31" t="s">
        <v>2489</v>
      </c>
      <c r="J447" s="31" t="str">
        <f>"T5_"&amp;STDLIGHTINEFCAT2[[#This Row],[Ineff DropDown 2]]</f>
        <v>T5_Ext ≤210</v>
      </c>
      <c r="K447" s="277" t="str">
        <f>STDLIGHTINEFCAT2[[#This Row],[Match]]&amp;"_"&amp;STDLIGHTINEFCAT2[[#This Row],[Options]]</f>
        <v>T5_Ext ≤210_1L T5 3' 21W</v>
      </c>
      <c r="L447" s="277" t="s">
        <v>2101</v>
      </c>
      <c r="M447" s="277">
        <v>21</v>
      </c>
      <c r="N447" s="277">
        <v>25</v>
      </c>
      <c r="O447">
        <v>445</v>
      </c>
    </row>
    <row r="448" spans="9:15">
      <c r="I448" s="31" t="s">
        <v>2489</v>
      </c>
      <c r="J448" s="31" t="str">
        <f>"T5_"&amp;STDLIGHTINEFCAT2[[#This Row],[Ineff DropDown 2]]</f>
        <v>T5_Ext ≤210</v>
      </c>
      <c r="K448" s="277" t="str">
        <f>STDLIGHTINEFCAT2[[#This Row],[Match]]&amp;"_"&amp;STDLIGHTINEFCAT2[[#This Row],[Options]]</f>
        <v>T5_Ext ≤210_2L T5 3' 21W</v>
      </c>
      <c r="L448" s="277" t="s">
        <v>2102</v>
      </c>
      <c r="M448" s="277">
        <v>42</v>
      </c>
      <c r="N448" s="277">
        <v>49</v>
      </c>
      <c r="O448">
        <v>446</v>
      </c>
    </row>
    <row r="449" spans="9:16">
      <c r="I449" s="31" t="s">
        <v>2489</v>
      </c>
      <c r="J449" s="31" t="str">
        <f>"T5_"&amp;STDLIGHTINEFCAT2[[#This Row],[Ineff DropDown 2]]</f>
        <v>T5_Ext ≤210</v>
      </c>
      <c r="K449" s="277" t="str">
        <f>STDLIGHTINEFCAT2[[#This Row],[Match]]&amp;"_"&amp;STDLIGHTINEFCAT2[[#This Row],[Options]]</f>
        <v>T5_Ext ≤210_1L T5 3' 39W</v>
      </c>
      <c r="L449" s="277" t="s">
        <v>2103</v>
      </c>
      <c r="M449" s="277">
        <v>39</v>
      </c>
      <c r="N449" s="277">
        <v>42</v>
      </c>
      <c r="O449">
        <v>447</v>
      </c>
    </row>
    <row r="450" spans="9:16">
      <c r="I450" s="31" t="s">
        <v>2489</v>
      </c>
      <c r="J450" s="31" t="str">
        <f>"T5_"&amp;STDLIGHTINEFCAT2[[#This Row],[Ineff DropDown 2]]</f>
        <v>T5_Ext ≤210</v>
      </c>
      <c r="K450" s="277" t="str">
        <f>STDLIGHTINEFCAT2[[#This Row],[Match]]&amp;"_"&amp;STDLIGHTINEFCAT2[[#This Row],[Options]]</f>
        <v>T5_Ext ≤210_----4 ft Lamps----</v>
      </c>
      <c r="L450" s="281" t="s">
        <v>2052</v>
      </c>
      <c r="M450" s="281"/>
      <c r="N450" s="277"/>
      <c r="O450">
        <v>448</v>
      </c>
    </row>
    <row r="451" spans="9:16">
      <c r="I451" s="31" t="s">
        <v>2489</v>
      </c>
      <c r="J451" s="31" t="str">
        <f>"T5_"&amp;STDLIGHTINEFCAT2[[#This Row],[Ineff DropDown 2]]</f>
        <v>T5_Ext ≤210</v>
      </c>
      <c r="K451" s="277" t="str">
        <f>STDLIGHTINEFCAT2[[#This Row],[Match]]&amp;"_"&amp;STDLIGHTINEFCAT2[[#This Row],[Options]]</f>
        <v>T5_Ext ≤210_1L T5 4' 28W</v>
      </c>
      <c r="L451" s="277" t="s">
        <v>2104</v>
      </c>
      <c r="M451" s="277">
        <v>28</v>
      </c>
      <c r="N451" s="277">
        <v>32</v>
      </c>
      <c r="O451">
        <v>449</v>
      </c>
      <c r="P451" t="s">
        <v>2849</v>
      </c>
    </row>
    <row r="452" spans="9:16">
      <c r="I452" s="31" t="s">
        <v>2489</v>
      </c>
      <c r="J452" s="31" t="str">
        <f>"T5_"&amp;STDLIGHTINEFCAT2[[#This Row],[Ineff DropDown 2]]</f>
        <v>T5_Ext ≤210</v>
      </c>
      <c r="K452" s="277" t="str">
        <f>STDLIGHTINEFCAT2[[#This Row],[Match]]&amp;"_"&amp;STDLIGHTINEFCAT2[[#This Row],[Options]]</f>
        <v>T5_Ext ≤210_2L T5 4' 28W</v>
      </c>
      <c r="L452" s="277" t="s">
        <v>2105</v>
      </c>
      <c r="M452" s="277">
        <f>2*28</f>
        <v>56</v>
      </c>
      <c r="N452" s="277">
        <v>63</v>
      </c>
      <c r="O452">
        <v>450</v>
      </c>
      <c r="P452" t="s">
        <v>2849</v>
      </c>
    </row>
    <row r="453" spans="9:16">
      <c r="I453" s="31" t="s">
        <v>2489</v>
      </c>
      <c r="J453" s="31" t="str">
        <f>"T5_"&amp;STDLIGHTINEFCAT2[[#This Row],[Ineff DropDown 2]]</f>
        <v>T5_Ext ≤210</v>
      </c>
      <c r="K453" s="277" t="str">
        <f>STDLIGHTINEFCAT2[[#This Row],[Match]]&amp;"_"&amp;STDLIGHTINEFCAT2[[#This Row],[Options]]</f>
        <v>T5_Ext ≤210_3L T5 4' 28W</v>
      </c>
      <c r="L453" s="277" t="s">
        <v>2106</v>
      </c>
      <c r="M453" s="277">
        <f>3*28</f>
        <v>84</v>
      </c>
      <c r="N453" s="277">
        <v>95</v>
      </c>
      <c r="O453">
        <v>451</v>
      </c>
      <c r="P453" t="s">
        <v>2849</v>
      </c>
    </row>
    <row r="454" spans="9:16">
      <c r="I454" s="31" t="s">
        <v>2489</v>
      </c>
      <c r="J454" s="31" t="str">
        <f>"T5_"&amp;STDLIGHTINEFCAT2[[#This Row],[Ineff DropDown 2]]</f>
        <v>T5_Ext ≤210</v>
      </c>
      <c r="K454" s="277" t="str">
        <f>STDLIGHTINEFCAT2[[#This Row],[Match]]&amp;"_"&amp;STDLIGHTINEFCAT2[[#This Row],[Options]]</f>
        <v>T5_Ext ≤210_4L T5 4' 28W</v>
      </c>
      <c r="L454" s="277" t="s">
        <v>2107</v>
      </c>
      <c r="M454" s="277">
        <f>4*28</f>
        <v>112</v>
      </c>
      <c r="N454" s="277">
        <v>126</v>
      </c>
      <c r="O454">
        <v>452</v>
      </c>
      <c r="P454" t="s">
        <v>2849</v>
      </c>
    </row>
    <row r="455" spans="9:16">
      <c r="I455" s="31" t="s">
        <v>91</v>
      </c>
      <c r="J455" s="31" t="str">
        <f>"T5_"&amp;STDLIGHTINEFCAT2[[#This Row],[Ineff DropDown 2]]</f>
        <v>T5_Fixture</v>
      </c>
      <c r="K455" s="277" t="str">
        <f>STDLIGHTINEFCAT2[[#This Row],[Match]]&amp;"_"&amp;STDLIGHTINEFCAT2[[#This Row],[Options]]</f>
        <v>T5_Fixture_----2 ft Lamps----</v>
      </c>
      <c r="L455" s="281" t="s">
        <v>2050</v>
      </c>
      <c r="M455" s="281"/>
      <c r="N455" s="277"/>
      <c r="O455">
        <v>453</v>
      </c>
    </row>
    <row r="456" spans="9:16">
      <c r="I456" s="31" t="s">
        <v>91</v>
      </c>
      <c r="J456" s="31" t="str">
        <f>"T5_"&amp;STDLIGHTINEFCAT2[[#This Row],[Ineff DropDown 2]]</f>
        <v>T5_Fixture</v>
      </c>
      <c r="K456" s="277" t="str">
        <f>STDLIGHTINEFCAT2[[#This Row],[Match]]&amp;"_"&amp;STDLIGHTINEFCAT2[[#This Row],[Options]]</f>
        <v>T5_Fixture_1L T5 2' 13W</v>
      </c>
      <c r="L456" s="277" t="s">
        <v>2097</v>
      </c>
      <c r="M456" s="277">
        <v>13</v>
      </c>
      <c r="N456" s="277">
        <v>14</v>
      </c>
      <c r="O456">
        <v>454</v>
      </c>
    </row>
    <row r="457" spans="9:16">
      <c r="I457" s="31" t="s">
        <v>91</v>
      </c>
      <c r="J457" s="31" t="str">
        <f>"T5_"&amp;STDLIGHTINEFCAT2[[#This Row],[Ineff DropDown 2]]</f>
        <v>T5_Fixture</v>
      </c>
      <c r="K457" s="277" t="str">
        <f>STDLIGHTINEFCAT2[[#This Row],[Match]]&amp;"_"&amp;STDLIGHTINEFCAT2[[#This Row],[Options]]</f>
        <v>T5_Fixture_2L T5 2' 13W</v>
      </c>
      <c r="L457" s="277" t="s">
        <v>2098</v>
      </c>
      <c r="M457" s="277">
        <v>36</v>
      </c>
      <c r="N457" s="277">
        <v>27</v>
      </c>
      <c r="O457">
        <v>455</v>
      </c>
    </row>
    <row r="458" spans="9:16">
      <c r="I458" s="31" t="s">
        <v>91</v>
      </c>
      <c r="J458" s="31" t="str">
        <f>"T5_"&amp;STDLIGHTINEFCAT2[[#This Row],[Ineff DropDown 2]]</f>
        <v>T5_Fixture</v>
      </c>
      <c r="K458" s="280" t="str">
        <f>STDLIGHTINEFCAT2[[#This Row],[Match]]&amp;"_"&amp;STDLIGHTINEFCAT2[[#This Row],[Options]]</f>
        <v>T5_Fixture_1L T5 2' 14W</v>
      </c>
      <c r="L458" s="280" t="s">
        <v>2099</v>
      </c>
      <c r="M458" s="280">
        <v>14</v>
      </c>
      <c r="N458" s="280">
        <v>14</v>
      </c>
      <c r="O458">
        <v>456</v>
      </c>
    </row>
    <row r="459" spans="9:16">
      <c r="I459" s="31" t="s">
        <v>91</v>
      </c>
      <c r="J459" s="31" t="str">
        <f>"T5_"&amp;STDLIGHTINEFCAT2[[#This Row],[Ineff DropDown 2]]</f>
        <v>T5_Fixture</v>
      </c>
      <c r="K459" s="277" t="str">
        <f>STDLIGHTINEFCAT2[[#This Row],[Match]]&amp;"_"&amp;STDLIGHTINEFCAT2[[#This Row],[Options]]</f>
        <v>T5_Fixture_2L T5 2' 14W</v>
      </c>
      <c r="L459" s="277" t="s">
        <v>2100</v>
      </c>
      <c r="M459" s="277">
        <v>28</v>
      </c>
      <c r="N459" s="277">
        <v>28</v>
      </c>
      <c r="O459">
        <v>457</v>
      </c>
    </row>
    <row r="460" spans="9:16">
      <c r="I460" s="31" t="s">
        <v>91</v>
      </c>
      <c r="J460" s="31" t="str">
        <f>"T5_"&amp;STDLIGHTINEFCAT2[[#This Row],[Ineff DropDown 2]]</f>
        <v>T5_Fixture</v>
      </c>
      <c r="K460" s="277" t="str">
        <f>STDLIGHTINEFCAT2[[#This Row],[Match]]&amp;"_"&amp;STDLIGHTINEFCAT2[[#This Row],[Options]]</f>
        <v>T5_Fixture_----3 ft Lamps----</v>
      </c>
      <c r="L460" s="281" t="s">
        <v>2051</v>
      </c>
      <c r="M460" s="281"/>
      <c r="N460" s="277"/>
      <c r="O460">
        <v>458</v>
      </c>
    </row>
    <row r="461" spans="9:16">
      <c r="I461" s="31" t="s">
        <v>91</v>
      </c>
      <c r="J461" s="31" t="str">
        <f>"T5_"&amp;STDLIGHTINEFCAT2[[#This Row],[Ineff DropDown 2]]</f>
        <v>T5_Fixture</v>
      </c>
      <c r="K461" s="277" t="str">
        <f>STDLIGHTINEFCAT2[[#This Row],[Match]]&amp;"_"&amp;STDLIGHTINEFCAT2[[#This Row],[Options]]</f>
        <v>T5_Fixture_1L T5 3' 21W</v>
      </c>
      <c r="L461" s="277" t="s">
        <v>2101</v>
      </c>
      <c r="M461" s="277">
        <v>21</v>
      </c>
      <c r="N461" s="277">
        <v>25</v>
      </c>
      <c r="O461">
        <v>459</v>
      </c>
    </row>
    <row r="462" spans="9:16">
      <c r="I462" s="31" t="s">
        <v>91</v>
      </c>
      <c r="J462" s="31" t="str">
        <f>"T5_"&amp;STDLIGHTINEFCAT2[[#This Row],[Ineff DropDown 2]]</f>
        <v>T5_Fixture</v>
      </c>
      <c r="K462" s="277" t="str">
        <f>STDLIGHTINEFCAT2[[#This Row],[Match]]&amp;"_"&amp;STDLIGHTINEFCAT2[[#This Row],[Options]]</f>
        <v>T5_Fixture_2L T5 3' 21W</v>
      </c>
      <c r="L462" s="277" t="s">
        <v>2102</v>
      </c>
      <c r="M462" s="277">
        <v>42</v>
      </c>
      <c r="N462" s="277">
        <v>49</v>
      </c>
      <c r="O462">
        <v>460</v>
      </c>
    </row>
    <row r="463" spans="9:16">
      <c r="I463" s="31" t="s">
        <v>91</v>
      </c>
      <c r="J463" s="31" t="str">
        <f>"T5_"&amp;STDLIGHTINEFCAT2[[#This Row],[Ineff DropDown 2]]</f>
        <v>T5_Fixture</v>
      </c>
      <c r="K463" s="277" t="str">
        <f>STDLIGHTINEFCAT2[[#This Row],[Match]]&amp;"_"&amp;STDLIGHTINEFCAT2[[#This Row],[Options]]</f>
        <v>T5_Fixture_1L T5 3' 39W</v>
      </c>
      <c r="L463" s="277" t="s">
        <v>2103</v>
      </c>
      <c r="M463" s="277">
        <v>39</v>
      </c>
      <c r="N463" s="277">
        <v>42</v>
      </c>
      <c r="O463">
        <v>461</v>
      </c>
    </row>
    <row r="464" spans="9:16">
      <c r="I464" s="31" t="s">
        <v>91</v>
      </c>
      <c r="J464" s="31" t="str">
        <f>"T5_"&amp;STDLIGHTINEFCAT2[[#This Row],[Ineff DropDown 2]]</f>
        <v>T5_Fixture</v>
      </c>
      <c r="K464" s="277" t="str">
        <f>STDLIGHTINEFCAT2[[#This Row],[Match]]&amp;"_"&amp;STDLIGHTINEFCAT2[[#This Row],[Options]]</f>
        <v>T5_Fixture_----4 ft Lamps----</v>
      </c>
      <c r="L464" s="281" t="s">
        <v>2052</v>
      </c>
      <c r="M464" s="281"/>
      <c r="N464" s="277"/>
      <c r="O464">
        <v>462</v>
      </c>
    </row>
    <row r="465" spans="9:16">
      <c r="I465" s="31" t="s">
        <v>91</v>
      </c>
      <c r="J465" s="31" t="str">
        <f>"T5_"&amp;STDLIGHTINEFCAT2[[#This Row],[Ineff DropDown 2]]</f>
        <v>T5_Fixture</v>
      </c>
      <c r="K465" s="277" t="str">
        <f>STDLIGHTINEFCAT2[[#This Row],[Match]]&amp;"_"&amp;STDLIGHTINEFCAT2[[#This Row],[Options]]</f>
        <v>T5_Fixture_1L T5 4' 28W</v>
      </c>
      <c r="L465" s="277" t="s">
        <v>2104</v>
      </c>
      <c r="M465" s="277">
        <v>28</v>
      </c>
      <c r="N465" s="277">
        <v>32</v>
      </c>
      <c r="O465">
        <v>463</v>
      </c>
      <c r="P465" t="s">
        <v>2849</v>
      </c>
    </row>
    <row r="466" spans="9:16">
      <c r="I466" s="31" t="s">
        <v>91</v>
      </c>
      <c r="J466" s="31" t="str">
        <f>"T5_"&amp;STDLIGHTINEFCAT2[[#This Row],[Ineff DropDown 2]]</f>
        <v>T5_Fixture</v>
      </c>
      <c r="K466" s="277" t="str">
        <f>STDLIGHTINEFCAT2[[#This Row],[Match]]&amp;"_"&amp;STDLIGHTINEFCAT2[[#This Row],[Options]]</f>
        <v>T5_Fixture_2L T5 4' 28W</v>
      </c>
      <c r="L466" s="277" t="s">
        <v>2105</v>
      </c>
      <c r="M466" s="277">
        <f>2*28</f>
        <v>56</v>
      </c>
      <c r="N466" s="277">
        <v>63</v>
      </c>
      <c r="O466">
        <v>464</v>
      </c>
      <c r="P466" t="s">
        <v>2849</v>
      </c>
    </row>
    <row r="467" spans="9:16">
      <c r="I467" s="31" t="s">
        <v>91</v>
      </c>
      <c r="J467" s="31" t="str">
        <f>"T5_"&amp;STDLIGHTINEFCAT2[[#This Row],[Ineff DropDown 2]]</f>
        <v>T5_Fixture</v>
      </c>
      <c r="K467" s="277" t="str">
        <f>STDLIGHTINEFCAT2[[#This Row],[Match]]&amp;"_"&amp;STDLIGHTINEFCAT2[[#This Row],[Options]]</f>
        <v>T5_Fixture_3L T5 4' 28W</v>
      </c>
      <c r="L467" s="277" t="s">
        <v>2106</v>
      </c>
      <c r="M467" s="277">
        <f>3*28</f>
        <v>84</v>
      </c>
      <c r="N467" s="277">
        <v>95</v>
      </c>
      <c r="O467">
        <v>465</v>
      </c>
      <c r="P467" t="s">
        <v>2849</v>
      </c>
    </row>
    <row r="468" spans="9:16">
      <c r="I468" s="31" t="s">
        <v>91</v>
      </c>
      <c r="J468" s="31" t="str">
        <f>"T5_"&amp;STDLIGHTINEFCAT2[[#This Row],[Ineff DropDown 2]]</f>
        <v>T5_Fixture</v>
      </c>
      <c r="K468" s="277" t="str">
        <f>STDLIGHTINEFCAT2[[#This Row],[Match]]&amp;"_"&amp;STDLIGHTINEFCAT2[[#This Row],[Options]]</f>
        <v>T5_Fixture_4L T5 4' 28W</v>
      </c>
      <c r="L468" s="277" t="s">
        <v>2107</v>
      </c>
      <c r="M468" s="277">
        <f>4*28</f>
        <v>112</v>
      </c>
      <c r="N468" s="277">
        <v>126</v>
      </c>
      <c r="O468">
        <v>466</v>
      </c>
      <c r="P468" t="s">
        <v>2849</v>
      </c>
    </row>
    <row r="469" spans="9:16">
      <c r="I469" s="31" t="s">
        <v>91</v>
      </c>
      <c r="J469" s="31" t="str">
        <f>"T5_"&amp;STDLIGHTINEFCAT2[[#This Row],[Ineff DropDown 2]]</f>
        <v>T5_Fixture</v>
      </c>
      <c r="K469" s="277" t="str">
        <f>STDLIGHTINEFCAT2[[#This Row],[Match]]&amp;"_"&amp;STDLIGHTINEFCAT2[[#This Row],[Options]]</f>
        <v>T5_Fixture_----5 ft Lamps----</v>
      </c>
      <c r="L469" s="281" t="s">
        <v>2053</v>
      </c>
      <c r="M469" s="281"/>
      <c r="N469" s="277"/>
      <c r="O469">
        <v>467</v>
      </c>
    </row>
    <row r="470" spans="9:16">
      <c r="I470" s="31" t="s">
        <v>91</v>
      </c>
      <c r="J470" s="31" t="str">
        <f>"T5_"&amp;STDLIGHTINEFCAT2[[#This Row],[Ineff DropDown 2]]</f>
        <v>T5_Fixture</v>
      </c>
      <c r="K470" s="277" t="str">
        <f>STDLIGHTINEFCAT2[[#This Row],[Match]]&amp;"_"&amp;STDLIGHTINEFCAT2[[#This Row],[Options]]</f>
        <v>T5_Fixture_1L T5 5' 35W</v>
      </c>
      <c r="L470" s="277" t="s">
        <v>2108</v>
      </c>
      <c r="M470" s="277">
        <v>35</v>
      </c>
      <c r="N470" s="277">
        <v>40</v>
      </c>
      <c r="O470">
        <v>468</v>
      </c>
    </row>
    <row r="471" spans="9:16">
      <c r="I471" s="31" t="s">
        <v>91</v>
      </c>
      <c r="J471" s="31" t="str">
        <f>"T5_"&amp;STDLIGHTINEFCAT2[[#This Row],[Ineff DropDown 2]]</f>
        <v>T5_Fixture</v>
      </c>
      <c r="K471" s="277" t="str">
        <f>STDLIGHTINEFCAT2[[#This Row],[Match]]&amp;"_"&amp;STDLIGHTINEFCAT2[[#This Row],[Options]]</f>
        <v>T5_Fixture_2L T5 5' 35W</v>
      </c>
      <c r="L471" s="277" t="s">
        <v>2109</v>
      </c>
      <c r="M471" s="277">
        <f>35*2</f>
        <v>70</v>
      </c>
      <c r="N471" s="277">
        <v>77</v>
      </c>
      <c r="O471">
        <v>469</v>
      </c>
    </row>
    <row r="472" spans="9:16">
      <c r="I472" t="s">
        <v>2493</v>
      </c>
      <c r="J472" s="31" t="str">
        <f>"T5_"&amp;STDLIGHTINEFCAT2[[#This Row],[Ineff DropDown 2]]</f>
        <v>T5_PG &lt;=130</v>
      </c>
      <c r="K472" s="277" t="str">
        <f>STDLIGHTINEFCAT2[[#This Row],[Match]]&amp;"_"&amp;STDLIGHTINEFCAT2[[#This Row],[Options]]</f>
        <v>T5_PG &lt;=130_----2 ft Lamps----</v>
      </c>
      <c r="L472" s="281" t="s">
        <v>2050</v>
      </c>
      <c r="M472" s="281"/>
      <c r="N472" s="277"/>
      <c r="O472">
        <v>470</v>
      </c>
    </row>
    <row r="473" spans="9:16">
      <c r="I473" t="s">
        <v>2493</v>
      </c>
      <c r="J473" s="31" t="str">
        <f>"T5_"&amp;STDLIGHTINEFCAT2[[#This Row],[Ineff DropDown 2]]</f>
        <v>T5_PG &lt;=130</v>
      </c>
      <c r="K473" s="277" t="str">
        <f>STDLIGHTINEFCAT2[[#This Row],[Match]]&amp;"_"&amp;STDLIGHTINEFCAT2[[#This Row],[Options]]</f>
        <v>T5_PG &lt;=130_1L T5 2' 13W</v>
      </c>
      <c r="L473" s="277" t="s">
        <v>2097</v>
      </c>
      <c r="M473" s="277">
        <v>13</v>
      </c>
      <c r="N473" s="277">
        <v>14</v>
      </c>
      <c r="O473">
        <v>471</v>
      </c>
    </row>
    <row r="474" spans="9:16">
      <c r="I474" t="s">
        <v>2493</v>
      </c>
      <c r="J474" s="31" t="str">
        <f>"T5_"&amp;STDLIGHTINEFCAT2[[#This Row],[Ineff DropDown 2]]</f>
        <v>T5_PG &lt;=130</v>
      </c>
      <c r="K474" s="277" t="str">
        <f>STDLIGHTINEFCAT2[[#This Row],[Match]]&amp;"_"&amp;STDLIGHTINEFCAT2[[#This Row],[Options]]</f>
        <v>T5_PG &lt;=130_2L T5 2' 13W</v>
      </c>
      <c r="L474" s="277" t="s">
        <v>2098</v>
      </c>
      <c r="M474" s="277">
        <v>36</v>
      </c>
      <c r="N474" s="277">
        <v>27</v>
      </c>
      <c r="O474">
        <v>472</v>
      </c>
    </row>
    <row r="475" spans="9:16">
      <c r="I475" t="s">
        <v>2493</v>
      </c>
      <c r="J475" s="31" t="str">
        <f>"T5_"&amp;STDLIGHTINEFCAT2[[#This Row],[Ineff DropDown 2]]</f>
        <v>T5_PG &lt;=130</v>
      </c>
      <c r="K475" s="277" t="str">
        <f>STDLIGHTINEFCAT2[[#This Row],[Match]]&amp;"_"&amp;STDLIGHTINEFCAT2[[#This Row],[Options]]</f>
        <v>T5_PG &lt;=130_1L T5 2' 14W</v>
      </c>
      <c r="L475" s="277" t="s">
        <v>2099</v>
      </c>
      <c r="M475" s="277">
        <v>14</v>
      </c>
      <c r="N475" s="277">
        <v>14</v>
      </c>
      <c r="O475">
        <v>473</v>
      </c>
    </row>
    <row r="476" spans="9:16">
      <c r="I476" t="s">
        <v>2493</v>
      </c>
      <c r="J476" s="31" t="str">
        <f>"T5_"&amp;STDLIGHTINEFCAT2[[#This Row],[Ineff DropDown 2]]</f>
        <v>T5_PG &lt;=130</v>
      </c>
      <c r="K476" s="277" t="str">
        <f>STDLIGHTINEFCAT2[[#This Row],[Match]]&amp;"_"&amp;STDLIGHTINEFCAT2[[#This Row],[Options]]</f>
        <v>T5_PG &lt;=130_2L T5 2' 14W</v>
      </c>
      <c r="L476" s="277" t="s">
        <v>2100</v>
      </c>
      <c r="M476" s="277">
        <v>28</v>
      </c>
      <c r="N476" s="277">
        <v>28</v>
      </c>
      <c r="O476">
        <v>474</v>
      </c>
    </row>
    <row r="477" spans="9:16">
      <c r="I477" t="s">
        <v>2493</v>
      </c>
      <c r="J477" s="31" t="str">
        <f>"T5_"&amp;STDLIGHTINEFCAT2[[#This Row],[Ineff DropDown 2]]</f>
        <v>T5_PG &lt;=130</v>
      </c>
      <c r="K477" s="277" t="str">
        <f>STDLIGHTINEFCAT2[[#This Row],[Match]]&amp;"_"&amp;STDLIGHTINEFCAT2[[#This Row],[Options]]</f>
        <v>T5_PG &lt;=130_----3 ft Lamps----</v>
      </c>
      <c r="L477" s="281" t="s">
        <v>2051</v>
      </c>
      <c r="M477" s="281"/>
      <c r="N477" s="277"/>
      <c r="O477">
        <v>475</v>
      </c>
    </row>
    <row r="478" spans="9:16">
      <c r="I478" t="s">
        <v>2493</v>
      </c>
      <c r="J478" s="31" t="str">
        <f>"T5_"&amp;STDLIGHTINEFCAT2[[#This Row],[Ineff DropDown 2]]</f>
        <v>T5_PG &lt;=130</v>
      </c>
      <c r="K478" s="280" t="str">
        <f>STDLIGHTINEFCAT2[[#This Row],[Match]]&amp;"_"&amp;STDLIGHTINEFCAT2[[#This Row],[Options]]</f>
        <v>T5_PG &lt;=130_1L T5 3' 21W</v>
      </c>
      <c r="L478" s="280" t="s">
        <v>2101</v>
      </c>
      <c r="M478" s="280">
        <v>21</v>
      </c>
      <c r="N478" s="280">
        <v>25</v>
      </c>
      <c r="O478">
        <v>476</v>
      </c>
    </row>
    <row r="479" spans="9:16">
      <c r="I479" t="s">
        <v>2493</v>
      </c>
      <c r="J479" s="31" t="str">
        <f>"T5_"&amp;STDLIGHTINEFCAT2[[#This Row],[Ineff DropDown 2]]</f>
        <v>T5_PG &lt;=130</v>
      </c>
      <c r="K479" s="277" t="str">
        <f>STDLIGHTINEFCAT2[[#This Row],[Match]]&amp;"_"&amp;STDLIGHTINEFCAT2[[#This Row],[Options]]</f>
        <v>T5_PG &lt;=130_2L T5 3' 21W</v>
      </c>
      <c r="L479" s="277" t="s">
        <v>2102</v>
      </c>
      <c r="M479" s="277">
        <v>42</v>
      </c>
      <c r="N479" s="277">
        <v>49</v>
      </c>
      <c r="O479">
        <v>477</v>
      </c>
    </row>
    <row r="480" spans="9:16">
      <c r="I480" t="s">
        <v>2493</v>
      </c>
      <c r="J480" s="31" t="str">
        <f>"T5_"&amp;STDLIGHTINEFCAT2[[#This Row],[Ineff DropDown 2]]</f>
        <v>T5_PG &lt;=130</v>
      </c>
      <c r="K480" s="277" t="str">
        <f>STDLIGHTINEFCAT2[[#This Row],[Match]]&amp;"_"&amp;STDLIGHTINEFCAT2[[#This Row],[Options]]</f>
        <v>T5_PG &lt;=130_1L T5 3' 39W</v>
      </c>
      <c r="L480" s="277" t="s">
        <v>2103</v>
      </c>
      <c r="M480" s="277">
        <v>39</v>
      </c>
      <c r="N480" s="277">
        <v>42</v>
      </c>
      <c r="O480">
        <v>478</v>
      </c>
    </row>
    <row r="481" spans="9:16">
      <c r="I481" t="s">
        <v>2493</v>
      </c>
      <c r="J481" s="31" t="str">
        <f>"T5_"&amp;STDLIGHTINEFCAT2[[#This Row],[Ineff DropDown 2]]</f>
        <v>T5_PG &lt;=130</v>
      </c>
      <c r="K481" s="277" t="str">
        <f>STDLIGHTINEFCAT2[[#This Row],[Match]]&amp;"_"&amp;STDLIGHTINEFCAT2[[#This Row],[Options]]</f>
        <v>T5_PG &lt;=130_----4 ft Lamps----</v>
      </c>
      <c r="L481" s="281" t="s">
        <v>2052</v>
      </c>
      <c r="M481" s="281"/>
      <c r="N481" s="277"/>
      <c r="O481">
        <v>479</v>
      </c>
    </row>
    <row r="482" spans="9:16">
      <c r="I482" t="s">
        <v>2493</v>
      </c>
      <c r="J482" s="31" t="str">
        <f>"T5_"&amp;STDLIGHTINEFCAT2[[#This Row],[Ineff DropDown 2]]</f>
        <v>T5_PG &lt;=130</v>
      </c>
      <c r="K482" s="277" t="str">
        <f>STDLIGHTINEFCAT2[[#This Row],[Match]]&amp;"_"&amp;STDLIGHTINEFCAT2[[#This Row],[Options]]</f>
        <v>T5_PG &lt;=130_1L T5 4' 28W</v>
      </c>
      <c r="L482" s="277" t="s">
        <v>2104</v>
      </c>
      <c r="M482" s="277">
        <v>28</v>
      </c>
      <c r="N482" s="277">
        <v>32</v>
      </c>
      <c r="O482">
        <v>480</v>
      </c>
      <c r="P482" t="s">
        <v>2849</v>
      </c>
    </row>
    <row r="483" spans="9:16">
      <c r="I483" t="s">
        <v>2493</v>
      </c>
      <c r="J483" s="31" t="str">
        <f>"T5_"&amp;STDLIGHTINEFCAT2[[#This Row],[Ineff DropDown 2]]</f>
        <v>T5_PG &lt;=130</v>
      </c>
      <c r="K483" s="277" t="str">
        <f>STDLIGHTINEFCAT2[[#This Row],[Match]]&amp;"_"&amp;STDLIGHTINEFCAT2[[#This Row],[Options]]</f>
        <v>T5_PG &lt;=130_2L T5 4' 28W</v>
      </c>
      <c r="L483" s="277" t="s">
        <v>2105</v>
      </c>
      <c r="M483" s="277">
        <f>2*28</f>
        <v>56</v>
      </c>
      <c r="N483" s="277">
        <v>63</v>
      </c>
      <c r="O483">
        <v>481</v>
      </c>
      <c r="P483" t="s">
        <v>2849</v>
      </c>
    </row>
    <row r="484" spans="9:16">
      <c r="I484" t="s">
        <v>2493</v>
      </c>
      <c r="J484" s="31" t="str">
        <f>"T5_"&amp;STDLIGHTINEFCAT2[[#This Row],[Ineff DropDown 2]]</f>
        <v>T5_PG &lt;=130</v>
      </c>
      <c r="K484" s="277" t="str">
        <f>STDLIGHTINEFCAT2[[#This Row],[Match]]&amp;"_"&amp;STDLIGHTINEFCAT2[[#This Row],[Options]]</f>
        <v>T5_PG &lt;=130_3L T5 4' 28W</v>
      </c>
      <c r="L484" s="277" t="s">
        <v>2106</v>
      </c>
      <c r="M484" s="277">
        <f>3*28</f>
        <v>84</v>
      </c>
      <c r="N484" s="277">
        <v>95</v>
      </c>
      <c r="O484">
        <v>482</v>
      </c>
      <c r="P484" t="s">
        <v>2849</v>
      </c>
    </row>
    <row r="485" spans="9:16">
      <c r="I485" t="s">
        <v>2493</v>
      </c>
      <c r="J485" s="31" t="str">
        <f>"T5_"&amp;STDLIGHTINEFCAT2[[#This Row],[Ineff DropDown 2]]</f>
        <v>T5_PG &lt;=130</v>
      </c>
      <c r="K485" s="277" t="str">
        <f>STDLIGHTINEFCAT2[[#This Row],[Match]]&amp;"_"&amp;STDLIGHTINEFCAT2[[#This Row],[Options]]</f>
        <v>T5_PG &lt;=130_4L T5 4' 28W</v>
      </c>
      <c r="L485" s="277" t="s">
        <v>2107</v>
      </c>
      <c r="M485" s="277">
        <f>4*28</f>
        <v>112</v>
      </c>
      <c r="N485" s="277">
        <v>126</v>
      </c>
      <c r="O485">
        <v>483</v>
      </c>
      <c r="P485" t="s">
        <v>2849</v>
      </c>
    </row>
    <row r="486" spans="9:16">
      <c r="I486" s="31" t="s">
        <v>2210</v>
      </c>
      <c r="J486" s="31" t="str">
        <f>"T5_"&amp;STDLIGHTINEFCAT2[[#This Row],[Ineff DropDown 2]]</f>
        <v>T5_Retrofit_2ft</v>
      </c>
      <c r="K486" s="277" t="str">
        <f>STDLIGHTINEFCAT2[[#This Row],[Match]]&amp;"_"&amp;STDLIGHTINEFCAT2[[#This Row],[Options]]</f>
        <v>T5_Retrofit_2ft_1L T5 2' 13W</v>
      </c>
      <c r="L486" s="277" t="s">
        <v>2097</v>
      </c>
      <c r="M486" s="277">
        <v>13</v>
      </c>
      <c r="N486" s="277">
        <v>14</v>
      </c>
      <c r="O486">
        <v>484</v>
      </c>
    </row>
    <row r="487" spans="9:16">
      <c r="I487" s="31" t="s">
        <v>2210</v>
      </c>
      <c r="J487" s="31" t="str">
        <f>"T5_"&amp;STDLIGHTINEFCAT2[[#This Row],[Ineff DropDown 2]]</f>
        <v>T5_Retrofit_2ft</v>
      </c>
      <c r="K487" s="277" t="str">
        <f>STDLIGHTINEFCAT2[[#This Row],[Match]]&amp;"_"&amp;STDLIGHTINEFCAT2[[#This Row],[Options]]</f>
        <v>T5_Retrofit_2ft_1L T5 2' 14W</v>
      </c>
      <c r="L487" s="277" t="s">
        <v>2099</v>
      </c>
      <c r="M487" s="277">
        <v>14</v>
      </c>
      <c r="N487" s="277">
        <v>14</v>
      </c>
      <c r="O487">
        <v>485</v>
      </c>
    </row>
    <row r="488" spans="9:16">
      <c r="I488" s="31" t="s">
        <v>2210</v>
      </c>
      <c r="J488" s="31" t="str">
        <f>"T5_"&amp;STDLIGHTINEFCAT2[[#This Row],[Ineff DropDown 2]]</f>
        <v>T5_Retrofit_2ft</v>
      </c>
      <c r="K488" s="277" t="str">
        <f>STDLIGHTINEFCAT2[[#This Row],[Match]]&amp;"_"&amp;STDLIGHTINEFCAT2[[#This Row],[Options]]</f>
        <v>T5_Retrofit_2ft_2L T5 2' 13W</v>
      </c>
      <c r="L488" s="277" t="s">
        <v>2098</v>
      </c>
      <c r="M488" s="277">
        <v>36</v>
      </c>
      <c r="N488" s="277">
        <v>27</v>
      </c>
      <c r="O488">
        <v>486</v>
      </c>
    </row>
    <row r="489" spans="9:16">
      <c r="I489" s="31" t="s">
        <v>2210</v>
      </c>
      <c r="J489" s="31" t="str">
        <f>"T5_"&amp;STDLIGHTINEFCAT2[[#This Row],[Ineff DropDown 2]]</f>
        <v>T5_Retrofit_2ft</v>
      </c>
      <c r="K489" s="277" t="str">
        <f>STDLIGHTINEFCAT2[[#This Row],[Match]]&amp;"_"&amp;STDLIGHTINEFCAT2[[#This Row],[Options]]</f>
        <v>T5_Retrofit_2ft_2L T5 2' 14W</v>
      </c>
      <c r="L489" s="277" t="s">
        <v>2100</v>
      </c>
      <c r="M489" s="277">
        <v>28</v>
      </c>
      <c r="N489" s="277">
        <v>28</v>
      </c>
      <c r="O489">
        <v>487</v>
      </c>
    </row>
    <row r="490" spans="9:16">
      <c r="I490" s="31" t="s">
        <v>2434</v>
      </c>
      <c r="J490" s="31" t="str">
        <f>"T5_"&amp;STDLIGHTINEFCAT2[[#This Row],[Ineff DropDown 2]]</f>
        <v>T5_Retrofit_4ft_1x4</v>
      </c>
      <c r="K490" s="277" t="str">
        <f>STDLIGHTINEFCAT2[[#This Row],[Match]]&amp;"_"&amp;STDLIGHTINEFCAT2[[#This Row],[Options]]</f>
        <v>T5_Retrofit_4ft_1x4_1L T5 4' 28W</v>
      </c>
      <c r="L490" s="277" t="s">
        <v>2104</v>
      </c>
      <c r="M490" s="277">
        <v>28</v>
      </c>
      <c r="N490" s="277">
        <v>32</v>
      </c>
      <c r="O490">
        <v>488</v>
      </c>
      <c r="P490" t="s">
        <v>2849</v>
      </c>
    </row>
    <row r="491" spans="9:16">
      <c r="I491" s="31" t="s">
        <v>2434</v>
      </c>
      <c r="J491" s="31" t="str">
        <f>"T5_"&amp;STDLIGHTINEFCAT2[[#This Row],[Ineff DropDown 2]]</f>
        <v>T5_Retrofit_4ft_1x4</v>
      </c>
      <c r="K491" s="277" t="str">
        <f>STDLIGHTINEFCAT2[[#This Row],[Match]]&amp;"_"&amp;STDLIGHTINEFCAT2[[#This Row],[Options]]</f>
        <v>T5_Retrofit_4ft_1x4_2L T5 4' 28W</v>
      </c>
      <c r="L491" s="277" t="s">
        <v>2105</v>
      </c>
      <c r="M491" s="277">
        <f>2*28</f>
        <v>56</v>
      </c>
      <c r="N491" s="277">
        <v>63</v>
      </c>
      <c r="O491">
        <v>489</v>
      </c>
      <c r="P491" t="s">
        <v>2849</v>
      </c>
    </row>
    <row r="492" spans="9:16">
      <c r="I492" s="31" t="s">
        <v>2435</v>
      </c>
      <c r="J492" s="31" t="str">
        <f>"T5_"&amp;STDLIGHTINEFCAT2[[#This Row],[Ineff DropDown 2]]</f>
        <v>T5_Retrofit_4ft_2x4</v>
      </c>
      <c r="K492" s="277" t="str">
        <f>STDLIGHTINEFCAT2[[#This Row],[Match]]&amp;"_"&amp;STDLIGHTINEFCAT2[[#This Row],[Options]]</f>
        <v>T5_Retrofit_4ft_2x4_3L T5 4' 28W</v>
      </c>
      <c r="L492" s="277" t="s">
        <v>2106</v>
      </c>
      <c r="M492" s="277">
        <f>3*28</f>
        <v>84</v>
      </c>
      <c r="N492" s="277">
        <v>95</v>
      </c>
      <c r="O492">
        <v>490</v>
      </c>
      <c r="P492" t="s">
        <v>2849</v>
      </c>
    </row>
    <row r="493" spans="9:16">
      <c r="I493" s="31" t="s">
        <v>2435</v>
      </c>
      <c r="J493" s="31" t="str">
        <f>"T5_"&amp;STDLIGHTINEFCAT2[[#This Row],[Ineff DropDown 2]]</f>
        <v>T5_Retrofit_4ft_2x4</v>
      </c>
      <c r="K493" s="277" t="str">
        <f>STDLIGHTINEFCAT2[[#This Row],[Match]]&amp;"_"&amp;STDLIGHTINEFCAT2[[#This Row],[Options]]</f>
        <v>T5_Retrofit_4ft_2x4_4L T5 4' 28W</v>
      </c>
      <c r="L493" s="277" t="s">
        <v>2107</v>
      </c>
      <c r="M493" s="277">
        <f>4*28</f>
        <v>112</v>
      </c>
      <c r="N493" s="277">
        <v>126</v>
      </c>
      <c r="O493">
        <v>491</v>
      </c>
      <c r="P493" t="s">
        <v>2849</v>
      </c>
    </row>
    <row r="494" spans="9:16">
      <c r="I494" s="31" t="s">
        <v>2435</v>
      </c>
      <c r="J494" s="31" t="str">
        <f>"T5_"&amp;STDLIGHTINEFCAT2[[#This Row],[Ineff DropDown 2]]</f>
        <v>T5_Retrofit_4ft_2x4</v>
      </c>
      <c r="K494" s="330" t="str">
        <f>STDLIGHTINEFCAT2[[#This Row],[Match]]&amp;"_"&amp;STDLIGHTINEFCAT2[[#This Row],[Options]]</f>
        <v>T5_Retrofit_4ft_2x4_5L T5 4' 28W</v>
      </c>
      <c r="L494" s="330" t="s">
        <v>2448</v>
      </c>
      <c r="M494" s="277">
        <v>140</v>
      </c>
      <c r="N494" s="330">
        <v>159</v>
      </c>
      <c r="O494">
        <v>492</v>
      </c>
      <c r="P494" t="s">
        <v>2850</v>
      </c>
    </row>
    <row r="495" spans="9:16">
      <c r="I495" s="31" t="s">
        <v>2435</v>
      </c>
      <c r="J495" s="31" t="str">
        <f>"T5_"&amp;STDLIGHTINEFCAT2[[#This Row],[Ineff DropDown 2]]</f>
        <v>T5_Retrofit_4ft_2x4</v>
      </c>
      <c r="K495" s="330" t="str">
        <f>STDLIGHTINEFCAT2[[#This Row],[Match]]&amp;"_"&amp;STDLIGHTINEFCAT2[[#This Row],[Options]]</f>
        <v>T5_Retrofit_4ft_2x4_6L T5 4' 28W</v>
      </c>
      <c r="L495" s="330" t="s">
        <v>2447</v>
      </c>
      <c r="M495" s="277">
        <v>168</v>
      </c>
      <c r="N495" s="330">
        <v>192</v>
      </c>
      <c r="O495">
        <v>493</v>
      </c>
      <c r="P495" t="s">
        <v>2849</v>
      </c>
    </row>
    <row r="496" spans="9:16">
      <c r="I496" s="31" t="s">
        <v>1925</v>
      </c>
      <c r="J496" s="31" t="s">
        <v>2528</v>
      </c>
      <c r="K496" s="277" t="str">
        <f>STDLIGHTINEFCAT2[[#This Row],[Match]]&amp;"_"&amp;STDLIGHTINEFCAT2[[#This Row],[Options]]</f>
        <v>T5HO_2ft_Lamp_T5HO 2' 24W</v>
      </c>
      <c r="L496" s="277" t="s">
        <v>2527</v>
      </c>
      <c r="M496" s="277">
        <v>24</v>
      </c>
      <c r="N496" s="277">
        <v>24</v>
      </c>
      <c r="O496">
        <v>494</v>
      </c>
    </row>
    <row r="497" spans="9:16">
      <c r="I497" s="31" t="s">
        <v>1926</v>
      </c>
      <c r="J497" s="31" t="s">
        <v>2416</v>
      </c>
      <c r="K497" s="320" t="str">
        <f>STDLIGHTINEFCAT2[[#This Row],[Match]]&amp;"_"&amp;STDLIGHTINEFCAT2[[#This Row],[Options]]</f>
        <v>T5HO_4ft_Lamp_T5HO 4' 54W</v>
      </c>
      <c r="L497" s="278" t="s">
        <v>2394</v>
      </c>
      <c r="M497" s="277">
        <v>54</v>
      </c>
      <c r="N497" s="277">
        <v>54</v>
      </c>
      <c r="O497">
        <v>495</v>
      </c>
    </row>
    <row r="498" spans="9:16">
      <c r="I498" s="31" t="s">
        <v>2489</v>
      </c>
      <c r="J498" s="31" t="str">
        <f>"T5HO_"&amp;STDLIGHTINEFCAT2[[#This Row],[Ineff DropDown 2]]</f>
        <v>T5HO_Ext ≤210</v>
      </c>
      <c r="K498" s="359" t="str">
        <f>STDLIGHTINEFCAT2[[#This Row],[Match]]&amp;"_"&amp;STDLIGHTINEFCAT2[[#This Row],[Options]]</f>
        <v>T5HO_Ext ≤210_----2 ft Lamps----</v>
      </c>
      <c r="L498" s="281" t="s">
        <v>2050</v>
      </c>
      <c r="M498" s="277"/>
      <c r="N498" s="356"/>
      <c r="O498">
        <v>496</v>
      </c>
    </row>
    <row r="499" spans="9:16">
      <c r="I499" s="31" t="s">
        <v>2489</v>
      </c>
      <c r="J499" s="31" t="str">
        <f>"T5HO_"&amp;STDLIGHTINEFCAT2[[#This Row],[Ineff DropDown 2]]</f>
        <v>T5HO_Ext ≤210</v>
      </c>
      <c r="K499" s="277" t="str">
        <f>STDLIGHTINEFCAT2[[#This Row],[Match]]&amp;"_"&amp;STDLIGHTINEFCAT2[[#This Row],[Options]]</f>
        <v>T5HO_Ext ≤210_1L T5HO 2' 24W</v>
      </c>
      <c r="L499" s="277" t="s">
        <v>2436</v>
      </c>
      <c r="M499" s="277">
        <v>24</v>
      </c>
      <c r="N499" s="277">
        <v>27</v>
      </c>
      <c r="O499">
        <v>497</v>
      </c>
    </row>
    <row r="500" spans="9:16">
      <c r="I500" s="31" t="s">
        <v>2489</v>
      </c>
      <c r="J500" s="31" t="str">
        <f>"T5HO_"&amp;STDLIGHTINEFCAT2[[#This Row],[Ineff DropDown 2]]</f>
        <v>T5HO_Ext ≤210</v>
      </c>
      <c r="K500" s="277" t="str">
        <f>STDLIGHTINEFCAT2[[#This Row],[Match]]&amp;"_"&amp;STDLIGHTINEFCAT2[[#This Row],[Options]]</f>
        <v>T5HO_Ext ≤210_2L T5HO 2' 24W</v>
      </c>
      <c r="L500" s="277" t="s">
        <v>2437</v>
      </c>
      <c r="M500" s="277">
        <v>48</v>
      </c>
      <c r="N500" s="277">
        <v>54</v>
      </c>
      <c r="O500">
        <v>498</v>
      </c>
    </row>
    <row r="501" spans="9:16">
      <c r="I501" s="31" t="s">
        <v>2489</v>
      </c>
      <c r="J501" s="31" t="str">
        <f>"T5HO_"&amp;STDLIGHTINEFCAT2[[#This Row],[Ineff DropDown 2]]</f>
        <v>T5HO_Ext ≤210</v>
      </c>
      <c r="K501" s="356" t="str">
        <f>STDLIGHTINEFCAT2[[#This Row],[Match]]&amp;"_"&amp;STDLIGHTINEFCAT2[[#This Row],[Options]]</f>
        <v>T5HO_Ext ≤210_----3 ft Lamps----</v>
      </c>
      <c r="L501" s="281" t="s">
        <v>2051</v>
      </c>
      <c r="M501" s="277"/>
      <c r="N501" s="356"/>
      <c r="O501">
        <v>499</v>
      </c>
    </row>
    <row r="502" spans="9:16">
      <c r="I502" s="31" t="s">
        <v>2489</v>
      </c>
      <c r="J502" s="31" t="str">
        <f>"T5HO_"&amp;STDLIGHTINEFCAT2[[#This Row],[Ineff DropDown 2]]</f>
        <v>T5HO_Ext ≤210</v>
      </c>
      <c r="K502" s="277" t="str">
        <f>STDLIGHTINEFCAT2[[#This Row],[Match]]&amp;"_"&amp;STDLIGHTINEFCAT2[[#This Row],[Options]]</f>
        <v>T5HO_Ext ≤210_2L T5HO 3' 39W</v>
      </c>
      <c r="L502" s="277" t="s">
        <v>2503</v>
      </c>
      <c r="M502" s="277">
        <f>2*39</f>
        <v>78</v>
      </c>
      <c r="N502" s="277">
        <v>85</v>
      </c>
      <c r="O502">
        <v>500</v>
      </c>
    </row>
    <row r="503" spans="9:16">
      <c r="I503" s="31" t="s">
        <v>2489</v>
      </c>
      <c r="J503" s="31" t="str">
        <f>"T5HO_"&amp;STDLIGHTINEFCAT2[[#This Row],[Ineff DropDown 2]]</f>
        <v>T5HO_Ext ≤210</v>
      </c>
      <c r="K503" s="356" t="str">
        <f>STDLIGHTINEFCAT2[[#This Row],[Match]]&amp;"_"&amp;STDLIGHTINEFCAT2[[#This Row],[Options]]</f>
        <v>T5HO_Ext ≤210_----4 ft Lamps----</v>
      </c>
      <c r="L503" s="281" t="s">
        <v>2052</v>
      </c>
      <c r="M503" s="277"/>
      <c r="N503" s="356"/>
      <c r="O503">
        <v>501</v>
      </c>
    </row>
    <row r="504" spans="9:16">
      <c r="I504" s="31" t="s">
        <v>2489</v>
      </c>
      <c r="J504" s="31" t="str">
        <f>"T5HO_"&amp;STDLIGHTINEFCAT2[[#This Row],[Ineff DropDown 2]]</f>
        <v>T5HO_Ext ≤210</v>
      </c>
      <c r="K504" s="277" t="str">
        <f>STDLIGHTINEFCAT2[[#This Row],[Match]]&amp;"_"&amp;STDLIGHTINEFCAT2[[#This Row],[Options]]</f>
        <v>T5HO_Ext ≤210_1L T5HO 4' 54W</v>
      </c>
      <c r="L504" s="277" t="s">
        <v>2438</v>
      </c>
      <c r="M504" s="277">
        <v>54</v>
      </c>
      <c r="N504" s="277">
        <v>61</v>
      </c>
      <c r="O504">
        <v>502</v>
      </c>
      <c r="P504" t="s">
        <v>2849</v>
      </c>
    </row>
    <row r="505" spans="9:16">
      <c r="I505" s="31" t="s">
        <v>2489</v>
      </c>
      <c r="J505" s="31" t="str">
        <f>"T5HO_"&amp;STDLIGHTINEFCAT2[[#This Row],[Ineff DropDown 2]]</f>
        <v>T5HO_Ext ≤210</v>
      </c>
      <c r="K505" s="277" t="str">
        <f>STDLIGHTINEFCAT2[[#This Row],[Match]]&amp;"_"&amp;STDLIGHTINEFCAT2[[#This Row],[Options]]</f>
        <v>T5HO_Ext ≤210_2L T5HO 4' 54W</v>
      </c>
      <c r="L505" s="277" t="s">
        <v>2439</v>
      </c>
      <c r="M505" s="277">
        <f>2*54</f>
        <v>108</v>
      </c>
      <c r="N505" s="277">
        <v>117</v>
      </c>
      <c r="O505">
        <v>503</v>
      </c>
      <c r="P505" t="s">
        <v>2849</v>
      </c>
    </row>
    <row r="506" spans="9:16">
      <c r="I506" s="31" t="s">
        <v>2489</v>
      </c>
      <c r="J506" s="31" t="str">
        <f>"T5HO_"&amp;STDLIGHTINEFCAT2[[#This Row],[Ineff DropDown 2]]</f>
        <v>T5HO_Ext ≤210</v>
      </c>
      <c r="K506" s="277" t="str">
        <f>STDLIGHTINEFCAT2[[#This Row],[Match]]&amp;"_"&amp;STDLIGHTINEFCAT2[[#This Row],[Options]]</f>
        <v>T5HO_Ext ≤210_3L T5HO 4' 54W</v>
      </c>
      <c r="L506" s="277" t="s">
        <v>2440</v>
      </c>
      <c r="M506" s="277">
        <f>3*54</f>
        <v>162</v>
      </c>
      <c r="N506" s="277">
        <v>179</v>
      </c>
      <c r="O506">
        <v>504</v>
      </c>
      <c r="P506" t="s">
        <v>2849</v>
      </c>
    </row>
    <row r="507" spans="9:16">
      <c r="I507" s="31" t="s">
        <v>2490</v>
      </c>
      <c r="J507" s="31" t="str">
        <f>"T5HO_"&amp;STDLIGHTINEFCAT2[[#This Row],[Ineff DropDown 2]]</f>
        <v>T5HO_Ext 211-300</v>
      </c>
      <c r="K507" s="356" t="str">
        <f>STDLIGHTINEFCAT2[[#This Row],[Match]]&amp;"_"&amp;STDLIGHTINEFCAT2[[#This Row],[Options]]</f>
        <v>T5HO_Ext 211-300_----4 ft Lamps----</v>
      </c>
      <c r="L507" s="281" t="s">
        <v>2052</v>
      </c>
      <c r="M507" s="277"/>
      <c r="N507" s="356"/>
      <c r="O507">
        <v>505</v>
      </c>
    </row>
    <row r="508" spans="9:16">
      <c r="I508" s="31" t="s">
        <v>2490</v>
      </c>
      <c r="J508" s="31" t="str">
        <f>"T5HO_"&amp;STDLIGHTINEFCAT2[[#This Row],[Ineff DropDown 2]]</f>
        <v>T5HO_Ext 211-300</v>
      </c>
      <c r="K508" s="277" t="str">
        <f>STDLIGHTINEFCAT2[[#This Row],[Match]]&amp;"_"&amp;STDLIGHTINEFCAT2[[#This Row],[Options]]</f>
        <v>T5HO_Ext 211-300_4L T5HO 4' 54W</v>
      </c>
      <c r="L508" s="277" t="s">
        <v>2441</v>
      </c>
      <c r="M508" s="277">
        <f>4*54</f>
        <v>216</v>
      </c>
      <c r="N508" s="277">
        <v>235</v>
      </c>
      <c r="O508">
        <v>506</v>
      </c>
      <c r="P508" t="s">
        <v>2849</v>
      </c>
    </row>
    <row r="509" spans="9:16">
      <c r="I509" s="31" t="s">
        <v>2490</v>
      </c>
      <c r="J509" s="31" t="str">
        <f>"T5HO_"&amp;STDLIGHTINEFCAT2[[#This Row],[Ineff DropDown 2]]</f>
        <v>T5HO_Ext 211-300</v>
      </c>
      <c r="K509" s="277" t="str">
        <f>STDLIGHTINEFCAT2[[#This Row],[Match]]&amp;"_"&amp;STDLIGHTINEFCAT2[[#This Row],[Options]]</f>
        <v>T5HO_Ext 211-300_5L T5HO 4' 54W</v>
      </c>
      <c r="L509" s="277" t="s">
        <v>2442</v>
      </c>
      <c r="M509" s="277">
        <f>5*54</f>
        <v>270</v>
      </c>
      <c r="N509" s="277">
        <v>295</v>
      </c>
      <c r="O509">
        <v>507</v>
      </c>
      <c r="P509" t="s">
        <v>2849</v>
      </c>
    </row>
    <row r="510" spans="9:16">
      <c r="I510" s="31" t="s">
        <v>2491</v>
      </c>
      <c r="J510" s="31" t="str">
        <f>"T5HO_"&amp;STDLIGHTINEFCAT2[[#This Row],[Ineff DropDown 2]]</f>
        <v>T5HO_Ext 301-500</v>
      </c>
      <c r="K510" s="356" t="str">
        <f>STDLIGHTINEFCAT2[[#This Row],[Match]]&amp;"_"&amp;STDLIGHTINEFCAT2[[#This Row],[Options]]</f>
        <v>T5HO_Ext 301-500_----4 ft Lamps----</v>
      </c>
      <c r="L510" s="281" t="s">
        <v>2052</v>
      </c>
      <c r="M510" s="277"/>
      <c r="N510" s="356"/>
      <c r="O510">
        <v>508</v>
      </c>
    </row>
    <row r="511" spans="9:16">
      <c r="I511" s="31" t="s">
        <v>2491</v>
      </c>
      <c r="J511" s="31" t="str">
        <f>"T5HO_"&amp;STDLIGHTINEFCAT2[[#This Row],[Ineff DropDown 2]]</f>
        <v>T5HO_Ext 301-500</v>
      </c>
      <c r="K511" s="277" t="str">
        <f>STDLIGHTINEFCAT2[[#This Row],[Match]]&amp;"_"&amp;STDLIGHTINEFCAT2[[#This Row],[Options]]</f>
        <v>T5HO_Ext 301-500_6L T5HO 4' 54W</v>
      </c>
      <c r="L511" s="277" t="s">
        <v>2443</v>
      </c>
      <c r="M511" s="277">
        <f>6*54</f>
        <v>324</v>
      </c>
      <c r="N511" s="277">
        <v>355</v>
      </c>
      <c r="O511">
        <v>509</v>
      </c>
      <c r="P511" t="s">
        <v>2849</v>
      </c>
    </row>
    <row r="512" spans="9:16">
      <c r="I512" s="31" t="s">
        <v>91</v>
      </c>
      <c r="J512" s="31" t="str">
        <f>"T5HO_"&amp;STDLIGHTINEFCAT2[[#This Row],[Ineff DropDown 2]]</f>
        <v>T5HO_Fixture</v>
      </c>
      <c r="K512" s="277" t="str">
        <f>STDLIGHTINEFCAT2[[#This Row],[Match]]&amp;"_"&amp;STDLIGHTINEFCAT2[[#This Row],[Options]]</f>
        <v>T5HO_Fixture_1L T5HO 2' 24W</v>
      </c>
      <c r="L512" s="277" t="s">
        <v>2436</v>
      </c>
      <c r="M512" s="277">
        <v>24</v>
      </c>
      <c r="N512" s="277">
        <v>27</v>
      </c>
      <c r="O512">
        <v>510</v>
      </c>
    </row>
    <row r="513" spans="9:16">
      <c r="I513" s="31" t="s">
        <v>91</v>
      </c>
      <c r="J513" s="31" t="str">
        <f>"T5HO_"&amp;STDLIGHTINEFCAT2[[#This Row],[Ineff DropDown 2]]</f>
        <v>T5HO_Fixture</v>
      </c>
      <c r="K513" s="277" t="str">
        <f>STDLIGHTINEFCAT2[[#This Row],[Match]]&amp;"_"&amp;STDLIGHTINEFCAT2[[#This Row],[Options]]</f>
        <v>T5HO_Fixture_2L T5HO 2' 24W</v>
      </c>
      <c r="L513" s="277" t="s">
        <v>2437</v>
      </c>
      <c r="M513" s="277">
        <v>48</v>
      </c>
      <c r="N513" s="277">
        <v>54</v>
      </c>
      <c r="O513">
        <v>511</v>
      </c>
    </row>
    <row r="514" spans="9:16">
      <c r="I514" s="31" t="s">
        <v>91</v>
      </c>
      <c r="J514" s="31" t="str">
        <f>"T5HO_"&amp;STDLIGHTINEFCAT2[[#This Row],[Ineff DropDown 2]]</f>
        <v>T5HO_Fixture</v>
      </c>
      <c r="K514" s="277" t="str">
        <f>STDLIGHTINEFCAT2[[#This Row],[Match]]&amp;"_"&amp;STDLIGHTINEFCAT2[[#This Row],[Options]]</f>
        <v>T5HO_Fixture_2L T5HO 3' 39W</v>
      </c>
      <c r="L514" s="277" t="s">
        <v>2503</v>
      </c>
      <c r="M514" s="277">
        <f>2*39</f>
        <v>78</v>
      </c>
      <c r="N514" s="277">
        <v>85</v>
      </c>
      <c r="O514">
        <v>512</v>
      </c>
    </row>
    <row r="515" spans="9:16">
      <c r="I515" s="31" t="s">
        <v>91</v>
      </c>
      <c r="J515" s="31" t="str">
        <f>"T5HO_"&amp;STDLIGHTINEFCAT2[[#This Row],[Ineff DropDown 2]]</f>
        <v>T5HO_Fixture</v>
      </c>
      <c r="K515" s="277" t="str">
        <f>STDLIGHTINEFCAT2[[#This Row],[Match]]&amp;"_"&amp;STDLIGHTINEFCAT2[[#This Row],[Options]]</f>
        <v>T5HO_Fixture_1L T5HOHO 4' 54W</v>
      </c>
      <c r="L515" s="277" t="s">
        <v>2501</v>
      </c>
      <c r="M515" s="277">
        <v>54</v>
      </c>
      <c r="N515" s="277">
        <v>61</v>
      </c>
      <c r="O515">
        <v>513</v>
      </c>
      <c r="P515" t="s">
        <v>2849</v>
      </c>
    </row>
    <row r="516" spans="9:16">
      <c r="I516" s="31" t="s">
        <v>91</v>
      </c>
      <c r="J516" s="31" t="str">
        <f>"T5HO_"&amp;STDLIGHTINEFCAT2[[#This Row],[Ineff DropDown 2]]</f>
        <v>T5HO_Fixture</v>
      </c>
      <c r="K516" s="277" t="str">
        <f>STDLIGHTINEFCAT2[[#This Row],[Match]]&amp;"_"&amp;STDLIGHTINEFCAT2[[#This Row],[Options]]</f>
        <v>T5HO_Fixture_2L T5HO 4' 54W</v>
      </c>
      <c r="L516" s="277" t="s">
        <v>2439</v>
      </c>
      <c r="M516" s="277">
        <f>2*54</f>
        <v>108</v>
      </c>
      <c r="N516" s="277">
        <v>117</v>
      </c>
      <c r="O516">
        <v>514</v>
      </c>
      <c r="P516" t="s">
        <v>2849</v>
      </c>
    </row>
    <row r="517" spans="9:16">
      <c r="I517" s="31" t="s">
        <v>91</v>
      </c>
      <c r="J517" s="31" t="str">
        <f>"T5HO_"&amp;STDLIGHTINEFCAT2[[#This Row],[Ineff DropDown 2]]</f>
        <v>T5HO_Fixture</v>
      </c>
      <c r="K517" s="277" t="str">
        <f>STDLIGHTINEFCAT2[[#This Row],[Match]]&amp;"_"&amp;STDLIGHTINEFCAT2[[#This Row],[Options]]</f>
        <v>T5HO_Fixture_3L T5HO 4' 54W</v>
      </c>
      <c r="L517" s="277" t="s">
        <v>2440</v>
      </c>
      <c r="M517" s="277">
        <f>3*54</f>
        <v>162</v>
      </c>
      <c r="N517" s="277">
        <v>179</v>
      </c>
      <c r="O517">
        <v>515</v>
      </c>
      <c r="P517" t="s">
        <v>2849</v>
      </c>
    </row>
    <row r="518" spans="9:16">
      <c r="I518" s="31" t="s">
        <v>91</v>
      </c>
      <c r="J518" s="31" t="str">
        <f>"T5HO_"&amp;STDLIGHTINEFCAT2[[#This Row],[Ineff DropDown 2]]</f>
        <v>T5HO_Fixture</v>
      </c>
      <c r="K518" s="277" t="str">
        <f>STDLIGHTINEFCAT2[[#This Row],[Match]]&amp;"_"&amp;STDLIGHTINEFCAT2[[#This Row],[Options]]</f>
        <v>T5HO_Fixture_4L T5HO 4' 54W</v>
      </c>
      <c r="L518" s="277" t="s">
        <v>2441</v>
      </c>
      <c r="M518" s="277">
        <f>4*54</f>
        <v>216</v>
      </c>
      <c r="N518" s="277">
        <v>235</v>
      </c>
      <c r="O518">
        <v>516</v>
      </c>
      <c r="P518" t="s">
        <v>2849</v>
      </c>
    </row>
    <row r="519" spans="9:16">
      <c r="I519" s="31" t="s">
        <v>91</v>
      </c>
      <c r="J519" s="31" t="str">
        <f>"T5HO_"&amp;STDLIGHTINEFCAT2[[#This Row],[Ineff DropDown 2]]</f>
        <v>T5HO_Fixture</v>
      </c>
      <c r="K519" s="277" t="str">
        <f>STDLIGHTINEFCAT2[[#This Row],[Match]]&amp;"_"&amp;STDLIGHTINEFCAT2[[#This Row],[Options]]</f>
        <v>T5HO_Fixture_5L T5HO 4' 54W</v>
      </c>
      <c r="L519" s="277" t="s">
        <v>2442</v>
      </c>
      <c r="M519" s="277">
        <f>5*54</f>
        <v>270</v>
      </c>
      <c r="N519" s="277">
        <v>295</v>
      </c>
      <c r="O519">
        <v>517</v>
      </c>
      <c r="P519" t="s">
        <v>2849</v>
      </c>
    </row>
    <row r="520" spans="9:16">
      <c r="I520" s="31" t="s">
        <v>91</v>
      </c>
      <c r="J520" s="31" t="str">
        <f>"T5HO_"&amp;STDLIGHTINEFCAT2[[#This Row],[Ineff DropDown 2]]</f>
        <v>T5HO_Fixture</v>
      </c>
      <c r="K520" s="277" t="str">
        <f>STDLIGHTINEFCAT2[[#This Row],[Match]]&amp;"_"&amp;STDLIGHTINEFCAT2[[#This Row],[Options]]</f>
        <v>T5HO_Fixture_6L T5HO 4' 54W</v>
      </c>
      <c r="L520" s="277" t="s">
        <v>2443</v>
      </c>
      <c r="M520" s="277">
        <f>6*54</f>
        <v>324</v>
      </c>
      <c r="N520" s="277">
        <v>355</v>
      </c>
      <c r="O520">
        <v>518</v>
      </c>
      <c r="P520" t="s">
        <v>2849</v>
      </c>
    </row>
    <row r="521" spans="9:16">
      <c r="I521" s="31" t="s">
        <v>91</v>
      </c>
      <c r="J521" s="31" t="str">
        <f>"T5HO_"&amp;STDLIGHTINEFCAT2[[#This Row],[Ineff DropDown 2]]</f>
        <v>T5HO_Fixture</v>
      </c>
      <c r="K521" s="277" t="str">
        <f>STDLIGHTINEFCAT2[[#This Row],[Match]]&amp;"_"&amp;STDLIGHTINEFCAT2[[#This Row],[Options]]</f>
        <v>T5HO_Fixture_1L T5HO 5' 80W</v>
      </c>
      <c r="L521" s="277" t="s">
        <v>2502</v>
      </c>
      <c r="M521" s="277">
        <v>80</v>
      </c>
      <c r="N521" s="277">
        <v>89</v>
      </c>
      <c r="O521">
        <v>519</v>
      </c>
    </row>
    <row r="522" spans="9:16">
      <c r="I522" t="s">
        <v>2493</v>
      </c>
      <c r="J522" s="31" t="str">
        <f>"T5HO_"&amp;STDLIGHTINEFCAT2[[#This Row],[Ineff DropDown 2]]</f>
        <v>T5HO_PG &lt;=130</v>
      </c>
      <c r="K522" s="356" t="str">
        <f>STDLIGHTINEFCAT2[[#This Row],[Match]]&amp;"_"&amp;STDLIGHTINEFCAT2[[#This Row],[Options]]</f>
        <v>T5HO_PG &lt;=130_----2 ft Lamps----</v>
      </c>
      <c r="L522" s="281" t="s">
        <v>2050</v>
      </c>
      <c r="M522" s="277"/>
      <c r="N522" s="356"/>
      <c r="O522">
        <v>520</v>
      </c>
    </row>
    <row r="523" spans="9:16">
      <c r="I523" t="s">
        <v>2493</v>
      </c>
      <c r="J523" s="31" t="str">
        <f>"T5HO_"&amp;STDLIGHTINEFCAT2[[#This Row],[Ineff DropDown 2]]</f>
        <v>T5HO_PG &lt;=130</v>
      </c>
      <c r="K523" s="277" t="str">
        <f>STDLIGHTINEFCAT2[[#This Row],[Match]]&amp;"_"&amp;STDLIGHTINEFCAT2[[#This Row],[Options]]</f>
        <v>T5HO_PG &lt;=130_1L T5HO 2' 24W</v>
      </c>
      <c r="L523" s="277" t="s">
        <v>2436</v>
      </c>
      <c r="M523" s="277">
        <v>24</v>
      </c>
      <c r="N523" s="277">
        <v>27</v>
      </c>
      <c r="O523">
        <v>521</v>
      </c>
    </row>
    <row r="524" spans="9:16">
      <c r="I524" t="s">
        <v>2493</v>
      </c>
      <c r="J524" s="31" t="str">
        <f>"T5HO_"&amp;STDLIGHTINEFCAT2[[#This Row],[Ineff DropDown 2]]</f>
        <v>T5HO_PG &lt;=130</v>
      </c>
      <c r="K524" s="277" t="str">
        <f>STDLIGHTINEFCAT2[[#This Row],[Match]]&amp;"_"&amp;STDLIGHTINEFCAT2[[#This Row],[Options]]</f>
        <v>T5HO_PG &lt;=130_2L T5HO 2' 24W</v>
      </c>
      <c r="L524" s="277" t="s">
        <v>2437</v>
      </c>
      <c r="M524" s="277">
        <v>48</v>
      </c>
      <c r="N524" s="277">
        <v>54</v>
      </c>
      <c r="O524">
        <v>522</v>
      </c>
    </row>
    <row r="525" spans="9:16">
      <c r="I525" t="s">
        <v>2493</v>
      </c>
      <c r="J525" s="31" t="str">
        <f>"T5HO_"&amp;STDLIGHTINEFCAT2[[#This Row],[Ineff DropDown 2]]</f>
        <v>T5HO_PG &lt;=130</v>
      </c>
      <c r="K525" s="356" t="str">
        <f>STDLIGHTINEFCAT2[[#This Row],[Match]]&amp;"_"&amp;STDLIGHTINEFCAT2[[#This Row],[Options]]</f>
        <v>T5HO_PG &lt;=130_----3 ft Lamps----</v>
      </c>
      <c r="L525" s="281" t="s">
        <v>2051</v>
      </c>
      <c r="M525" s="277"/>
      <c r="N525" s="356"/>
      <c r="O525">
        <v>523</v>
      </c>
    </row>
    <row r="526" spans="9:16">
      <c r="I526" t="s">
        <v>2493</v>
      </c>
      <c r="J526" s="31" t="str">
        <f>"T5HO_"&amp;STDLIGHTINEFCAT2[[#This Row],[Ineff DropDown 2]]</f>
        <v>T5HO_PG &lt;=130</v>
      </c>
      <c r="K526" s="277" t="str">
        <f>STDLIGHTINEFCAT2[[#This Row],[Match]]&amp;"_"&amp;STDLIGHTINEFCAT2[[#This Row],[Options]]</f>
        <v>T5HO_PG &lt;=130_2L T5HO 3' 39W</v>
      </c>
      <c r="L526" s="277" t="s">
        <v>2503</v>
      </c>
      <c r="M526" s="277">
        <f>2*39</f>
        <v>78</v>
      </c>
      <c r="N526" s="277">
        <v>85</v>
      </c>
      <c r="O526">
        <v>524</v>
      </c>
    </row>
    <row r="527" spans="9:16">
      <c r="I527" t="s">
        <v>2493</v>
      </c>
      <c r="J527" s="31" t="str">
        <f>"T5HO_"&amp;STDLIGHTINEFCAT2[[#This Row],[Ineff DropDown 2]]</f>
        <v>T5HO_PG &lt;=130</v>
      </c>
      <c r="K527" s="356" t="str">
        <f>STDLIGHTINEFCAT2[[#This Row],[Match]]&amp;"_"&amp;STDLIGHTINEFCAT2[[#This Row],[Options]]</f>
        <v>T5HO_PG &lt;=130_----4 ft Lamps----</v>
      </c>
      <c r="L527" s="281" t="s">
        <v>2052</v>
      </c>
      <c r="M527" s="277"/>
      <c r="N527" s="356"/>
      <c r="O527">
        <v>525</v>
      </c>
    </row>
    <row r="528" spans="9:16">
      <c r="I528" t="s">
        <v>2493</v>
      </c>
      <c r="J528" s="31" t="str">
        <f>"T5HO_"&amp;STDLIGHTINEFCAT2[[#This Row],[Ineff DropDown 2]]</f>
        <v>T5HO_PG &lt;=130</v>
      </c>
      <c r="K528" s="277" t="str">
        <f>STDLIGHTINEFCAT2[[#This Row],[Match]]&amp;"_"&amp;STDLIGHTINEFCAT2[[#This Row],[Options]]</f>
        <v>T5HO_PG &lt;=130_1L T5HO 4' 54W</v>
      </c>
      <c r="L528" s="277" t="s">
        <v>2438</v>
      </c>
      <c r="M528" s="277">
        <v>54</v>
      </c>
      <c r="N528" s="277">
        <v>61</v>
      </c>
      <c r="O528">
        <v>526</v>
      </c>
      <c r="P528" t="s">
        <v>2849</v>
      </c>
    </row>
    <row r="529" spans="9:16">
      <c r="I529" t="s">
        <v>2493</v>
      </c>
      <c r="J529" s="31" t="str">
        <f>"T5HO_"&amp;STDLIGHTINEFCAT2[[#This Row],[Ineff DropDown 2]]</f>
        <v>T5HO_PG &lt;=130</v>
      </c>
      <c r="K529" s="277" t="str">
        <f>STDLIGHTINEFCAT2[[#This Row],[Match]]&amp;"_"&amp;STDLIGHTINEFCAT2[[#This Row],[Options]]</f>
        <v>T5HO_PG &lt;=130_2L T5HO 4' 54W</v>
      </c>
      <c r="L529" s="277" t="s">
        <v>2439</v>
      </c>
      <c r="M529" s="277">
        <f>2*54</f>
        <v>108</v>
      </c>
      <c r="N529" s="277">
        <v>117</v>
      </c>
      <c r="O529">
        <v>527</v>
      </c>
      <c r="P529" t="s">
        <v>2849</v>
      </c>
    </row>
    <row r="530" spans="9:16">
      <c r="I530" t="s">
        <v>2494</v>
      </c>
      <c r="J530" s="31" t="str">
        <f>"T5HO_"&amp;STDLIGHTINEFCAT2[[#This Row],[Ineff DropDown 2]]</f>
        <v>T5HO_PG &gt;210</v>
      </c>
      <c r="K530" s="356" t="str">
        <f>STDLIGHTINEFCAT2[[#This Row],[Match]]&amp;"_"&amp;STDLIGHTINEFCAT2[[#This Row],[Options]]</f>
        <v>T5HO_PG &gt;210_----4 ft Lamps----</v>
      </c>
      <c r="L530" s="281" t="s">
        <v>2052</v>
      </c>
      <c r="M530" s="277"/>
      <c r="N530" s="356"/>
      <c r="O530">
        <v>528</v>
      </c>
    </row>
    <row r="531" spans="9:16">
      <c r="I531" t="s">
        <v>2494</v>
      </c>
      <c r="J531" s="31" t="str">
        <f>"T5HO_"&amp;STDLIGHTINEFCAT2[[#This Row],[Ineff DropDown 2]]</f>
        <v>T5HO_PG &gt;210</v>
      </c>
      <c r="K531" s="277" t="str">
        <f>STDLIGHTINEFCAT2[[#This Row],[Match]]&amp;"_"&amp;STDLIGHTINEFCAT2[[#This Row],[Options]]</f>
        <v>T5HO_PG &gt;210_4L T5HO 4' 54W</v>
      </c>
      <c r="L531" s="277" t="s">
        <v>2441</v>
      </c>
      <c r="M531" s="277">
        <f>4*54</f>
        <v>216</v>
      </c>
      <c r="N531" s="277">
        <v>235</v>
      </c>
      <c r="O531">
        <v>529</v>
      </c>
      <c r="P531" t="s">
        <v>2849</v>
      </c>
    </row>
    <row r="532" spans="9:16">
      <c r="I532" t="s">
        <v>2494</v>
      </c>
      <c r="J532" s="31" t="str">
        <f>"T5HO_"&amp;STDLIGHTINEFCAT2[[#This Row],[Ineff DropDown 2]]</f>
        <v>T5HO_PG &gt;210</v>
      </c>
      <c r="K532" s="277" t="str">
        <f>STDLIGHTINEFCAT2[[#This Row],[Match]]&amp;"_"&amp;STDLIGHTINEFCAT2[[#This Row],[Options]]</f>
        <v>T5HO_PG &gt;210_5L T5HO 4' 54W</v>
      </c>
      <c r="L532" s="277" t="s">
        <v>2442</v>
      </c>
      <c r="M532" s="277">
        <f>5*54</f>
        <v>270</v>
      </c>
      <c r="N532" s="277">
        <v>295</v>
      </c>
      <c r="O532">
        <v>530</v>
      </c>
      <c r="P532" t="s">
        <v>2849</v>
      </c>
    </row>
    <row r="533" spans="9:16">
      <c r="I533" t="s">
        <v>2494</v>
      </c>
      <c r="J533" s="31" t="str">
        <f>"T5HO_"&amp;STDLIGHTINEFCAT2[[#This Row],[Ineff DropDown 2]]</f>
        <v>T5HO_PG &gt;210</v>
      </c>
      <c r="K533" s="277" t="str">
        <f>STDLIGHTINEFCAT2[[#This Row],[Match]]&amp;"_"&amp;STDLIGHTINEFCAT2[[#This Row],[Options]]</f>
        <v>T5HO_PG &gt;210_6L T5HO 4' 54W</v>
      </c>
      <c r="L533" s="277" t="s">
        <v>2443</v>
      </c>
      <c r="M533" s="277">
        <f>6*54</f>
        <v>324</v>
      </c>
      <c r="N533" s="277">
        <v>355</v>
      </c>
      <c r="O533">
        <v>531</v>
      </c>
      <c r="P533" t="s">
        <v>2849</v>
      </c>
    </row>
    <row r="534" spans="9:16">
      <c r="I534" s="31" t="s">
        <v>2495</v>
      </c>
      <c r="J534" s="31" t="str">
        <f>"T5HO_"&amp;STDLIGHTINEFCAT2[[#This Row],[Ineff DropDown 2]]</f>
        <v>T5HO_PG 131-210</v>
      </c>
      <c r="K534" s="356" t="str">
        <f>STDLIGHTINEFCAT2[[#This Row],[Match]]&amp;"_"&amp;STDLIGHTINEFCAT2[[#This Row],[Options]]</f>
        <v>T5HO_PG 131-210_----4 ft Lamps----</v>
      </c>
      <c r="L534" s="281" t="s">
        <v>2052</v>
      </c>
      <c r="M534" s="277"/>
      <c r="N534" s="356"/>
      <c r="O534">
        <v>532</v>
      </c>
    </row>
    <row r="535" spans="9:16">
      <c r="I535" s="31" t="s">
        <v>2495</v>
      </c>
      <c r="J535" s="31" t="str">
        <f>"T5HO_"&amp;STDLIGHTINEFCAT2[[#This Row],[Ineff DropDown 2]]</f>
        <v>T5HO_PG 131-210</v>
      </c>
      <c r="K535" s="277" t="str">
        <f>STDLIGHTINEFCAT2[[#This Row],[Match]]&amp;"_"&amp;STDLIGHTINEFCAT2[[#This Row],[Options]]</f>
        <v>T5HO_PG 131-210_3L T5HO 4' 54W</v>
      </c>
      <c r="L535" s="273" t="s">
        <v>2440</v>
      </c>
      <c r="M535" s="277">
        <f>3*54</f>
        <v>162</v>
      </c>
      <c r="N535" s="277">
        <v>179</v>
      </c>
      <c r="O535">
        <v>533</v>
      </c>
      <c r="P535" t="s">
        <v>2849</v>
      </c>
    </row>
    <row r="536" spans="9:16">
      <c r="I536" s="31" t="s">
        <v>2210</v>
      </c>
      <c r="J536" s="31" t="str">
        <f>"T5HO_"&amp;STDLIGHTINEFCAT2[[#This Row],[Ineff DropDown 2]]</f>
        <v>T5HO_Retrofit_2ft</v>
      </c>
      <c r="K536" s="277" t="str">
        <f>STDLIGHTINEFCAT2[[#This Row],[Match]]&amp;"_"&amp;STDLIGHTINEFCAT2[[#This Row],[Options]]</f>
        <v>T5HO_Retrofit_2ft_1L T5HO 2' 24W</v>
      </c>
      <c r="L536" s="277" t="s">
        <v>2436</v>
      </c>
      <c r="M536" s="277">
        <v>24</v>
      </c>
      <c r="N536" s="277">
        <v>27</v>
      </c>
      <c r="O536">
        <v>534</v>
      </c>
    </row>
    <row r="537" spans="9:16">
      <c r="I537" s="31" t="s">
        <v>2210</v>
      </c>
      <c r="J537" s="31" t="str">
        <f>"T5HO_"&amp;STDLIGHTINEFCAT2[[#This Row],[Ineff DropDown 2]]</f>
        <v>T5HO_Retrofit_2ft</v>
      </c>
      <c r="K537" s="277" t="str">
        <f>STDLIGHTINEFCAT2[[#This Row],[Match]]&amp;"_"&amp;STDLIGHTINEFCAT2[[#This Row],[Options]]</f>
        <v>T5HO_Retrofit_2ft_2L T5HO 2' 24W</v>
      </c>
      <c r="L537" s="277" t="s">
        <v>2437</v>
      </c>
      <c r="M537" s="277">
        <v>48</v>
      </c>
      <c r="N537" s="277">
        <v>54</v>
      </c>
      <c r="O537">
        <v>535</v>
      </c>
    </row>
    <row r="538" spans="9:16">
      <c r="I538" s="31" t="s">
        <v>2434</v>
      </c>
      <c r="J538" s="31" t="str">
        <f>"T5HO_"&amp;STDLIGHTINEFCAT2[[#This Row],[Ineff DropDown 2]]</f>
        <v>T5HO_Retrofit_4ft_1x4</v>
      </c>
      <c r="K538" s="277" t="str">
        <f>STDLIGHTINEFCAT2[[#This Row],[Match]]&amp;"_"&amp;STDLIGHTINEFCAT2[[#This Row],[Options]]</f>
        <v>T5HO_Retrofit_4ft_1x4_1L T5HO 4' 54W</v>
      </c>
      <c r="L538" s="277" t="s">
        <v>2438</v>
      </c>
      <c r="M538" s="277">
        <v>54</v>
      </c>
      <c r="N538" s="277">
        <v>61</v>
      </c>
      <c r="O538">
        <v>536</v>
      </c>
      <c r="P538" t="s">
        <v>2849</v>
      </c>
    </row>
    <row r="539" spans="9:16">
      <c r="I539" s="31" t="s">
        <v>2434</v>
      </c>
      <c r="J539" s="31" t="str">
        <f>"T5HO_"&amp;STDLIGHTINEFCAT2[[#This Row],[Ineff DropDown 2]]</f>
        <v>T5HO_Retrofit_4ft_1x4</v>
      </c>
      <c r="K539" s="277" t="str">
        <f>STDLIGHTINEFCAT2[[#This Row],[Match]]&amp;"_"&amp;STDLIGHTINEFCAT2[[#This Row],[Options]]</f>
        <v>T5HO_Retrofit_4ft_1x4_2L T5HO 4' 54W</v>
      </c>
      <c r="L539" s="277" t="s">
        <v>2439</v>
      </c>
      <c r="M539" s="277">
        <f>2*54</f>
        <v>108</v>
      </c>
      <c r="N539" s="277">
        <v>117</v>
      </c>
      <c r="O539">
        <v>537</v>
      </c>
      <c r="P539" t="s">
        <v>2849</v>
      </c>
    </row>
    <row r="540" spans="9:16">
      <c r="I540" s="31" t="s">
        <v>2435</v>
      </c>
      <c r="J540" s="31" t="str">
        <f>"T5HO_"&amp;STDLIGHTINEFCAT2[[#This Row],[Ineff DropDown 2]]</f>
        <v>T5HO_Retrofit_4ft_2x4</v>
      </c>
      <c r="K540" s="277" t="str">
        <f>STDLIGHTINEFCAT2[[#This Row],[Match]]&amp;"_"&amp;STDLIGHTINEFCAT2[[#This Row],[Options]]</f>
        <v>T5HO_Retrofit_4ft_2x4_3L T5HO 4' 54W</v>
      </c>
      <c r="L540" s="277" t="s">
        <v>2440</v>
      </c>
      <c r="M540" s="277">
        <f>3*54</f>
        <v>162</v>
      </c>
      <c r="N540" s="277">
        <v>179</v>
      </c>
      <c r="O540">
        <v>538</v>
      </c>
      <c r="P540" t="s">
        <v>2849</v>
      </c>
    </row>
    <row r="541" spans="9:16">
      <c r="I541" s="31" t="s">
        <v>2435</v>
      </c>
      <c r="J541" s="31" t="str">
        <f>"T5HO_"&amp;STDLIGHTINEFCAT2[[#This Row],[Ineff DropDown 2]]</f>
        <v>T5HO_Retrofit_4ft_2x4</v>
      </c>
      <c r="K541" s="277" t="str">
        <f>STDLIGHTINEFCAT2[[#This Row],[Match]]&amp;"_"&amp;STDLIGHTINEFCAT2[[#This Row],[Options]]</f>
        <v>T5HO_Retrofit_4ft_2x4_4L T5HO 4' 54W</v>
      </c>
      <c r="L541" s="277" t="s">
        <v>2441</v>
      </c>
      <c r="M541" s="277">
        <f>4*54</f>
        <v>216</v>
      </c>
      <c r="N541" s="277">
        <v>235</v>
      </c>
      <c r="O541">
        <v>539</v>
      </c>
      <c r="P541" t="s">
        <v>2849</v>
      </c>
    </row>
    <row r="542" spans="9:16">
      <c r="I542" s="31" t="s">
        <v>2435</v>
      </c>
      <c r="J542" s="31" t="str">
        <f>"T5HO_"&amp;STDLIGHTINEFCAT2[[#This Row],[Ineff DropDown 2]]</f>
        <v>T5HO_Retrofit_4ft_2x4</v>
      </c>
      <c r="K542" s="277" t="str">
        <f>STDLIGHTINEFCAT2[[#This Row],[Match]]&amp;"_"&amp;STDLIGHTINEFCAT2[[#This Row],[Options]]</f>
        <v>T5HO_Retrofit_4ft_2x4_5L T5HO 4' 54W</v>
      </c>
      <c r="L542" s="277" t="s">
        <v>2442</v>
      </c>
      <c r="M542" s="277">
        <f>5*54</f>
        <v>270</v>
      </c>
      <c r="N542" s="277">
        <v>295</v>
      </c>
      <c r="O542">
        <v>540</v>
      </c>
      <c r="P542" t="s">
        <v>2849</v>
      </c>
    </row>
    <row r="543" spans="9:16">
      <c r="I543" s="31" t="s">
        <v>2435</v>
      </c>
      <c r="J543" s="31" t="str">
        <f>"T5HO_"&amp;STDLIGHTINEFCAT2[[#This Row],[Ineff DropDown 2]]</f>
        <v>T5HO_Retrofit_4ft_2x4</v>
      </c>
      <c r="K543" s="277" t="str">
        <f>STDLIGHTINEFCAT2[[#This Row],[Match]]&amp;"_"&amp;STDLIGHTINEFCAT2[[#This Row],[Options]]</f>
        <v>T5HO_Retrofit_4ft_2x4_6L T5HO 4' 54W</v>
      </c>
      <c r="L543" s="277" t="s">
        <v>2443</v>
      </c>
      <c r="M543" s="277">
        <f>6*54</f>
        <v>324</v>
      </c>
      <c r="N543" s="277">
        <v>355</v>
      </c>
      <c r="O543">
        <v>541</v>
      </c>
      <c r="P543" t="s">
        <v>2849</v>
      </c>
    </row>
    <row r="544" spans="9:16">
      <c r="I544" s="31" t="s">
        <v>1925</v>
      </c>
      <c r="J544" s="31" t="s">
        <v>1947</v>
      </c>
      <c r="K544" s="277" t="str">
        <f>STDLIGHTINEFCAT2[[#This Row],[Match]]&amp;"_"&amp;STDLIGHTINEFCAT2[[#This Row],[Options]]</f>
        <v>T8_2ft_Lamp_T8 2' 17W</v>
      </c>
      <c r="L544" s="277" t="s">
        <v>1868</v>
      </c>
      <c r="M544" s="277">
        <v>17</v>
      </c>
      <c r="N544" s="277">
        <v>17</v>
      </c>
      <c r="O544">
        <v>542</v>
      </c>
    </row>
    <row r="545" spans="9:16">
      <c r="I545" s="31" t="s">
        <v>1926</v>
      </c>
      <c r="J545" s="31" t="s">
        <v>1953</v>
      </c>
      <c r="K545" s="277" t="str">
        <f>STDLIGHTINEFCAT2[[#This Row],[Match]]&amp;"_"&amp;STDLIGHTINEFCAT2[[#This Row],[Options]]</f>
        <v>T8_4ft_Lamp_T8 4' 25W</v>
      </c>
      <c r="L545" s="277" t="s">
        <v>1869</v>
      </c>
      <c r="M545" s="277">
        <v>25</v>
      </c>
      <c r="N545" s="277">
        <v>25</v>
      </c>
      <c r="O545">
        <v>543</v>
      </c>
    </row>
    <row r="546" spans="9:16">
      <c r="I546" s="31" t="s">
        <v>1926</v>
      </c>
      <c r="J546" s="31" t="s">
        <v>1953</v>
      </c>
      <c r="K546" s="277" t="str">
        <f>STDLIGHTINEFCAT2[[#This Row],[Match]]&amp;"_"&amp;STDLIGHTINEFCAT2[[#This Row],[Options]]</f>
        <v>T8_4ft_Lamp_T8 4' 28W</v>
      </c>
      <c r="L546" s="277" t="s">
        <v>1870</v>
      </c>
      <c r="M546" s="277">
        <v>28</v>
      </c>
      <c r="N546" s="277">
        <v>28</v>
      </c>
      <c r="O546">
        <v>544</v>
      </c>
    </row>
    <row r="547" spans="9:16">
      <c r="I547" s="31" t="s">
        <v>1926</v>
      </c>
      <c r="J547" s="31" t="s">
        <v>1953</v>
      </c>
      <c r="K547" s="277" t="str">
        <f>STDLIGHTINEFCAT2[[#This Row],[Match]]&amp;"_"&amp;STDLIGHTINEFCAT2[[#This Row],[Options]]</f>
        <v>T8_4ft_Lamp_T8 4' 32W</v>
      </c>
      <c r="L547" s="277" t="s">
        <v>1871</v>
      </c>
      <c r="M547" s="277">
        <v>32</v>
      </c>
      <c r="N547" s="277">
        <v>32</v>
      </c>
      <c r="O547">
        <v>545</v>
      </c>
    </row>
    <row r="548" spans="9:16">
      <c r="I548" s="31" t="s">
        <v>1926</v>
      </c>
      <c r="J548" s="31" t="s">
        <v>1953</v>
      </c>
      <c r="K548" s="282" t="str">
        <f>STDLIGHTINEFCAT2[[#This Row],[Match]]&amp;"_"&amp;STDLIGHTINEFCAT2[[#This Row],[Options]]</f>
        <v>T8_4ft_Lamp_T8 4' 44W</v>
      </c>
      <c r="L548" s="282" t="s">
        <v>1921</v>
      </c>
      <c r="M548" s="277">
        <v>44</v>
      </c>
      <c r="N548" s="277">
        <v>44</v>
      </c>
      <c r="O548">
        <v>546</v>
      </c>
    </row>
    <row r="549" spans="9:16">
      <c r="I549" s="31" t="s">
        <v>1927</v>
      </c>
      <c r="J549" s="31" t="s">
        <v>1959</v>
      </c>
      <c r="K549" s="277" t="str">
        <f>STDLIGHTINEFCAT2[[#This Row],[Match]]&amp;"_"&amp;STDLIGHTINEFCAT2[[#This Row],[Options]]</f>
        <v>T8_8ft_Lamp_T8 8' 59W</v>
      </c>
      <c r="L549" s="277" t="s">
        <v>1922</v>
      </c>
      <c r="M549" s="277">
        <v>59</v>
      </c>
      <c r="N549" s="277">
        <v>59</v>
      </c>
      <c r="O549">
        <v>547</v>
      </c>
    </row>
    <row r="550" spans="9:16">
      <c r="I550" s="31" t="s">
        <v>1927</v>
      </c>
      <c r="J550" s="31" t="s">
        <v>1959</v>
      </c>
      <c r="K550" s="277" t="str">
        <f>STDLIGHTINEFCAT2[[#This Row],[Match]]&amp;"_"&amp;STDLIGHTINEFCAT2[[#This Row],[Options]]</f>
        <v>T8_8ft_Lamp_T8 8' 86W</v>
      </c>
      <c r="L550" s="277" t="s">
        <v>1923</v>
      </c>
      <c r="M550" s="277">
        <v>86</v>
      </c>
      <c r="N550" s="277">
        <v>86</v>
      </c>
      <c r="O550">
        <v>548</v>
      </c>
    </row>
    <row r="551" spans="9:16">
      <c r="I551" s="31" t="s">
        <v>2489</v>
      </c>
      <c r="J551" s="31" t="str">
        <f>"T8_"&amp;STDLIGHTINEFCAT2[[#This Row],[Ineff DropDown 2]]</f>
        <v>T8_Ext ≤210</v>
      </c>
      <c r="K551" s="277" t="str">
        <f>STDLIGHTINEFCAT2[[#This Row],[Match]]&amp;"_"&amp;STDLIGHTINEFCAT2[[#This Row],[Options]]</f>
        <v>T8_Ext ≤210_----2 ft Lamps----</v>
      </c>
      <c r="L551" s="281" t="s">
        <v>2050</v>
      </c>
      <c r="M551" s="281"/>
      <c r="N551" s="277"/>
      <c r="O551">
        <v>549</v>
      </c>
    </row>
    <row r="552" spans="9:16">
      <c r="I552" s="31" t="s">
        <v>2489</v>
      </c>
      <c r="J552" s="31" t="str">
        <f>"T8_"&amp;STDLIGHTINEFCAT2[[#This Row],[Ineff DropDown 2]]</f>
        <v>T8_Ext ≤210</v>
      </c>
      <c r="K552" s="277" t="str">
        <f>STDLIGHTINEFCAT2[[#This Row],[Match]]&amp;"_"&amp;STDLIGHTINEFCAT2[[#This Row],[Options]]</f>
        <v>T8_Ext ≤210_1L T8 2' 17W</v>
      </c>
      <c r="L552" s="277" t="s">
        <v>2060</v>
      </c>
      <c r="M552" s="277">
        <v>17</v>
      </c>
      <c r="N552" s="277">
        <v>24</v>
      </c>
      <c r="O552">
        <v>550</v>
      </c>
      <c r="P552" t="s">
        <v>2849</v>
      </c>
    </row>
    <row r="553" spans="9:16">
      <c r="I553" s="31" t="s">
        <v>2489</v>
      </c>
      <c r="J553" s="31" t="str">
        <f>"T8_"&amp;STDLIGHTINEFCAT2[[#This Row],[Ineff DropDown 2]]</f>
        <v>T8_Ext ≤210</v>
      </c>
      <c r="K553" s="277" t="str">
        <f>STDLIGHTINEFCAT2[[#This Row],[Match]]&amp;"_"&amp;STDLIGHTINEFCAT2[[#This Row],[Options]]</f>
        <v>T8_Ext ≤210_2L T8 2' 17W</v>
      </c>
      <c r="L553" s="277" t="s">
        <v>2061</v>
      </c>
      <c r="M553" s="277">
        <f>17*2</f>
        <v>34</v>
      </c>
      <c r="N553" s="277">
        <v>45</v>
      </c>
      <c r="O553">
        <v>551</v>
      </c>
      <c r="P553" t="s">
        <v>2849</v>
      </c>
    </row>
    <row r="554" spans="9:16">
      <c r="I554" s="31" t="s">
        <v>2489</v>
      </c>
      <c r="J554" s="31" t="str">
        <f>"T8_"&amp;STDLIGHTINEFCAT2[[#This Row],[Ineff DropDown 2]]</f>
        <v>T8_Ext ≤210</v>
      </c>
      <c r="K554" s="277" t="str">
        <f>STDLIGHTINEFCAT2[[#This Row],[Match]]&amp;"_"&amp;STDLIGHTINEFCAT2[[#This Row],[Options]]</f>
        <v>T8_Ext ≤210_3L T8 2' 17W</v>
      </c>
      <c r="L554" s="277" t="s">
        <v>2062</v>
      </c>
      <c r="M554" s="277">
        <f>3*17</f>
        <v>51</v>
      </c>
      <c r="N554" s="277">
        <v>65</v>
      </c>
      <c r="O554">
        <v>552</v>
      </c>
      <c r="P554" t="s">
        <v>2849</v>
      </c>
    </row>
    <row r="555" spans="9:16">
      <c r="I555" s="31" t="s">
        <v>2489</v>
      </c>
      <c r="J555" s="31" t="str">
        <f>"T8_"&amp;STDLIGHTINEFCAT2[[#This Row],[Ineff DropDown 2]]</f>
        <v>T8_Ext ≤210</v>
      </c>
      <c r="K555" s="277" t="str">
        <f>STDLIGHTINEFCAT2[[#This Row],[Match]]&amp;"_"&amp;STDLIGHTINEFCAT2[[#This Row],[Options]]</f>
        <v>T8_Ext ≤210_4L T8 2' 17W</v>
      </c>
      <c r="L555" s="277" t="s">
        <v>2063</v>
      </c>
      <c r="M555" s="277">
        <f>4*17</f>
        <v>68</v>
      </c>
      <c r="N555" s="277">
        <v>87</v>
      </c>
      <c r="O555">
        <v>553</v>
      </c>
      <c r="P555" t="s">
        <v>2849</v>
      </c>
    </row>
    <row r="556" spans="9:16">
      <c r="I556" s="31" t="s">
        <v>2489</v>
      </c>
      <c r="J556" s="31" t="str">
        <f>"T8_"&amp;STDLIGHTINEFCAT2[[#This Row],[Ineff DropDown 2]]</f>
        <v>T8_Ext ≤210</v>
      </c>
      <c r="K556" s="277" t="str">
        <f>STDLIGHTINEFCAT2[[#This Row],[Match]]&amp;"_"&amp;STDLIGHTINEFCAT2[[#This Row],[Options]]</f>
        <v>T8_Ext ≤210_----3 ft Lamps----</v>
      </c>
      <c r="L556" s="281" t="s">
        <v>2051</v>
      </c>
      <c r="M556" s="281"/>
      <c r="N556" s="277"/>
      <c r="O556">
        <v>554</v>
      </c>
    </row>
    <row r="557" spans="9:16">
      <c r="I557" s="31" t="s">
        <v>2489</v>
      </c>
      <c r="J557" s="31" t="str">
        <f>"T8_"&amp;STDLIGHTINEFCAT2[[#This Row],[Ineff DropDown 2]]</f>
        <v>T8_Ext ≤210</v>
      </c>
      <c r="K557" s="277" t="str">
        <f>STDLIGHTINEFCAT2[[#This Row],[Match]]&amp;"_"&amp;STDLIGHTINEFCAT2[[#This Row],[Options]]</f>
        <v>T8_Ext ≤210_1L T8 3' 25W</v>
      </c>
      <c r="L557" s="277" t="s">
        <v>2064</v>
      </c>
      <c r="M557" s="277">
        <v>25</v>
      </c>
      <c r="N557" s="277">
        <v>24</v>
      </c>
      <c r="O557">
        <v>555</v>
      </c>
      <c r="P557" t="s">
        <v>2849</v>
      </c>
    </row>
    <row r="558" spans="9:16">
      <c r="I558" s="31" t="s">
        <v>2489</v>
      </c>
      <c r="J558" s="31" t="str">
        <f>"T8_"&amp;STDLIGHTINEFCAT2[[#This Row],[Ineff DropDown 2]]</f>
        <v>T8_Ext ≤210</v>
      </c>
      <c r="K558" s="277" t="str">
        <f>STDLIGHTINEFCAT2[[#This Row],[Match]]&amp;"_"&amp;STDLIGHTINEFCAT2[[#This Row],[Options]]</f>
        <v>T8_Ext ≤210_2L T8 3' 25W</v>
      </c>
      <c r="L558" s="277" t="s">
        <v>2065</v>
      </c>
      <c r="M558" s="277">
        <v>50</v>
      </c>
      <c r="N558" s="277">
        <v>45</v>
      </c>
      <c r="O558">
        <v>556</v>
      </c>
      <c r="P558" t="s">
        <v>2849</v>
      </c>
    </row>
    <row r="559" spans="9:16">
      <c r="I559" s="31" t="s">
        <v>2489</v>
      </c>
      <c r="J559" s="31" t="str">
        <f>"T8_"&amp;STDLIGHTINEFCAT2[[#This Row],[Ineff DropDown 2]]</f>
        <v>T8_Ext ≤210</v>
      </c>
      <c r="K559" s="277" t="str">
        <f>STDLIGHTINEFCAT2[[#This Row],[Match]]&amp;"_"&amp;STDLIGHTINEFCAT2[[#This Row],[Options]]</f>
        <v>T8_Ext ≤210_3L T8 3' 25W</v>
      </c>
      <c r="L559" s="277" t="s">
        <v>2066</v>
      </c>
      <c r="M559" s="277">
        <v>75</v>
      </c>
      <c r="N559" s="277">
        <v>65</v>
      </c>
      <c r="O559">
        <v>557</v>
      </c>
      <c r="P559" t="s">
        <v>2849</v>
      </c>
    </row>
    <row r="560" spans="9:16">
      <c r="I560" s="31" t="s">
        <v>2489</v>
      </c>
      <c r="J560" s="31" t="str">
        <f>"T8_"&amp;STDLIGHTINEFCAT2[[#This Row],[Ineff DropDown 2]]</f>
        <v>T8_Ext ≤210</v>
      </c>
      <c r="K560" s="277" t="str">
        <f>STDLIGHTINEFCAT2[[#This Row],[Match]]&amp;"_"&amp;STDLIGHTINEFCAT2[[#This Row],[Options]]</f>
        <v>T8_Ext ≤210_4L T8 3' 25W</v>
      </c>
      <c r="L560" s="277" t="s">
        <v>2067</v>
      </c>
      <c r="M560" s="277">
        <v>100</v>
      </c>
      <c r="N560" s="277">
        <v>87</v>
      </c>
      <c r="O560">
        <v>558</v>
      </c>
      <c r="P560" t="s">
        <v>2849</v>
      </c>
    </row>
    <row r="561" spans="9:16">
      <c r="I561" s="31" t="s">
        <v>2489</v>
      </c>
      <c r="J561" s="31" t="str">
        <f>"T8_"&amp;STDLIGHTINEFCAT2[[#This Row],[Ineff DropDown 2]]</f>
        <v>T8_Ext ≤210</v>
      </c>
      <c r="K561" s="277" t="str">
        <f>STDLIGHTINEFCAT2[[#This Row],[Match]]&amp;"_"&amp;STDLIGHTINEFCAT2[[#This Row],[Options]]</f>
        <v>T8_Ext ≤210_----4 ft Lamps----</v>
      </c>
      <c r="L561" s="281" t="s">
        <v>2052</v>
      </c>
      <c r="M561" s="281"/>
      <c r="N561" s="277"/>
      <c r="O561">
        <v>559</v>
      </c>
    </row>
    <row r="562" spans="9:16">
      <c r="I562" s="31" t="s">
        <v>2489</v>
      </c>
      <c r="J562" s="31" t="str">
        <f>"T8_"&amp;STDLIGHTINEFCAT2[[#This Row],[Ineff DropDown 2]]</f>
        <v>T8_Ext ≤210</v>
      </c>
      <c r="K562" s="277" t="str">
        <f>STDLIGHTINEFCAT2[[#This Row],[Match]]&amp;"_"&amp;STDLIGHTINEFCAT2[[#This Row],[Options]]</f>
        <v>T8_Ext ≤210_1L T8 4' 25W</v>
      </c>
      <c r="L562" s="277" t="s">
        <v>2068</v>
      </c>
      <c r="M562" s="277">
        <v>25</v>
      </c>
      <c r="N562" s="277">
        <v>23</v>
      </c>
      <c r="O562">
        <v>560</v>
      </c>
      <c r="P562" t="s">
        <v>2849</v>
      </c>
    </row>
    <row r="563" spans="9:16">
      <c r="I563" s="31" t="s">
        <v>2489</v>
      </c>
      <c r="J563" s="31" t="str">
        <f>"T8_"&amp;STDLIGHTINEFCAT2[[#This Row],[Ineff DropDown 2]]</f>
        <v>T8_Ext ≤210</v>
      </c>
      <c r="K563" s="277" t="str">
        <f>STDLIGHTINEFCAT2[[#This Row],[Match]]&amp;"_"&amp;STDLIGHTINEFCAT2[[#This Row],[Options]]</f>
        <v>T8_Ext ≤210_2L T8 4' 25W</v>
      </c>
      <c r="L563" s="277" t="s">
        <v>2069</v>
      </c>
      <c r="M563" s="277">
        <v>50</v>
      </c>
      <c r="N563" s="277">
        <v>44</v>
      </c>
      <c r="O563">
        <v>561</v>
      </c>
      <c r="P563" t="s">
        <v>2849</v>
      </c>
    </row>
    <row r="564" spans="9:16">
      <c r="I564" s="31" t="s">
        <v>2489</v>
      </c>
      <c r="J564" s="31" t="str">
        <f>"T8_"&amp;STDLIGHTINEFCAT2[[#This Row],[Ineff DropDown 2]]</f>
        <v>T8_Ext ≤210</v>
      </c>
      <c r="K564" s="277" t="str">
        <f>STDLIGHTINEFCAT2[[#This Row],[Match]]&amp;"_"&amp;STDLIGHTINEFCAT2[[#This Row],[Options]]</f>
        <v>T8_Ext ≤210_3L T8 4' 25W</v>
      </c>
      <c r="L564" s="277" t="s">
        <v>2070</v>
      </c>
      <c r="M564" s="277">
        <v>75</v>
      </c>
      <c r="N564" s="277">
        <v>66</v>
      </c>
      <c r="O564">
        <v>562</v>
      </c>
      <c r="P564" t="s">
        <v>2849</v>
      </c>
    </row>
    <row r="565" spans="9:16">
      <c r="I565" s="31" t="s">
        <v>2489</v>
      </c>
      <c r="J565" s="31" t="str">
        <f>"T8_"&amp;STDLIGHTINEFCAT2[[#This Row],[Ineff DropDown 2]]</f>
        <v>T8_Ext ≤210</v>
      </c>
      <c r="K565" s="277" t="str">
        <f>STDLIGHTINEFCAT2[[#This Row],[Match]]&amp;"_"&amp;STDLIGHTINEFCAT2[[#This Row],[Options]]</f>
        <v>T8_Ext ≤210_4L T8 4' 25W</v>
      </c>
      <c r="L565" s="277" t="s">
        <v>2071</v>
      </c>
      <c r="M565" s="277">
        <v>100</v>
      </c>
      <c r="N565" s="277">
        <v>88</v>
      </c>
      <c r="O565">
        <v>563</v>
      </c>
      <c r="P565" t="s">
        <v>2849</v>
      </c>
    </row>
    <row r="566" spans="9:16">
      <c r="I566" s="31" t="s">
        <v>2489</v>
      </c>
      <c r="J566" s="31" t="str">
        <f>"T8_"&amp;STDLIGHTINEFCAT2[[#This Row],[Ineff DropDown 2]]</f>
        <v>T8_Ext ≤210</v>
      </c>
      <c r="K566" s="277" t="str">
        <f>STDLIGHTINEFCAT2[[#This Row],[Match]]&amp;"_"&amp;STDLIGHTINEFCAT2[[#This Row],[Options]]</f>
        <v>T8_Ext ≤210_1L T8 4' 28W</v>
      </c>
      <c r="L566" s="277" t="s">
        <v>2072</v>
      </c>
      <c r="M566" s="277">
        <v>28</v>
      </c>
      <c r="N566" s="277">
        <v>25</v>
      </c>
      <c r="O566">
        <v>564</v>
      </c>
      <c r="P566" t="s">
        <v>2849</v>
      </c>
    </row>
    <row r="567" spans="9:16">
      <c r="I567" s="31" t="s">
        <v>2489</v>
      </c>
      <c r="J567" s="31" t="str">
        <f>"T8_"&amp;STDLIGHTINEFCAT2[[#This Row],[Ineff DropDown 2]]</f>
        <v>T8_Ext ≤210</v>
      </c>
      <c r="K567" s="277" t="str">
        <f>STDLIGHTINEFCAT2[[#This Row],[Match]]&amp;"_"&amp;STDLIGHTINEFCAT2[[#This Row],[Options]]</f>
        <v>T8_Ext ≤210_2L T8 4' 28W</v>
      </c>
      <c r="L567" s="277" t="s">
        <v>2073</v>
      </c>
      <c r="M567" s="277">
        <f>2*28</f>
        <v>56</v>
      </c>
      <c r="N567" s="277">
        <v>49</v>
      </c>
      <c r="O567">
        <v>565</v>
      </c>
      <c r="P567" t="s">
        <v>2849</v>
      </c>
    </row>
    <row r="568" spans="9:16">
      <c r="I568" s="31" t="s">
        <v>2489</v>
      </c>
      <c r="J568" s="31" t="str">
        <f>"T8_"&amp;STDLIGHTINEFCAT2[[#This Row],[Ineff DropDown 2]]</f>
        <v>T8_Ext ≤210</v>
      </c>
      <c r="K568" s="277" t="str">
        <f>STDLIGHTINEFCAT2[[#This Row],[Match]]&amp;"_"&amp;STDLIGHTINEFCAT2[[#This Row],[Options]]</f>
        <v>T8_Ext ≤210_3L T8 4' 28W</v>
      </c>
      <c r="L568" s="277" t="s">
        <v>2074</v>
      </c>
      <c r="M568" s="277">
        <f>3*28</f>
        <v>84</v>
      </c>
      <c r="N568" s="277">
        <v>73</v>
      </c>
      <c r="O568">
        <v>566</v>
      </c>
      <c r="P568" t="s">
        <v>2849</v>
      </c>
    </row>
    <row r="569" spans="9:16">
      <c r="I569" s="31" t="s">
        <v>2489</v>
      </c>
      <c r="J569" s="31" t="str">
        <f>"T8_"&amp;STDLIGHTINEFCAT2[[#This Row],[Ineff DropDown 2]]</f>
        <v>T8_Ext ≤210</v>
      </c>
      <c r="K569" s="277" t="str">
        <f>STDLIGHTINEFCAT2[[#This Row],[Match]]&amp;"_"&amp;STDLIGHTINEFCAT2[[#This Row],[Options]]</f>
        <v>T8_Ext ≤210_4L T8 4' 28W</v>
      </c>
      <c r="L569" s="277" t="s">
        <v>2075</v>
      </c>
      <c r="M569" s="277">
        <f>4*28</f>
        <v>112</v>
      </c>
      <c r="N569" s="277">
        <v>96</v>
      </c>
      <c r="O569">
        <v>567</v>
      </c>
      <c r="P569" t="s">
        <v>2849</v>
      </c>
    </row>
    <row r="570" spans="9:16">
      <c r="I570" s="31" t="s">
        <v>2489</v>
      </c>
      <c r="J570" s="31" t="str">
        <f>"T8_"&amp;STDLIGHTINEFCAT2[[#This Row],[Ineff DropDown 2]]</f>
        <v>T8_Ext ≤210</v>
      </c>
      <c r="K570" s="277" t="str">
        <f>STDLIGHTINEFCAT2[[#This Row],[Match]]&amp;"_"&amp;STDLIGHTINEFCAT2[[#This Row],[Options]]</f>
        <v>T8_Ext ≤210_1L T8 4' 32W</v>
      </c>
      <c r="L570" s="277" t="s">
        <v>2076</v>
      </c>
      <c r="M570" s="277">
        <v>32</v>
      </c>
      <c r="N570" s="277">
        <v>29</v>
      </c>
      <c r="O570">
        <v>568</v>
      </c>
      <c r="P570" t="s">
        <v>2849</v>
      </c>
    </row>
    <row r="571" spans="9:16">
      <c r="I571" s="31" t="s">
        <v>2489</v>
      </c>
      <c r="J571" s="31" t="str">
        <f>"T8_"&amp;STDLIGHTINEFCAT2[[#This Row],[Ineff DropDown 2]]</f>
        <v>T8_Ext ≤210</v>
      </c>
      <c r="K571" s="277" t="str">
        <f>STDLIGHTINEFCAT2[[#This Row],[Match]]&amp;"_"&amp;STDLIGHTINEFCAT2[[#This Row],[Options]]</f>
        <v>T8_Ext ≤210_2L T8 4' 32W</v>
      </c>
      <c r="L571" s="277" t="s">
        <v>2077</v>
      </c>
      <c r="M571" s="277">
        <f>2*32</f>
        <v>64</v>
      </c>
      <c r="N571" s="277">
        <v>56</v>
      </c>
      <c r="O571">
        <v>569</v>
      </c>
      <c r="P571" t="s">
        <v>2849</v>
      </c>
    </row>
    <row r="572" spans="9:16">
      <c r="I572" s="31" t="s">
        <v>2489</v>
      </c>
      <c r="J572" s="31" t="str">
        <f>"T8_"&amp;STDLIGHTINEFCAT2[[#This Row],[Ineff DropDown 2]]</f>
        <v>T8_Ext ≤210</v>
      </c>
      <c r="K572" s="277" t="str">
        <f>STDLIGHTINEFCAT2[[#This Row],[Match]]&amp;"_"&amp;STDLIGHTINEFCAT2[[#This Row],[Options]]</f>
        <v>T8_Ext ≤210_3L T8 4' 32W</v>
      </c>
      <c r="L572" s="277" t="s">
        <v>2078</v>
      </c>
      <c r="M572" s="277">
        <f>3*32</f>
        <v>96</v>
      </c>
      <c r="N572" s="277">
        <v>84</v>
      </c>
      <c r="O572">
        <v>570</v>
      </c>
      <c r="P572" t="s">
        <v>2849</v>
      </c>
    </row>
    <row r="573" spans="9:16">
      <c r="I573" s="31" t="s">
        <v>2489</v>
      </c>
      <c r="J573" s="31" t="str">
        <f>"T8_"&amp;STDLIGHTINEFCAT2[[#This Row],[Ineff DropDown 2]]</f>
        <v>T8_Ext ≤210</v>
      </c>
      <c r="K573" s="277" t="str">
        <f>STDLIGHTINEFCAT2[[#This Row],[Match]]&amp;"_"&amp;STDLIGHTINEFCAT2[[#This Row],[Options]]</f>
        <v>T8_Ext ≤210_4L T8 4' 32W</v>
      </c>
      <c r="L573" s="277" t="s">
        <v>2079</v>
      </c>
      <c r="M573" s="277">
        <f>4*32</f>
        <v>128</v>
      </c>
      <c r="N573" s="277">
        <v>110</v>
      </c>
      <c r="O573">
        <v>571</v>
      </c>
      <c r="P573" t="s">
        <v>2849</v>
      </c>
    </row>
    <row r="574" spans="9:16">
      <c r="I574" s="31" t="s">
        <v>2489</v>
      </c>
      <c r="J574" s="31" t="str">
        <f>"T8_"&amp;STDLIGHTINEFCAT2[[#This Row],[Ineff DropDown 2]]</f>
        <v>T8_Ext ≤210</v>
      </c>
      <c r="K574" s="277" t="str">
        <f>STDLIGHTINEFCAT2[[#This Row],[Match]]&amp;"_"&amp;STDLIGHTINEFCAT2[[#This Row],[Options]]</f>
        <v>T8_Ext ≤210_6L T8 4' 32W</v>
      </c>
      <c r="L574" s="277" t="s">
        <v>2080</v>
      </c>
      <c r="M574" s="277">
        <f>6*32</f>
        <v>192</v>
      </c>
      <c r="N574" s="277">
        <v>169</v>
      </c>
      <c r="O574">
        <v>572</v>
      </c>
    </row>
    <row r="575" spans="9:16">
      <c r="I575" s="31" t="s">
        <v>2489</v>
      </c>
      <c r="J575" s="31" t="str">
        <f>"T8_"&amp;STDLIGHTINEFCAT2[[#This Row],[Ineff DropDown 2]]</f>
        <v>T8_Ext ≤210</v>
      </c>
      <c r="K575" s="277" t="str">
        <f>STDLIGHTINEFCAT2[[#This Row],[Match]]&amp;"_"&amp;STDLIGHTINEFCAT2[[#This Row],[Options]]</f>
        <v>T8_Ext ≤210_1L T8 4' 44W</v>
      </c>
      <c r="L575" s="277" t="s">
        <v>2081</v>
      </c>
      <c r="M575" s="277">
        <v>44</v>
      </c>
      <c r="N575" s="277">
        <v>51</v>
      </c>
      <c r="O575">
        <v>573</v>
      </c>
      <c r="P575" t="s">
        <v>2849</v>
      </c>
    </row>
    <row r="576" spans="9:16">
      <c r="I576" s="31" t="s">
        <v>2489</v>
      </c>
      <c r="J576" s="31" t="str">
        <f>"T8_"&amp;STDLIGHTINEFCAT2[[#This Row],[Ineff DropDown 2]]</f>
        <v>T8_Ext ≤210</v>
      </c>
      <c r="K576" s="277" t="str">
        <f>STDLIGHTINEFCAT2[[#This Row],[Match]]&amp;"_"&amp;STDLIGHTINEFCAT2[[#This Row],[Options]]</f>
        <v>T8_Ext ≤210_2L T8 4' 44W</v>
      </c>
      <c r="L576" s="277" t="s">
        <v>2082</v>
      </c>
      <c r="M576" s="277">
        <v>88</v>
      </c>
      <c r="N576" s="277">
        <v>82</v>
      </c>
      <c r="O576">
        <v>574</v>
      </c>
      <c r="P576" t="s">
        <v>2849</v>
      </c>
    </row>
    <row r="577" spans="9:16">
      <c r="I577" s="31" t="s">
        <v>2489</v>
      </c>
      <c r="J577" s="31" t="str">
        <f>"T8_"&amp;STDLIGHTINEFCAT2[[#This Row],[Ineff DropDown 2]]</f>
        <v>T8_Ext ≤210</v>
      </c>
      <c r="K577" s="277" t="str">
        <f>STDLIGHTINEFCAT2[[#This Row],[Match]]&amp;"_"&amp;STDLIGHTINEFCAT2[[#This Row],[Options]]</f>
        <v>T8_Ext ≤210_----6 ft Lamps----</v>
      </c>
      <c r="L577" s="281" t="s">
        <v>2054</v>
      </c>
      <c r="M577" s="281"/>
      <c r="N577" s="277"/>
      <c r="O577">
        <v>575</v>
      </c>
    </row>
    <row r="578" spans="9:16">
      <c r="I578" s="31" t="s">
        <v>2489</v>
      </c>
      <c r="J578" s="31" t="str">
        <f>"T8_"&amp;STDLIGHTINEFCAT2[[#This Row],[Ineff DropDown 2]]</f>
        <v>T8_Ext ≤210</v>
      </c>
      <c r="K578" s="277" t="str">
        <f>STDLIGHTINEFCAT2[[#This Row],[Match]]&amp;"_"&amp;STDLIGHTINEFCAT2[[#This Row],[Options]]</f>
        <v>T8_Ext ≤210_1L T8 6' 46W</v>
      </c>
      <c r="L578" s="277" t="s">
        <v>2089</v>
      </c>
      <c r="M578" s="277">
        <v>46</v>
      </c>
      <c r="N578" s="277">
        <v>52</v>
      </c>
      <c r="O578">
        <v>576</v>
      </c>
    </row>
    <row r="579" spans="9:16">
      <c r="I579" s="31" t="s">
        <v>2489</v>
      </c>
      <c r="J579" s="31" t="str">
        <f>"T8_"&amp;STDLIGHTINEFCAT2[[#This Row],[Ineff DropDown 2]]</f>
        <v>T8_Ext ≤210</v>
      </c>
      <c r="K579" s="277" t="str">
        <f>STDLIGHTINEFCAT2[[#This Row],[Match]]&amp;"_"&amp;STDLIGHTINEFCAT2[[#This Row],[Options]]</f>
        <v>T8_Ext ≤210_2L T8 6' 46W</v>
      </c>
      <c r="L579" s="277" t="s">
        <v>2090</v>
      </c>
      <c r="M579" s="277">
        <f>2*46</f>
        <v>92</v>
      </c>
      <c r="N579" s="277">
        <v>97</v>
      </c>
      <c r="O579">
        <v>577</v>
      </c>
    </row>
    <row r="580" spans="9:16">
      <c r="I580" s="31" t="s">
        <v>2489</v>
      </c>
      <c r="J580" s="31" t="str">
        <f>"T8_"&amp;STDLIGHTINEFCAT2[[#This Row],[Ineff DropDown 2]]</f>
        <v>T8_Ext ≤210</v>
      </c>
      <c r="K580" s="277" t="str">
        <f>STDLIGHTINEFCAT2[[#This Row],[Match]]&amp;"_"&amp;STDLIGHTINEFCAT2[[#This Row],[Options]]</f>
        <v>T8_Ext ≤210_1L T8 6' 66W</v>
      </c>
      <c r="L580" s="277" t="s">
        <v>2093</v>
      </c>
      <c r="M580" s="277">
        <f>1*66</f>
        <v>66</v>
      </c>
      <c r="N580" s="277">
        <v>71</v>
      </c>
      <c r="O580">
        <v>578</v>
      </c>
      <c r="P580" t="s">
        <v>2849</v>
      </c>
    </row>
    <row r="581" spans="9:16">
      <c r="I581" s="31" t="s">
        <v>2489</v>
      </c>
      <c r="J581" s="31" t="str">
        <f>"T8_"&amp;STDLIGHTINEFCAT2[[#This Row],[Ineff DropDown 2]]</f>
        <v>T8_Ext ≤210</v>
      </c>
      <c r="K581" s="277" t="str">
        <f>STDLIGHTINEFCAT2[[#This Row],[Match]]&amp;"_"&amp;STDLIGHTINEFCAT2[[#This Row],[Options]]</f>
        <v>T8_Ext ≤210_2L T8 6' 66W</v>
      </c>
      <c r="L581" s="277" t="s">
        <v>2094</v>
      </c>
      <c r="M581" s="277">
        <f>2*66</f>
        <v>132</v>
      </c>
      <c r="N581" s="277">
        <v>118</v>
      </c>
      <c r="O581">
        <v>579</v>
      </c>
      <c r="P581" t="s">
        <v>2849</v>
      </c>
    </row>
    <row r="582" spans="9:16">
      <c r="I582" s="31" t="s">
        <v>2489</v>
      </c>
      <c r="J582" s="31" t="str">
        <f>"T8_"&amp;STDLIGHTINEFCAT2[[#This Row],[Ineff DropDown 2]]</f>
        <v>T8_Ext ≤210</v>
      </c>
      <c r="K582" s="277" t="str">
        <f>STDLIGHTINEFCAT2[[#This Row],[Match]]&amp;"_"&amp;STDLIGHTINEFCAT2[[#This Row],[Options]]</f>
        <v>T8_Ext ≤210_----8 ft Lamps----</v>
      </c>
      <c r="L582" s="281" t="s">
        <v>2056</v>
      </c>
      <c r="M582" s="281"/>
      <c r="N582" s="277"/>
      <c r="O582">
        <v>580</v>
      </c>
    </row>
    <row r="583" spans="9:16">
      <c r="I583" s="31" t="s">
        <v>2489</v>
      </c>
      <c r="J583" s="31" t="str">
        <f>"T8_"&amp;STDLIGHTINEFCAT2[[#This Row],[Ineff DropDown 2]]</f>
        <v>T8_Ext ≤210</v>
      </c>
      <c r="K583" s="277" t="str">
        <f>STDLIGHTINEFCAT2[[#This Row],[Match]]&amp;"_"&amp;STDLIGHTINEFCAT2[[#This Row],[Options]]</f>
        <v>T8_Ext ≤210_1L T8 8' 59W</v>
      </c>
      <c r="L583" s="277" t="s">
        <v>2091</v>
      </c>
      <c r="M583" s="277">
        <v>59</v>
      </c>
      <c r="N583" s="277">
        <v>62</v>
      </c>
      <c r="O583">
        <v>581</v>
      </c>
      <c r="P583" t="s">
        <v>2849</v>
      </c>
    </row>
    <row r="584" spans="9:16">
      <c r="I584" s="31" t="s">
        <v>2489</v>
      </c>
      <c r="J584" s="31" t="str">
        <f>"T8_"&amp;STDLIGHTINEFCAT2[[#This Row],[Ineff DropDown 2]]</f>
        <v>T8_Ext ≤210</v>
      </c>
      <c r="K584" s="277" t="str">
        <f>STDLIGHTINEFCAT2[[#This Row],[Match]]&amp;"_"&amp;STDLIGHTINEFCAT2[[#This Row],[Options]]</f>
        <v>T8_Ext ≤210_2L T8 8' 59W</v>
      </c>
      <c r="L584" s="277" t="s">
        <v>2092</v>
      </c>
      <c r="M584" s="277">
        <f>2*59</f>
        <v>118</v>
      </c>
      <c r="N584" s="277">
        <v>109</v>
      </c>
      <c r="O584">
        <v>582</v>
      </c>
      <c r="P584" t="s">
        <v>2849</v>
      </c>
    </row>
    <row r="585" spans="9:16">
      <c r="I585" s="31" t="s">
        <v>2489</v>
      </c>
      <c r="J585" s="31" t="str">
        <f>"T8_"&amp;STDLIGHTINEFCAT2[[#This Row],[Ineff DropDown 2]]</f>
        <v>T8_Ext ≤210</v>
      </c>
      <c r="K585" s="277" t="str">
        <f>STDLIGHTINEFCAT2[[#This Row],[Match]]&amp;"_"&amp;STDLIGHTINEFCAT2[[#This Row],[Options]]</f>
        <v>T8_Ext ≤210_1L T8 8' 86W</v>
      </c>
      <c r="L585" s="277" t="s">
        <v>2095</v>
      </c>
      <c r="M585" s="277">
        <v>86</v>
      </c>
      <c r="N585" s="277">
        <v>90</v>
      </c>
      <c r="O585">
        <v>583</v>
      </c>
      <c r="P585" t="s">
        <v>2849</v>
      </c>
    </row>
    <row r="586" spans="9:16">
      <c r="I586" s="31" t="s">
        <v>2489</v>
      </c>
      <c r="J586" s="31" t="str">
        <f>"T8_"&amp;STDLIGHTINEFCAT2[[#This Row],[Ineff DropDown 2]]</f>
        <v>T8_Ext ≤210</v>
      </c>
      <c r="K586" s="277" t="str">
        <f>STDLIGHTINEFCAT2[[#This Row],[Match]]&amp;"_"&amp;STDLIGHTINEFCAT2[[#This Row],[Options]]</f>
        <v>T8_Ext ≤210_2L T8 8' 86W</v>
      </c>
      <c r="L586" s="277" t="s">
        <v>2096</v>
      </c>
      <c r="M586" s="277">
        <f>2*86</f>
        <v>172</v>
      </c>
      <c r="N586" s="277">
        <v>160</v>
      </c>
      <c r="O586">
        <v>584</v>
      </c>
      <c r="P586" t="s">
        <v>2849</v>
      </c>
    </row>
    <row r="587" spans="9:16">
      <c r="I587" s="31" t="s">
        <v>2490</v>
      </c>
      <c r="J587" s="31" t="str">
        <f>"T8_"&amp;STDLIGHTINEFCAT2[[#This Row],[Ineff DropDown 2]]</f>
        <v>T8_Ext 211-300</v>
      </c>
      <c r="K587" s="277" t="str">
        <f>STDLIGHTINEFCAT2[[#This Row],[Match]]&amp;"_"&amp;STDLIGHTINEFCAT2[[#This Row],[Options]]</f>
        <v>T8_Ext 211-300_----8 ft Lamps----</v>
      </c>
      <c r="L587" s="281" t="s">
        <v>2056</v>
      </c>
      <c r="M587" s="281"/>
      <c r="N587" s="277"/>
      <c r="O587">
        <v>585</v>
      </c>
    </row>
    <row r="588" spans="9:16">
      <c r="I588" s="31" t="s">
        <v>2490</v>
      </c>
      <c r="J588" s="31" t="str">
        <f>"T8_"&amp;STDLIGHTINEFCAT2[[#This Row],[Ineff DropDown 2]]</f>
        <v>T8_Ext 211-300</v>
      </c>
      <c r="K588" s="277" t="str">
        <f>STDLIGHTINEFCAT2[[#This Row],[Match]]&amp;"_"&amp;STDLIGHTINEFCAT2[[#This Row],[Options]]</f>
        <v>T8_Ext 211-300_8L T8 4' 32W</v>
      </c>
      <c r="L588" s="277" t="s">
        <v>2110</v>
      </c>
      <c r="M588" s="277">
        <f>8*32</f>
        <v>256</v>
      </c>
      <c r="N588" s="277">
        <v>225</v>
      </c>
      <c r="O588">
        <v>586</v>
      </c>
    </row>
    <row r="589" spans="9:16">
      <c r="I589" s="31" t="s">
        <v>91</v>
      </c>
      <c r="J589" s="31" t="str">
        <f>"T8_"&amp;STDLIGHTINEFCAT2[[#This Row],[Ineff DropDown 2]]</f>
        <v>T8_Fixture</v>
      </c>
      <c r="K589" s="277" t="str">
        <f>STDLIGHTINEFCAT2[[#This Row],[Match]]&amp;"_"&amp;STDLIGHTINEFCAT2[[#This Row],[Options]]</f>
        <v>T8_Fixture_----2 ft Lamps----</v>
      </c>
      <c r="L589" s="281" t="s">
        <v>2050</v>
      </c>
      <c r="M589" s="281"/>
      <c r="N589" s="277"/>
      <c r="O589">
        <v>587</v>
      </c>
    </row>
    <row r="590" spans="9:16">
      <c r="I590" s="31" t="s">
        <v>91</v>
      </c>
      <c r="J590" s="31" t="str">
        <f>"T8_"&amp;STDLIGHTINEFCAT2[[#This Row],[Ineff DropDown 2]]</f>
        <v>T8_Fixture</v>
      </c>
      <c r="K590" s="277" t="str">
        <f>STDLIGHTINEFCAT2[[#This Row],[Match]]&amp;"_"&amp;STDLIGHTINEFCAT2[[#This Row],[Options]]</f>
        <v>T8_Fixture_1L T8 2' 17W</v>
      </c>
      <c r="L590" s="277" t="s">
        <v>2060</v>
      </c>
      <c r="M590" s="277">
        <v>17</v>
      </c>
      <c r="N590" s="277">
        <v>24</v>
      </c>
      <c r="O590">
        <v>588</v>
      </c>
      <c r="P590" t="s">
        <v>2849</v>
      </c>
    </row>
    <row r="591" spans="9:16">
      <c r="I591" s="31" t="s">
        <v>91</v>
      </c>
      <c r="J591" s="31" t="str">
        <f>"T8_"&amp;STDLIGHTINEFCAT2[[#This Row],[Ineff DropDown 2]]</f>
        <v>T8_Fixture</v>
      </c>
      <c r="K591" s="277" t="str">
        <f>STDLIGHTINEFCAT2[[#This Row],[Match]]&amp;"_"&amp;STDLIGHTINEFCAT2[[#This Row],[Options]]</f>
        <v>T8_Fixture_2L T8 2' 17W</v>
      </c>
      <c r="L591" s="277" t="s">
        <v>2061</v>
      </c>
      <c r="M591" s="277">
        <f>17*2</f>
        <v>34</v>
      </c>
      <c r="N591" s="277">
        <v>45</v>
      </c>
      <c r="O591">
        <v>589</v>
      </c>
      <c r="P591" t="s">
        <v>2849</v>
      </c>
    </row>
    <row r="592" spans="9:16">
      <c r="I592" s="31" t="s">
        <v>91</v>
      </c>
      <c r="J592" s="31" t="str">
        <f>"T8_"&amp;STDLIGHTINEFCAT2[[#This Row],[Ineff DropDown 2]]</f>
        <v>T8_Fixture</v>
      </c>
      <c r="K592" s="277" t="str">
        <f>STDLIGHTINEFCAT2[[#This Row],[Match]]&amp;"_"&amp;STDLIGHTINEFCAT2[[#This Row],[Options]]</f>
        <v>T8_Fixture_3L T8 2' 17W</v>
      </c>
      <c r="L592" s="277" t="s">
        <v>2062</v>
      </c>
      <c r="M592" s="277">
        <f>3*17</f>
        <v>51</v>
      </c>
      <c r="N592" s="277">
        <v>65</v>
      </c>
      <c r="O592">
        <v>590</v>
      </c>
      <c r="P592" t="s">
        <v>2849</v>
      </c>
    </row>
    <row r="593" spans="9:16">
      <c r="I593" s="31" t="s">
        <v>91</v>
      </c>
      <c r="J593" s="31" t="str">
        <f>"T8_"&amp;STDLIGHTINEFCAT2[[#This Row],[Ineff DropDown 2]]</f>
        <v>T8_Fixture</v>
      </c>
      <c r="K593" s="277" t="str">
        <f>STDLIGHTINEFCAT2[[#This Row],[Match]]&amp;"_"&amp;STDLIGHTINEFCAT2[[#This Row],[Options]]</f>
        <v>T8_Fixture_4L T8 2' 17W</v>
      </c>
      <c r="L593" s="277" t="s">
        <v>2063</v>
      </c>
      <c r="M593" s="277">
        <f>4*17</f>
        <v>68</v>
      </c>
      <c r="N593" s="277">
        <v>87</v>
      </c>
      <c r="O593">
        <v>591</v>
      </c>
      <c r="P593" t="s">
        <v>2849</v>
      </c>
    </row>
    <row r="594" spans="9:16">
      <c r="I594" s="31" t="s">
        <v>91</v>
      </c>
      <c r="J594" s="31" t="str">
        <f>"T8_"&amp;STDLIGHTINEFCAT2[[#This Row],[Ineff DropDown 2]]</f>
        <v>T8_Fixture</v>
      </c>
      <c r="K594" s="277" t="str">
        <f>STDLIGHTINEFCAT2[[#This Row],[Match]]&amp;"_"&amp;STDLIGHTINEFCAT2[[#This Row],[Options]]</f>
        <v>T8_Fixture_----3 ft Lamps----</v>
      </c>
      <c r="L594" s="281" t="s">
        <v>2051</v>
      </c>
      <c r="M594" s="281"/>
      <c r="N594" s="277"/>
      <c r="O594">
        <v>592</v>
      </c>
    </row>
    <row r="595" spans="9:16">
      <c r="I595" s="31" t="s">
        <v>91</v>
      </c>
      <c r="J595" s="31" t="str">
        <f>"T8_"&amp;STDLIGHTINEFCAT2[[#This Row],[Ineff DropDown 2]]</f>
        <v>T8_Fixture</v>
      </c>
      <c r="K595" s="277" t="str">
        <f>STDLIGHTINEFCAT2[[#This Row],[Match]]&amp;"_"&amp;STDLIGHTINEFCAT2[[#This Row],[Options]]</f>
        <v>T8_Fixture_1L T8 3' 25W</v>
      </c>
      <c r="L595" s="277" t="s">
        <v>2064</v>
      </c>
      <c r="M595" s="277">
        <v>25</v>
      </c>
      <c r="N595" s="277">
        <v>24</v>
      </c>
      <c r="O595">
        <v>593</v>
      </c>
      <c r="P595" t="s">
        <v>2849</v>
      </c>
    </row>
    <row r="596" spans="9:16">
      <c r="I596" s="31" t="s">
        <v>91</v>
      </c>
      <c r="J596" s="31" t="str">
        <f>"T8_"&amp;STDLIGHTINEFCAT2[[#This Row],[Ineff DropDown 2]]</f>
        <v>T8_Fixture</v>
      </c>
      <c r="K596" s="277" t="str">
        <f>STDLIGHTINEFCAT2[[#This Row],[Match]]&amp;"_"&amp;STDLIGHTINEFCAT2[[#This Row],[Options]]</f>
        <v>T8_Fixture_2L T8 3' 25W</v>
      </c>
      <c r="L596" s="277" t="s">
        <v>2065</v>
      </c>
      <c r="M596" s="277">
        <v>50</v>
      </c>
      <c r="N596" s="277">
        <v>45</v>
      </c>
      <c r="O596">
        <v>594</v>
      </c>
      <c r="P596" t="s">
        <v>2849</v>
      </c>
    </row>
    <row r="597" spans="9:16">
      <c r="I597" s="31" t="s">
        <v>91</v>
      </c>
      <c r="J597" s="31" t="str">
        <f>"T8_"&amp;STDLIGHTINEFCAT2[[#This Row],[Ineff DropDown 2]]</f>
        <v>T8_Fixture</v>
      </c>
      <c r="K597" s="277" t="str">
        <f>STDLIGHTINEFCAT2[[#This Row],[Match]]&amp;"_"&amp;STDLIGHTINEFCAT2[[#This Row],[Options]]</f>
        <v>T8_Fixture_3L T8 3' 25W</v>
      </c>
      <c r="L597" s="277" t="s">
        <v>2066</v>
      </c>
      <c r="M597" s="277">
        <v>75</v>
      </c>
      <c r="N597" s="277">
        <v>65</v>
      </c>
      <c r="O597">
        <v>595</v>
      </c>
      <c r="P597" t="s">
        <v>2849</v>
      </c>
    </row>
    <row r="598" spans="9:16">
      <c r="I598" s="31" t="s">
        <v>91</v>
      </c>
      <c r="J598" s="31" t="str">
        <f>"T8_"&amp;STDLIGHTINEFCAT2[[#This Row],[Ineff DropDown 2]]</f>
        <v>T8_Fixture</v>
      </c>
      <c r="K598" s="277" t="str">
        <f>STDLIGHTINEFCAT2[[#This Row],[Match]]&amp;"_"&amp;STDLIGHTINEFCAT2[[#This Row],[Options]]</f>
        <v>T8_Fixture_4L T8 3' 25W</v>
      </c>
      <c r="L598" s="277" t="s">
        <v>2067</v>
      </c>
      <c r="M598" s="277">
        <v>100</v>
      </c>
      <c r="N598" s="277">
        <v>87</v>
      </c>
      <c r="O598">
        <v>596</v>
      </c>
      <c r="P598" t="s">
        <v>2849</v>
      </c>
    </row>
    <row r="599" spans="9:16">
      <c r="I599" s="31" t="s">
        <v>91</v>
      </c>
      <c r="J599" s="31" t="str">
        <f>"T8_"&amp;STDLIGHTINEFCAT2[[#This Row],[Ineff DropDown 2]]</f>
        <v>T8_Fixture</v>
      </c>
      <c r="K599" s="277" t="str">
        <f>STDLIGHTINEFCAT2[[#This Row],[Match]]&amp;"_"&amp;STDLIGHTINEFCAT2[[#This Row],[Options]]</f>
        <v>T8_Fixture_----4 ft Lamps----</v>
      </c>
      <c r="L599" s="281" t="s">
        <v>2052</v>
      </c>
      <c r="M599" s="281"/>
      <c r="N599" s="277"/>
      <c r="O599">
        <v>597</v>
      </c>
    </row>
    <row r="600" spans="9:16">
      <c r="I600" s="31" t="s">
        <v>91</v>
      </c>
      <c r="J600" s="31" t="str">
        <f>"T8_"&amp;STDLIGHTINEFCAT2[[#This Row],[Ineff DropDown 2]]</f>
        <v>T8_Fixture</v>
      </c>
      <c r="K600" s="277" t="str">
        <f>STDLIGHTINEFCAT2[[#This Row],[Match]]&amp;"_"&amp;STDLIGHTINEFCAT2[[#This Row],[Options]]</f>
        <v>T8_Fixture_1L T8 4' 25W</v>
      </c>
      <c r="L600" s="277" t="s">
        <v>2068</v>
      </c>
      <c r="M600" s="277">
        <v>25</v>
      </c>
      <c r="N600" s="277">
        <v>23</v>
      </c>
      <c r="O600">
        <v>598</v>
      </c>
      <c r="P600" t="s">
        <v>2849</v>
      </c>
    </row>
    <row r="601" spans="9:16">
      <c r="I601" s="31" t="s">
        <v>91</v>
      </c>
      <c r="J601" s="31" t="str">
        <f>"T8_"&amp;STDLIGHTINEFCAT2[[#This Row],[Ineff DropDown 2]]</f>
        <v>T8_Fixture</v>
      </c>
      <c r="K601" s="277" t="str">
        <f>STDLIGHTINEFCAT2[[#This Row],[Match]]&amp;"_"&amp;STDLIGHTINEFCAT2[[#This Row],[Options]]</f>
        <v>T8_Fixture_2L T8 4' 25W</v>
      </c>
      <c r="L601" s="277" t="s">
        <v>2069</v>
      </c>
      <c r="M601" s="277">
        <v>50</v>
      </c>
      <c r="N601" s="277">
        <v>44</v>
      </c>
      <c r="O601">
        <v>599</v>
      </c>
      <c r="P601" t="s">
        <v>2849</v>
      </c>
    </row>
    <row r="602" spans="9:16">
      <c r="I602" s="31" t="s">
        <v>91</v>
      </c>
      <c r="J602" s="31" t="str">
        <f>"T8_"&amp;STDLIGHTINEFCAT2[[#This Row],[Ineff DropDown 2]]</f>
        <v>T8_Fixture</v>
      </c>
      <c r="K602" s="277" t="str">
        <f>STDLIGHTINEFCAT2[[#This Row],[Match]]&amp;"_"&amp;STDLIGHTINEFCAT2[[#This Row],[Options]]</f>
        <v>T8_Fixture_3L T8 4' 25W</v>
      </c>
      <c r="L602" s="277" t="s">
        <v>2070</v>
      </c>
      <c r="M602" s="277">
        <v>75</v>
      </c>
      <c r="N602" s="277">
        <v>66</v>
      </c>
      <c r="O602">
        <v>600</v>
      </c>
      <c r="P602" t="s">
        <v>2849</v>
      </c>
    </row>
    <row r="603" spans="9:16">
      <c r="I603" s="31" t="s">
        <v>91</v>
      </c>
      <c r="J603" s="31" t="str">
        <f>"T8_"&amp;STDLIGHTINEFCAT2[[#This Row],[Ineff DropDown 2]]</f>
        <v>T8_Fixture</v>
      </c>
      <c r="K603" s="277" t="str">
        <f>STDLIGHTINEFCAT2[[#This Row],[Match]]&amp;"_"&amp;STDLIGHTINEFCAT2[[#This Row],[Options]]</f>
        <v>T8_Fixture_4L T8 4' 25W</v>
      </c>
      <c r="L603" s="277" t="s">
        <v>2071</v>
      </c>
      <c r="M603" s="277">
        <v>100</v>
      </c>
      <c r="N603" s="277">
        <v>88</v>
      </c>
      <c r="O603">
        <v>601</v>
      </c>
      <c r="P603" t="s">
        <v>2849</v>
      </c>
    </row>
    <row r="604" spans="9:16">
      <c r="I604" s="31" t="s">
        <v>91</v>
      </c>
      <c r="J604" s="31" t="str">
        <f>"T8_"&amp;STDLIGHTINEFCAT2[[#This Row],[Ineff DropDown 2]]</f>
        <v>T8_Fixture</v>
      </c>
      <c r="K604" s="277" t="str">
        <f>STDLIGHTINEFCAT2[[#This Row],[Match]]&amp;"_"&amp;STDLIGHTINEFCAT2[[#This Row],[Options]]</f>
        <v>T8_Fixture_1L T8 4' 28W</v>
      </c>
      <c r="L604" s="277" t="s">
        <v>2072</v>
      </c>
      <c r="M604" s="277">
        <v>28</v>
      </c>
      <c r="N604" s="277">
        <v>25</v>
      </c>
      <c r="O604">
        <v>602</v>
      </c>
      <c r="P604" t="s">
        <v>2849</v>
      </c>
    </row>
    <row r="605" spans="9:16">
      <c r="I605" s="31" t="s">
        <v>91</v>
      </c>
      <c r="J605" s="31" t="str">
        <f>"T8_"&amp;STDLIGHTINEFCAT2[[#This Row],[Ineff DropDown 2]]</f>
        <v>T8_Fixture</v>
      </c>
      <c r="K605" s="277" t="str">
        <f>STDLIGHTINEFCAT2[[#This Row],[Match]]&amp;"_"&amp;STDLIGHTINEFCAT2[[#This Row],[Options]]</f>
        <v>T8_Fixture_2L T8 4' 28W</v>
      </c>
      <c r="L605" s="277" t="s">
        <v>2073</v>
      </c>
      <c r="M605" s="277">
        <f>2*28</f>
        <v>56</v>
      </c>
      <c r="N605" s="277">
        <v>49</v>
      </c>
      <c r="O605">
        <v>603</v>
      </c>
      <c r="P605" t="s">
        <v>2849</v>
      </c>
    </row>
    <row r="606" spans="9:16">
      <c r="I606" s="31" t="s">
        <v>91</v>
      </c>
      <c r="J606" s="31" t="str">
        <f>"T8_"&amp;STDLIGHTINEFCAT2[[#This Row],[Ineff DropDown 2]]</f>
        <v>T8_Fixture</v>
      </c>
      <c r="K606" s="277" t="str">
        <f>STDLIGHTINEFCAT2[[#This Row],[Match]]&amp;"_"&amp;STDLIGHTINEFCAT2[[#This Row],[Options]]</f>
        <v>T8_Fixture_3L T8 4' 28W</v>
      </c>
      <c r="L606" s="277" t="s">
        <v>2074</v>
      </c>
      <c r="M606" s="277">
        <f>3*28</f>
        <v>84</v>
      </c>
      <c r="N606" s="277">
        <v>73</v>
      </c>
      <c r="O606">
        <v>604</v>
      </c>
      <c r="P606" t="s">
        <v>2849</v>
      </c>
    </row>
    <row r="607" spans="9:16">
      <c r="I607" s="31" t="s">
        <v>91</v>
      </c>
      <c r="J607" s="31" t="str">
        <f>"T8_"&amp;STDLIGHTINEFCAT2[[#This Row],[Ineff DropDown 2]]</f>
        <v>T8_Fixture</v>
      </c>
      <c r="K607" s="277" t="str">
        <f>STDLIGHTINEFCAT2[[#This Row],[Match]]&amp;"_"&amp;STDLIGHTINEFCAT2[[#This Row],[Options]]</f>
        <v>T8_Fixture_4L T8 4' 28W</v>
      </c>
      <c r="L607" s="277" t="s">
        <v>2075</v>
      </c>
      <c r="M607" s="277">
        <f>4*28</f>
        <v>112</v>
      </c>
      <c r="N607" s="277">
        <v>96</v>
      </c>
      <c r="O607">
        <v>605</v>
      </c>
      <c r="P607" t="s">
        <v>2849</v>
      </c>
    </row>
    <row r="608" spans="9:16">
      <c r="I608" s="31" t="s">
        <v>91</v>
      </c>
      <c r="J608" s="31" t="str">
        <f>"T8_"&amp;STDLIGHTINEFCAT2[[#This Row],[Ineff DropDown 2]]</f>
        <v>T8_Fixture</v>
      </c>
      <c r="K608" s="277" t="str">
        <f>STDLIGHTINEFCAT2[[#This Row],[Match]]&amp;"_"&amp;STDLIGHTINEFCAT2[[#This Row],[Options]]</f>
        <v>T8_Fixture_1L T8 4' 32W</v>
      </c>
      <c r="L608" s="277" t="s">
        <v>2076</v>
      </c>
      <c r="M608" s="277">
        <v>32</v>
      </c>
      <c r="N608" s="277">
        <v>29</v>
      </c>
      <c r="O608">
        <v>606</v>
      </c>
      <c r="P608" t="s">
        <v>2849</v>
      </c>
    </row>
    <row r="609" spans="9:16">
      <c r="I609" s="31" t="s">
        <v>91</v>
      </c>
      <c r="J609" s="31" t="str">
        <f>"T8_"&amp;STDLIGHTINEFCAT2[[#This Row],[Ineff DropDown 2]]</f>
        <v>T8_Fixture</v>
      </c>
      <c r="K609" s="277" t="str">
        <f>STDLIGHTINEFCAT2[[#This Row],[Match]]&amp;"_"&amp;STDLIGHTINEFCAT2[[#This Row],[Options]]</f>
        <v>T8_Fixture_2L T8 4' 32W</v>
      </c>
      <c r="L609" s="277" t="s">
        <v>2077</v>
      </c>
      <c r="M609" s="277">
        <f>2*32</f>
        <v>64</v>
      </c>
      <c r="N609" s="277">
        <v>56</v>
      </c>
      <c r="O609">
        <v>607</v>
      </c>
      <c r="P609" t="s">
        <v>2849</v>
      </c>
    </row>
    <row r="610" spans="9:16">
      <c r="I610" s="31" t="s">
        <v>91</v>
      </c>
      <c r="J610" s="31" t="str">
        <f>"T8_"&amp;STDLIGHTINEFCAT2[[#This Row],[Ineff DropDown 2]]</f>
        <v>T8_Fixture</v>
      </c>
      <c r="K610" s="277" t="str">
        <f>STDLIGHTINEFCAT2[[#This Row],[Match]]&amp;"_"&amp;STDLIGHTINEFCAT2[[#This Row],[Options]]</f>
        <v>T8_Fixture_3L T8 4' 32W</v>
      </c>
      <c r="L610" s="277" t="s">
        <v>2078</v>
      </c>
      <c r="M610" s="277">
        <f>3*32</f>
        <v>96</v>
      </c>
      <c r="N610" s="277">
        <v>84</v>
      </c>
      <c r="O610">
        <v>608</v>
      </c>
      <c r="P610" t="s">
        <v>2849</v>
      </c>
    </row>
    <row r="611" spans="9:16">
      <c r="I611" s="31" t="s">
        <v>91</v>
      </c>
      <c r="J611" s="31" t="str">
        <f>"T8_"&amp;STDLIGHTINEFCAT2[[#This Row],[Ineff DropDown 2]]</f>
        <v>T8_Fixture</v>
      </c>
      <c r="K611" s="277" t="str">
        <f>STDLIGHTINEFCAT2[[#This Row],[Match]]&amp;"_"&amp;STDLIGHTINEFCAT2[[#This Row],[Options]]</f>
        <v>T8_Fixture_4L T8 4' 32W</v>
      </c>
      <c r="L611" s="277" t="s">
        <v>2079</v>
      </c>
      <c r="M611" s="277">
        <f>4*32</f>
        <v>128</v>
      </c>
      <c r="N611" s="277">
        <v>110</v>
      </c>
      <c r="O611">
        <v>609</v>
      </c>
      <c r="P611" t="s">
        <v>2849</v>
      </c>
    </row>
    <row r="612" spans="9:16">
      <c r="I612" s="31" t="s">
        <v>91</v>
      </c>
      <c r="J612" s="31" t="str">
        <f>"T8_"&amp;STDLIGHTINEFCAT2[[#This Row],[Ineff DropDown 2]]</f>
        <v>T8_Fixture</v>
      </c>
      <c r="K612" s="277" t="str">
        <f>STDLIGHTINEFCAT2[[#This Row],[Match]]&amp;"_"&amp;STDLIGHTINEFCAT2[[#This Row],[Options]]</f>
        <v>T8_Fixture_6L T8 4' 32W</v>
      </c>
      <c r="L612" s="277" t="s">
        <v>2080</v>
      </c>
      <c r="M612" s="277">
        <f>6*32</f>
        <v>192</v>
      </c>
      <c r="N612" s="277">
        <v>169</v>
      </c>
      <c r="O612">
        <v>610</v>
      </c>
    </row>
    <row r="613" spans="9:16">
      <c r="I613" s="31" t="s">
        <v>91</v>
      </c>
      <c r="J613" s="31" t="str">
        <f>"T8_"&amp;STDLIGHTINEFCAT2[[#This Row],[Ineff DropDown 2]]</f>
        <v>T8_Fixture</v>
      </c>
      <c r="K613" s="277" t="str">
        <f>STDLIGHTINEFCAT2[[#This Row],[Match]]&amp;"_"&amp;STDLIGHTINEFCAT2[[#This Row],[Options]]</f>
        <v>T8_Fixture_1L T8 4' 44W</v>
      </c>
      <c r="L613" s="277" t="s">
        <v>2081</v>
      </c>
      <c r="M613" s="277">
        <v>44</v>
      </c>
      <c r="N613" s="277">
        <v>51</v>
      </c>
      <c r="O613">
        <v>611</v>
      </c>
      <c r="P613" t="s">
        <v>2849</v>
      </c>
    </row>
    <row r="614" spans="9:16">
      <c r="I614" s="31" t="s">
        <v>91</v>
      </c>
      <c r="J614" s="31" t="str">
        <f>"T8_"&amp;STDLIGHTINEFCAT2[[#This Row],[Ineff DropDown 2]]</f>
        <v>T8_Fixture</v>
      </c>
      <c r="K614" s="277" t="str">
        <f>STDLIGHTINEFCAT2[[#This Row],[Match]]&amp;"_"&amp;STDLIGHTINEFCAT2[[#This Row],[Options]]</f>
        <v>T8_Fixture_2L T8 4' 44W</v>
      </c>
      <c r="L614" s="277" t="s">
        <v>2082</v>
      </c>
      <c r="M614" s="277">
        <v>88</v>
      </c>
      <c r="N614" s="277">
        <v>82</v>
      </c>
      <c r="O614">
        <v>612</v>
      </c>
      <c r="P614" t="s">
        <v>2849</v>
      </c>
    </row>
    <row r="615" spans="9:16">
      <c r="I615" s="31" t="s">
        <v>91</v>
      </c>
      <c r="J615" s="31" t="str">
        <f>"T8_"&amp;STDLIGHTINEFCAT2[[#This Row],[Ineff DropDown 2]]</f>
        <v>T8_Fixture</v>
      </c>
      <c r="K615" s="277" t="str">
        <f>STDLIGHTINEFCAT2[[#This Row],[Match]]&amp;"_"&amp;STDLIGHTINEFCAT2[[#This Row],[Options]]</f>
        <v>T8_Fixture_----5 ft Lamps----</v>
      </c>
      <c r="L615" s="274" t="s">
        <v>2053</v>
      </c>
      <c r="M615" s="281"/>
      <c r="N615" s="273"/>
      <c r="O615">
        <v>613</v>
      </c>
    </row>
    <row r="616" spans="9:16">
      <c r="I616" s="31" t="s">
        <v>91</v>
      </c>
      <c r="J616" s="31" t="str">
        <f>"T8_"&amp;STDLIGHTINEFCAT2[[#This Row],[Ineff DropDown 2]]</f>
        <v>T8_Fixture</v>
      </c>
      <c r="K616" s="277" t="str">
        <f>STDLIGHTINEFCAT2[[#This Row],[Match]]&amp;"_"&amp;STDLIGHTINEFCAT2[[#This Row],[Options]]</f>
        <v>T8_Fixture_1L T8 5' 40W</v>
      </c>
      <c r="L616" s="273" t="s">
        <v>2083</v>
      </c>
      <c r="M616" s="273">
        <v>40</v>
      </c>
      <c r="N616" s="273">
        <v>40</v>
      </c>
      <c r="O616">
        <v>614</v>
      </c>
      <c r="P616" t="s">
        <v>2849</v>
      </c>
    </row>
    <row r="617" spans="9:16">
      <c r="I617" s="31" t="s">
        <v>91</v>
      </c>
      <c r="J617" s="31" t="str">
        <f>"T8_"&amp;STDLIGHTINEFCAT2[[#This Row],[Ineff DropDown 2]]</f>
        <v>T8_Fixture</v>
      </c>
      <c r="K617" s="277" t="str">
        <f>STDLIGHTINEFCAT2[[#This Row],[Match]]&amp;"_"&amp;STDLIGHTINEFCAT2[[#This Row],[Options]]</f>
        <v>T8_Fixture_2L T8 5' 40W</v>
      </c>
      <c r="L617" s="273" t="s">
        <v>2084</v>
      </c>
      <c r="M617" s="273">
        <v>80</v>
      </c>
      <c r="N617" s="273">
        <v>75</v>
      </c>
      <c r="O617">
        <v>615</v>
      </c>
      <c r="P617" t="s">
        <v>2849</v>
      </c>
    </row>
    <row r="618" spans="9:16">
      <c r="I618" s="31" t="s">
        <v>91</v>
      </c>
      <c r="J618" s="31" t="str">
        <f>"T8_"&amp;STDLIGHTINEFCAT2[[#This Row],[Ineff DropDown 2]]</f>
        <v>T8_Fixture</v>
      </c>
      <c r="K618" s="277" t="str">
        <f>STDLIGHTINEFCAT2[[#This Row],[Match]]&amp;"_"&amp;STDLIGHTINEFCAT2[[#This Row],[Options]]</f>
        <v>T8_Fixture_3L T8 5' 40W</v>
      </c>
      <c r="L618" s="273" t="s">
        <v>2085</v>
      </c>
      <c r="M618" s="273">
        <f>3*40</f>
        <v>120</v>
      </c>
      <c r="N618" s="273">
        <v>110</v>
      </c>
      <c r="O618">
        <v>616</v>
      </c>
      <c r="P618" t="s">
        <v>2849</v>
      </c>
    </row>
    <row r="619" spans="9:16">
      <c r="I619" s="31" t="s">
        <v>91</v>
      </c>
      <c r="J619" s="31" t="str">
        <f>"T8_"&amp;STDLIGHTINEFCAT2[[#This Row],[Ineff DropDown 2]]</f>
        <v>T8_Fixture</v>
      </c>
      <c r="K619" s="277" t="str">
        <f>STDLIGHTINEFCAT2[[#This Row],[Match]]&amp;"_"&amp;STDLIGHTINEFCAT2[[#This Row],[Options]]</f>
        <v>T8_Fixture_4L T8 5' 40W</v>
      </c>
      <c r="L619" s="273" t="s">
        <v>2086</v>
      </c>
      <c r="M619" s="273">
        <f>4*40</f>
        <v>160</v>
      </c>
      <c r="N619" s="273">
        <v>134</v>
      </c>
      <c r="O619">
        <v>617</v>
      </c>
      <c r="P619" t="s">
        <v>2849</v>
      </c>
    </row>
    <row r="620" spans="9:16">
      <c r="I620" s="31" t="s">
        <v>91</v>
      </c>
      <c r="J620" s="31" t="str">
        <f>"T8_"&amp;STDLIGHTINEFCAT2[[#This Row],[Ineff DropDown 2]]</f>
        <v>T8_Fixture</v>
      </c>
      <c r="K620" s="277" t="str">
        <f>STDLIGHTINEFCAT2[[#This Row],[Match]]&amp;"_"&amp;STDLIGHTINEFCAT2[[#This Row],[Options]]</f>
        <v>T8_Fixture_1L T8 5' 55W</v>
      </c>
      <c r="L620" s="273" t="s">
        <v>2087</v>
      </c>
      <c r="M620" s="273">
        <v>55</v>
      </c>
      <c r="N620" s="273">
        <v>70</v>
      </c>
      <c r="O620">
        <v>618</v>
      </c>
    </row>
    <row r="621" spans="9:16">
      <c r="I621" s="31" t="s">
        <v>91</v>
      </c>
      <c r="J621" s="31" t="str">
        <f>"T8_"&amp;STDLIGHTINEFCAT2[[#This Row],[Ineff DropDown 2]]</f>
        <v>T8_Fixture</v>
      </c>
      <c r="K621" s="277" t="str">
        <f>STDLIGHTINEFCAT2[[#This Row],[Match]]&amp;"_"&amp;STDLIGHTINEFCAT2[[#This Row],[Options]]</f>
        <v>T8_Fixture_2L T8 5' 55W</v>
      </c>
      <c r="L621" s="273" t="s">
        <v>2088</v>
      </c>
      <c r="M621" s="273">
        <f>55*2</f>
        <v>110</v>
      </c>
      <c r="N621" s="273">
        <v>126</v>
      </c>
      <c r="O621">
        <v>619</v>
      </c>
    </row>
    <row r="622" spans="9:16">
      <c r="I622" s="31" t="s">
        <v>91</v>
      </c>
      <c r="J622" s="31" t="str">
        <f>"T8_"&amp;STDLIGHTINEFCAT2[[#This Row],[Ineff DropDown 2]]</f>
        <v>T8_Fixture</v>
      </c>
      <c r="K622" s="277" t="str">
        <f>STDLIGHTINEFCAT2[[#This Row],[Match]]&amp;"_"&amp;STDLIGHTINEFCAT2[[#This Row],[Options]]</f>
        <v>T8_Fixture_----6 ft Lamps----</v>
      </c>
      <c r="L622" s="274" t="s">
        <v>2054</v>
      </c>
      <c r="M622" s="274"/>
      <c r="N622" s="273"/>
      <c r="O622">
        <v>620</v>
      </c>
    </row>
    <row r="623" spans="9:16">
      <c r="I623" s="31" t="s">
        <v>91</v>
      </c>
      <c r="J623" s="31" t="str">
        <f>"T8_"&amp;STDLIGHTINEFCAT2[[#This Row],[Ineff DropDown 2]]</f>
        <v>T8_Fixture</v>
      </c>
      <c r="K623" s="277" t="str">
        <f>STDLIGHTINEFCAT2[[#This Row],[Match]]&amp;"_"&amp;STDLIGHTINEFCAT2[[#This Row],[Options]]</f>
        <v>T8_Fixture_1L T8 6' 46W</v>
      </c>
      <c r="L623" s="273" t="s">
        <v>2089</v>
      </c>
      <c r="M623" s="273">
        <v>46</v>
      </c>
      <c r="N623" s="273">
        <v>52</v>
      </c>
      <c r="O623">
        <v>621</v>
      </c>
    </row>
    <row r="624" spans="9:16">
      <c r="I624" s="31" t="s">
        <v>91</v>
      </c>
      <c r="J624" s="31" t="str">
        <f>"T8_"&amp;STDLIGHTINEFCAT2[[#This Row],[Ineff DropDown 2]]</f>
        <v>T8_Fixture</v>
      </c>
      <c r="K624" s="277" t="str">
        <f>STDLIGHTINEFCAT2[[#This Row],[Match]]&amp;"_"&amp;STDLIGHTINEFCAT2[[#This Row],[Options]]</f>
        <v>T8_Fixture_2L T8 6' 46W</v>
      </c>
      <c r="L624" s="273" t="s">
        <v>2090</v>
      </c>
      <c r="M624" s="273">
        <f>2*46</f>
        <v>92</v>
      </c>
      <c r="N624" s="273">
        <v>97</v>
      </c>
      <c r="O624">
        <v>622</v>
      </c>
    </row>
    <row r="625" spans="9:16">
      <c r="I625" s="31" t="s">
        <v>91</v>
      </c>
      <c r="J625" s="31" t="str">
        <f>"T8_"&amp;STDLIGHTINEFCAT2[[#This Row],[Ineff DropDown 2]]</f>
        <v>T8_Fixture</v>
      </c>
      <c r="K625" s="277" t="str">
        <f>STDLIGHTINEFCAT2[[#This Row],[Match]]&amp;"_"&amp;STDLIGHTINEFCAT2[[#This Row],[Options]]</f>
        <v>T8_Fixture_1L T8 8' 59W</v>
      </c>
      <c r="L625" s="277" t="s">
        <v>2091</v>
      </c>
      <c r="M625" s="273">
        <v>59</v>
      </c>
      <c r="N625" s="277">
        <v>62</v>
      </c>
      <c r="O625">
        <v>623</v>
      </c>
      <c r="P625" t="s">
        <v>2849</v>
      </c>
    </row>
    <row r="626" spans="9:16">
      <c r="I626" s="31" t="s">
        <v>91</v>
      </c>
      <c r="J626" s="31" t="str">
        <f>"T8_"&amp;STDLIGHTINEFCAT2[[#This Row],[Ineff DropDown 2]]</f>
        <v>T8_Fixture</v>
      </c>
      <c r="K626" s="277" t="str">
        <f>STDLIGHTINEFCAT2[[#This Row],[Match]]&amp;"_"&amp;STDLIGHTINEFCAT2[[#This Row],[Options]]</f>
        <v>T8_Fixture_2L T8 8' 59W</v>
      </c>
      <c r="L626" s="277" t="s">
        <v>2092</v>
      </c>
      <c r="M626" s="273">
        <f>2*59</f>
        <v>118</v>
      </c>
      <c r="N626" s="277">
        <v>109</v>
      </c>
      <c r="O626">
        <v>624</v>
      </c>
      <c r="P626" t="s">
        <v>2849</v>
      </c>
    </row>
    <row r="627" spans="9:16">
      <c r="I627" s="31" t="s">
        <v>91</v>
      </c>
      <c r="J627" s="31" t="str">
        <f>"T8_"&amp;STDLIGHTINEFCAT2[[#This Row],[Ineff DropDown 2]]</f>
        <v>T8_Fixture</v>
      </c>
      <c r="K627" s="277" t="str">
        <f>STDLIGHTINEFCAT2[[#This Row],[Match]]&amp;"_"&amp;STDLIGHTINEFCAT2[[#This Row],[Options]]</f>
        <v>T8_Fixture_1L T8 6' 66W</v>
      </c>
      <c r="L627" s="277" t="s">
        <v>2093</v>
      </c>
      <c r="M627" s="277">
        <f>1*66</f>
        <v>66</v>
      </c>
      <c r="N627" s="277">
        <v>71</v>
      </c>
      <c r="O627">
        <v>625</v>
      </c>
      <c r="P627" t="s">
        <v>2849</v>
      </c>
    </row>
    <row r="628" spans="9:16">
      <c r="I628" s="31" t="s">
        <v>91</v>
      </c>
      <c r="J628" s="31" t="str">
        <f>"T8_"&amp;STDLIGHTINEFCAT2[[#This Row],[Ineff DropDown 2]]</f>
        <v>T8_Fixture</v>
      </c>
      <c r="K628" s="277" t="str">
        <f>STDLIGHTINEFCAT2[[#This Row],[Match]]&amp;"_"&amp;STDLIGHTINEFCAT2[[#This Row],[Options]]</f>
        <v>T8_Fixture_2L T8 6' 66W</v>
      </c>
      <c r="L628" s="277" t="s">
        <v>2094</v>
      </c>
      <c r="M628" s="277">
        <f>2*66</f>
        <v>132</v>
      </c>
      <c r="N628" s="277">
        <v>118</v>
      </c>
      <c r="O628">
        <v>626</v>
      </c>
      <c r="P628" t="s">
        <v>2849</v>
      </c>
    </row>
    <row r="629" spans="9:16">
      <c r="I629" s="31" t="s">
        <v>91</v>
      </c>
      <c r="J629" s="31" t="str">
        <f>"T8_"&amp;STDLIGHTINEFCAT2[[#This Row],[Ineff DropDown 2]]</f>
        <v>T8_Fixture</v>
      </c>
      <c r="K629" s="277" t="str">
        <f>STDLIGHTINEFCAT2[[#This Row],[Match]]&amp;"_"&amp;STDLIGHTINEFCAT2[[#This Row],[Options]]</f>
        <v>T8_Fixture_----8 ft Lamps----</v>
      </c>
      <c r="L629" s="281" t="s">
        <v>2056</v>
      </c>
      <c r="M629" s="281"/>
      <c r="N629" s="277"/>
      <c r="O629">
        <v>627</v>
      </c>
    </row>
    <row r="630" spans="9:16">
      <c r="I630" s="31" t="s">
        <v>91</v>
      </c>
      <c r="J630" s="31" t="str">
        <f>"T8_"&amp;STDLIGHTINEFCAT2[[#This Row],[Ineff DropDown 2]]</f>
        <v>T8_Fixture</v>
      </c>
      <c r="K630" s="374" t="str">
        <f>STDLIGHTINEFCAT2[[#This Row],[Match]]&amp;"_"&amp;STDLIGHTINEFCAT2[[#This Row],[Options]]</f>
        <v>T8_Fixture_1L T8 8' 59W</v>
      </c>
      <c r="L630" s="375" t="s">
        <v>2091</v>
      </c>
      <c r="M630" s="281">
        <v>59</v>
      </c>
      <c r="N630" s="374">
        <v>62</v>
      </c>
      <c r="O630">
        <v>628</v>
      </c>
      <c r="P630" t="s">
        <v>2849</v>
      </c>
    </row>
    <row r="631" spans="9:16">
      <c r="I631" s="31" t="s">
        <v>91</v>
      </c>
      <c r="J631" s="31" t="str">
        <f>"T8_"&amp;STDLIGHTINEFCAT2[[#This Row],[Ineff DropDown 2]]</f>
        <v>T8_Fixture</v>
      </c>
      <c r="K631" s="374" t="str">
        <f>STDLIGHTINEFCAT2[[#This Row],[Match]]&amp;"_"&amp;STDLIGHTINEFCAT2[[#This Row],[Options]]</f>
        <v>T8_Fixture_2L T8 8' 59W</v>
      </c>
      <c r="L631" s="375" t="s">
        <v>2092</v>
      </c>
      <c r="M631" s="281">
        <v>118</v>
      </c>
      <c r="N631" s="374">
        <v>109</v>
      </c>
      <c r="O631">
        <v>629</v>
      </c>
      <c r="P631" t="s">
        <v>2849</v>
      </c>
    </row>
    <row r="632" spans="9:16">
      <c r="I632" s="31" t="s">
        <v>91</v>
      </c>
      <c r="J632" s="31" t="str">
        <f>"T8_"&amp;STDLIGHTINEFCAT2[[#This Row],[Ineff DropDown 2]]</f>
        <v>T8_Fixture</v>
      </c>
      <c r="K632" s="277" t="str">
        <f>STDLIGHTINEFCAT2[[#This Row],[Match]]&amp;"_"&amp;STDLIGHTINEFCAT2[[#This Row],[Options]]</f>
        <v>T8_Fixture_1L T8 8' 86W</v>
      </c>
      <c r="L632" s="277" t="s">
        <v>2095</v>
      </c>
      <c r="M632" s="277">
        <v>86</v>
      </c>
      <c r="N632" s="277">
        <v>90</v>
      </c>
      <c r="O632">
        <v>630</v>
      </c>
      <c r="P632" t="s">
        <v>2849</v>
      </c>
    </row>
    <row r="633" spans="9:16">
      <c r="I633" s="31" t="s">
        <v>91</v>
      </c>
      <c r="J633" s="31" t="str">
        <f>"T8_"&amp;STDLIGHTINEFCAT2[[#This Row],[Ineff DropDown 2]]</f>
        <v>T8_Fixture</v>
      </c>
      <c r="K633" s="277" t="str">
        <f>STDLIGHTINEFCAT2[[#This Row],[Match]]&amp;"_"&amp;STDLIGHTINEFCAT2[[#This Row],[Options]]</f>
        <v>T8_Fixture_2L T8 8' 86W</v>
      </c>
      <c r="L633" s="277" t="s">
        <v>2096</v>
      </c>
      <c r="M633" s="277">
        <f>2*86</f>
        <v>172</v>
      </c>
      <c r="N633" s="277">
        <v>160</v>
      </c>
      <c r="O633">
        <v>631</v>
      </c>
      <c r="P633" t="s">
        <v>2849</v>
      </c>
    </row>
    <row r="634" spans="9:16">
      <c r="I634" t="s">
        <v>2493</v>
      </c>
      <c r="J634" s="31" t="str">
        <f>"T8_"&amp;STDLIGHTINEFCAT2[[#This Row],[Ineff DropDown 2]]</f>
        <v>T8_PG &lt;=130</v>
      </c>
      <c r="K634" s="277" t="str">
        <f>STDLIGHTINEFCAT2[[#This Row],[Match]]&amp;"_"&amp;STDLIGHTINEFCAT2[[#This Row],[Options]]</f>
        <v>T8_PG &lt;=130_----2 ft Lamps----</v>
      </c>
      <c r="L634" s="281" t="s">
        <v>2050</v>
      </c>
      <c r="M634" s="281"/>
      <c r="N634" s="277"/>
      <c r="O634">
        <v>632</v>
      </c>
    </row>
    <row r="635" spans="9:16">
      <c r="I635" t="s">
        <v>2493</v>
      </c>
      <c r="J635" s="31" t="str">
        <f>"T8_"&amp;STDLIGHTINEFCAT2[[#This Row],[Ineff DropDown 2]]</f>
        <v>T8_PG &lt;=130</v>
      </c>
      <c r="K635" s="277" t="str">
        <f>STDLIGHTINEFCAT2[[#This Row],[Match]]&amp;"_"&amp;STDLIGHTINEFCAT2[[#This Row],[Options]]</f>
        <v>T8_PG &lt;=130_1L T8 2' 17W</v>
      </c>
      <c r="L635" s="277" t="s">
        <v>2060</v>
      </c>
      <c r="M635" s="277">
        <v>17</v>
      </c>
      <c r="N635" s="277">
        <v>24</v>
      </c>
      <c r="O635">
        <v>633</v>
      </c>
      <c r="P635" t="s">
        <v>2849</v>
      </c>
    </row>
    <row r="636" spans="9:16">
      <c r="I636" t="s">
        <v>2493</v>
      </c>
      <c r="J636" s="31" t="str">
        <f>"T8_"&amp;STDLIGHTINEFCAT2[[#This Row],[Ineff DropDown 2]]</f>
        <v>T8_PG &lt;=130</v>
      </c>
      <c r="K636" s="277" t="str">
        <f>STDLIGHTINEFCAT2[[#This Row],[Match]]&amp;"_"&amp;STDLIGHTINEFCAT2[[#This Row],[Options]]</f>
        <v>T8_PG &lt;=130_2L T8 2' 17W</v>
      </c>
      <c r="L636" s="277" t="s">
        <v>2061</v>
      </c>
      <c r="M636" s="277">
        <f>17*2</f>
        <v>34</v>
      </c>
      <c r="N636" s="277">
        <v>45</v>
      </c>
      <c r="O636">
        <v>634</v>
      </c>
      <c r="P636" t="s">
        <v>2849</v>
      </c>
    </row>
    <row r="637" spans="9:16">
      <c r="I637" t="s">
        <v>2493</v>
      </c>
      <c r="J637" s="31" t="str">
        <f>"T8_"&amp;STDLIGHTINEFCAT2[[#This Row],[Ineff DropDown 2]]</f>
        <v>T8_PG &lt;=130</v>
      </c>
      <c r="K637" s="277" t="str">
        <f>STDLIGHTINEFCAT2[[#This Row],[Match]]&amp;"_"&amp;STDLIGHTINEFCAT2[[#This Row],[Options]]</f>
        <v>T8_PG &lt;=130_3L T8 2' 17W</v>
      </c>
      <c r="L637" s="277" t="s">
        <v>2062</v>
      </c>
      <c r="M637" s="277">
        <f>3*17</f>
        <v>51</v>
      </c>
      <c r="N637" s="277">
        <v>65</v>
      </c>
      <c r="O637">
        <v>635</v>
      </c>
      <c r="P637" t="s">
        <v>2849</v>
      </c>
    </row>
    <row r="638" spans="9:16">
      <c r="I638" t="s">
        <v>2493</v>
      </c>
      <c r="J638" s="31" t="str">
        <f>"T8_"&amp;STDLIGHTINEFCAT2[[#This Row],[Ineff DropDown 2]]</f>
        <v>T8_PG &lt;=130</v>
      </c>
      <c r="K638" s="277" t="str">
        <f>STDLIGHTINEFCAT2[[#This Row],[Match]]&amp;"_"&amp;STDLIGHTINEFCAT2[[#This Row],[Options]]</f>
        <v>T8_PG &lt;=130_4L T8 2' 17W</v>
      </c>
      <c r="L638" s="277" t="s">
        <v>2063</v>
      </c>
      <c r="M638" s="277">
        <f>4*17</f>
        <v>68</v>
      </c>
      <c r="N638" s="277">
        <v>87</v>
      </c>
      <c r="O638">
        <v>636</v>
      </c>
      <c r="P638" t="s">
        <v>2849</v>
      </c>
    </row>
    <row r="639" spans="9:16">
      <c r="I639" t="s">
        <v>2493</v>
      </c>
      <c r="J639" s="31" t="str">
        <f>"T8_"&amp;STDLIGHTINEFCAT2[[#This Row],[Ineff DropDown 2]]</f>
        <v>T8_PG &lt;=130</v>
      </c>
      <c r="K639" s="280" t="str">
        <f>STDLIGHTINEFCAT2[[#This Row],[Match]]&amp;"_"&amp;STDLIGHTINEFCAT2[[#This Row],[Options]]</f>
        <v>T8_PG &lt;=130_----3 ft Lamps----</v>
      </c>
      <c r="L639" s="357" t="s">
        <v>2051</v>
      </c>
      <c r="M639" s="281"/>
      <c r="N639" s="280"/>
      <c r="O639">
        <v>637</v>
      </c>
    </row>
    <row r="640" spans="9:16">
      <c r="I640" t="s">
        <v>2493</v>
      </c>
      <c r="J640" s="31" t="str">
        <f>"T8_"&amp;STDLIGHTINEFCAT2[[#This Row],[Ineff DropDown 2]]</f>
        <v>T8_PG &lt;=130</v>
      </c>
      <c r="K640" s="277" t="str">
        <f>STDLIGHTINEFCAT2[[#This Row],[Match]]&amp;"_"&amp;STDLIGHTINEFCAT2[[#This Row],[Options]]</f>
        <v>T8_PG &lt;=130_1L T8 3' 25W</v>
      </c>
      <c r="L640" s="277" t="s">
        <v>2064</v>
      </c>
      <c r="M640" s="277">
        <v>25</v>
      </c>
      <c r="N640" s="277">
        <v>24</v>
      </c>
      <c r="O640">
        <v>638</v>
      </c>
      <c r="P640" t="s">
        <v>2849</v>
      </c>
    </row>
    <row r="641" spans="9:16">
      <c r="I641" t="s">
        <v>2493</v>
      </c>
      <c r="J641" s="31" t="str">
        <f>"T8_"&amp;STDLIGHTINEFCAT2[[#This Row],[Ineff DropDown 2]]</f>
        <v>T8_PG &lt;=130</v>
      </c>
      <c r="K641" s="277" t="str">
        <f>STDLIGHTINEFCAT2[[#This Row],[Match]]&amp;"_"&amp;STDLIGHTINEFCAT2[[#This Row],[Options]]</f>
        <v>T8_PG &lt;=130_2L T8 3' 25W</v>
      </c>
      <c r="L641" s="277" t="s">
        <v>2065</v>
      </c>
      <c r="M641" s="277">
        <v>50</v>
      </c>
      <c r="N641" s="277">
        <v>45</v>
      </c>
      <c r="O641">
        <v>639</v>
      </c>
      <c r="P641" t="s">
        <v>2849</v>
      </c>
    </row>
    <row r="642" spans="9:16">
      <c r="I642" t="s">
        <v>2493</v>
      </c>
      <c r="J642" s="31" t="str">
        <f>"T8_"&amp;STDLIGHTINEFCAT2[[#This Row],[Ineff DropDown 2]]</f>
        <v>T8_PG &lt;=130</v>
      </c>
      <c r="K642" s="277" t="str">
        <f>STDLIGHTINEFCAT2[[#This Row],[Match]]&amp;"_"&amp;STDLIGHTINEFCAT2[[#This Row],[Options]]</f>
        <v>T8_PG &lt;=130_3L T8 3' 25W</v>
      </c>
      <c r="L642" s="277" t="s">
        <v>2066</v>
      </c>
      <c r="M642" s="277">
        <v>75</v>
      </c>
      <c r="N642" s="277">
        <v>65</v>
      </c>
      <c r="O642">
        <v>640</v>
      </c>
      <c r="P642" t="s">
        <v>2849</v>
      </c>
    </row>
    <row r="643" spans="9:16">
      <c r="I643" t="s">
        <v>2493</v>
      </c>
      <c r="J643" s="31" t="str">
        <f>"T8_"&amp;STDLIGHTINEFCAT2[[#This Row],[Ineff DropDown 2]]</f>
        <v>T8_PG &lt;=130</v>
      </c>
      <c r="K643" s="277" t="str">
        <f>STDLIGHTINEFCAT2[[#This Row],[Match]]&amp;"_"&amp;STDLIGHTINEFCAT2[[#This Row],[Options]]</f>
        <v>T8_PG &lt;=130_4L T8 3' 25W</v>
      </c>
      <c r="L643" s="277" t="s">
        <v>2067</v>
      </c>
      <c r="M643" s="277">
        <v>100</v>
      </c>
      <c r="N643" s="277">
        <v>87</v>
      </c>
      <c r="O643">
        <v>641</v>
      </c>
      <c r="P643" t="s">
        <v>2849</v>
      </c>
    </row>
    <row r="644" spans="9:16">
      <c r="I644" t="s">
        <v>2493</v>
      </c>
      <c r="J644" s="31" t="str">
        <f>"T8_"&amp;STDLIGHTINEFCAT2[[#This Row],[Ineff DropDown 2]]</f>
        <v>T8_PG &lt;=130</v>
      </c>
      <c r="K644" s="277" t="str">
        <f>STDLIGHTINEFCAT2[[#This Row],[Match]]&amp;"_"&amp;STDLIGHTINEFCAT2[[#This Row],[Options]]</f>
        <v>T8_PG &lt;=130_----4 ft Lamps----</v>
      </c>
      <c r="L644" s="281" t="s">
        <v>2052</v>
      </c>
      <c r="M644" s="281"/>
      <c r="N644" s="277"/>
      <c r="O644">
        <v>642</v>
      </c>
    </row>
    <row r="645" spans="9:16">
      <c r="I645" t="s">
        <v>2493</v>
      </c>
      <c r="J645" s="31" t="str">
        <f>"T8_"&amp;STDLIGHTINEFCAT2[[#This Row],[Ineff DropDown 2]]</f>
        <v>T8_PG &lt;=130</v>
      </c>
      <c r="K645" s="277" t="str">
        <f>STDLIGHTINEFCAT2[[#This Row],[Match]]&amp;"_"&amp;STDLIGHTINEFCAT2[[#This Row],[Options]]</f>
        <v>T8_PG &lt;=130_1L T8 4' 25W</v>
      </c>
      <c r="L645" s="277" t="s">
        <v>2068</v>
      </c>
      <c r="M645" s="277">
        <v>25</v>
      </c>
      <c r="N645" s="277">
        <v>23</v>
      </c>
      <c r="O645">
        <v>643</v>
      </c>
      <c r="P645" t="s">
        <v>2849</v>
      </c>
    </row>
    <row r="646" spans="9:16">
      <c r="I646" t="s">
        <v>2493</v>
      </c>
      <c r="J646" s="31" t="str">
        <f>"T8_"&amp;STDLIGHTINEFCAT2[[#This Row],[Ineff DropDown 2]]</f>
        <v>T8_PG &lt;=130</v>
      </c>
      <c r="K646" s="277" t="str">
        <f>STDLIGHTINEFCAT2[[#This Row],[Match]]&amp;"_"&amp;STDLIGHTINEFCAT2[[#This Row],[Options]]</f>
        <v>T8_PG &lt;=130_2L T8 4' 25W</v>
      </c>
      <c r="L646" s="277" t="s">
        <v>2069</v>
      </c>
      <c r="M646" s="277">
        <v>50</v>
      </c>
      <c r="N646" s="277">
        <v>44</v>
      </c>
      <c r="O646">
        <v>644</v>
      </c>
      <c r="P646" t="s">
        <v>2849</v>
      </c>
    </row>
    <row r="647" spans="9:16">
      <c r="I647" t="s">
        <v>2493</v>
      </c>
      <c r="J647" s="31" t="str">
        <f>"T8_"&amp;STDLIGHTINEFCAT2[[#This Row],[Ineff DropDown 2]]</f>
        <v>T8_PG &lt;=130</v>
      </c>
      <c r="K647" s="277" t="str">
        <f>STDLIGHTINEFCAT2[[#This Row],[Match]]&amp;"_"&amp;STDLIGHTINEFCAT2[[#This Row],[Options]]</f>
        <v>T8_PG &lt;=130_3L T8 4' 25W</v>
      </c>
      <c r="L647" s="277" t="s">
        <v>2070</v>
      </c>
      <c r="M647" s="277">
        <v>75</v>
      </c>
      <c r="N647" s="277">
        <v>66</v>
      </c>
      <c r="O647">
        <v>645</v>
      </c>
      <c r="P647" t="s">
        <v>2849</v>
      </c>
    </row>
    <row r="648" spans="9:16">
      <c r="I648" t="s">
        <v>2493</v>
      </c>
      <c r="J648" s="31" t="str">
        <f>"T8_"&amp;STDLIGHTINEFCAT2[[#This Row],[Ineff DropDown 2]]</f>
        <v>T8_PG &lt;=130</v>
      </c>
      <c r="K648" s="277" t="str">
        <f>STDLIGHTINEFCAT2[[#This Row],[Match]]&amp;"_"&amp;STDLIGHTINEFCAT2[[#This Row],[Options]]</f>
        <v>T8_PG &lt;=130_4L T8 4' 25W</v>
      </c>
      <c r="L648" s="277" t="s">
        <v>2071</v>
      </c>
      <c r="M648" s="277">
        <v>100</v>
      </c>
      <c r="N648" s="277">
        <v>88</v>
      </c>
      <c r="O648">
        <v>646</v>
      </c>
      <c r="P648" t="s">
        <v>2849</v>
      </c>
    </row>
    <row r="649" spans="9:16">
      <c r="I649" t="s">
        <v>2493</v>
      </c>
      <c r="J649" s="31" t="str">
        <f>"T8_"&amp;STDLIGHTINEFCAT2[[#This Row],[Ineff DropDown 2]]</f>
        <v>T8_PG &lt;=130</v>
      </c>
      <c r="K649" s="277" t="str">
        <f>STDLIGHTINEFCAT2[[#This Row],[Match]]&amp;"_"&amp;STDLIGHTINEFCAT2[[#This Row],[Options]]</f>
        <v>T8_PG &lt;=130_1L T8 4' 28W</v>
      </c>
      <c r="L649" s="277" t="s">
        <v>2072</v>
      </c>
      <c r="M649" s="277">
        <v>28</v>
      </c>
      <c r="N649" s="277">
        <v>25</v>
      </c>
      <c r="O649">
        <v>647</v>
      </c>
      <c r="P649" t="s">
        <v>2849</v>
      </c>
    </row>
    <row r="650" spans="9:16">
      <c r="I650" t="s">
        <v>2493</v>
      </c>
      <c r="J650" s="31" t="str">
        <f>"T8_"&amp;STDLIGHTINEFCAT2[[#This Row],[Ineff DropDown 2]]</f>
        <v>T8_PG &lt;=130</v>
      </c>
      <c r="K650" s="277" t="str">
        <f>STDLIGHTINEFCAT2[[#This Row],[Match]]&amp;"_"&amp;STDLIGHTINEFCAT2[[#This Row],[Options]]</f>
        <v>T8_PG &lt;=130_2L T8 4' 28W</v>
      </c>
      <c r="L650" s="277" t="s">
        <v>2073</v>
      </c>
      <c r="M650" s="277">
        <f>2*28</f>
        <v>56</v>
      </c>
      <c r="N650" s="277">
        <v>49</v>
      </c>
      <c r="O650">
        <v>648</v>
      </c>
      <c r="P650" t="s">
        <v>2849</v>
      </c>
    </row>
    <row r="651" spans="9:16">
      <c r="I651" t="s">
        <v>2493</v>
      </c>
      <c r="J651" s="31" t="str">
        <f>"T8_"&amp;STDLIGHTINEFCAT2[[#This Row],[Ineff DropDown 2]]</f>
        <v>T8_PG &lt;=130</v>
      </c>
      <c r="K651" s="277" t="str">
        <f>STDLIGHTINEFCAT2[[#This Row],[Match]]&amp;"_"&amp;STDLIGHTINEFCAT2[[#This Row],[Options]]</f>
        <v>T8_PG &lt;=130_3L T8 4' 28W</v>
      </c>
      <c r="L651" s="277" t="s">
        <v>2074</v>
      </c>
      <c r="M651" s="277">
        <f>3*28</f>
        <v>84</v>
      </c>
      <c r="N651" s="277">
        <v>73</v>
      </c>
      <c r="O651">
        <v>649</v>
      </c>
      <c r="P651" t="s">
        <v>2849</v>
      </c>
    </row>
    <row r="652" spans="9:16">
      <c r="I652" t="s">
        <v>2493</v>
      </c>
      <c r="J652" s="31" t="str">
        <f>"T8_"&amp;STDLIGHTINEFCAT2[[#This Row],[Ineff DropDown 2]]</f>
        <v>T8_PG &lt;=130</v>
      </c>
      <c r="K652" s="277" t="str">
        <f>STDLIGHTINEFCAT2[[#This Row],[Match]]&amp;"_"&amp;STDLIGHTINEFCAT2[[#This Row],[Options]]</f>
        <v>T8_PG &lt;=130_4L T8 4' 28W</v>
      </c>
      <c r="L652" s="277" t="s">
        <v>2075</v>
      </c>
      <c r="M652" s="277">
        <f>4*28</f>
        <v>112</v>
      </c>
      <c r="N652" s="277">
        <v>96</v>
      </c>
      <c r="O652">
        <v>650</v>
      </c>
      <c r="P652" t="s">
        <v>2849</v>
      </c>
    </row>
    <row r="653" spans="9:16">
      <c r="I653" t="s">
        <v>2493</v>
      </c>
      <c r="J653" s="31" t="str">
        <f>"T8_"&amp;STDLIGHTINEFCAT2[[#This Row],[Ineff DropDown 2]]</f>
        <v>T8_PG &lt;=130</v>
      </c>
      <c r="K653" s="277" t="str">
        <f>STDLIGHTINEFCAT2[[#This Row],[Match]]&amp;"_"&amp;STDLIGHTINEFCAT2[[#This Row],[Options]]</f>
        <v>T8_PG &lt;=130_1L T8 4' 32W</v>
      </c>
      <c r="L653" s="277" t="s">
        <v>2076</v>
      </c>
      <c r="M653" s="277">
        <v>32</v>
      </c>
      <c r="N653" s="277">
        <v>29</v>
      </c>
      <c r="O653">
        <v>651</v>
      </c>
      <c r="P653" t="s">
        <v>2849</v>
      </c>
    </row>
    <row r="654" spans="9:16">
      <c r="I654" t="s">
        <v>2493</v>
      </c>
      <c r="J654" s="31" t="str">
        <f>"T8_"&amp;STDLIGHTINEFCAT2[[#This Row],[Ineff DropDown 2]]</f>
        <v>T8_PG &lt;=130</v>
      </c>
      <c r="K654" s="277" t="str">
        <f>STDLIGHTINEFCAT2[[#This Row],[Match]]&amp;"_"&amp;STDLIGHTINEFCAT2[[#This Row],[Options]]</f>
        <v>T8_PG &lt;=130_2L T8 4' 32W</v>
      </c>
      <c r="L654" s="277" t="s">
        <v>2077</v>
      </c>
      <c r="M654" s="277">
        <f>2*32</f>
        <v>64</v>
      </c>
      <c r="N654" s="277">
        <v>56</v>
      </c>
      <c r="O654">
        <v>652</v>
      </c>
      <c r="P654" t="s">
        <v>2849</v>
      </c>
    </row>
    <row r="655" spans="9:16">
      <c r="I655" t="s">
        <v>2493</v>
      </c>
      <c r="J655" s="31" t="str">
        <f>"T8_"&amp;STDLIGHTINEFCAT2[[#This Row],[Ineff DropDown 2]]</f>
        <v>T8_PG &lt;=130</v>
      </c>
      <c r="K655" s="277" t="str">
        <f>STDLIGHTINEFCAT2[[#This Row],[Match]]&amp;"_"&amp;STDLIGHTINEFCAT2[[#This Row],[Options]]</f>
        <v>T8_PG &lt;=130_3L T8 4' 32W</v>
      </c>
      <c r="L655" s="277" t="s">
        <v>2078</v>
      </c>
      <c r="M655" s="277">
        <f>3*32</f>
        <v>96</v>
      </c>
      <c r="N655" s="277">
        <v>84</v>
      </c>
      <c r="O655">
        <v>653</v>
      </c>
      <c r="P655" t="s">
        <v>2849</v>
      </c>
    </row>
    <row r="656" spans="9:16">
      <c r="I656" t="s">
        <v>2493</v>
      </c>
      <c r="J656" s="31" t="str">
        <f>"T8_"&amp;STDLIGHTINEFCAT2[[#This Row],[Ineff DropDown 2]]</f>
        <v>T8_PG &lt;=130</v>
      </c>
      <c r="K656" s="277" t="str">
        <f>STDLIGHTINEFCAT2[[#This Row],[Match]]&amp;"_"&amp;STDLIGHTINEFCAT2[[#This Row],[Options]]</f>
        <v>T8_PG &lt;=130_4L T8 4' 32W</v>
      </c>
      <c r="L656" s="277" t="s">
        <v>2079</v>
      </c>
      <c r="M656" s="277">
        <f>4*32</f>
        <v>128</v>
      </c>
      <c r="N656" s="277">
        <v>110</v>
      </c>
      <c r="O656">
        <v>654</v>
      </c>
      <c r="P656" t="s">
        <v>2849</v>
      </c>
    </row>
    <row r="657" spans="9:16">
      <c r="I657" t="s">
        <v>2493</v>
      </c>
      <c r="J657" s="31" t="str">
        <f>"T8_"&amp;STDLIGHTINEFCAT2[[#This Row],[Ineff DropDown 2]]</f>
        <v>T8_PG &lt;=130</v>
      </c>
      <c r="K657" s="277" t="str">
        <f>STDLIGHTINEFCAT2[[#This Row],[Match]]&amp;"_"&amp;STDLIGHTINEFCAT2[[#This Row],[Options]]</f>
        <v>T8_PG &lt;=130_1L T8 4' 44W</v>
      </c>
      <c r="L657" s="277" t="s">
        <v>2081</v>
      </c>
      <c r="M657" s="277">
        <v>44</v>
      </c>
      <c r="N657" s="277">
        <v>51</v>
      </c>
      <c r="O657">
        <v>655</v>
      </c>
      <c r="P657" t="s">
        <v>2849</v>
      </c>
    </row>
    <row r="658" spans="9:16">
      <c r="I658" t="s">
        <v>2493</v>
      </c>
      <c r="J658" s="31" t="str">
        <f>"T8_"&amp;STDLIGHTINEFCAT2[[#This Row],[Ineff DropDown 2]]</f>
        <v>T8_PG &lt;=130</v>
      </c>
      <c r="K658" s="277" t="str">
        <f>STDLIGHTINEFCAT2[[#This Row],[Match]]&amp;"_"&amp;STDLIGHTINEFCAT2[[#This Row],[Options]]</f>
        <v>T8_PG &lt;=130_2L T8 4' 44W</v>
      </c>
      <c r="L658" s="277" t="s">
        <v>2082</v>
      </c>
      <c r="M658" s="277">
        <v>88</v>
      </c>
      <c r="N658" s="277">
        <v>82</v>
      </c>
      <c r="O658">
        <v>656</v>
      </c>
      <c r="P658" t="s">
        <v>2849</v>
      </c>
    </row>
    <row r="659" spans="9:16">
      <c r="I659" t="s">
        <v>2493</v>
      </c>
      <c r="J659" s="31" t="str">
        <f>"T8_"&amp;STDLIGHTINEFCAT2[[#This Row],[Ineff DropDown 2]]</f>
        <v>T8_PG &lt;=130</v>
      </c>
      <c r="K659" s="277" t="str">
        <f>STDLIGHTINEFCAT2[[#This Row],[Match]]&amp;"_"&amp;STDLIGHTINEFCAT2[[#This Row],[Options]]</f>
        <v>T8_PG &lt;=130_----6 ft Lamps----</v>
      </c>
      <c r="L659" s="281" t="s">
        <v>2054</v>
      </c>
      <c r="M659" s="281"/>
      <c r="N659" s="277"/>
      <c r="O659">
        <v>657</v>
      </c>
    </row>
    <row r="660" spans="9:16">
      <c r="I660" t="s">
        <v>2493</v>
      </c>
      <c r="J660" s="31" t="str">
        <f>"T8_"&amp;STDLIGHTINEFCAT2[[#This Row],[Ineff DropDown 2]]</f>
        <v>T8_PG &lt;=130</v>
      </c>
      <c r="K660" s="277" t="str">
        <f>STDLIGHTINEFCAT2[[#This Row],[Match]]&amp;"_"&amp;STDLIGHTINEFCAT2[[#This Row],[Options]]</f>
        <v>T8_PG &lt;=130_1L T8 6' 46W</v>
      </c>
      <c r="L660" s="277" t="s">
        <v>2089</v>
      </c>
      <c r="M660" s="277">
        <v>46</v>
      </c>
      <c r="N660" s="277">
        <v>52</v>
      </c>
      <c r="O660">
        <v>658</v>
      </c>
    </row>
    <row r="661" spans="9:16">
      <c r="I661" t="s">
        <v>2493</v>
      </c>
      <c r="J661" s="31" t="str">
        <f>"T8_"&amp;STDLIGHTINEFCAT2[[#This Row],[Ineff DropDown 2]]</f>
        <v>T8_PG &lt;=130</v>
      </c>
      <c r="K661" s="277" t="str">
        <f>STDLIGHTINEFCAT2[[#This Row],[Match]]&amp;"_"&amp;STDLIGHTINEFCAT2[[#This Row],[Options]]</f>
        <v>T8_PG &lt;=130_2L T8 6' 46W</v>
      </c>
      <c r="L661" s="277" t="s">
        <v>2090</v>
      </c>
      <c r="M661" s="277">
        <f>2*46</f>
        <v>92</v>
      </c>
      <c r="N661" s="277">
        <v>97</v>
      </c>
      <c r="O661">
        <v>659</v>
      </c>
    </row>
    <row r="662" spans="9:16">
      <c r="I662" t="s">
        <v>2493</v>
      </c>
      <c r="J662" s="31" t="str">
        <f>"T8_"&amp;STDLIGHTINEFCAT2[[#This Row],[Ineff DropDown 2]]</f>
        <v>T8_PG &lt;=130</v>
      </c>
      <c r="K662" s="277" t="str">
        <f>STDLIGHTINEFCAT2[[#This Row],[Match]]&amp;"_"&amp;STDLIGHTINEFCAT2[[#This Row],[Options]]</f>
        <v>T8_PG &lt;=130_1L T8 6' 66W</v>
      </c>
      <c r="L662" s="277" t="s">
        <v>2093</v>
      </c>
      <c r="M662" s="277">
        <f>1*66</f>
        <v>66</v>
      </c>
      <c r="N662" s="277">
        <v>71</v>
      </c>
      <c r="O662">
        <v>660</v>
      </c>
      <c r="P662" t="s">
        <v>2849</v>
      </c>
    </row>
    <row r="663" spans="9:16">
      <c r="I663" t="s">
        <v>2493</v>
      </c>
      <c r="J663" s="31" t="str">
        <f>"T8_"&amp;STDLIGHTINEFCAT2[[#This Row],[Ineff DropDown 2]]</f>
        <v>T8_PG &lt;=130</v>
      </c>
      <c r="K663" s="277" t="str">
        <f>STDLIGHTINEFCAT2[[#This Row],[Match]]&amp;"_"&amp;STDLIGHTINEFCAT2[[#This Row],[Options]]</f>
        <v>T8_PG &lt;=130_----8 ft Lamps----</v>
      </c>
      <c r="L663" s="281" t="s">
        <v>2056</v>
      </c>
      <c r="M663" s="281"/>
      <c r="N663" s="277"/>
      <c r="O663">
        <v>661</v>
      </c>
    </row>
    <row r="664" spans="9:16">
      <c r="I664" t="s">
        <v>2493</v>
      </c>
      <c r="J664" s="31" t="str">
        <f>"T8_"&amp;STDLIGHTINEFCAT2[[#This Row],[Ineff DropDown 2]]</f>
        <v>T8_PG &lt;=130</v>
      </c>
      <c r="K664" s="277" t="str">
        <f>STDLIGHTINEFCAT2[[#This Row],[Match]]&amp;"_"&amp;STDLIGHTINEFCAT2[[#This Row],[Options]]</f>
        <v>T8_PG &lt;=130_1L T8 8' 59W</v>
      </c>
      <c r="L664" s="277" t="s">
        <v>2091</v>
      </c>
      <c r="M664" s="277">
        <v>59</v>
      </c>
      <c r="N664" s="277">
        <v>62</v>
      </c>
      <c r="O664">
        <v>662</v>
      </c>
      <c r="P664" t="s">
        <v>2849</v>
      </c>
    </row>
    <row r="665" spans="9:16">
      <c r="I665" t="s">
        <v>2493</v>
      </c>
      <c r="J665" s="31" t="str">
        <f>"T8_"&amp;STDLIGHTINEFCAT2[[#This Row],[Ineff DropDown 2]]</f>
        <v>T8_PG &lt;=130</v>
      </c>
      <c r="K665" s="277" t="str">
        <f>STDLIGHTINEFCAT2[[#This Row],[Match]]&amp;"_"&amp;STDLIGHTINEFCAT2[[#This Row],[Options]]</f>
        <v>T8_PG &lt;=130_1L T8 8' 86W</v>
      </c>
      <c r="L665" s="277" t="s">
        <v>2095</v>
      </c>
      <c r="M665" s="277">
        <v>86</v>
      </c>
      <c r="N665" s="277">
        <v>90</v>
      </c>
      <c r="O665">
        <v>663</v>
      </c>
      <c r="P665" t="s">
        <v>2849</v>
      </c>
    </row>
    <row r="666" spans="9:16">
      <c r="I666" t="s">
        <v>2493</v>
      </c>
      <c r="J666" s="31" t="str">
        <f>"T8_"&amp;STDLIGHTINEFCAT2[[#This Row],[Ineff DropDown 2]]</f>
        <v>T8_PG &lt;=130</v>
      </c>
      <c r="K666" s="277" t="str">
        <f>STDLIGHTINEFCAT2[[#This Row],[Match]]&amp;"_"&amp;STDLIGHTINEFCAT2[[#This Row],[Options]]</f>
        <v>T8_PG &lt;=130_2L T8 8' 59W</v>
      </c>
      <c r="L666" s="277" t="s">
        <v>2092</v>
      </c>
      <c r="M666" s="277">
        <f>2*59</f>
        <v>118</v>
      </c>
      <c r="N666" s="277">
        <v>109</v>
      </c>
      <c r="O666">
        <v>664</v>
      </c>
      <c r="P666" t="s">
        <v>2849</v>
      </c>
    </row>
    <row r="667" spans="9:16">
      <c r="I667" s="31" t="s">
        <v>2495</v>
      </c>
      <c r="J667" s="31" t="str">
        <f>"T8_"&amp;STDLIGHTINEFCAT2[[#This Row],[Ineff DropDown 2]]</f>
        <v>T8_PG 131-210</v>
      </c>
      <c r="K667" s="356" t="str">
        <f>STDLIGHTINEFCAT2[[#This Row],[Match]]&amp;"_"&amp;STDLIGHTINEFCAT2[[#This Row],[Options]]</f>
        <v>T8_PG 131-210_----4 ft Lamps----</v>
      </c>
      <c r="L667" s="281" t="s">
        <v>2052</v>
      </c>
      <c r="M667" s="277"/>
      <c r="N667" s="356"/>
      <c r="O667">
        <v>665</v>
      </c>
    </row>
    <row r="668" spans="9:16">
      <c r="I668" s="31" t="s">
        <v>2495</v>
      </c>
      <c r="J668" s="31" t="str">
        <f>"T8_"&amp;STDLIGHTINEFCAT2[[#This Row],[Ineff DropDown 2]]</f>
        <v>T8_PG 131-210</v>
      </c>
      <c r="K668" s="277" t="str">
        <f>STDLIGHTINEFCAT2[[#This Row],[Match]]&amp;"_"&amp;STDLIGHTINEFCAT2[[#This Row],[Options]]</f>
        <v>T8_PG 131-210_6L T8 4' 32W</v>
      </c>
      <c r="L668" s="277" t="s">
        <v>2080</v>
      </c>
      <c r="M668" s="277">
        <f>6*32</f>
        <v>192</v>
      </c>
      <c r="N668" s="277">
        <v>169</v>
      </c>
      <c r="O668">
        <v>666</v>
      </c>
    </row>
    <row r="669" spans="9:16">
      <c r="I669" s="31" t="s">
        <v>2495</v>
      </c>
      <c r="J669" s="31" t="str">
        <f>"T8_"&amp;STDLIGHTINEFCAT2[[#This Row],[Ineff DropDown 2]]</f>
        <v>T8_PG 131-210</v>
      </c>
      <c r="K669" s="277" t="str">
        <f>STDLIGHTINEFCAT2[[#This Row],[Match]]&amp;"_"&amp;STDLIGHTINEFCAT2[[#This Row],[Options]]</f>
        <v>T8_PG 131-210_----6 ft Lamps----</v>
      </c>
      <c r="L669" s="281" t="s">
        <v>2054</v>
      </c>
      <c r="M669" s="281"/>
      <c r="N669" s="277"/>
      <c r="O669">
        <v>667</v>
      </c>
    </row>
    <row r="670" spans="9:16">
      <c r="I670" s="31" t="s">
        <v>2495</v>
      </c>
      <c r="J670" s="31" t="str">
        <f>"T8_"&amp;STDLIGHTINEFCAT2[[#This Row],[Ineff DropDown 2]]</f>
        <v>T8_PG 131-210</v>
      </c>
      <c r="K670" s="277" t="str">
        <f>STDLIGHTINEFCAT2[[#This Row],[Match]]&amp;"_"&amp;STDLIGHTINEFCAT2[[#This Row],[Options]]</f>
        <v>T8_PG 131-210_2L T8 6' 66W</v>
      </c>
      <c r="L670" s="277" t="s">
        <v>2094</v>
      </c>
      <c r="M670" s="277">
        <f>2*66</f>
        <v>132</v>
      </c>
      <c r="N670" s="277">
        <v>118</v>
      </c>
      <c r="O670">
        <v>668</v>
      </c>
      <c r="P670" t="s">
        <v>2849</v>
      </c>
    </row>
    <row r="671" spans="9:16">
      <c r="I671" s="31" t="s">
        <v>2495</v>
      </c>
      <c r="J671" s="31" t="str">
        <f>"T8_"&amp;STDLIGHTINEFCAT2[[#This Row],[Ineff DropDown 2]]</f>
        <v>T8_PG 131-210</v>
      </c>
      <c r="K671" s="277" t="str">
        <f>STDLIGHTINEFCAT2[[#This Row],[Match]]&amp;"_"&amp;STDLIGHTINEFCAT2[[#This Row],[Options]]</f>
        <v>T8_PG 131-210_----8 ft Lamps----</v>
      </c>
      <c r="L671" s="281" t="s">
        <v>2056</v>
      </c>
      <c r="M671" s="281"/>
      <c r="N671" s="277"/>
      <c r="O671">
        <v>669</v>
      </c>
    </row>
    <row r="672" spans="9:16">
      <c r="I672" s="31" t="s">
        <v>2495</v>
      </c>
      <c r="J672" s="31" t="str">
        <f>"T8_"&amp;STDLIGHTINEFCAT2[[#This Row],[Ineff DropDown 2]]</f>
        <v>T8_PG 131-210</v>
      </c>
      <c r="K672" s="277" t="str">
        <f>STDLIGHTINEFCAT2[[#This Row],[Match]]&amp;"_"&amp;STDLIGHTINEFCAT2[[#This Row],[Options]]</f>
        <v>T8_PG 131-210_2L T8 8' 86W</v>
      </c>
      <c r="L672" s="277" t="s">
        <v>2096</v>
      </c>
      <c r="M672" s="277">
        <f>2*86</f>
        <v>172</v>
      </c>
      <c r="N672" s="277">
        <v>160</v>
      </c>
      <c r="O672">
        <v>670</v>
      </c>
      <c r="P672" t="s">
        <v>2849</v>
      </c>
    </row>
    <row r="673" spans="9:16">
      <c r="I673" s="31" t="s">
        <v>2210</v>
      </c>
      <c r="J673" s="31" t="str">
        <f>"T8_"&amp;STDLIGHTINEFCAT2[[#This Row],[Ineff DropDown 2]]</f>
        <v>T8_Retrofit_2ft</v>
      </c>
      <c r="K673" s="277" t="str">
        <f>STDLIGHTINEFCAT2[[#This Row],[Match]]&amp;"_"&amp;STDLIGHTINEFCAT2[[#This Row],[Options]]</f>
        <v>T8_Retrofit_2ft_1L T8 2' 17W</v>
      </c>
      <c r="L673" s="277" t="s">
        <v>2060</v>
      </c>
      <c r="M673" s="277">
        <v>17</v>
      </c>
      <c r="N673" s="277">
        <v>24</v>
      </c>
      <c r="O673">
        <v>671</v>
      </c>
      <c r="P673" t="s">
        <v>2849</v>
      </c>
    </row>
    <row r="674" spans="9:16">
      <c r="I674" s="31" t="s">
        <v>2210</v>
      </c>
      <c r="J674" s="31" t="str">
        <f>"T8_"&amp;STDLIGHTINEFCAT2[[#This Row],[Ineff DropDown 2]]</f>
        <v>T8_Retrofit_2ft</v>
      </c>
      <c r="K674" s="277" t="str">
        <f>STDLIGHTINEFCAT2[[#This Row],[Match]]&amp;"_"&amp;STDLIGHTINEFCAT2[[#This Row],[Options]]</f>
        <v>T8_Retrofit_2ft_2L T8 2' 17W</v>
      </c>
      <c r="L674" s="277" t="s">
        <v>2061</v>
      </c>
      <c r="M674" s="277">
        <f>17*2</f>
        <v>34</v>
      </c>
      <c r="N674" s="277">
        <v>45</v>
      </c>
      <c r="O674">
        <v>672</v>
      </c>
      <c r="P674" t="s">
        <v>2849</v>
      </c>
    </row>
    <row r="675" spans="9:16">
      <c r="I675" s="31" t="s">
        <v>2210</v>
      </c>
      <c r="J675" s="31" t="str">
        <f>"T8_"&amp;STDLIGHTINEFCAT2[[#This Row],[Ineff DropDown 2]]</f>
        <v>T8_Retrofit_2ft</v>
      </c>
      <c r="K675" s="277" t="str">
        <f>STDLIGHTINEFCAT2[[#This Row],[Match]]&amp;"_"&amp;STDLIGHTINEFCAT2[[#This Row],[Options]]</f>
        <v>T8_Retrofit_2ft_3L T8 2' 17W</v>
      </c>
      <c r="L675" s="277" t="s">
        <v>2062</v>
      </c>
      <c r="M675" s="277">
        <f>3*17</f>
        <v>51</v>
      </c>
      <c r="N675" s="277">
        <v>65</v>
      </c>
      <c r="O675">
        <v>673</v>
      </c>
      <c r="P675" t="s">
        <v>2849</v>
      </c>
    </row>
    <row r="676" spans="9:16">
      <c r="I676" s="31" t="s">
        <v>2210</v>
      </c>
      <c r="J676" s="31" t="str">
        <f>"T8_"&amp;STDLIGHTINEFCAT2[[#This Row],[Ineff DropDown 2]]</f>
        <v>T8_Retrofit_2ft</v>
      </c>
      <c r="K676" s="280" t="str">
        <f>STDLIGHTINEFCAT2[[#This Row],[Match]]&amp;"_"&amp;STDLIGHTINEFCAT2[[#This Row],[Options]]</f>
        <v>T8_Retrofit_2ft_4L T8 2' 17W</v>
      </c>
      <c r="L676" s="280" t="s">
        <v>2063</v>
      </c>
      <c r="M676" s="277">
        <f>4*17</f>
        <v>68</v>
      </c>
      <c r="N676" s="277">
        <v>87</v>
      </c>
      <c r="O676">
        <v>674</v>
      </c>
      <c r="P676" t="s">
        <v>2849</v>
      </c>
    </row>
    <row r="677" spans="9:16">
      <c r="I677" s="31" t="s">
        <v>2522</v>
      </c>
      <c r="J677" s="31" t="str">
        <f>"T8_"&amp;STDLIGHTINEFCAT2[[#This Row],[Ineff DropDown 2]]</f>
        <v>T8_Retrofit_2U</v>
      </c>
      <c r="K677" s="277" t="str">
        <f>STDLIGHTINEFCAT2[[#This Row],[Match]]&amp;"_"&amp;STDLIGHTINEFCAT2[[#This Row],[Options]]</f>
        <v>T8_Retrofit_2U_1L T8 Ubend 32W</v>
      </c>
      <c r="L677" s="277" t="s">
        <v>2350</v>
      </c>
      <c r="M677" s="277">
        <v>32</v>
      </c>
      <c r="N677" s="277">
        <v>31</v>
      </c>
      <c r="O677">
        <v>675</v>
      </c>
      <c r="P677" t="s">
        <v>2849</v>
      </c>
    </row>
    <row r="678" spans="9:16">
      <c r="I678" s="31" t="s">
        <v>2522</v>
      </c>
      <c r="J678" s="31" t="str">
        <f>"T8_"&amp;STDLIGHTINEFCAT2[[#This Row],[Ineff DropDown 2]]</f>
        <v>T8_Retrofit_2U</v>
      </c>
      <c r="K678" s="280" t="str">
        <f>STDLIGHTINEFCAT2[[#This Row],[Match]]&amp;"_"&amp;STDLIGHTINEFCAT2[[#This Row],[Options]]</f>
        <v>T8_Retrofit_2U_2L T8 Ubend 32W</v>
      </c>
      <c r="L678" s="280" t="s">
        <v>2351</v>
      </c>
      <c r="M678" s="280">
        <f>32*2</f>
        <v>64</v>
      </c>
      <c r="N678" s="280">
        <v>58</v>
      </c>
      <c r="O678">
        <v>676</v>
      </c>
      <c r="P678" t="s">
        <v>2849</v>
      </c>
    </row>
    <row r="679" spans="9:16">
      <c r="I679" s="31" t="s">
        <v>2434</v>
      </c>
      <c r="J679" s="31" t="str">
        <f>"T8_"&amp;STDLIGHTINEFCAT2[[#This Row],[Ineff DropDown 2]]</f>
        <v>T8_Retrofit_4ft_1x4</v>
      </c>
      <c r="K679" s="280" t="str">
        <f>STDLIGHTINEFCAT2[[#This Row],[Match]]&amp;"_"&amp;STDLIGHTINEFCAT2[[#This Row],[Options]]</f>
        <v>T8_Retrofit_4ft_1x4_1L T8 4' 25W</v>
      </c>
      <c r="L679" s="277" t="s">
        <v>2068</v>
      </c>
      <c r="M679" s="280">
        <v>25</v>
      </c>
      <c r="N679" s="280">
        <v>23</v>
      </c>
      <c r="O679">
        <v>677</v>
      </c>
      <c r="P679" t="s">
        <v>2849</v>
      </c>
    </row>
    <row r="680" spans="9:16">
      <c r="I680" s="31" t="s">
        <v>2434</v>
      </c>
      <c r="J680" s="31" t="str">
        <f>"T8_"&amp;STDLIGHTINEFCAT2[[#This Row],[Ineff DropDown 2]]</f>
        <v>T8_Retrofit_4ft_1x4</v>
      </c>
      <c r="K680" s="277" t="str">
        <f>STDLIGHTINEFCAT2[[#This Row],[Match]]&amp;"_"&amp;STDLIGHTINEFCAT2[[#This Row],[Options]]</f>
        <v>T8_Retrofit_4ft_1x4_1L T8 4' 28W</v>
      </c>
      <c r="L680" s="277" t="s">
        <v>2072</v>
      </c>
      <c r="M680" s="277">
        <v>28</v>
      </c>
      <c r="N680" s="277">
        <v>25</v>
      </c>
      <c r="O680">
        <v>678</v>
      </c>
      <c r="P680" t="s">
        <v>2849</v>
      </c>
    </row>
    <row r="681" spans="9:16">
      <c r="I681" s="31" t="s">
        <v>2434</v>
      </c>
      <c r="J681" s="31" t="str">
        <f>"T8_"&amp;STDLIGHTINEFCAT2[[#This Row],[Ineff DropDown 2]]</f>
        <v>T8_Retrofit_4ft_1x4</v>
      </c>
      <c r="K681" s="280" t="str">
        <f>STDLIGHTINEFCAT2[[#This Row],[Match]]&amp;"_"&amp;STDLIGHTINEFCAT2[[#This Row],[Options]]</f>
        <v>T8_Retrofit_4ft_1x4_1L T8 4' 32W</v>
      </c>
      <c r="L681" s="280" t="s">
        <v>2076</v>
      </c>
      <c r="M681" s="280">
        <v>32</v>
      </c>
      <c r="N681" s="280">
        <v>29</v>
      </c>
      <c r="O681">
        <v>679</v>
      </c>
      <c r="P681" t="s">
        <v>2849</v>
      </c>
    </row>
    <row r="682" spans="9:16">
      <c r="I682" s="31" t="s">
        <v>2434</v>
      </c>
      <c r="J682" s="31" t="str">
        <f>"T8_"&amp;STDLIGHTINEFCAT2[[#This Row],[Ineff DropDown 2]]</f>
        <v>T8_Retrofit_4ft_1x4</v>
      </c>
      <c r="K682" s="277" t="str">
        <f>STDLIGHTINEFCAT2[[#This Row],[Match]]&amp;"_"&amp;STDLIGHTINEFCAT2[[#This Row],[Options]]</f>
        <v>T8_Retrofit_4ft_1x4_1L T8 4' 44W</v>
      </c>
      <c r="L682" s="277" t="s">
        <v>2081</v>
      </c>
      <c r="M682" s="277">
        <v>44</v>
      </c>
      <c r="N682" s="277">
        <v>51</v>
      </c>
      <c r="O682">
        <v>680</v>
      </c>
      <c r="P682" t="s">
        <v>2849</v>
      </c>
    </row>
    <row r="683" spans="9:16">
      <c r="I683" s="31" t="s">
        <v>2434</v>
      </c>
      <c r="J683" s="31" t="str">
        <f>"T8_"&amp;STDLIGHTINEFCAT2[[#This Row],[Ineff DropDown 2]]</f>
        <v>T8_Retrofit_4ft_1x4</v>
      </c>
      <c r="K683" s="277" t="str">
        <f>STDLIGHTINEFCAT2[[#This Row],[Match]]&amp;"_"&amp;STDLIGHTINEFCAT2[[#This Row],[Options]]</f>
        <v>T8_Retrofit_4ft_1x4_2L T8 4' 25W</v>
      </c>
      <c r="L683" s="277" t="s">
        <v>2069</v>
      </c>
      <c r="M683" s="277">
        <v>50</v>
      </c>
      <c r="N683" s="277">
        <v>44</v>
      </c>
      <c r="O683">
        <v>681</v>
      </c>
      <c r="P683" t="s">
        <v>2849</v>
      </c>
    </row>
    <row r="684" spans="9:16">
      <c r="I684" s="31" t="s">
        <v>2434</v>
      </c>
      <c r="J684" s="31" t="str">
        <f>"T8_"&amp;STDLIGHTINEFCAT2[[#This Row],[Ineff DropDown 2]]</f>
        <v>T8_Retrofit_4ft_1x4</v>
      </c>
      <c r="K684" s="277" t="str">
        <f>STDLIGHTINEFCAT2[[#This Row],[Match]]&amp;"_"&amp;STDLIGHTINEFCAT2[[#This Row],[Options]]</f>
        <v>T8_Retrofit_4ft_1x4_2L T8 4' 28W</v>
      </c>
      <c r="L684" s="277" t="s">
        <v>2073</v>
      </c>
      <c r="M684" s="277">
        <f>2*28</f>
        <v>56</v>
      </c>
      <c r="N684" s="277">
        <v>49</v>
      </c>
      <c r="O684">
        <v>682</v>
      </c>
      <c r="P684" t="s">
        <v>2849</v>
      </c>
    </row>
    <row r="685" spans="9:16">
      <c r="I685" s="31" t="s">
        <v>2434</v>
      </c>
      <c r="J685" s="31" t="str">
        <f>"T8_"&amp;STDLIGHTINEFCAT2[[#This Row],[Ineff DropDown 2]]</f>
        <v>T8_Retrofit_4ft_1x4</v>
      </c>
      <c r="K685" s="280" t="str">
        <f>STDLIGHTINEFCAT2[[#This Row],[Match]]&amp;"_"&amp;STDLIGHTINEFCAT2[[#This Row],[Options]]</f>
        <v>T8_Retrofit_4ft_1x4_2L T8 4' 32W</v>
      </c>
      <c r="L685" s="280" t="s">
        <v>2077</v>
      </c>
      <c r="M685" s="280">
        <f>2*32</f>
        <v>64</v>
      </c>
      <c r="N685" s="280">
        <v>56</v>
      </c>
      <c r="O685">
        <v>683</v>
      </c>
      <c r="P685" t="s">
        <v>2849</v>
      </c>
    </row>
    <row r="686" spans="9:16">
      <c r="I686" s="31" t="s">
        <v>2434</v>
      </c>
      <c r="J686" s="31" t="str">
        <f>"T8_"&amp;STDLIGHTINEFCAT2[[#This Row],[Ineff DropDown 2]]</f>
        <v>T8_Retrofit_4ft_1x4</v>
      </c>
      <c r="K686" s="277" t="str">
        <f>STDLIGHTINEFCAT2[[#This Row],[Match]]&amp;"_"&amp;STDLIGHTINEFCAT2[[#This Row],[Options]]</f>
        <v>T8_Retrofit_4ft_1x4_2L T8 4' 44W</v>
      </c>
      <c r="L686" s="277" t="s">
        <v>2082</v>
      </c>
      <c r="M686" s="277">
        <v>88</v>
      </c>
      <c r="N686" s="277">
        <v>82</v>
      </c>
      <c r="O686">
        <v>684</v>
      </c>
      <c r="P686" t="s">
        <v>2849</v>
      </c>
    </row>
    <row r="687" spans="9:16">
      <c r="I687" s="31" t="s">
        <v>2435</v>
      </c>
      <c r="J687" s="31" t="str">
        <f>"T8_"&amp;STDLIGHTINEFCAT2[[#This Row],[Ineff DropDown 2]]</f>
        <v>T8_Retrofit_4ft_2x4</v>
      </c>
      <c r="K687" s="277" t="str">
        <f>STDLIGHTINEFCAT2[[#This Row],[Match]]&amp;"_"&amp;STDLIGHTINEFCAT2[[#This Row],[Options]]</f>
        <v>T8_Retrofit_4ft_2x4_3L T8 4' 25W</v>
      </c>
      <c r="L687" s="277" t="s">
        <v>2070</v>
      </c>
      <c r="M687" s="277">
        <v>75</v>
      </c>
      <c r="N687" s="277">
        <v>66</v>
      </c>
      <c r="O687">
        <v>685</v>
      </c>
      <c r="P687" t="s">
        <v>2849</v>
      </c>
    </row>
    <row r="688" spans="9:16">
      <c r="I688" s="31" t="s">
        <v>2435</v>
      </c>
      <c r="J688" s="31" t="str">
        <f>"T8_"&amp;STDLIGHTINEFCAT2[[#This Row],[Ineff DropDown 2]]</f>
        <v>T8_Retrofit_4ft_2x4</v>
      </c>
      <c r="K688" s="277" t="str">
        <f>STDLIGHTINEFCAT2[[#This Row],[Match]]&amp;"_"&amp;STDLIGHTINEFCAT2[[#This Row],[Options]]</f>
        <v>T8_Retrofit_4ft_2x4_3L T8 4' 28W</v>
      </c>
      <c r="L688" s="277" t="s">
        <v>2074</v>
      </c>
      <c r="M688" s="277">
        <f>3*28</f>
        <v>84</v>
      </c>
      <c r="N688" s="277">
        <v>73</v>
      </c>
      <c r="O688">
        <v>686</v>
      </c>
      <c r="P688" t="s">
        <v>2849</v>
      </c>
    </row>
    <row r="689" spans="9:16">
      <c r="I689" s="31" t="s">
        <v>2435</v>
      </c>
      <c r="J689" s="31" t="str">
        <f>"T8_"&amp;STDLIGHTINEFCAT2[[#This Row],[Ineff DropDown 2]]</f>
        <v>T8_Retrofit_4ft_2x4</v>
      </c>
      <c r="K689" s="280" t="str">
        <f>STDLIGHTINEFCAT2[[#This Row],[Match]]&amp;"_"&amp;STDLIGHTINEFCAT2[[#This Row],[Options]]</f>
        <v>T8_Retrofit_4ft_2x4_3L T8 4' 32W</v>
      </c>
      <c r="L689" s="277" t="s">
        <v>2078</v>
      </c>
      <c r="M689" s="280">
        <f>3*32</f>
        <v>96</v>
      </c>
      <c r="N689" s="280">
        <v>84</v>
      </c>
      <c r="O689">
        <v>687</v>
      </c>
      <c r="P689" t="s">
        <v>2849</v>
      </c>
    </row>
    <row r="690" spans="9:16">
      <c r="I690" s="31" t="s">
        <v>2435</v>
      </c>
      <c r="J690" s="31" t="str">
        <f>"T8_"&amp;STDLIGHTINEFCAT2[[#This Row],[Ineff DropDown 2]]</f>
        <v>T8_Retrofit_4ft_2x4</v>
      </c>
      <c r="K690" s="277" t="str">
        <f>STDLIGHTINEFCAT2[[#This Row],[Match]]&amp;"_"&amp;STDLIGHTINEFCAT2[[#This Row],[Options]]</f>
        <v>T8_Retrofit_4ft_2x4_4L T8 4' 25W</v>
      </c>
      <c r="L690" s="277" t="s">
        <v>2071</v>
      </c>
      <c r="M690" s="277">
        <v>100</v>
      </c>
      <c r="N690" s="277">
        <v>88</v>
      </c>
      <c r="O690">
        <v>688</v>
      </c>
      <c r="P690" t="s">
        <v>2849</v>
      </c>
    </row>
    <row r="691" spans="9:16">
      <c r="I691" s="31" t="s">
        <v>2435</v>
      </c>
      <c r="J691" s="31" t="str">
        <f>"T8_"&amp;STDLIGHTINEFCAT2[[#This Row],[Ineff DropDown 2]]</f>
        <v>T8_Retrofit_4ft_2x4</v>
      </c>
      <c r="K691" s="280" t="str">
        <f>STDLIGHTINEFCAT2[[#This Row],[Match]]&amp;"_"&amp;STDLIGHTINEFCAT2[[#This Row],[Options]]</f>
        <v>T8_Retrofit_4ft_2x4_4L T8 4' 28W</v>
      </c>
      <c r="L691" s="280" t="s">
        <v>2075</v>
      </c>
      <c r="M691" s="280">
        <f>4*28</f>
        <v>112</v>
      </c>
      <c r="N691" s="280">
        <v>96</v>
      </c>
      <c r="O691">
        <v>689</v>
      </c>
      <c r="P691" t="s">
        <v>2849</v>
      </c>
    </row>
    <row r="692" spans="9:16">
      <c r="I692" s="31" t="s">
        <v>2435</v>
      </c>
      <c r="J692" s="31" t="str">
        <f>"T8_"&amp;STDLIGHTINEFCAT2[[#This Row],[Ineff DropDown 2]]</f>
        <v>T8_Retrofit_4ft_2x4</v>
      </c>
      <c r="K692" s="277" t="str">
        <f>STDLIGHTINEFCAT2[[#This Row],[Match]]&amp;"_"&amp;STDLIGHTINEFCAT2[[#This Row],[Options]]</f>
        <v>T8_Retrofit_4ft_2x4_4L T8 4' 32W</v>
      </c>
      <c r="L692" s="277" t="s">
        <v>2079</v>
      </c>
      <c r="M692" s="277">
        <f>4*32</f>
        <v>128</v>
      </c>
      <c r="N692" s="277">
        <v>110</v>
      </c>
      <c r="O692">
        <v>690</v>
      </c>
      <c r="P692" t="s">
        <v>2849</v>
      </c>
    </row>
    <row r="693" spans="9:16">
      <c r="I693" s="31" t="s">
        <v>2435</v>
      </c>
      <c r="J693" s="31" t="str">
        <f>"T8_"&amp;STDLIGHTINEFCAT2[[#This Row],[Ineff DropDown 2]]</f>
        <v>T8_Retrofit_4ft_2x4</v>
      </c>
      <c r="K693" s="330" t="str">
        <f>STDLIGHTINEFCAT2[[#This Row],[Match]]&amp;"_"&amp;STDLIGHTINEFCAT2[[#This Row],[Options]]</f>
        <v>T8_Retrofit_4ft_2x4_5L T8 4' 32W</v>
      </c>
      <c r="L693" s="330" t="s">
        <v>2444</v>
      </c>
      <c r="M693" s="277">
        <v>160</v>
      </c>
      <c r="N693" s="330">
        <v>148</v>
      </c>
      <c r="O693">
        <v>691</v>
      </c>
    </row>
    <row r="694" spans="9:16">
      <c r="I694" s="31" t="s">
        <v>2435</v>
      </c>
      <c r="J694" s="31" t="str">
        <f>"T8_"&amp;STDLIGHTINEFCAT2[[#This Row],[Ineff DropDown 2]]</f>
        <v>T8_Retrofit_4ft_2x4</v>
      </c>
      <c r="K694" s="277" t="str">
        <f>STDLIGHTINEFCAT2[[#This Row],[Match]]&amp;"_"&amp;STDLIGHTINEFCAT2[[#This Row],[Options]]</f>
        <v>T8_Retrofit_4ft_2x4_6L T8 4' 32W</v>
      </c>
      <c r="L694" s="277" t="s">
        <v>2080</v>
      </c>
      <c r="M694" s="277">
        <f>6*32</f>
        <v>192</v>
      </c>
      <c r="N694" s="277">
        <v>169</v>
      </c>
      <c r="O694">
        <v>692</v>
      </c>
    </row>
    <row r="695" spans="9:16">
      <c r="I695" s="31" t="s">
        <v>2211</v>
      </c>
      <c r="J695" s="31" t="str">
        <f>"T8_"&amp;STDLIGHTINEFCAT2[[#This Row],[Ineff DropDown 2]]</f>
        <v>T8_Retrofit_8ft</v>
      </c>
      <c r="K695" s="374" t="str">
        <f>STDLIGHTINEFCAT2[[#This Row],[Match]]&amp;"_"&amp;STDLIGHTINEFCAT2[[#This Row],[Options]]</f>
        <v>T8_Retrofit_8ft_1L T8 8' 59W</v>
      </c>
      <c r="L695" s="375" t="s">
        <v>2091</v>
      </c>
      <c r="M695" s="281">
        <v>59</v>
      </c>
      <c r="N695" s="374">
        <v>62</v>
      </c>
      <c r="O695">
        <v>693</v>
      </c>
      <c r="P695" t="s">
        <v>2849</v>
      </c>
    </row>
    <row r="696" spans="9:16">
      <c r="I696" s="31" t="s">
        <v>2211</v>
      </c>
      <c r="J696" s="31" t="str">
        <f>"T8_"&amp;STDLIGHTINEFCAT2[[#This Row],[Ineff DropDown 2]]</f>
        <v>T8_Retrofit_8ft</v>
      </c>
      <c r="K696" s="280" t="str">
        <f>STDLIGHTINEFCAT2[[#This Row],[Match]]&amp;"_"&amp;STDLIGHTINEFCAT2[[#This Row],[Options]]</f>
        <v>T8_Retrofit_8ft_1L T8 8' 86W</v>
      </c>
      <c r="L696" s="280" t="s">
        <v>2095</v>
      </c>
      <c r="M696" s="280">
        <v>86</v>
      </c>
      <c r="N696" s="280">
        <v>90</v>
      </c>
      <c r="O696">
        <v>694</v>
      </c>
      <c r="P696" t="s">
        <v>2849</v>
      </c>
    </row>
    <row r="697" spans="9:16">
      <c r="I697" s="31" t="s">
        <v>2211</v>
      </c>
      <c r="J697" s="31" t="str">
        <f>"T8_"&amp;STDLIGHTINEFCAT2[[#This Row],[Ineff DropDown 2]]</f>
        <v>T8_Retrofit_8ft</v>
      </c>
      <c r="K697" s="374" t="str">
        <f>STDLIGHTINEFCAT2[[#This Row],[Match]]&amp;"_"&amp;STDLIGHTINEFCAT2[[#This Row],[Options]]</f>
        <v>T8_Retrofit_8ft_2L T8 8' 59W</v>
      </c>
      <c r="L697" s="375" t="s">
        <v>2092</v>
      </c>
      <c r="M697" s="281">
        <v>118</v>
      </c>
      <c r="N697" s="374">
        <v>109</v>
      </c>
      <c r="O697">
        <v>695</v>
      </c>
      <c r="P697" t="s">
        <v>2849</v>
      </c>
    </row>
    <row r="698" spans="9:16">
      <c r="I698" s="31" t="s">
        <v>2211</v>
      </c>
      <c r="J698" s="31" t="str">
        <f>"T8_"&amp;STDLIGHTINEFCAT2[[#This Row],[Ineff DropDown 2]]</f>
        <v>T8_Retrofit_8ft</v>
      </c>
      <c r="K698" s="280" t="str">
        <f>STDLIGHTINEFCAT2[[#This Row],[Match]]&amp;"_"&amp;STDLIGHTINEFCAT2[[#This Row],[Options]]</f>
        <v>T8_Retrofit_8ft_2L T8 8' 86W</v>
      </c>
      <c r="L698" s="280" t="s">
        <v>2096</v>
      </c>
      <c r="M698" s="280">
        <f>2*86</f>
        <v>172</v>
      </c>
      <c r="N698" s="280">
        <v>160</v>
      </c>
      <c r="O698">
        <v>696</v>
      </c>
      <c r="P698" t="s">
        <v>2849</v>
      </c>
    </row>
  </sheetData>
  <sheetProtection algorithmName="SHA-512" hashValue="l3Aklzrnl1zYNkEmxP+u+q5LFO5X9WD/cwJsq2bpldUpw3gsPCZTv53vPZj26xYJ/7Pq62umyVswmgB2fQRAtw==" saltValue="8uTXqad84dy4gFFiZVQNRg==" spinCount="100000" sheet="1" objects="1" scenarios="1"/>
  <phoneticPr fontId="149" type="noConversion"/>
  <pageMargins left="0" right="0" top="0" bottom="0" header="0" footer="0"/>
  <pageSetup orientation="portrait" r:id="rId1"/>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6">
    <tabColor theme="8" tint="0.59999389629810485"/>
  </sheetPr>
  <dimension ref="B2:AZ184"/>
  <sheetViews>
    <sheetView topLeftCell="W10" zoomScale="70" zoomScaleNormal="70" workbookViewId="0">
      <selection activeCell="AP44" sqref="AP44"/>
    </sheetView>
  </sheetViews>
  <sheetFormatPr defaultColWidth="4.7109375" defaultRowHeight="15"/>
  <cols>
    <col min="1" max="1" width="4.7109375" customWidth="1"/>
    <col min="2" max="2" width="26" bestFit="1" customWidth="1"/>
    <col min="3" max="3" width="24" bestFit="1" customWidth="1"/>
    <col min="4" max="4" width="4.7109375" customWidth="1"/>
    <col min="5" max="5" width="8.140625" style="19" bestFit="1" customWidth="1"/>
    <col min="6" max="6" width="30.7109375" bestFit="1" customWidth="1"/>
    <col min="7" max="7" width="38.85546875" bestFit="1" customWidth="1"/>
    <col min="8" max="8" width="8.140625" bestFit="1" customWidth="1"/>
    <col min="9" max="9" width="8.140625" customWidth="1"/>
    <col min="10" max="10" width="33.5703125" bestFit="1" customWidth="1"/>
    <col min="11" max="11" width="28.28515625" bestFit="1" customWidth="1"/>
    <col min="12" max="12" width="28.7109375" bestFit="1" customWidth="1"/>
    <col min="13" max="13" width="8.140625" bestFit="1" customWidth="1"/>
    <col min="14" max="14" width="7.85546875" bestFit="1" customWidth="1"/>
    <col min="15" max="15" width="10.7109375" bestFit="1" customWidth="1"/>
    <col min="16" max="16" width="4.7109375" customWidth="1"/>
    <col min="17" max="17" width="8.140625" style="19" bestFit="1" customWidth="1"/>
    <col min="18" max="18" width="33.7109375" customWidth="1"/>
    <col min="19" max="19" width="29.28515625" bestFit="1" customWidth="1"/>
    <col min="20" max="21" width="8.140625" bestFit="1" customWidth="1"/>
    <col min="22" max="22" width="28.7109375" bestFit="1" customWidth="1"/>
    <col min="23" max="23" width="32.5703125" bestFit="1" customWidth="1"/>
    <col min="24" max="24" width="15.28515625" customWidth="1"/>
    <col min="25" max="26" width="8.140625" bestFit="1" customWidth="1"/>
    <col min="27" max="27" width="8.7109375" bestFit="1" customWidth="1"/>
    <col min="28" max="28" width="21.42578125" bestFit="1" customWidth="1"/>
    <col min="29" max="29" width="4.7109375" customWidth="1"/>
    <col min="30" max="30" width="22.140625" bestFit="1" customWidth="1"/>
    <col min="31" max="31" width="4.7109375" customWidth="1"/>
    <col min="32" max="32" width="24" style="19" bestFit="1" customWidth="1"/>
    <col min="33" max="33" width="24.28515625" bestFit="1" customWidth="1"/>
    <col min="34" max="34" width="92.85546875" bestFit="1" customWidth="1"/>
    <col min="35" max="35" width="12.7109375" customWidth="1"/>
    <col min="36" max="36" width="10.140625" customWidth="1"/>
    <col min="37" max="37" width="9.5703125" bestFit="1" customWidth="1"/>
    <col min="38" max="38" width="22.42578125" hidden="1" customWidth="1"/>
    <col min="39" max="39" width="28.28515625" hidden="1" customWidth="1"/>
    <col min="40" max="40" width="28.7109375" hidden="1" customWidth="1"/>
    <col min="41" max="41" width="10.7109375" hidden="1" customWidth="1"/>
    <col min="42" max="42" width="11.42578125" bestFit="1" customWidth="1"/>
    <col min="43" max="43" width="28.140625" bestFit="1" customWidth="1"/>
    <col min="44" max="44" width="12.42578125" bestFit="1" customWidth="1"/>
    <col min="45" max="45" width="16.85546875" bestFit="1" customWidth="1"/>
    <col min="46" max="46" width="29.28515625" bestFit="1" customWidth="1"/>
    <col min="47" max="47" width="25.7109375" bestFit="1" customWidth="1"/>
    <col min="48" max="48" width="28" customWidth="1"/>
    <col min="49" max="49" width="31" bestFit="1" customWidth="1"/>
    <col min="50" max="50" width="24.28515625" bestFit="1" customWidth="1"/>
    <col min="51" max="52" width="14.85546875" bestFit="1" customWidth="1"/>
    <col min="53" max="60" width="4.7109375" customWidth="1"/>
  </cols>
  <sheetData>
    <row r="2" spans="2:52" ht="60">
      <c r="B2" t="s">
        <v>1299</v>
      </c>
      <c r="C2" t="s">
        <v>85</v>
      </c>
      <c r="E2" s="28" t="s">
        <v>85</v>
      </c>
      <c r="F2" s="29" t="s">
        <v>99</v>
      </c>
      <c r="G2" s="29" t="s">
        <v>100</v>
      </c>
      <c r="H2" s="29" t="s">
        <v>113</v>
      </c>
      <c r="I2" s="29" t="s">
        <v>133</v>
      </c>
      <c r="J2" s="27" t="s">
        <v>86</v>
      </c>
      <c r="K2" s="27" t="s">
        <v>331</v>
      </c>
      <c r="L2" s="27" t="s">
        <v>332</v>
      </c>
      <c r="M2" s="29" t="s">
        <v>87</v>
      </c>
      <c r="N2" s="29" t="s">
        <v>336</v>
      </c>
      <c r="O2" s="29" t="s">
        <v>512</v>
      </c>
      <c r="P2" s="29"/>
      <c r="Q2" s="28" t="s">
        <v>85</v>
      </c>
      <c r="R2" s="29" t="s">
        <v>101</v>
      </c>
      <c r="S2" s="29" t="s">
        <v>102</v>
      </c>
      <c r="T2" s="29" t="s">
        <v>114</v>
      </c>
      <c r="U2" s="29" t="s">
        <v>115</v>
      </c>
      <c r="V2" s="29" t="s">
        <v>86</v>
      </c>
      <c r="W2" s="29" t="s">
        <v>331</v>
      </c>
      <c r="X2" s="29" t="s">
        <v>332</v>
      </c>
      <c r="Y2" s="29" t="s">
        <v>87</v>
      </c>
      <c r="Z2" s="29" t="s">
        <v>88</v>
      </c>
      <c r="AA2" s="29" t="s">
        <v>336</v>
      </c>
      <c r="AB2" s="29" t="s">
        <v>512</v>
      </c>
      <c r="AC2" s="23"/>
      <c r="AE2" s="24"/>
      <c r="AF2" s="25" t="s">
        <v>85</v>
      </c>
      <c r="AG2" s="25" t="s">
        <v>531</v>
      </c>
      <c r="AH2" s="24" t="s">
        <v>456</v>
      </c>
      <c r="AI2" s="24" t="s">
        <v>457</v>
      </c>
      <c r="AJ2" t="s">
        <v>541</v>
      </c>
      <c r="AK2" t="s">
        <v>88</v>
      </c>
      <c r="AL2" s="24" t="s">
        <v>86</v>
      </c>
      <c r="AM2" s="24" t="s">
        <v>331</v>
      </c>
      <c r="AN2" s="24" t="s">
        <v>332</v>
      </c>
      <c r="AO2" s="24" t="s">
        <v>433</v>
      </c>
      <c r="AP2" t="s">
        <v>336</v>
      </c>
      <c r="AQ2" s="24" t="s">
        <v>432</v>
      </c>
      <c r="AR2" s="24" t="s">
        <v>322</v>
      </c>
      <c r="AS2" t="s">
        <v>569</v>
      </c>
      <c r="AT2" s="24" t="s">
        <v>431</v>
      </c>
      <c r="AU2" s="57" t="s">
        <v>1116</v>
      </c>
      <c r="AV2" t="s">
        <v>2049</v>
      </c>
      <c r="AW2" t="s">
        <v>1239</v>
      </c>
      <c r="AX2" t="s">
        <v>2057</v>
      </c>
      <c r="AY2" t="s">
        <v>2058</v>
      </c>
      <c r="AZ2" t="s">
        <v>2059</v>
      </c>
    </row>
    <row r="3" spans="2:52" ht="14.45" customHeight="1">
      <c r="B3" t="s">
        <v>323</v>
      </c>
      <c r="C3">
        <v>1</v>
      </c>
      <c r="E3" s="43"/>
      <c r="F3" s="44" t="s">
        <v>1336</v>
      </c>
      <c r="G3" s="44"/>
      <c r="H3" s="44" t="str">
        <f>""</f>
        <v/>
      </c>
      <c r="I3" s="44"/>
      <c r="J3" s="44" t="s">
        <v>397</v>
      </c>
      <c r="K3" s="44"/>
      <c r="L3" s="44"/>
      <c r="M3" s="44" t="s">
        <v>91</v>
      </c>
      <c r="N3" s="44">
        <v>1</v>
      </c>
      <c r="O3" s="44"/>
      <c r="Q3" s="19" t="s">
        <v>1641</v>
      </c>
      <c r="R3" t="s">
        <v>1329</v>
      </c>
      <c r="S3" s="24"/>
      <c r="T3" s="24" t="str">
        <f>""</f>
        <v/>
      </c>
      <c r="U3" s="24"/>
      <c r="V3" s="24" t="s">
        <v>90</v>
      </c>
      <c r="W3" s="24" t="s">
        <v>429</v>
      </c>
      <c r="X3" s="24"/>
      <c r="Y3" s="24" t="s">
        <v>91</v>
      </c>
      <c r="Z3" s="24">
        <v>15</v>
      </c>
      <c r="AA3" s="26">
        <v>1</v>
      </c>
      <c r="AB3" s="24"/>
      <c r="AC3" s="24"/>
      <c r="AE3" s="24"/>
      <c r="AF3" s="43" t="s">
        <v>1550</v>
      </c>
      <c r="AG3" s="19" t="s">
        <v>1312</v>
      </c>
      <c r="AH3" t="s">
        <v>609</v>
      </c>
      <c r="AI3" s="442"/>
      <c r="AK3" s="442">
        <v>15</v>
      </c>
      <c r="AL3" s="442"/>
      <c r="AM3" s="442"/>
      <c r="AN3" s="442"/>
      <c r="AO3" s="442"/>
      <c r="AP3" s="24">
        <v>1</v>
      </c>
      <c r="AQ3" s="24" t="s">
        <v>2138</v>
      </c>
      <c r="AR3" s="443"/>
      <c r="AS3" t="s">
        <v>523</v>
      </c>
      <c r="AT3" s="24" t="s">
        <v>94</v>
      </c>
      <c r="AU3" s="57" t="s">
        <v>1119</v>
      </c>
    </row>
    <row r="4" spans="2:52">
      <c r="B4" t="s">
        <v>1300</v>
      </c>
      <c r="C4">
        <v>2</v>
      </c>
      <c r="E4" s="43"/>
      <c r="F4" s="44" t="s">
        <v>1335</v>
      </c>
      <c r="G4" s="44"/>
      <c r="H4" s="44" t="str">
        <f>""</f>
        <v/>
      </c>
      <c r="I4" s="44"/>
      <c r="J4" s="44" t="s">
        <v>686</v>
      </c>
      <c r="K4" s="44"/>
      <c r="L4" s="44"/>
      <c r="M4" s="44" t="s">
        <v>91</v>
      </c>
      <c r="N4" s="44">
        <v>2</v>
      </c>
      <c r="O4" s="44"/>
      <c r="Q4" s="19" t="s">
        <v>1640</v>
      </c>
      <c r="R4" t="s">
        <v>1328</v>
      </c>
      <c r="S4" s="24"/>
      <c r="T4" s="24" t="str">
        <f>""</f>
        <v/>
      </c>
      <c r="U4" s="24"/>
      <c r="V4" s="24" t="s">
        <v>90</v>
      </c>
      <c r="W4" s="24" t="s">
        <v>430</v>
      </c>
      <c r="X4" s="24"/>
      <c r="Y4" s="24" t="s">
        <v>91</v>
      </c>
      <c r="Z4" s="24">
        <v>15</v>
      </c>
      <c r="AA4" s="26">
        <v>2</v>
      </c>
      <c r="AB4" s="24"/>
      <c r="AC4" s="24"/>
      <c r="AE4" s="24"/>
      <c r="AF4" s="43" t="s">
        <v>1551</v>
      </c>
      <c r="AG4" s="19" t="s">
        <v>1312</v>
      </c>
      <c r="AH4" s="24" t="s">
        <v>532</v>
      </c>
      <c r="AI4" s="24"/>
      <c r="AK4" s="24">
        <v>23</v>
      </c>
      <c r="AL4" s="24"/>
      <c r="AM4" s="24"/>
      <c r="AN4" s="24"/>
      <c r="AO4" s="24"/>
      <c r="AP4" s="24">
        <v>2</v>
      </c>
      <c r="AQ4" s="24" t="s">
        <v>1858</v>
      </c>
      <c r="AR4" s="25"/>
      <c r="AS4" t="s">
        <v>523</v>
      </c>
      <c r="AT4" s="24" t="s">
        <v>94</v>
      </c>
      <c r="AU4" s="57" t="s">
        <v>1117</v>
      </c>
    </row>
    <row r="5" spans="2:52">
      <c r="B5" t="s">
        <v>324</v>
      </c>
      <c r="C5">
        <v>3</v>
      </c>
      <c r="E5" s="43"/>
      <c r="F5" s="44" t="s">
        <v>1334</v>
      </c>
      <c r="G5" s="44"/>
      <c r="H5" s="44" t="str">
        <f>""</f>
        <v/>
      </c>
      <c r="I5" s="44"/>
      <c r="J5" s="44" t="s">
        <v>398</v>
      </c>
      <c r="K5" s="44"/>
      <c r="L5" s="44"/>
      <c r="M5" s="44" t="s">
        <v>91</v>
      </c>
      <c r="N5" s="44">
        <v>3</v>
      </c>
      <c r="O5" s="44"/>
      <c r="Q5" s="19" t="s">
        <v>1640</v>
      </c>
      <c r="R5" t="s">
        <v>2854</v>
      </c>
      <c r="V5" t="s">
        <v>90</v>
      </c>
      <c r="W5" t="s">
        <v>2855</v>
      </c>
      <c r="Y5" t="s">
        <v>91</v>
      </c>
      <c r="Z5" s="388">
        <v>15</v>
      </c>
      <c r="AA5" s="26">
        <v>3</v>
      </c>
      <c r="AC5" s="24"/>
      <c r="AE5" s="24"/>
      <c r="AF5" s="43" t="s">
        <v>1552</v>
      </c>
      <c r="AG5" s="19" t="s">
        <v>1312</v>
      </c>
      <c r="AH5" t="s">
        <v>607</v>
      </c>
      <c r="AI5" s="442"/>
      <c r="AK5" s="442">
        <v>15</v>
      </c>
      <c r="AL5" s="442"/>
      <c r="AM5" s="442"/>
      <c r="AN5" s="442"/>
      <c r="AO5" s="442"/>
      <c r="AP5" s="24">
        <v>3</v>
      </c>
      <c r="AQ5" s="24" t="s">
        <v>2138</v>
      </c>
      <c r="AR5" s="443"/>
      <c r="AS5" t="s">
        <v>523</v>
      </c>
      <c r="AT5" s="24" t="s">
        <v>94</v>
      </c>
      <c r="AU5" s="57" t="s">
        <v>1117</v>
      </c>
    </row>
    <row r="6" spans="2:52">
      <c r="B6" t="s">
        <v>1326</v>
      </c>
      <c r="C6">
        <v>4</v>
      </c>
      <c r="E6" s="45"/>
      <c r="F6" s="44" t="s">
        <v>610</v>
      </c>
      <c r="G6" s="44"/>
      <c r="H6" s="44" t="s">
        <v>465</v>
      </c>
      <c r="I6" s="44"/>
      <c r="J6" s="44"/>
      <c r="K6" s="44"/>
      <c r="L6" s="44"/>
      <c r="M6" s="44" t="s">
        <v>91</v>
      </c>
      <c r="N6" s="44">
        <v>4</v>
      </c>
      <c r="O6" s="44"/>
      <c r="Q6" s="19" t="s">
        <v>1642</v>
      </c>
      <c r="R6" t="s">
        <v>1330</v>
      </c>
      <c r="S6" s="24"/>
      <c r="T6" s="24" t="str">
        <f>""</f>
        <v/>
      </c>
      <c r="U6" s="24"/>
      <c r="V6" t="s">
        <v>571</v>
      </c>
      <c r="W6" s="24" t="s">
        <v>97</v>
      </c>
      <c r="X6" s="24"/>
      <c r="Y6" s="24" t="s">
        <v>91</v>
      </c>
      <c r="Z6" s="24">
        <v>15</v>
      </c>
      <c r="AA6" s="26">
        <v>7</v>
      </c>
      <c r="AB6" s="24"/>
      <c r="AC6" s="24"/>
      <c r="AE6" s="24"/>
      <c r="AF6" s="43" t="s">
        <v>1553</v>
      </c>
      <c r="AG6" s="19" t="s">
        <v>1312</v>
      </c>
      <c r="AH6" s="24" t="s">
        <v>537</v>
      </c>
      <c r="AI6" s="24"/>
      <c r="AK6" s="24">
        <v>15</v>
      </c>
      <c r="AL6" s="24"/>
      <c r="AM6" s="24"/>
      <c r="AN6" s="24"/>
      <c r="AO6" s="24"/>
      <c r="AP6" s="24">
        <v>4</v>
      </c>
      <c r="AQ6" s="24" t="s">
        <v>1858</v>
      </c>
      <c r="AR6" s="25"/>
      <c r="AS6" t="s">
        <v>523</v>
      </c>
      <c r="AT6" s="24" t="s">
        <v>94</v>
      </c>
      <c r="AU6" s="57" t="s">
        <v>1117</v>
      </c>
    </row>
    <row r="7" spans="2:52">
      <c r="B7" t="s">
        <v>1327</v>
      </c>
      <c r="C7">
        <v>5</v>
      </c>
      <c r="E7" s="43"/>
      <c r="F7" s="44" t="s">
        <v>337</v>
      </c>
      <c r="G7" s="44" t="s">
        <v>652</v>
      </c>
      <c r="H7" s="44">
        <v>28</v>
      </c>
      <c r="I7" s="44"/>
      <c r="J7" s="44" t="s">
        <v>98</v>
      </c>
      <c r="K7" s="44" t="s">
        <v>330</v>
      </c>
      <c r="L7" s="44" t="s">
        <v>333</v>
      </c>
      <c r="M7" s="44" t="s">
        <v>91</v>
      </c>
      <c r="N7" s="44">
        <v>5</v>
      </c>
      <c r="O7" s="44" t="s">
        <v>513</v>
      </c>
      <c r="Q7" s="25"/>
      <c r="R7" s="24"/>
      <c r="S7" s="24"/>
      <c r="T7" s="24"/>
      <c r="U7" s="24"/>
      <c r="V7" s="24"/>
      <c r="W7" s="24"/>
      <c r="X7" s="24"/>
      <c r="Y7" s="24"/>
      <c r="Z7" s="24"/>
      <c r="AA7" s="24"/>
      <c r="AB7" s="24"/>
      <c r="AC7" s="24"/>
      <c r="AE7" s="24"/>
      <c r="AF7" s="43" t="s">
        <v>1554</v>
      </c>
      <c r="AG7" s="19" t="s">
        <v>1312</v>
      </c>
      <c r="AH7" s="24" t="s">
        <v>536</v>
      </c>
      <c r="AI7" s="24"/>
      <c r="AK7" s="24">
        <v>15</v>
      </c>
      <c r="AL7" s="24"/>
      <c r="AM7" s="24"/>
      <c r="AN7" s="24"/>
      <c r="AO7" s="24"/>
      <c r="AP7" s="24">
        <v>5</v>
      </c>
      <c r="AQ7" s="24" t="s">
        <v>2138</v>
      </c>
      <c r="AR7" s="25"/>
      <c r="AS7" t="s">
        <v>523</v>
      </c>
      <c r="AT7" s="24" t="s">
        <v>94</v>
      </c>
      <c r="AU7" s="57" t="s">
        <v>1118</v>
      </c>
    </row>
    <row r="8" spans="2:52">
      <c r="E8" s="43"/>
      <c r="F8" s="44" t="s">
        <v>338</v>
      </c>
      <c r="G8" s="44" t="s">
        <v>653</v>
      </c>
      <c r="H8" s="44">
        <v>56</v>
      </c>
      <c r="I8" s="44"/>
      <c r="J8" s="44" t="s">
        <v>98</v>
      </c>
      <c r="K8" s="44" t="s">
        <v>330</v>
      </c>
      <c r="L8" s="44" t="s">
        <v>399</v>
      </c>
      <c r="M8" s="44" t="s">
        <v>91</v>
      </c>
      <c r="N8" s="44">
        <v>6</v>
      </c>
      <c r="O8" s="44" t="s">
        <v>514</v>
      </c>
      <c r="Q8" s="25"/>
      <c r="R8" s="24"/>
      <c r="S8" s="24"/>
      <c r="T8" s="24"/>
      <c r="U8" s="24"/>
      <c r="V8" s="24"/>
      <c r="W8" s="24"/>
      <c r="X8" s="24"/>
      <c r="Y8" s="24"/>
      <c r="Z8" s="24"/>
      <c r="AA8" s="24"/>
      <c r="AB8" s="24"/>
      <c r="AC8" s="24"/>
      <c r="AE8" s="24"/>
      <c r="AF8" s="43" t="s">
        <v>1555</v>
      </c>
      <c r="AG8" s="19" t="s">
        <v>1312</v>
      </c>
      <c r="AH8" t="s">
        <v>557</v>
      </c>
      <c r="AI8" s="24"/>
      <c r="AK8" s="24">
        <v>15</v>
      </c>
      <c r="AL8" s="24"/>
      <c r="AM8" s="24"/>
      <c r="AN8" s="24"/>
      <c r="AO8" s="24"/>
      <c r="AP8" s="24">
        <v>6</v>
      </c>
      <c r="AQ8" s="24" t="s">
        <v>1145</v>
      </c>
      <c r="AR8" s="25"/>
      <c r="AS8" t="s">
        <v>523</v>
      </c>
      <c r="AT8" s="24" t="s">
        <v>94</v>
      </c>
      <c r="AU8" s="57" t="s">
        <v>1119</v>
      </c>
    </row>
    <row r="9" spans="2:52">
      <c r="E9" s="43"/>
      <c r="F9" s="44" t="s">
        <v>636</v>
      </c>
      <c r="G9" s="44" t="s">
        <v>654</v>
      </c>
      <c r="H9" s="44">
        <v>62</v>
      </c>
      <c r="I9" s="44"/>
      <c r="J9" s="44" t="s">
        <v>98</v>
      </c>
      <c r="K9" s="44" t="s">
        <v>330</v>
      </c>
      <c r="L9" s="44" t="s">
        <v>402</v>
      </c>
      <c r="M9" s="44" t="s">
        <v>91</v>
      </c>
      <c r="N9" s="44">
        <v>7</v>
      </c>
      <c r="O9" s="44" t="s">
        <v>514</v>
      </c>
      <c r="Q9" s="25"/>
      <c r="R9" s="24"/>
      <c r="S9" s="24"/>
      <c r="T9" s="24"/>
      <c r="U9" s="24"/>
      <c r="V9" s="24"/>
      <c r="W9" s="24"/>
      <c r="X9" s="24"/>
      <c r="Y9" s="24"/>
      <c r="Z9" s="24"/>
      <c r="AA9" s="24"/>
      <c r="AB9" s="24"/>
      <c r="AC9" s="24"/>
      <c r="AE9" s="24"/>
      <c r="AF9" s="43" t="s">
        <v>1773</v>
      </c>
      <c r="AG9" s="19" t="s">
        <v>1312</v>
      </c>
      <c r="AH9" t="s">
        <v>1761</v>
      </c>
      <c r="AI9" s="24"/>
      <c r="AK9" s="24">
        <v>10</v>
      </c>
      <c r="AL9" s="24"/>
      <c r="AM9" s="24"/>
      <c r="AN9" s="24"/>
      <c r="AO9" s="24"/>
      <c r="AP9" s="24">
        <v>7</v>
      </c>
      <c r="AQ9" t="s">
        <v>1894</v>
      </c>
      <c r="AR9" s="25"/>
      <c r="AS9" t="s">
        <v>523</v>
      </c>
      <c r="AT9" s="24" t="s">
        <v>94</v>
      </c>
      <c r="AU9" t="s">
        <v>1767</v>
      </c>
    </row>
    <row r="10" spans="2:52">
      <c r="E10" s="43"/>
      <c r="F10" s="44" t="s">
        <v>637</v>
      </c>
      <c r="G10" s="44" t="s">
        <v>655</v>
      </c>
      <c r="H10" s="44">
        <v>112</v>
      </c>
      <c r="I10" s="44"/>
      <c r="J10" s="44" t="s">
        <v>98</v>
      </c>
      <c r="K10" s="44" t="s">
        <v>330</v>
      </c>
      <c r="L10" s="44" t="s">
        <v>403</v>
      </c>
      <c r="M10" s="44" t="s">
        <v>91</v>
      </c>
      <c r="N10" s="44">
        <v>8</v>
      </c>
      <c r="O10" s="44" t="s">
        <v>514</v>
      </c>
      <c r="Q10" s="25"/>
      <c r="R10" s="24"/>
      <c r="S10" s="24"/>
      <c r="T10" s="24"/>
      <c r="U10" s="24"/>
      <c r="V10" s="24"/>
      <c r="W10" s="24"/>
      <c r="X10" s="24"/>
      <c r="Y10" s="24"/>
      <c r="Z10" s="24"/>
      <c r="AA10" s="24"/>
      <c r="AB10" s="24"/>
      <c r="AC10" s="24"/>
      <c r="AD10" s="11"/>
      <c r="AE10" s="24"/>
      <c r="AF10" s="43" t="s">
        <v>2386</v>
      </c>
      <c r="AG10" s="19" t="s">
        <v>1312</v>
      </c>
      <c r="AH10" t="s">
        <v>2385</v>
      </c>
      <c r="AK10">
        <v>15</v>
      </c>
      <c r="AP10" s="24">
        <v>8</v>
      </c>
      <c r="AQ10" s="24" t="s">
        <v>94</v>
      </c>
      <c r="AR10" s="19"/>
      <c r="AS10" s="444" t="s">
        <v>523</v>
      </c>
      <c r="AT10" t="s">
        <v>94</v>
      </c>
      <c r="AU10" t="s">
        <v>2455</v>
      </c>
    </row>
    <row r="11" spans="2:52">
      <c r="E11" s="43"/>
      <c r="F11" s="44" t="s">
        <v>339</v>
      </c>
      <c r="G11" s="44" t="s">
        <v>656</v>
      </c>
      <c r="H11" s="44">
        <v>37</v>
      </c>
      <c r="I11" s="44"/>
      <c r="J11" s="44" t="s">
        <v>98</v>
      </c>
      <c r="K11" s="44" t="s">
        <v>400</v>
      </c>
      <c r="L11" s="44" t="s">
        <v>333</v>
      </c>
      <c r="M11" s="44" t="s">
        <v>91</v>
      </c>
      <c r="N11" s="44">
        <v>9</v>
      </c>
      <c r="O11" s="44" t="s">
        <v>514</v>
      </c>
      <c r="Q11" s="25"/>
      <c r="R11" s="24"/>
      <c r="S11" s="24"/>
      <c r="T11" s="24"/>
      <c r="U11" s="24"/>
      <c r="V11" s="24"/>
      <c r="W11" s="24"/>
      <c r="X11" s="24"/>
      <c r="Y11" s="24"/>
      <c r="Z11" s="24"/>
      <c r="AA11" s="24"/>
      <c r="AB11" s="24"/>
      <c r="AC11" s="24"/>
      <c r="AD11" s="11"/>
      <c r="AE11" s="24"/>
      <c r="AF11" s="43" t="s">
        <v>1774</v>
      </c>
      <c r="AG11" s="19" t="s">
        <v>1312</v>
      </c>
      <c r="AH11" t="s">
        <v>1751</v>
      </c>
      <c r="AI11" s="24"/>
      <c r="AK11" s="24">
        <v>10</v>
      </c>
      <c r="AL11" s="24"/>
      <c r="AM11" s="24"/>
      <c r="AN11" s="24"/>
      <c r="AO11" s="24"/>
      <c r="AP11" s="24">
        <v>9</v>
      </c>
      <c r="AQ11" s="24" t="s">
        <v>2139</v>
      </c>
      <c r="AR11" s="25"/>
      <c r="AT11" s="24" t="s">
        <v>94</v>
      </c>
      <c r="AU11" t="s">
        <v>1117</v>
      </c>
    </row>
    <row r="12" spans="2:52">
      <c r="E12" s="43"/>
      <c r="F12" s="44" t="s">
        <v>340</v>
      </c>
      <c r="G12" s="44" t="s">
        <v>657</v>
      </c>
      <c r="H12" s="44">
        <v>74</v>
      </c>
      <c r="I12" s="44"/>
      <c r="J12" s="44" t="s">
        <v>98</v>
      </c>
      <c r="K12" s="44" t="s">
        <v>400</v>
      </c>
      <c r="L12" s="44" t="s">
        <v>399</v>
      </c>
      <c r="M12" s="44" t="s">
        <v>91</v>
      </c>
      <c r="N12" s="44">
        <v>10</v>
      </c>
      <c r="O12" s="44" t="s">
        <v>514</v>
      </c>
      <c r="Q12" s="25"/>
      <c r="R12" s="24"/>
      <c r="S12" s="24"/>
      <c r="T12" s="24"/>
      <c r="U12" s="24"/>
      <c r="V12" s="24"/>
      <c r="W12" s="24"/>
      <c r="X12" s="24"/>
      <c r="Y12" s="24"/>
      <c r="Z12" s="24"/>
      <c r="AA12" s="24"/>
      <c r="AB12" s="24"/>
      <c r="AC12" s="24"/>
      <c r="AD12" s="11"/>
      <c r="AE12" s="24"/>
      <c r="AF12" s="43" t="s">
        <v>1775</v>
      </c>
      <c r="AG12" s="19" t="s">
        <v>1312</v>
      </c>
      <c r="AH12" t="s">
        <v>1762</v>
      </c>
      <c r="AI12" s="24"/>
      <c r="AJ12" s="24"/>
      <c r="AK12" s="24">
        <v>15</v>
      </c>
      <c r="AL12" s="24"/>
      <c r="AM12" s="24"/>
      <c r="AN12" s="24"/>
      <c r="AO12" s="24"/>
      <c r="AP12" s="24">
        <v>10</v>
      </c>
      <c r="AQ12" s="24" t="s">
        <v>1145</v>
      </c>
      <c r="AR12" s="25"/>
      <c r="AS12" t="s">
        <v>523</v>
      </c>
      <c r="AT12" s="24" t="s">
        <v>94</v>
      </c>
      <c r="AU12" t="s">
        <v>1119</v>
      </c>
    </row>
    <row r="13" spans="2:52">
      <c r="E13" s="43"/>
      <c r="F13" s="44" t="s">
        <v>638</v>
      </c>
      <c r="G13" s="44" t="s">
        <v>658</v>
      </c>
      <c r="H13" s="44">
        <v>111</v>
      </c>
      <c r="I13" s="44"/>
      <c r="J13" s="44" t="s">
        <v>98</v>
      </c>
      <c r="K13" s="44" t="s">
        <v>400</v>
      </c>
      <c r="L13" s="44" t="s">
        <v>402</v>
      </c>
      <c r="M13" s="44" t="s">
        <v>91</v>
      </c>
      <c r="N13" s="44">
        <v>11</v>
      </c>
      <c r="O13" s="44" t="s">
        <v>514</v>
      </c>
      <c r="Q13" s="25"/>
      <c r="R13" s="24"/>
      <c r="S13" s="24"/>
      <c r="T13" s="24"/>
      <c r="U13" s="24"/>
      <c r="V13" s="24"/>
      <c r="W13" s="24"/>
      <c r="X13" s="24"/>
      <c r="Y13" s="24"/>
      <c r="Z13" s="24"/>
      <c r="AA13" s="24"/>
      <c r="AB13" s="24"/>
      <c r="AC13" s="24"/>
      <c r="AD13" s="11"/>
      <c r="AE13" s="24"/>
      <c r="AF13" s="43" t="s">
        <v>2255</v>
      </c>
      <c r="AG13" s="19" t="s">
        <v>1312</v>
      </c>
      <c r="AH13" t="s">
        <v>1753</v>
      </c>
      <c r="AI13" s="24"/>
      <c r="AK13" s="24">
        <v>15</v>
      </c>
      <c r="AL13" s="24"/>
      <c r="AM13" s="24"/>
      <c r="AN13" s="24"/>
      <c r="AO13" s="24"/>
      <c r="AP13" s="24">
        <v>11</v>
      </c>
      <c r="AQ13" s="24" t="s">
        <v>94</v>
      </c>
      <c r="AR13" s="25"/>
      <c r="AS13" t="s">
        <v>523</v>
      </c>
      <c r="AT13" s="24" t="s">
        <v>94</v>
      </c>
      <c r="AU13" t="s">
        <v>1767</v>
      </c>
    </row>
    <row r="14" spans="2:52">
      <c r="E14" s="43"/>
      <c r="F14" s="44" t="s">
        <v>639</v>
      </c>
      <c r="G14" s="44" t="s">
        <v>659</v>
      </c>
      <c r="H14" s="44">
        <v>148</v>
      </c>
      <c r="I14" s="44"/>
      <c r="J14" s="44" t="s">
        <v>98</v>
      </c>
      <c r="K14" s="44" t="s">
        <v>400</v>
      </c>
      <c r="L14" s="44" t="s">
        <v>403</v>
      </c>
      <c r="M14" s="44" t="s">
        <v>91</v>
      </c>
      <c r="N14" s="44">
        <v>12</v>
      </c>
      <c r="O14" s="44" t="s">
        <v>514</v>
      </c>
      <c r="Q14" s="25"/>
      <c r="R14" s="24"/>
      <c r="S14" s="24"/>
      <c r="T14" s="24"/>
      <c r="U14" s="24"/>
      <c r="V14" s="24"/>
      <c r="W14" s="24"/>
      <c r="X14" s="24"/>
      <c r="Y14" s="24"/>
      <c r="Z14" s="24"/>
      <c r="AA14" s="24"/>
      <c r="AB14" s="24"/>
      <c r="AC14" s="24"/>
      <c r="AD14" s="11"/>
      <c r="AE14" s="24"/>
      <c r="AF14" s="43" t="s">
        <v>2257</v>
      </c>
      <c r="AG14" s="19" t="s">
        <v>1312</v>
      </c>
      <c r="AH14" t="s">
        <v>1752</v>
      </c>
      <c r="AI14" s="24"/>
      <c r="AK14" s="24">
        <v>15</v>
      </c>
      <c r="AL14" s="24"/>
      <c r="AM14" s="24"/>
      <c r="AN14" s="24"/>
      <c r="AO14" s="24"/>
      <c r="AP14" s="24">
        <v>12</v>
      </c>
      <c r="AQ14" s="24" t="s">
        <v>94</v>
      </c>
      <c r="AR14" s="25"/>
      <c r="AS14" t="s">
        <v>523</v>
      </c>
      <c r="AT14" s="24" t="s">
        <v>94</v>
      </c>
      <c r="AU14" t="s">
        <v>1767</v>
      </c>
    </row>
    <row r="15" spans="2:52">
      <c r="E15" s="43"/>
      <c r="F15" s="44" t="s">
        <v>341</v>
      </c>
      <c r="G15" s="44" t="s">
        <v>660</v>
      </c>
      <c r="H15" s="44">
        <v>48</v>
      </c>
      <c r="I15" s="44"/>
      <c r="J15" s="44" t="s">
        <v>98</v>
      </c>
      <c r="K15" s="44" t="s">
        <v>401</v>
      </c>
      <c r="L15" s="44" t="s">
        <v>333</v>
      </c>
      <c r="M15" s="44" t="s">
        <v>91</v>
      </c>
      <c r="N15" s="44">
        <v>13</v>
      </c>
      <c r="O15" s="44" t="s">
        <v>514</v>
      </c>
      <c r="Q15" s="25"/>
      <c r="R15" s="24"/>
      <c r="S15" s="24"/>
      <c r="T15" s="24"/>
      <c r="U15" s="24"/>
      <c r="V15" s="24"/>
      <c r="W15" s="24"/>
      <c r="X15" s="24"/>
      <c r="Y15" s="24"/>
      <c r="Z15" s="24"/>
      <c r="AA15" s="24"/>
      <c r="AB15" s="24"/>
      <c r="AC15" s="24"/>
      <c r="AD15" s="11"/>
      <c r="AE15" s="24"/>
      <c r="AF15" s="43" t="s">
        <v>1556</v>
      </c>
      <c r="AG15" s="19" t="s">
        <v>1312</v>
      </c>
      <c r="AH15" s="24" t="s">
        <v>2406</v>
      </c>
      <c r="AI15" s="24"/>
      <c r="AK15" s="24">
        <v>15</v>
      </c>
      <c r="AL15" s="24"/>
      <c r="AM15" s="24"/>
      <c r="AN15" s="24"/>
      <c r="AO15" s="24"/>
      <c r="AP15" s="24">
        <v>13</v>
      </c>
      <c r="AQ15" s="24" t="s">
        <v>2139</v>
      </c>
      <c r="AR15" s="25"/>
      <c r="AS15" t="s">
        <v>523</v>
      </c>
      <c r="AT15" s="24" t="s">
        <v>94</v>
      </c>
      <c r="AU15" s="57" t="s">
        <v>1118</v>
      </c>
    </row>
    <row r="16" spans="2:52">
      <c r="E16" s="43"/>
      <c r="F16" s="44" t="s">
        <v>342</v>
      </c>
      <c r="G16" s="44" t="s">
        <v>661</v>
      </c>
      <c r="H16" s="44">
        <v>82</v>
      </c>
      <c r="I16" s="44"/>
      <c r="J16" s="44" t="s">
        <v>98</v>
      </c>
      <c r="K16" s="44" t="s">
        <v>401</v>
      </c>
      <c r="L16" s="44" t="s">
        <v>399</v>
      </c>
      <c r="M16" s="44" t="s">
        <v>91</v>
      </c>
      <c r="N16" s="44">
        <v>14</v>
      </c>
      <c r="O16" s="44" t="s">
        <v>514</v>
      </c>
      <c r="Q16" s="25"/>
      <c r="R16" s="24"/>
      <c r="S16" s="24"/>
      <c r="T16" s="24"/>
      <c r="U16" s="24"/>
      <c r="V16" s="24"/>
      <c r="W16" s="24"/>
      <c r="X16" s="24"/>
      <c r="Y16" s="24"/>
      <c r="Z16" s="24"/>
      <c r="AA16" s="24"/>
      <c r="AB16" s="24"/>
      <c r="AC16" s="24"/>
      <c r="AD16" s="11"/>
      <c r="AE16" s="24"/>
      <c r="AF16" s="43" t="s">
        <v>2282</v>
      </c>
      <c r="AG16" s="19" t="s">
        <v>1312</v>
      </c>
      <c r="AH16" s="24" t="s">
        <v>2408</v>
      </c>
      <c r="AI16" s="24"/>
      <c r="AK16" s="24">
        <v>15</v>
      </c>
      <c r="AL16" s="24"/>
      <c r="AM16" s="24"/>
      <c r="AN16" s="24"/>
      <c r="AO16" s="24"/>
      <c r="AP16" s="24">
        <v>14</v>
      </c>
      <c r="AQ16" s="24" t="s">
        <v>2138</v>
      </c>
      <c r="AR16" s="25"/>
      <c r="AS16" t="s">
        <v>523</v>
      </c>
      <c r="AT16" s="24" t="s">
        <v>94</v>
      </c>
      <c r="AU16" t="s">
        <v>1118</v>
      </c>
    </row>
    <row r="17" spans="5:52">
      <c r="E17" s="43"/>
      <c r="F17" s="44" t="s">
        <v>343</v>
      </c>
      <c r="G17" s="44" t="s">
        <v>662</v>
      </c>
      <c r="H17" s="44">
        <v>122</v>
      </c>
      <c r="I17" s="44"/>
      <c r="J17" s="44" t="s">
        <v>98</v>
      </c>
      <c r="K17" s="44" t="s">
        <v>401</v>
      </c>
      <c r="L17" s="44" t="s">
        <v>402</v>
      </c>
      <c r="M17" s="44" t="s">
        <v>91</v>
      </c>
      <c r="N17" s="44">
        <v>15</v>
      </c>
      <c r="O17" s="44" t="s">
        <v>514</v>
      </c>
      <c r="Q17" s="25"/>
      <c r="R17" s="24"/>
      <c r="S17" s="24"/>
      <c r="T17" s="24"/>
      <c r="U17" s="24"/>
      <c r="V17" s="24"/>
      <c r="W17" s="24"/>
      <c r="X17" s="24"/>
      <c r="Y17" s="24"/>
      <c r="Z17" s="24"/>
      <c r="AA17" s="24"/>
      <c r="AB17" s="24"/>
      <c r="AC17" s="24"/>
      <c r="AD17" s="11"/>
      <c r="AE17" s="24"/>
      <c r="AF17" s="43" t="s">
        <v>1557</v>
      </c>
      <c r="AG17" s="19" t="s">
        <v>1312</v>
      </c>
      <c r="AH17" t="s">
        <v>632</v>
      </c>
      <c r="AK17">
        <v>15</v>
      </c>
      <c r="AP17" s="24">
        <v>15</v>
      </c>
      <c r="AQ17" s="24" t="s">
        <v>1145</v>
      </c>
      <c r="AR17" s="19"/>
      <c r="AS17" t="s">
        <v>523</v>
      </c>
      <c r="AT17" t="s">
        <v>94</v>
      </c>
      <c r="AU17" t="s">
        <v>1119</v>
      </c>
    </row>
    <row r="18" spans="5:52">
      <c r="E18" s="43"/>
      <c r="F18" s="44" t="s">
        <v>344</v>
      </c>
      <c r="G18" s="44" t="s">
        <v>466</v>
      </c>
      <c r="H18" s="44">
        <v>164</v>
      </c>
      <c r="I18" s="44"/>
      <c r="J18" s="44" t="s">
        <v>98</v>
      </c>
      <c r="K18" s="44" t="s">
        <v>401</v>
      </c>
      <c r="L18" s="44" t="s">
        <v>403</v>
      </c>
      <c r="M18" s="44" t="s">
        <v>91</v>
      </c>
      <c r="N18" s="44">
        <v>16</v>
      </c>
      <c r="O18" s="44" t="s">
        <v>514</v>
      </c>
      <c r="Q18" s="25"/>
      <c r="R18" s="24"/>
      <c r="S18" s="24"/>
      <c r="T18" s="24"/>
      <c r="U18" s="24"/>
      <c r="V18" s="24"/>
      <c r="W18" s="24"/>
      <c r="X18" s="24"/>
      <c r="Y18" s="24"/>
      <c r="Z18" s="24"/>
      <c r="AA18" s="24"/>
      <c r="AB18" s="24"/>
      <c r="AC18" s="24"/>
      <c r="AD18" s="11"/>
      <c r="AE18" s="24"/>
      <c r="AF18" s="43" t="s">
        <v>2412</v>
      </c>
      <c r="AG18" s="19" t="s">
        <v>1312</v>
      </c>
      <c r="AH18" t="s">
        <v>2399</v>
      </c>
      <c r="AK18">
        <v>8</v>
      </c>
      <c r="AP18" s="24">
        <v>16</v>
      </c>
      <c r="AQ18" s="24" t="s">
        <v>2139</v>
      </c>
      <c r="AR18" s="19"/>
      <c r="AS18" t="s">
        <v>523</v>
      </c>
      <c r="AT18" t="s">
        <v>94</v>
      </c>
      <c r="AU18" t="s">
        <v>1118</v>
      </c>
    </row>
    <row r="19" spans="5:52">
      <c r="E19" s="43"/>
      <c r="F19" s="44" t="s">
        <v>1262</v>
      </c>
      <c r="G19" s="44" t="s">
        <v>663</v>
      </c>
      <c r="H19" s="44">
        <v>258</v>
      </c>
      <c r="I19" s="44"/>
      <c r="J19" s="44" t="s">
        <v>98</v>
      </c>
      <c r="K19" s="44" t="s">
        <v>401</v>
      </c>
      <c r="L19" s="44" t="s">
        <v>628</v>
      </c>
      <c r="M19" s="44" t="s">
        <v>91</v>
      </c>
      <c r="N19" s="44">
        <v>17</v>
      </c>
      <c r="O19" s="44" t="s">
        <v>514</v>
      </c>
      <c r="Q19" s="25"/>
      <c r="R19" s="24"/>
      <c r="S19" s="24"/>
      <c r="T19" s="24"/>
      <c r="U19" s="24"/>
      <c r="V19" s="24"/>
      <c r="W19" s="24"/>
      <c r="X19" s="24"/>
      <c r="Y19" s="24"/>
      <c r="Z19" s="24"/>
      <c r="AA19" s="24"/>
      <c r="AB19" s="24"/>
      <c r="AC19" s="24"/>
      <c r="AD19" s="11"/>
      <c r="AE19" s="24"/>
      <c r="AF19" s="43" t="s">
        <v>2413</v>
      </c>
      <c r="AG19" s="19" t="s">
        <v>1312</v>
      </c>
      <c r="AH19" t="s">
        <v>2396</v>
      </c>
      <c r="AI19" s="445"/>
      <c r="AJ19" s="445"/>
      <c r="AK19" s="445">
        <v>2</v>
      </c>
      <c r="AL19" s="445"/>
      <c r="AM19" s="445"/>
      <c r="AN19" s="445"/>
      <c r="AO19" s="445"/>
      <c r="AP19" s="24">
        <v>17</v>
      </c>
      <c r="AQ19" s="24" t="s">
        <v>2139</v>
      </c>
      <c r="AR19" s="446"/>
      <c r="AS19" t="s">
        <v>523</v>
      </c>
      <c r="AT19" t="s">
        <v>94</v>
      </c>
      <c r="AU19" t="s">
        <v>1118</v>
      </c>
      <c r="AV19" s="445"/>
      <c r="AW19" s="445"/>
      <c r="AX19" s="445"/>
      <c r="AY19" s="445"/>
      <c r="AZ19" s="445"/>
    </row>
    <row r="20" spans="5:52">
      <c r="F20" t="s">
        <v>1263</v>
      </c>
      <c r="G20" t="s">
        <v>1264</v>
      </c>
      <c r="H20">
        <v>72</v>
      </c>
      <c r="J20" t="s">
        <v>98</v>
      </c>
      <c r="K20" t="s">
        <v>1265</v>
      </c>
      <c r="L20" t="s">
        <v>333</v>
      </c>
      <c r="M20" t="s">
        <v>91</v>
      </c>
      <c r="N20" s="44">
        <v>18</v>
      </c>
      <c r="O20" t="s">
        <v>1266</v>
      </c>
      <c r="Q20" s="25"/>
      <c r="R20" s="24"/>
      <c r="S20" s="24"/>
      <c r="T20" s="24"/>
      <c r="U20" s="24"/>
      <c r="V20" s="24"/>
      <c r="W20" s="24"/>
      <c r="X20" s="24"/>
      <c r="Y20" s="24"/>
      <c r="Z20" s="24"/>
      <c r="AA20" s="24"/>
      <c r="AB20" s="24"/>
      <c r="AC20" s="24"/>
      <c r="AD20" s="11"/>
      <c r="AE20" s="24"/>
      <c r="AF20" s="43" t="s">
        <v>2256</v>
      </c>
      <c r="AG20" s="19" t="s">
        <v>1312</v>
      </c>
      <c r="AH20" t="s">
        <v>535</v>
      </c>
      <c r="AK20">
        <v>15</v>
      </c>
      <c r="AP20" s="24">
        <v>18</v>
      </c>
      <c r="AQ20" s="24" t="s">
        <v>2138</v>
      </c>
      <c r="AR20" s="19"/>
      <c r="AS20" t="s">
        <v>523</v>
      </c>
      <c r="AT20" t="s">
        <v>94</v>
      </c>
      <c r="AU20" s="57" t="s">
        <v>1117</v>
      </c>
    </row>
    <row r="21" spans="5:52">
      <c r="F21" t="s">
        <v>1267</v>
      </c>
      <c r="G21" t="s">
        <v>1268</v>
      </c>
      <c r="H21">
        <v>111</v>
      </c>
      <c r="J21" t="s">
        <v>98</v>
      </c>
      <c r="K21" t="s">
        <v>1265</v>
      </c>
      <c r="L21" t="s">
        <v>399</v>
      </c>
      <c r="M21" t="s">
        <v>91</v>
      </c>
      <c r="N21" s="44">
        <v>19</v>
      </c>
      <c r="O21" t="s">
        <v>1266</v>
      </c>
      <c r="Q21" s="25"/>
      <c r="R21" s="24"/>
      <c r="S21" s="24"/>
      <c r="T21" s="24"/>
      <c r="U21" s="24"/>
      <c r="V21" s="24"/>
      <c r="W21" s="24"/>
      <c r="X21" s="24"/>
      <c r="Y21" s="24"/>
      <c r="Z21" s="24"/>
      <c r="AA21" s="24"/>
      <c r="AB21" s="24"/>
      <c r="AC21" s="24"/>
      <c r="AD21" s="11"/>
      <c r="AE21" s="24"/>
      <c r="AF21" s="43" t="s">
        <v>1559</v>
      </c>
      <c r="AG21" s="19" t="s">
        <v>1312</v>
      </c>
      <c r="AH21" s="24" t="s">
        <v>534</v>
      </c>
      <c r="AI21" s="24"/>
      <c r="AK21" s="24">
        <v>15</v>
      </c>
      <c r="AL21" s="24"/>
      <c r="AM21" s="24"/>
      <c r="AN21" s="24"/>
      <c r="AO21" s="24"/>
      <c r="AP21" s="24">
        <v>19</v>
      </c>
      <c r="AQ21" s="24" t="s">
        <v>1145</v>
      </c>
      <c r="AR21" s="25"/>
      <c r="AS21" t="s">
        <v>523</v>
      </c>
      <c r="AT21" s="24" t="s">
        <v>94</v>
      </c>
      <c r="AU21" s="57" t="s">
        <v>1119</v>
      </c>
    </row>
    <row r="22" spans="5:52">
      <c r="E22" s="25"/>
      <c r="F22" s="24" t="s">
        <v>1269</v>
      </c>
      <c r="G22" s="44" t="s">
        <v>1270</v>
      </c>
      <c r="H22" s="24">
        <v>80</v>
      </c>
      <c r="I22" s="24"/>
      <c r="J22" s="24" t="s">
        <v>98</v>
      </c>
      <c r="K22" s="24" t="s">
        <v>1271</v>
      </c>
      <c r="L22" s="24" t="s">
        <v>333</v>
      </c>
      <c r="M22" s="24" t="s">
        <v>91</v>
      </c>
      <c r="N22" s="44">
        <v>20</v>
      </c>
      <c r="O22" s="24" t="s">
        <v>1266</v>
      </c>
      <c r="Q22" s="25"/>
      <c r="R22" s="24"/>
      <c r="S22" s="24"/>
      <c r="T22" s="24"/>
      <c r="U22" s="24"/>
      <c r="V22" s="24"/>
      <c r="W22" s="24"/>
      <c r="X22" s="24"/>
      <c r="Y22" s="24"/>
      <c r="Z22" s="24"/>
      <c r="AA22" s="24"/>
      <c r="AB22" s="24"/>
      <c r="AC22" s="24"/>
      <c r="AD22" s="11"/>
      <c r="AE22" s="24"/>
      <c r="AF22" s="43" t="s">
        <v>1776</v>
      </c>
      <c r="AG22" s="19" t="s">
        <v>1312</v>
      </c>
      <c r="AH22" t="s">
        <v>1758</v>
      </c>
      <c r="AI22" s="24"/>
      <c r="AK22" s="24">
        <v>15</v>
      </c>
      <c r="AL22" s="24"/>
      <c r="AM22" s="24"/>
      <c r="AN22" s="24"/>
      <c r="AO22" s="24"/>
      <c r="AP22" s="24">
        <v>20</v>
      </c>
      <c r="AQ22" s="24" t="s">
        <v>94</v>
      </c>
      <c r="AR22" s="25"/>
      <c r="AS22" t="s">
        <v>523</v>
      </c>
      <c r="AT22" s="24" t="s">
        <v>94</v>
      </c>
      <c r="AU22" s="57" t="s">
        <v>1117</v>
      </c>
    </row>
    <row r="23" spans="5:52">
      <c r="E23" s="25"/>
      <c r="F23" s="24" t="s">
        <v>1272</v>
      </c>
      <c r="G23" s="44" t="s">
        <v>1273</v>
      </c>
      <c r="H23" s="24">
        <v>122</v>
      </c>
      <c r="I23" s="24"/>
      <c r="J23" s="24" t="s">
        <v>98</v>
      </c>
      <c r="K23" s="24" t="s">
        <v>1271</v>
      </c>
      <c r="L23" s="24" t="s">
        <v>399</v>
      </c>
      <c r="M23" s="24" t="s">
        <v>91</v>
      </c>
      <c r="N23" s="44">
        <v>21</v>
      </c>
      <c r="O23" s="24" t="s">
        <v>1266</v>
      </c>
      <c r="Q23" s="25"/>
      <c r="R23" s="24"/>
      <c r="S23" s="24"/>
      <c r="T23" s="24"/>
      <c r="U23" s="24"/>
      <c r="V23" s="24"/>
      <c r="W23" s="24"/>
      <c r="X23" s="24"/>
      <c r="Y23" s="24"/>
      <c r="Z23" s="24"/>
      <c r="AA23" s="24"/>
      <c r="AB23" s="24"/>
      <c r="AC23" s="24"/>
      <c r="AD23" s="11"/>
      <c r="AE23" s="24"/>
      <c r="AF23" s="43" t="s">
        <v>1560</v>
      </c>
      <c r="AG23" s="19" t="s">
        <v>1312</v>
      </c>
      <c r="AH23" s="24" t="s">
        <v>533</v>
      </c>
      <c r="AI23" s="24"/>
      <c r="AK23" s="24">
        <v>23</v>
      </c>
      <c r="AL23" s="24"/>
      <c r="AM23" s="24"/>
      <c r="AN23" s="24"/>
      <c r="AO23" s="24"/>
      <c r="AP23" s="24">
        <v>21</v>
      </c>
      <c r="AQ23" s="24" t="s">
        <v>1858</v>
      </c>
      <c r="AR23" s="25"/>
      <c r="AS23" t="s">
        <v>523</v>
      </c>
      <c r="AT23" s="24" t="s">
        <v>94</v>
      </c>
      <c r="AU23" s="57" t="s">
        <v>1117</v>
      </c>
    </row>
    <row r="24" spans="5:52">
      <c r="E24" s="43"/>
      <c r="F24" s="44" t="s">
        <v>345</v>
      </c>
      <c r="G24" s="44" t="s">
        <v>467</v>
      </c>
      <c r="H24" s="44">
        <v>83</v>
      </c>
      <c r="I24" s="44"/>
      <c r="J24" s="44" t="s">
        <v>98</v>
      </c>
      <c r="K24" s="44" t="s">
        <v>404</v>
      </c>
      <c r="L24" s="44" t="s">
        <v>333</v>
      </c>
      <c r="M24" s="44" t="s">
        <v>91</v>
      </c>
      <c r="N24" s="44">
        <v>22</v>
      </c>
      <c r="O24" s="44" t="s">
        <v>513</v>
      </c>
      <c r="Q24" s="25"/>
      <c r="R24" s="24"/>
      <c r="S24" s="24"/>
      <c r="T24" s="24"/>
      <c r="U24" s="24"/>
      <c r="V24" s="24"/>
      <c r="W24" s="24"/>
      <c r="X24" s="24"/>
      <c r="Y24" s="24"/>
      <c r="Z24" s="24"/>
      <c r="AA24" s="24"/>
      <c r="AB24" s="24"/>
      <c r="AC24" s="24"/>
      <c r="AD24" s="11"/>
      <c r="AE24" s="24"/>
      <c r="AF24" s="43" t="s">
        <v>1558</v>
      </c>
      <c r="AG24" s="19" t="s">
        <v>1312</v>
      </c>
      <c r="AH24" t="s">
        <v>543</v>
      </c>
      <c r="AI24" s="24"/>
      <c r="AK24" s="24"/>
      <c r="AL24" s="24"/>
      <c r="AM24" s="24"/>
      <c r="AN24" s="24"/>
      <c r="AO24" s="24"/>
      <c r="AP24" s="24">
        <v>22</v>
      </c>
      <c r="AQ24" s="24"/>
      <c r="AR24" s="25"/>
      <c r="AS24" t="s">
        <v>523</v>
      </c>
      <c r="AT24" s="24" t="s">
        <v>94</v>
      </c>
      <c r="AU24" s="57" t="s">
        <v>596</v>
      </c>
    </row>
    <row r="25" spans="5:52">
      <c r="E25" s="43"/>
      <c r="F25" s="44" t="s">
        <v>346</v>
      </c>
      <c r="G25" s="44" t="s">
        <v>468</v>
      </c>
      <c r="H25" s="44">
        <v>138</v>
      </c>
      <c r="I25" s="44"/>
      <c r="J25" s="44" t="s">
        <v>98</v>
      </c>
      <c r="K25" s="44" t="s">
        <v>404</v>
      </c>
      <c r="L25" s="44" t="s">
        <v>399</v>
      </c>
      <c r="M25" s="44" t="s">
        <v>91</v>
      </c>
      <c r="N25" s="44">
        <v>23</v>
      </c>
      <c r="O25" s="44" t="s">
        <v>513</v>
      </c>
      <c r="Q25" s="25"/>
      <c r="R25" s="24"/>
      <c r="S25" s="24"/>
      <c r="T25" s="24"/>
      <c r="U25" s="24"/>
      <c r="V25" s="24"/>
      <c r="W25" s="24"/>
      <c r="X25" s="24"/>
      <c r="Y25" s="24"/>
      <c r="Z25" s="24"/>
      <c r="AA25" s="24"/>
      <c r="AB25" s="24"/>
      <c r="AC25" s="24"/>
      <c r="AD25" s="11"/>
      <c r="AE25" s="24"/>
      <c r="AF25" s="43" t="s">
        <v>1561</v>
      </c>
      <c r="AG25" s="571" t="s">
        <v>1137</v>
      </c>
      <c r="AH25" s="572" t="s">
        <v>608</v>
      </c>
      <c r="AI25" s="572"/>
      <c r="AJ25" s="572"/>
      <c r="AK25" s="572">
        <v>15</v>
      </c>
      <c r="AL25" s="572"/>
      <c r="AM25" s="572"/>
      <c r="AN25" s="572"/>
      <c r="AO25" s="572"/>
      <c r="AP25" s="24">
        <v>23</v>
      </c>
      <c r="AQ25" s="572" t="s">
        <v>2138</v>
      </c>
      <c r="AR25" s="571"/>
      <c r="AS25" s="573" t="s">
        <v>84</v>
      </c>
      <c r="AT25" s="572" t="s">
        <v>94</v>
      </c>
      <c r="AU25" s="572" t="s">
        <v>1119</v>
      </c>
      <c r="AV25" s="572"/>
      <c r="AW25" s="572"/>
      <c r="AX25" s="572"/>
      <c r="AY25" s="572"/>
      <c r="AZ25" s="572"/>
    </row>
    <row r="26" spans="5:52">
      <c r="E26" s="43"/>
      <c r="F26" s="44" t="s">
        <v>347</v>
      </c>
      <c r="G26" s="44" t="s">
        <v>469</v>
      </c>
      <c r="H26" s="44">
        <v>221</v>
      </c>
      <c r="I26" s="44"/>
      <c r="J26" s="44" t="s">
        <v>98</v>
      </c>
      <c r="K26" s="44" t="s">
        <v>404</v>
      </c>
      <c r="L26" s="44" t="s">
        <v>402</v>
      </c>
      <c r="M26" s="44" t="s">
        <v>91</v>
      </c>
      <c r="N26" s="44">
        <v>24</v>
      </c>
      <c r="O26" s="44" t="s">
        <v>513</v>
      </c>
      <c r="Q26" s="25"/>
      <c r="R26" s="24"/>
      <c r="S26" s="24"/>
      <c r="T26" s="24"/>
      <c r="U26" s="24"/>
      <c r="V26" s="24"/>
      <c r="W26" s="24"/>
      <c r="X26" s="24"/>
      <c r="Y26" s="24"/>
      <c r="Z26" s="24"/>
      <c r="AA26" s="24"/>
      <c r="AB26" s="24"/>
      <c r="AC26" s="24"/>
      <c r="AD26" s="11"/>
      <c r="AE26" s="24"/>
      <c r="AF26" s="43" t="s">
        <v>1562</v>
      </c>
      <c r="AG26" s="571" t="s">
        <v>1137</v>
      </c>
      <c r="AH26" s="572" t="s">
        <v>435</v>
      </c>
      <c r="AI26" s="572"/>
      <c r="AJ26" s="572"/>
      <c r="AK26" s="572">
        <v>23</v>
      </c>
      <c r="AL26" s="572"/>
      <c r="AM26" s="572"/>
      <c r="AN26" s="572"/>
      <c r="AO26" s="572"/>
      <c r="AP26" s="24">
        <v>24</v>
      </c>
      <c r="AQ26" s="572" t="s">
        <v>1858</v>
      </c>
      <c r="AR26" s="571"/>
      <c r="AS26" s="573" t="s">
        <v>84</v>
      </c>
      <c r="AT26" s="572" t="s">
        <v>94</v>
      </c>
      <c r="AU26" s="572" t="s">
        <v>1117</v>
      </c>
      <c r="AV26" s="572"/>
      <c r="AW26" s="572"/>
      <c r="AX26" s="572"/>
      <c r="AY26" s="572"/>
      <c r="AZ26" s="572"/>
    </row>
    <row r="27" spans="5:52">
      <c r="E27" s="43"/>
      <c r="F27" s="44" t="s">
        <v>348</v>
      </c>
      <c r="G27" s="44" t="s">
        <v>470</v>
      </c>
      <c r="H27" s="44">
        <v>276</v>
      </c>
      <c r="I27" s="44"/>
      <c r="J27" s="44" t="s">
        <v>98</v>
      </c>
      <c r="K27" s="44" t="s">
        <v>404</v>
      </c>
      <c r="L27" s="44" t="s">
        <v>403</v>
      </c>
      <c r="M27" s="44" t="s">
        <v>91</v>
      </c>
      <c r="N27" s="44">
        <v>25</v>
      </c>
      <c r="O27" s="44" t="s">
        <v>513</v>
      </c>
      <c r="Q27" s="25"/>
      <c r="R27" s="24"/>
      <c r="S27" s="24"/>
      <c r="T27" s="24"/>
      <c r="U27" s="24"/>
      <c r="V27" s="24"/>
      <c r="W27" s="24"/>
      <c r="X27" s="24"/>
      <c r="Y27" s="24"/>
      <c r="Z27" s="24"/>
      <c r="AA27" s="24"/>
      <c r="AB27" s="24"/>
      <c r="AC27" s="24"/>
      <c r="AD27" s="11"/>
      <c r="AE27" s="24"/>
      <c r="AF27" s="43" t="s">
        <v>1563</v>
      </c>
      <c r="AG27" s="571" t="s">
        <v>1137</v>
      </c>
      <c r="AH27" s="572" t="s">
        <v>606</v>
      </c>
      <c r="AI27" s="572"/>
      <c r="AJ27" s="572"/>
      <c r="AK27" s="572">
        <v>15</v>
      </c>
      <c r="AL27" s="572"/>
      <c r="AM27" s="572"/>
      <c r="AN27" s="572"/>
      <c r="AO27" s="572"/>
      <c r="AP27" s="24">
        <v>25</v>
      </c>
      <c r="AQ27" s="572" t="s">
        <v>2138</v>
      </c>
      <c r="AR27" s="571"/>
      <c r="AS27" s="573" t="s">
        <v>84</v>
      </c>
      <c r="AT27" s="572" t="s">
        <v>94</v>
      </c>
      <c r="AU27" s="572" t="s">
        <v>1117</v>
      </c>
      <c r="AV27" s="572"/>
      <c r="AW27" s="572"/>
      <c r="AX27" s="572"/>
      <c r="AY27" s="572"/>
      <c r="AZ27" s="572"/>
    </row>
    <row r="28" spans="5:52">
      <c r="E28" s="43"/>
      <c r="F28" s="44" t="s">
        <v>349</v>
      </c>
      <c r="G28" s="44" t="s">
        <v>471</v>
      </c>
      <c r="H28" s="44">
        <v>125</v>
      </c>
      <c r="I28" s="44"/>
      <c r="J28" s="44" t="s">
        <v>405</v>
      </c>
      <c r="K28" s="44" t="s">
        <v>404</v>
      </c>
      <c r="L28" s="44" t="s">
        <v>333</v>
      </c>
      <c r="M28" s="44" t="s">
        <v>91</v>
      </c>
      <c r="N28" s="44">
        <v>26</v>
      </c>
      <c r="O28" s="44" t="s">
        <v>513</v>
      </c>
      <c r="Q28" s="25"/>
      <c r="R28" s="24"/>
      <c r="S28" s="24"/>
      <c r="T28" s="24"/>
      <c r="U28" s="24"/>
      <c r="V28" s="24"/>
      <c r="W28" s="24"/>
      <c r="X28" s="24"/>
      <c r="Y28" s="24"/>
      <c r="Z28" s="24"/>
      <c r="AA28" s="24"/>
      <c r="AB28" s="24"/>
      <c r="AC28" s="24"/>
      <c r="AD28" s="11"/>
      <c r="AE28" s="24"/>
      <c r="AF28" s="43" t="s">
        <v>1564</v>
      </c>
      <c r="AG28" s="571" t="s">
        <v>1137</v>
      </c>
      <c r="AH28" s="572" t="s">
        <v>437</v>
      </c>
      <c r="AI28" s="572"/>
      <c r="AJ28" s="572"/>
      <c r="AK28" s="572">
        <v>15</v>
      </c>
      <c r="AL28" s="572"/>
      <c r="AM28" s="572"/>
      <c r="AN28" s="572"/>
      <c r="AO28" s="572"/>
      <c r="AP28" s="24">
        <v>26</v>
      </c>
      <c r="AQ28" s="572" t="s">
        <v>1858</v>
      </c>
      <c r="AR28" s="571"/>
      <c r="AS28" s="573" t="s">
        <v>84</v>
      </c>
      <c r="AT28" s="572" t="s">
        <v>94</v>
      </c>
      <c r="AU28" s="572" t="s">
        <v>1117</v>
      </c>
      <c r="AV28" s="572"/>
      <c r="AW28" s="572"/>
      <c r="AX28" s="572"/>
      <c r="AY28" s="572"/>
      <c r="AZ28" s="572"/>
    </row>
    <row r="29" spans="5:52">
      <c r="E29" s="43"/>
      <c r="F29" s="44" t="s">
        <v>350</v>
      </c>
      <c r="G29" s="44" t="s">
        <v>472</v>
      </c>
      <c r="H29" s="44">
        <v>227</v>
      </c>
      <c r="I29" s="44"/>
      <c r="J29" s="44" t="s">
        <v>405</v>
      </c>
      <c r="K29" s="44" t="s">
        <v>404</v>
      </c>
      <c r="L29" s="44" t="s">
        <v>399</v>
      </c>
      <c r="M29" s="44" t="s">
        <v>91</v>
      </c>
      <c r="N29" s="44">
        <v>27</v>
      </c>
      <c r="O29" s="44" t="s">
        <v>513</v>
      </c>
      <c r="Q29" s="25"/>
      <c r="R29" s="24"/>
      <c r="S29" s="24"/>
      <c r="T29" s="24"/>
      <c r="U29" s="24"/>
      <c r="V29" s="24"/>
      <c r="W29" s="24"/>
      <c r="X29" s="24"/>
      <c r="Y29" s="24"/>
      <c r="Z29" s="24"/>
      <c r="AA29" s="24"/>
      <c r="AB29" s="24"/>
      <c r="AC29" s="24"/>
      <c r="AD29" s="11"/>
      <c r="AE29" s="24"/>
      <c r="AF29" s="43" t="s">
        <v>1565</v>
      </c>
      <c r="AG29" s="571" t="s">
        <v>1137</v>
      </c>
      <c r="AH29" s="572" t="s">
        <v>434</v>
      </c>
      <c r="AI29" s="572"/>
      <c r="AJ29" s="572"/>
      <c r="AK29" s="572">
        <v>15</v>
      </c>
      <c r="AL29" s="572"/>
      <c r="AM29" s="572"/>
      <c r="AN29" s="572"/>
      <c r="AO29" s="572"/>
      <c r="AP29" s="24">
        <v>27</v>
      </c>
      <c r="AQ29" s="572" t="s">
        <v>2138</v>
      </c>
      <c r="AR29" s="571"/>
      <c r="AS29" s="573" t="s">
        <v>84</v>
      </c>
      <c r="AT29" s="572" t="s">
        <v>94</v>
      </c>
      <c r="AU29" s="572" t="s">
        <v>1118</v>
      </c>
      <c r="AV29" s="572"/>
      <c r="AW29" s="572"/>
      <c r="AX29" s="572"/>
      <c r="AY29" s="572"/>
      <c r="AZ29" s="572"/>
    </row>
    <row r="30" spans="5:52">
      <c r="E30" s="43"/>
      <c r="F30" s="44" t="s">
        <v>351</v>
      </c>
      <c r="G30" s="44" t="s">
        <v>665</v>
      </c>
      <c r="H30" s="44">
        <v>352</v>
      </c>
      <c r="I30" s="44"/>
      <c r="J30" s="44" t="s">
        <v>405</v>
      </c>
      <c r="K30" s="44" t="s">
        <v>404</v>
      </c>
      <c r="L30" s="44" t="s">
        <v>402</v>
      </c>
      <c r="M30" s="44" t="s">
        <v>91</v>
      </c>
      <c r="N30" s="44">
        <v>28</v>
      </c>
      <c r="O30" s="44" t="s">
        <v>513</v>
      </c>
      <c r="Q30" s="25"/>
      <c r="R30" s="24"/>
      <c r="S30" s="24"/>
      <c r="T30" s="24"/>
      <c r="U30" s="24"/>
      <c r="V30" s="24"/>
      <c r="W30" s="24"/>
      <c r="X30" s="24"/>
      <c r="Y30" s="24"/>
      <c r="Z30" s="24"/>
      <c r="AA30" s="24"/>
      <c r="AB30" s="24"/>
      <c r="AC30" s="24"/>
      <c r="AD30" s="11"/>
      <c r="AE30" s="24"/>
      <c r="AF30" s="43" t="s">
        <v>1566</v>
      </c>
      <c r="AG30" s="571" t="s">
        <v>1137</v>
      </c>
      <c r="AH30" s="572" t="s">
        <v>452</v>
      </c>
      <c r="AI30" s="572"/>
      <c r="AJ30" s="572"/>
      <c r="AK30" s="572">
        <v>15</v>
      </c>
      <c r="AL30" s="572"/>
      <c r="AM30" s="572"/>
      <c r="AN30" s="572"/>
      <c r="AO30" s="572"/>
      <c r="AP30" s="24">
        <v>28</v>
      </c>
      <c r="AQ30" s="572" t="s">
        <v>1145</v>
      </c>
      <c r="AR30" s="571"/>
      <c r="AS30" s="573" t="s">
        <v>84</v>
      </c>
      <c r="AT30" s="572" t="s">
        <v>94</v>
      </c>
      <c r="AU30" s="572" t="s">
        <v>1119</v>
      </c>
      <c r="AV30" s="572"/>
      <c r="AW30" s="572"/>
      <c r="AX30" s="572"/>
      <c r="AY30" s="572"/>
      <c r="AZ30" s="572"/>
    </row>
    <row r="31" spans="5:52">
      <c r="E31" s="43"/>
      <c r="F31" s="44" t="s">
        <v>352</v>
      </c>
      <c r="G31" s="44" t="s">
        <v>664</v>
      </c>
      <c r="H31" s="44">
        <v>454</v>
      </c>
      <c r="I31" s="44"/>
      <c r="J31" s="44" t="s">
        <v>405</v>
      </c>
      <c r="K31" s="44" t="s">
        <v>404</v>
      </c>
      <c r="L31" s="44" t="s">
        <v>403</v>
      </c>
      <c r="M31" s="44" t="s">
        <v>91</v>
      </c>
      <c r="N31" s="44">
        <v>29</v>
      </c>
      <c r="O31" s="44" t="s">
        <v>513</v>
      </c>
      <c r="Q31" s="25"/>
      <c r="R31" s="24"/>
      <c r="S31" s="24"/>
      <c r="T31" s="24"/>
      <c r="U31" s="24"/>
      <c r="V31" s="24"/>
      <c r="W31" s="24"/>
      <c r="X31" s="24"/>
      <c r="Y31" s="24"/>
      <c r="Z31" s="24"/>
      <c r="AA31" s="24"/>
      <c r="AB31" s="24"/>
      <c r="AC31" s="24"/>
      <c r="AD31" s="11"/>
      <c r="AE31" s="24"/>
      <c r="AF31" s="43" t="s">
        <v>1777</v>
      </c>
      <c r="AG31" s="571" t="s">
        <v>1137</v>
      </c>
      <c r="AH31" s="572" t="s">
        <v>1760</v>
      </c>
      <c r="AI31" s="572"/>
      <c r="AJ31" s="572"/>
      <c r="AK31" s="572">
        <v>10</v>
      </c>
      <c r="AL31" s="572"/>
      <c r="AM31" s="572"/>
      <c r="AN31" s="572"/>
      <c r="AO31" s="572"/>
      <c r="AP31" s="24">
        <v>29</v>
      </c>
      <c r="AQ31" s="572" t="s">
        <v>1894</v>
      </c>
      <c r="AR31" s="571"/>
      <c r="AS31" s="573" t="s">
        <v>84</v>
      </c>
      <c r="AT31" s="572" t="s">
        <v>94</v>
      </c>
      <c r="AU31" s="572" t="s">
        <v>1767</v>
      </c>
      <c r="AV31" s="572"/>
      <c r="AW31" s="572"/>
      <c r="AX31" s="572"/>
      <c r="AY31" s="572"/>
      <c r="AZ31" s="572"/>
    </row>
    <row r="32" spans="5:52">
      <c r="E32" s="43"/>
      <c r="F32" s="44" t="s">
        <v>353</v>
      </c>
      <c r="G32" s="44" t="s">
        <v>473</v>
      </c>
      <c r="H32" s="44">
        <v>200</v>
      </c>
      <c r="I32" s="44"/>
      <c r="J32" s="44" t="s">
        <v>406</v>
      </c>
      <c r="K32" s="44" t="s">
        <v>404</v>
      </c>
      <c r="L32" s="44" t="s">
        <v>333</v>
      </c>
      <c r="M32" s="44" t="s">
        <v>91</v>
      </c>
      <c r="N32" s="44">
        <v>30</v>
      </c>
      <c r="O32" s="44" t="s">
        <v>513</v>
      </c>
      <c r="Q32" s="25"/>
      <c r="R32" s="24"/>
      <c r="S32" s="24"/>
      <c r="T32" s="24"/>
      <c r="U32" s="24"/>
      <c r="V32" s="24"/>
      <c r="W32" s="24"/>
      <c r="X32" s="24"/>
      <c r="Y32" s="24"/>
      <c r="Z32" s="24"/>
      <c r="AA32" s="24"/>
      <c r="AB32" s="24"/>
      <c r="AC32" s="24"/>
      <c r="AD32" s="11"/>
      <c r="AE32" s="24"/>
      <c r="AF32" s="43" t="s">
        <v>2387</v>
      </c>
      <c r="AG32" s="571" t="s">
        <v>1137</v>
      </c>
      <c r="AH32" s="572" t="s">
        <v>2384</v>
      </c>
      <c r="AI32" s="572"/>
      <c r="AJ32" s="572"/>
      <c r="AK32" s="572">
        <v>15</v>
      </c>
      <c r="AL32" s="572"/>
      <c r="AM32" s="572"/>
      <c r="AN32" s="572"/>
      <c r="AO32" s="572"/>
      <c r="AP32" s="24">
        <v>30</v>
      </c>
      <c r="AQ32" s="572" t="s">
        <v>94</v>
      </c>
      <c r="AR32" s="571"/>
      <c r="AS32" s="573" t="s">
        <v>84</v>
      </c>
      <c r="AT32" s="572" t="s">
        <v>94</v>
      </c>
      <c r="AU32" s="572" t="s">
        <v>2455</v>
      </c>
      <c r="AV32" s="572"/>
      <c r="AW32" s="572"/>
      <c r="AX32" s="572"/>
      <c r="AY32" s="572"/>
      <c r="AZ32" s="572"/>
    </row>
    <row r="33" spans="5:52">
      <c r="E33" s="43"/>
      <c r="F33" s="44" t="s">
        <v>354</v>
      </c>
      <c r="G33" s="44" t="s">
        <v>474</v>
      </c>
      <c r="H33" s="44">
        <v>390</v>
      </c>
      <c r="I33" s="44"/>
      <c r="J33" s="44" t="s">
        <v>406</v>
      </c>
      <c r="K33" s="44" t="s">
        <v>404</v>
      </c>
      <c r="L33" s="44" t="s">
        <v>399</v>
      </c>
      <c r="M33" s="44" t="s">
        <v>91</v>
      </c>
      <c r="N33" s="44">
        <v>31</v>
      </c>
      <c r="O33" s="44" t="s">
        <v>513</v>
      </c>
      <c r="Q33" s="25"/>
      <c r="R33" s="24"/>
      <c r="S33" s="24"/>
      <c r="T33" s="24"/>
      <c r="U33" s="24"/>
      <c r="V33" s="24"/>
      <c r="W33" s="24"/>
      <c r="X33" s="24"/>
      <c r="Y33" s="24"/>
      <c r="Z33" s="24"/>
      <c r="AA33" s="24"/>
      <c r="AB33" s="24"/>
      <c r="AC33" s="24"/>
      <c r="AD33" s="11"/>
      <c r="AE33" s="24"/>
      <c r="AF33" s="43" t="s">
        <v>1778</v>
      </c>
      <c r="AG33" s="571" t="s">
        <v>1137</v>
      </c>
      <c r="AH33" s="572" t="s">
        <v>1763</v>
      </c>
      <c r="AI33" s="572"/>
      <c r="AJ33" s="572"/>
      <c r="AK33" s="572">
        <v>10</v>
      </c>
      <c r="AL33" s="572"/>
      <c r="AM33" s="572"/>
      <c r="AN33" s="572"/>
      <c r="AO33" s="572"/>
      <c r="AP33" s="24">
        <v>31</v>
      </c>
      <c r="AQ33" s="572" t="s">
        <v>2139</v>
      </c>
      <c r="AR33" s="571"/>
      <c r="AS33" s="573" t="s">
        <v>84</v>
      </c>
      <c r="AT33" s="572" t="s">
        <v>94</v>
      </c>
      <c r="AU33" s="572" t="s">
        <v>1117</v>
      </c>
      <c r="AV33" s="572"/>
      <c r="AW33" s="572"/>
      <c r="AX33" s="572"/>
      <c r="AY33" s="572"/>
      <c r="AZ33" s="572"/>
    </row>
    <row r="34" spans="5:52">
      <c r="E34" s="43"/>
      <c r="F34" s="44" t="s">
        <v>355</v>
      </c>
      <c r="G34" s="44" t="s">
        <v>475</v>
      </c>
      <c r="H34" s="44">
        <v>590</v>
      </c>
      <c r="I34" s="44"/>
      <c r="J34" s="44" t="s">
        <v>406</v>
      </c>
      <c r="K34" s="44" t="s">
        <v>404</v>
      </c>
      <c r="L34" s="44" t="s">
        <v>402</v>
      </c>
      <c r="M34" s="44" t="s">
        <v>91</v>
      </c>
      <c r="N34" s="44">
        <v>32</v>
      </c>
      <c r="O34" s="44" t="s">
        <v>513</v>
      </c>
      <c r="Q34" s="25"/>
      <c r="R34" s="24"/>
      <c r="S34" s="24"/>
      <c r="T34" s="24"/>
      <c r="U34" s="24"/>
      <c r="V34" s="24"/>
      <c r="W34" s="24"/>
      <c r="X34" s="24"/>
      <c r="Y34" s="24"/>
      <c r="Z34" s="24"/>
      <c r="AA34" s="24"/>
      <c r="AB34" s="24"/>
      <c r="AC34" s="24"/>
      <c r="AD34" s="11"/>
      <c r="AE34" s="24"/>
      <c r="AF34" s="43" t="s">
        <v>1779</v>
      </c>
      <c r="AG34" s="571" t="s">
        <v>1137</v>
      </c>
      <c r="AH34" s="572" t="s">
        <v>1764</v>
      </c>
      <c r="AI34" s="572"/>
      <c r="AJ34" s="572"/>
      <c r="AK34" s="572">
        <v>15</v>
      </c>
      <c r="AL34" s="572"/>
      <c r="AM34" s="572"/>
      <c r="AN34" s="572"/>
      <c r="AO34" s="572"/>
      <c r="AP34" s="24">
        <v>32</v>
      </c>
      <c r="AQ34" s="572" t="s">
        <v>1145</v>
      </c>
      <c r="AR34" s="571"/>
      <c r="AS34" s="573" t="s">
        <v>84</v>
      </c>
      <c r="AT34" s="572" t="s">
        <v>94</v>
      </c>
      <c r="AU34" s="572" t="s">
        <v>1119</v>
      </c>
      <c r="AV34" s="572"/>
      <c r="AW34" s="572"/>
      <c r="AX34" s="572"/>
      <c r="AY34" s="572"/>
      <c r="AZ34" s="572"/>
    </row>
    <row r="35" spans="5:52">
      <c r="E35" s="43"/>
      <c r="F35" s="44" t="s">
        <v>334</v>
      </c>
      <c r="G35" s="44" t="s">
        <v>666</v>
      </c>
      <c r="H35" s="44">
        <v>780</v>
      </c>
      <c r="I35" s="44"/>
      <c r="J35" s="44" t="s">
        <v>406</v>
      </c>
      <c r="K35" s="44" t="s">
        <v>404</v>
      </c>
      <c r="L35" s="44" t="s">
        <v>403</v>
      </c>
      <c r="M35" s="44" t="s">
        <v>91</v>
      </c>
      <c r="N35" s="44">
        <v>33</v>
      </c>
      <c r="O35" s="44" t="s">
        <v>513</v>
      </c>
      <c r="Q35" s="25"/>
      <c r="R35" s="24"/>
      <c r="S35" s="24"/>
      <c r="T35" s="24"/>
      <c r="U35" s="24"/>
      <c r="V35" s="24"/>
      <c r="W35" s="24"/>
      <c r="X35" s="24"/>
      <c r="Y35" s="24"/>
      <c r="Z35" s="24"/>
      <c r="AA35" s="24"/>
      <c r="AB35" s="24"/>
      <c r="AC35" s="24"/>
      <c r="AD35" s="11"/>
      <c r="AE35" s="24"/>
      <c r="AF35" s="43" t="s">
        <v>2252</v>
      </c>
      <c r="AG35" s="571" t="s">
        <v>1137</v>
      </c>
      <c r="AH35" s="572" t="s">
        <v>1754</v>
      </c>
      <c r="AI35" s="572"/>
      <c r="AJ35" s="572"/>
      <c r="AK35" s="572">
        <v>15</v>
      </c>
      <c r="AL35" s="572"/>
      <c r="AM35" s="572"/>
      <c r="AN35" s="572"/>
      <c r="AO35" s="572"/>
      <c r="AP35" s="24">
        <v>33</v>
      </c>
      <c r="AQ35" s="572" t="s">
        <v>94</v>
      </c>
      <c r="AR35" s="571"/>
      <c r="AS35" s="573" t="s">
        <v>84</v>
      </c>
      <c r="AT35" s="572" t="s">
        <v>94</v>
      </c>
      <c r="AU35" s="572" t="s">
        <v>1767</v>
      </c>
      <c r="AV35" s="572"/>
      <c r="AW35" s="572"/>
      <c r="AX35" s="572"/>
      <c r="AY35" s="572"/>
      <c r="AZ35" s="572"/>
    </row>
    <row r="36" spans="5:52">
      <c r="E36" s="43"/>
      <c r="F36" s="44" t="s">
        <v>108</v>
      </c>
      <c r="G36" s="44" t="s">
        <v>476</v>
      </c>
      <c r="H36" s="44">
        <v>48</v>
      </c>
      <c r="I36" s="44"/>
      <c r="J36" s="44" t="s">
        <v>98</v>
      </c>
      <c r="K36" s="44" t="s">
        <v>401</v>
      </c>
      <c r="L36" s="44" t="s">
        <v>333</v>
      </c>
      <c r="M36" s="44" t="s">
        <v>91</v>
      </c>
      <c r="N36" s="44">
        <v>34</v>
      </c>
      <c r="O36" s="44" t="s">
        <v>513</v>
      </c>
      <c r="P36" s="27"/>
      <c r="Q36" s="25"/>
      <c r="R36" s="24"/>
      <c r="S36" s="24"/>
      <c r="T36" s="24"/>
      <c r="U36" s="24"/>
      <c r="V36" s="24"/>
      <c r="W36" s="24"/>
      <c r="X36" s="24"/>
      <c r="Y36" s="24"/>
      <c r="Z36" s="24"/>
      <c r="AA36" s="24"/>
      <c r="AB36" s="24"/>
      <c r="AC36" s="24"/>
      <c r="AD36" s="11"/>
      <c r="AE36" s="24"/>
      <c r="AF36" s="43" t="s">
        <v>2254</v>
      </c>
      <c r="AG36" s="571" t="s">
        <v>1137</v>
      </c>
      <c r="AH36" s="572" t="s">
        <v>1755</v>
      </c>
      <c r="AI36" s="572"/>
      <c r="AJ36" s="572"/>
      <c r="AK36" s="572">
        <v>15</v>
      </c>
      <c r="AL36" s="572"/>
      <c r="AM36" s="572"/>
      <c r="AN36" s="572"/>
      <c r="AO36" s="572"/>
      <c r="AP36" s="24">
        <v>34</v>
      </c>
      <c r="AQ36" s="572" t="s">
        <v>94</v>
      </c>
      <c r="AR36" s="571"/>
      <c r="AS36" s="573" t="s">
        <v>84</v>
      </c>
      <c r="AT36" s="572" t="s">
        <v>94</v>
      </c>
      <c r="AU36" s="572" t="s">
        <v>1767</v>
      </c>
      <c r="AV36" s="572"/>
      <c r="AW36" s="572"/>
      <c r="AX36" s="572"/>
      <c r="AY36" s="572"/>
      <c r="AZ36" s="572"/>
    </row>
    <row r="37" spans="5:52">
      <c r="E37" s="43"/>
      <c r="F37" s="44" t="s">
        <v>109</v>
      </c>
      <c r="G37" s="44" t="s">
        <v>477</v>
      </c>
      <c r="H37" s="44">
        <v>72</v>
      </c>
      <c r="I37" s="44"/>
      <c r="J37" s="44" t="s">
        <v>98</v>
      </c>
      <c r="K37" s="44" t="s">
        <v>401</v>
      </c>
      <c r="L37" s="44" t="s">
        <v>399</v>
      </c>
      <c r="M37" s="44" t="s">
        <v>91</v>
      </c>
      <c r="N37" s="44">
        <v>35</v>
      </c>
      <c r="O37" s="44" t="s">
        <v>513</v>
      </c>
      <c r="P37" s="27"/>
      <c r="Q37" s="25"/>
      <c r="R37" s="24"/>
      <c r="S37" s="24"/>
      <c r="T37" s="24"/>
      <c r="U37" s="24"/>
      <c r="V37" s="24"/>
      <c r="W37" s="24"/>
      <c r="X37" s="24"/>
      <c r="Y37" s="24"/>
      <c r="Z37" s="24"/>
      <c r="AA37" s="24"/>
      <c r="AB37" s="24"/>
      <c r="AC37" s="24"/>
      <c r="AD37" s="11"/>
      <c r="AE37" s="24"/>
      <c r="AF37" s="43" t="s">
        <v>1567</v>
      </c>
      <c r="AG37" s="571" t="s">
        <v>1137</v>
      </c>
      <c r="AH37" s="572" t="s">
        <v>2407</v>
      </c>
      <c r="AI37" s="572"/>
      <c r="AJ37" s="572"/>
      <c r="AK37" s="572">
        <v>15</v>
      </c>
      <c r="AL37" s="572"/>
      <c r="AM37" s="572"/>
      <c r="AN37" s="572"/>
      <c r="AO37" s="572"/>
      <c r="AP37" s="24">
        <v>35</v>
      </c>
      <c r="AQ37" s="572" t="s">
        <v>2139</v>
      </c>
      <c r="AR37" s="571"/>
      <c r="AS37" s="573" t="s">
        <v>84</v>
      </c>
      <c r="AT37" s="572" t="s">
        <v>94</v>
      </c>
      <c r="AU37" s="572" t="s">
        <v>1118</v>
      </c>
      <c r="AV37" s="572"/>
      <c r="AW37" s="572"/>
      <c r="AX37" s="572"/>
      <c r="AY37" s="572"/>
      <c r="AZ37" s="572"/>
    </row>
    <row r="38" spans="5:52">
      <c r="E38" s="43"/>
      <c r="F38" s="44" t="s">
        <v>644</v>
      </c>
      <c r="G38" s="44" t="s">
        <v>667</v>
      </c>
      <c r="H38" s="44">
        <v>115</v>
      </c>
      <c r="I38" s="44"/>
      <c r="J38" s="44" t="s">
        <v>98</v>
      </c>
      <c r="K38" s="44" t="s">
        <v>401</v>
      </c>
      <c r="L38" s="44" t="s">
        <v>402</v>
      </c>
      <c r="M38" s="44" t="s">
        <v>91</v>
      </c>
      <c r="N38" s="44">
        <v>36</v>
      </c>
      <c r="O38" s="44" t="s">
        <v>514</v>
      </c>
      <c r="P38" s="27"/>
      <c r="Q38" s="25"/>
      <c r="R38" s="24"/>
      <c r="S38" s="24"/>
      <c r="T38" s="24"/>
      <c r="U38" s="24"/>
      <c r="V38" s="24"/>
      <c r="W38" s="24"/>
      <c r="X38" s="24"/>
      <c r="Y38" s="24"/>
      <c r="Z38" s="24"/>
      <c r="AA38" s="24"/>
      <c r="AB38" s="24"/>
      <c r="AC38" s="24"/>
      <c r="AD38" s="11"/>
      <c r="AE38" s="24"/>
      <c r="AF38" s="43" t="s">
        <v>2281</v>
      </c>
      <c r="AG38" s="571" t="s">
        <v>1137</v>
      </c>
      <c r="AH38" s="572" t="s">
        <v>2409</v>
      </c>
      <c r="AI38" s="572"/>
      <c r="AJ38" s="572"/>
      <c r="AK38" s="572">
        <v>15</v>
      </c>
      <c r="AL38" s="572"/>
      <c r="AM38" s="572"/>
      <c r="AN38" s="572"/>
      <c r="AO38" s="572"/>
      <c r="AP38" s="24">
        <v>36</v>
      </c>
      <c r="AQ38" s="572" t="s">
        <v>2138</v>
      </c>
      <c r="AR38" s="571"/>
      <c r="AS38" s="573" t="s">
        <v>84</v>
      </c>
      <c r="AT38" s="572" t="s">
        <v>94</v>
      </c>
      <c r="AU38" s="572" t="s">
        <v>1118</v>
      </c>
      <c r="AV38" s="572"/>
      <c r="AW38" s="572"/>
      <c r="AX38" s="572"/>
      <c r="AY38" s="572"/>
      <c r="AZ38" s="572"/>
    </row>
    <row r="39" spans="5:52">
      <c r="E39" s="43"/>
      <c r="F39" s="44" t="s">
        <v>610</v>
      </c>
      <c r="G39" s="44"/>
      <c r="H39" s="44" t="s">
        <v>465</v>
      </c>
      <c r="I39" s="44"/>
      <c r="J39" s="44"/>
      <c r="K39" s="44"/>
      <c r="L39" s="44"/>
      <c r="M39" s="44"/>
      <c r="N39" s="44">
        <v>37</v>
      </c>
      <c r="O39" s="44"/>
      <c r="P39" s="27"/>
      <c r="Q39" s="25"/>
      <c r="R39" s="24"/>
      <c r="S39" s="24"/>
      <c r="T39" s="24"/>
      <c r="U39" s="24"/>
      <c r="V39" s="24"/>
      <c r="W39" s="24"/>
      <c r="X39" s="24"/>
      <c r="Y39" s="24"/>
      <c r="Z39" s="24"/>
      <c r="AA39" s="24"/>
      <c r="AB39" s="24"/>
      <c r="AC39" s="24"/>
      <c r="AD39" s="11"/>
      <c r="AE39" s="24"/>
      <c r="AF39" s="43" t="s">
        <v>1568</v>
      </c>
      <c r="AG39" s="571" t="s">
        <v>1137</v>
      </c>
      <c r="AH39" s="572" t="s">
        <v>631</v>
      </c>
      <c r="AI39" s="572"/>
      <c r="AJ39" s="572"/>
      <c r="AK39" s="572">
        <v>15</v>
      </c>
      <c r="AL39" s="572"/>
      <c r="AM39" s="572"/>
      <c r="AN39" s="572"/>
      <c r="AO39" s="572"/>
      <c r="AP39" s="24">
        <v>37</v>
      </c>
      <c r="AQ39" s="572" t="s">
        <v>1145</v>
      </c>
      <c r="AR39" s="571"/>
      <c r="AS39" s="573" t="s">
        <v>84</v>
      </c>
      <c r="AT39" s="572" t="s">
        <v>94</v>
      </c>
      <c r="AU39" s="572" t="s">
        <v>1119</v>
      </c>
      <c r="AV39" s="572"/>
      <c r="AW39" s="572"/>
      <c r="AX39" s="572"/>
      <c r="AY39" s="572"/>
      <c r="AZ39" s="572"/>
    </row>
    <row r="40" spans="5:52">
      <c r="E40" s="43"/>
      <c r="F40" s="44" t="s">
        <v>356</v>
      </c>
      <c r="G40" s="44" t="s">
        <v>478</v>
      </c>
      <c r="H40" s="44">
        <v>16</v>
      </c>
      <c r="I40" s="44"/>
      <c r="J40" s="44" t="s">
        <v>93</v>
      </c>
      <c r="K40" s="44" t="s">
        <v>330</v>
      </c>
      <c r="L40" s="44" t="s">
        <v>333</v>
      </c>
      <c r="M40" s="44" t="s">
        <v>91</v>
      </c>
      <c r="N40" s="44">
        <v>38</v>
      </c>
      <c r="O40" s="44" t="s">
        <v>514</v>
      </c>
      <c r="P40" s="27"/>
      <c r="Q40" s="25"/>
      <c r="R40" s="24"/>
      <c r="S40" s="24"/>
      <c r="T40" s="24"/>
      <c r="U40" s="24"/>
      <c r="V40" s="24"/>
      <c r="W40" s="24"/>
      <c r="X40" s="24"/>
      <c r="Y40" s="24"/>
      <c r="Z40" s="24"/>
      <c r="AA40" s="24"/>
      <c r="AB40" s="24"/>
      <c r="AC40" s="24"/>
      <c r="AD40" s="11"/>
      <c r="AE40" s="24"/>
      <c r="AF40" s="43" t="s">
        <v>2410</v>
      </c>
      <c r="AG40" s="571" t="s">
        <v>1137</v>
      </c>
      <c r="AH40" s="572" t="s">
        <v>2398</v>
      </c>
      <c r="AI40" s="572"/>
      <c r="AJ40" s="572"/>
      <c r="AK40" s="572">
        <v>8</v>
      </c>
      <c r="AL40" s="572"/>
      <c r="AM40" s="572"/>
      <c r="AN40" s="572"/>
      <c r="AO40" s="572"/>
      <c r="AP40" s="24">
        <v>38</v>
      </c>
      <c r="AQ40" s="572" t="s">
        <v>2139</v>
      </c>
      <c r="AR40" s="571"/>
      <c r="AS40" s="573" t="s">
        <v>84</v>
      </c>
      <c r="AT40" s="572" t="s">
        <v>94</v>
      </c>
      <c r="AU40" s="572" t="s">
        <v>1118</v>
      </c>
      <c r="AV40" s="572"/>
      <c r="AW40" s="572"/>
      <c r="AX40" s="572"/>
      <c r="AY40" s="572"/>
      <c r="AZ40" s="572"/>
    </row>
    <row r="41" spans="5:52">
      <c r="E41" s="43"/>
      <c r="F41" s="44" t="s">
        <v>357</v>
      </c>
      <c r="G41" s="44" t="s">
        <v>479</v>
      </c>
      <c r="H41" s="44">
        <v>32</v>
      </c>
      <c r="I41" s="44"/>
      <c r="J41" s="44" t="s">
        <v>93</v>
      </c>
      <c r="K41" s="44" t="s">
        <v>330</v>
      </c>
      <c r="L41" s="44" t="s">
        <v>399</v>
      </c>
      <c r="M41" s="44" t="s">
        <v>91</v>
      </c>
      <c r="N41" s="44">
        <v>39</v>
      </c>
      <c r="O41" s="44" t="s">
        <v>514</v>
      </c>
      <c r="P41" s="27"/>
      <c r="Q41" s="25"/>
      <c r="R41" s="24"/>
      <c r="S41" s="24"/>
      <c r="T41" s="24"/>
      <c r="U41" s="24"/>
      <c r="V41" s="24"/>
      <c r="W41" s="24"/>
      <c r="X41" s="24"/>
      <c r="Y41" s="24"/>
      <c r="Z41" s="24"/>
      <c r="AA41" s="24"/>
      <c r="AB41" s="24"/>
      <c r="AC41" s="24"/>
      <c r="AD41" s="11"/>
      <c r="AE41" s="24"/>
      <c r="AF41" s="43" t="s">
        <v>2411</v>
      </c>
      <c r="AG41" s="571" t="s">
        <v>1137</v>
      </c>
      <c r="AH41" s="572" t="s">
        <v>2397</v>
      </c>
      <c r="AI41" s="572"/>
      <c r="AJ41" s="572"/>
      <c r="AK41" s="572">
        <v>2</v>
      </c>
      <c r="AL41" s="572"/>
      <c r="AM41" s="572"/>
      <c r="AN41" s="572"/>
      <c r="AO41" s="572"/>
      <c r="AP41" s="24">
        <v>39</v>
      </c>
      <c r="AQ41" s="572" t="s">
        <v>2139</v>
      </c>
      <c r="AR41" s="571"/>
      <c r="AS41" s="573" t="s">
        <v>84</v>
      </c>
      <c r="AT41" s="572" t="s">
        <v>94</v>
      </c>
      <c r="AU41" s="572" t="s">
        <v>1118</v>
      </c>
      <c r="AV41" s="572"/>
      <c r="AW41" s="572"/>
      <c r="AX41" s="572"/>
      <c r="AY41" s="572"/>
      <c r="AZ41" s="572"/>
    </row>
    <row r="42" spans="5:52">
      <c r="E42" s="43"/>
      <c r="F42" s="44" t="s">
        <v>640</v>
      </c>
      <c r="G42" s="44" t="s">
        <v>670</v>
      </c>
      <c r="H42" s="44">
        <v>48</v>
      </c>
      <c r="I42" s="44"/>
      <c r="J42" s="44" t="s">
        <v>93</v>
      </c>
      <c r="K42" s="44" t="s">
        <v>330</v>
      </c>
      <c r="L42" s="44" t="s">
        <v>402</v>
      </c>
      <c r="M42" s="44" t="s">
        <v>91</v>
      </c>
      <c r="N42" s="44">
        <v>40</v>
      </c>
      <c r="O42" s="44" t="s">
        <v>514</v>
      </c>
      <c r="P42" s="27"/>
      <c r="Q42" s="25"/>
      <c r="R42" s="24"/>
      <c r="S42" s="24"/>
      <c r="T42" s="24"/>
      <c r="U42" s="24"/>
      <c r="V42" s="24"/>
      <c r="W42" s="24"/>
      <c r="X42" s="24"/>
      <c r="Y42" s="24"/>
      <c r="Z42" s="24"/>
      <c r="AA42" s="24"/>
      <c r="AB42" s="24"/>
      <c r="AC42" s="24"/>
      <c r="AD42" s="11"/>
      <c r="AE42" s="24"/>
      <c r="AF42" s="570" t="s">
        <v>2253</v>
      </c>
      <c r="AG42" s="571" t="s">
        <v>1137</v>
      </c>
      <c r="AH42" s="572" t="s">
        <v>463</v>
      </c>
      <c r="AI42" s="572"/>
      <c r="AJ42" s="572"/>
      <c r="AK42" s="572">
        <v>15</v>
      </c>
      <c r="AL42" s="572"/>
      <c r="AM42" s="572"/>
      <c r="AN42" s="572"/>
      <c r="AO42" s="572"/>
      <c r="AP42" s="24">
        <v>40</v>
      </c>
      <c r="AQ42" s="572" t="s">
        <v>2138</v>
      </c>
      <c r="AR42" s="571"/>
      <c r="AS42" s="573" t="s">
        <v>84</v>
      </c>
      <c r="AT42" s="572" t="s">
        <v>94</v>
      </c>
      <c r="AU42" s="572" t="s">
        <v>1117</v>
      </c>
      <c r="AV42" s="572"/>
      <c r="AW42" s="572"/>
      <c r="AX42" s="572"/>
      <c r="AY42" s="572"/>
      <c r="AZ42" s="572"/>
    </row>
    <row r="43" spans="5:52">
      <c r="E43" s="43"/>
      <c r="F43" s="44" t="s">
        <v>641</v>
      </c>
      <c r="G43" s="44" t="s">
        <v>671</v>
      </c>
      <c r="H43" s="44">
        <v>64</v>
      </c>
      <c r="I43" s="44"/>
      <c r="J43" s="44" t="s">
        <v>93</v>
      </c>
      <c r="K43" s="44" t="s">
        <v>330</v>
      </c>
      <c r="L43" s="44" t="s">
        <v>403</v>
      </c>
      <c r="M43" s="44" t="s">
        <v>91</v>
      </c>
      <c r="N43" s="44">
        <v>41</v>
      </c>
      <c r="O43" s="44" t="s">
        <v>514</v>
      </c>
      <c r="P43" s="27"/>
      <c r="Q43" s="25"/>
      <c r="R43" s="24"/>
      <c r="S43" s="24"/>
      <c r="T43" s="24"/>
      <c r="U43" s="24"/>
      <c r="V43" s="24"/>
      <c r="W43" s="24"/>
      <c r="X43" s="24"/>
      <c r="Y43" s="24"/>
      <c r="Z43" s="24"/>
      <c r="AA43" s="24"/>
      <c r="AB43" s="24"/>
      <c r="AC43" s="24"/>
      <c r="AD43" s="11"/>
      <c r="AE43" s="24"/>
      <c r="AF43" s="43" t="s">
        <v>1570</v>
      </c>
      <c r="AG43" s="571" t="s">
        <v>1137</v>
      </c>
      <c r="AH43" s="572" t="s">
        <v>449</v>
      </c>
      <c r="AI43" s="572"/>
      <c r="AJ43" s="572"/>
      <c r="AK43" s="572">
        <v>15</v>
      </c>
      <c r="AL43" s="572"/>
      <c r="AM43" s="572"/>
      <c r="AN43" s="572"/>
      <c r="AO43" s="572"/>
      <c r="AP43" s="24">
        <v>41</v>
      </c>
      <c r="AQ43" s="572" t="s">
        <v>1145</v>
      </c>
      <c r="AR43" s="571"/>
      <c r="AS43" s="573" t="s">
        <v>84</v>
      </c>
      <c r="AT43" s="572" t="s">
        <v>94</v>
      </c>
      <c r="AU43" s="572" t="s">
        <v>1119</v>
      </c>
      <c r="AV43" s="572"/>
      <c r="AW43" s="572"/>
      <c r="AX43" s="572"/>
      <c r="AY43" s="572"/>
      <c r="AZ43" s="572"/>
    </row>
    <row r="44" spans="5:52">
      <c r="E44" s="43"/>
      <c r="F44" s="44" t="s">
        <v>358</v>
      </c>
      <c r="G44" s="44" t="s">
        <v>668</v>
      </c>
      <c r="H44" s="44">
        <v>24</v>
      </c>
      <c r="I44" s="44"/>
      <c r="J44" s="44" t="s">
        <v>93</v>
      </c>
      <c r="K44" s="44" t="s">
        <v>400</v>
      </c>
      <c r="L44" s="44" t="s">
        <v>333</v>
      </c>
      <c r="M44" s="44" t="s">
        <v>91</v>
      </c>
      <c r="N44" s="44">
        <v>42</v>
      </c>
      <c r="O44" s="44" t="s">
        <v>514</v>
      </c>
      <c r="P44" s="27"/>
      <c r="Q44" s="25"/>
      <c r="R44" s="24"/>
      <c r="S44" s="24"/>
      <c r="T44" s="24"/>
      <c r="U44" s="24"/>
      <c r="V44" s="24"/>
      <c r="W44" s="24"/>
      <c r="X44" s="24"/>
      <c r="Y44" s="24"/>
      <c r="Z44" s="24"/>
      <c r="AA44" s="24"/>
      <c r="AB44" s="24"/>
      <c r="AC44" s="24"/>
      <c r="AD44" s="11"/>
      <c r="AE44" s="24"/>
      <c r="AF44" s="43" t="s">
        <v>2429</v>
      </c>
      <c r="AG44" s="571" t="s">
        <v>1137</v>
      </c>
      <c r="AH44" s="572" t="s">
        <v>1759</v>
      </c>
      <c r="AI44" s="572"/>
      <c r="AJ44" s="572"/>
      <c r="AK44" s="572">
        <v>15</v>
      </c>
      <c r="AL44" s="572"/>
      <c r="AM44" s="572"/>
      <c r="AN44" s="572"/>
      <c r="AO44" s="572"/>
      <c r="AP44" s="24">
        <v>42</v>
      </c>
      <c r="AQ44" s="572" t="s">
        <v>94</v>
      </c>
      <c r="AR44" s="571"/>
      <c r="AS44" s="573" t="s">
        <v>84</v>
      </c>
      <c r="AT44" s="572" t="s">
        <v>94</v>
      </c>
      <c r="AU44" s="572" t="s">
        <v>1117</v>
      </c>
      <c r="AV44" s="572"/>
      <c r="AW44" s="572"/>
      <c r="AX44" s="572"/>
      <c r="AY44" s="572"/>
      <c r="AZ44" s="572"/>
    </row>
    <row r="45" spans="5:52">
      <c r="E45" s="43"/>
      <c r="F45" s="44" t="s">
        <v>359</v>
      </c>
      <c r="G45" s="44" t="s">
        <v>672</v>
      </c>
      <c r="H45" s="44">
        <v>45</v>
      </c>
      <c r="I45" s="44"/>
      <c r="J45" s="44" t="s">
        <v>93</v>
      </c>
      <c r="K45" s="44" t="s">
        <v>400</v>
      </c>
      <c r="L45" s="44" t="s">
        <v>399</v>
      </c>
      <c r="M45" s="44" t="s">
        <v>91</v>
      </c>
      <c r="N45" s="44">
        <v>43</v>
      </c>
      <c r="O45" s="44" t="s">
        <v>514</v>
      </c>
      <c r="P45" s="27"/>
      <c r="Q45" s="25"/>
      <c r="R45" s="24"/>
      <c r="S45" s="24"/>
      <c r="T45" s="24"/>
      <c r="U45" s="24"/>
      <c r="V45" s="24"/>
      <c r="W45" s="24"/>
      <c r="X45" s="24"/>
      <c r="Y45" s="24"/>
      <c r="Z45" s="24"/>
      <c r="AA45" s="24"/>
      <c r="AB45" s="24"/>
      <c r="AC45" s="24"/>
      <c r="AD45" s="11"/>
      <c r="AE45" s="24"/>
      <c r="AF45" s="43" t="s">
        <v>1571</v>
      </c>
      <c r="AG45" s="571" t="s">
        <v>1137</v>
      </c>
      <c r="AH45" s="572" t="s">
        <v>436</v>
      </c>
      <c r="AI45" s="572"/>
      <c r="AJ45" s="572"/>
      <c r="AK45" s="572">
        <v>23</v>
      </c>
      <c r="AL45" s="572"/>
      <c r="AM45" s="572"/>
      <c r="AN45" s="572"/>
      <c r="AO45" s="572"/>
      <c r="AP45" s="24">
        <v>43</v>
      </c>
      <c r="AQ45" s="572" t="s">
        <v>1858</v>
      </c>
      <c r="AR45" s="571"/>
      <c r="AS45" s="573" t="s">
        <v>84</v>
      </c>
      <c r="AT45" s="572" t="s">
        <v>94</v>
      </c>
      <c r="AU45" s="572" t="s">
        <v>1117</v>
      </c>
      <c r="AV45" s="572"/>
      <c r="AW45" s="572"/>
      <c r="AX45" s="572"/>
      <c r="AY45" s="572"/>
      <c r="AZ45" s="572"/>
    </row>
    <row r="46" spans="5:52">
      <c r="E46" s="43"/>
      <c r="F46" s="44" t="s">
        <v>642</v>
      </c>
      <c r="G46" s="44" t="s">
        <v>669</v>
      </c>
      <c r="H46" s="44">
        <v>65</v>
      </c>
      <c r="I46" s="44"/>
      <c r="J46" s="44" t="s">
        <v>93</v>
      </c>
      <c r="K46" s="44" t="s">
        <v>400</v>
      </c>
      <c r="L46" s="44" t="s">
        <v>402</v>
      </c>
      <c r="M46" s="44" t="s">
        <v>91</v>
      </c>
      <c r="N46" s="44">
        <v>44</v>
      </c>
      <c r="O46" s="44" t="s">
        <v>514</v>
      </c>
      <c r="P46" s="27"/>
      <c r="Q46" s="25"/>
      <c r="R46" s="24"/>
      <c r="S46" s="24"/>
      <c r="T46" s="24"/>
      <c r="U46" s="24"/>
      <c r="V46" s="24"/>
      <c r="W46" s="24"/>
      <c r="X46" s="24"/>
      <c r="Y46" s="24"/>
      <c r="Z46" s="24"/>
      <c r="AA46" s="24"/>
      <c r="AB46" s="24"/>
      <c r="AC46" s="24"/>
      <c r="AD46" s="11"/>
      <c r="AE46" s="24"/>
      <c r="AF46" s="43" t="s">
        <v>1569</v>
      </c>
      <c r="AG46" s="11" t="s">
        <v>1137</v>
      </c>
      <c r="AH46" t="s">
        <v>542</v>
      </c>
      <c r="AI46" s="24"/>
      <c r="AK46" s="24"/>
      <c r="AL46" s="24"/>
      <c r="AM46" s="24"/>
      <c r="AN46" s="24"/>
      <c r="AO46" s="24"/>
      <c r="AP46" s="24">
        <v>44</v>
      </c>
      <c r="AQ46" s="24"/>
      <c r="AR46" s="25"/>
      <c r="AS46" t="s">
        <v>84</v>
      </c>
      <c r="AT46" s="24" t="s">
        <v>94</v>
      </c>
      <c r="AU46" s="57" t="s">
        <v>596</v>
      </c>
    </row>
    <row r="47" spans="5:52">
      <c r="E47" s="43"/>
      <c r="F47" s="44" t="s">
        <v>643</v>
      </c>
      <c r="G47" s="44" t="s">
        <v>673</v>
      </c>
      <c r="H47" s="44">
        <v>87</v>
      </c>
      <c r="I47" s="44"/>
      <c r="J47" s="44" t="s">
        <v>93</v>
      </c>
      <c r="K47" s="44" t="s">
        <v>400</v>
      </c>
      <c r="L47" s="44" t="s">
        <v>403</v>
      </c>
      <c r="M47" s="44" t="s">
        <v>91</v>
      </c>
      <c r="N47" s="44">
        <v>45</v>
      </c>
      <c r="O47" s="44" t="s">
        <v>514</v>
      </c>
      <c r="P47" s="27"/>
      <c r="Q47" s="25"/>
      <c r="R47" s="24"/>
      <c r="S47" s="24"/>
      <c r="T47" s="24"/>
      <c r="U47" s="24"/>
      <c r="V47" s="24"/>
      <c r="W47" s="24"/>
      <c r="X47" s="24"/>
      <c r="Y47" s="24"/>
      <c r="Z47" s="24"/>
      <c r="AA47" s="24"/>
      <c r="AB47" s="24"/>
      <c r="AC47" s="24"/>
      <c r="AD47" s="11"/>
      <c r="AE47" s="24"/>
      <c r="AF47" s="43">
        <v>22111911</v>
      </c>
      <c r="AG47" s="19" t="s">
        <v>1137</v>
      </c>
      <c r="AH47" t="s">
        <v>3145</v>
      </c>
      <c r="AI47" s="572"/>
      <c r="AJ47" s="572"/>
      <c r="AK47" s="572"/>
      <c r="AL47" s="572"/>
      <c r="AM47" s="572"/>
      <c r="AN47" s="572"/>
      <c r="AO47" s="572"/>
      <c r="AP47" s="24">
        <v>45</v>
      </c>
      <c r="AQ47" s="572"/>
      <c r="AR47" s="571"/>
      <c r="AS47" s="569" t="s">
        <v>84</v>
      </c>
      <c r="AT47" t="s">
        <v>94</v>
      </c>
      <c r="AU47" t="s">
        <v>596</v>
      </c>
      <c r="AV47" s="572"/>
      <c r="AW47" s="572"/>
      <c r="AX47" s="572"/>
      <c r="AY47" s="572"/>
      <c r="AZ47" s="572"/>
    </row>
    <row r="48" spans="5:52">
      <c r="E48" s="43"/>
      <c r="F48" s="44" t="s">
        <v>360</v>
      </c>
      <c r="G48" s="44" t="s">
        <v>110</v>
      </c>
      <c r="H48" s="44">
        <v>29</v>
      </c>
      <c r="I48" s="44"/>
      <c r="J48" s="44" t="s">
        <v>93</v>
      </c>
      <c r="K48" s="44" t="s">
        <v>401</v>
      </c>
      <c r="L48" s="44" t="s">
        <v>333</v>
      </c>
      <c r="M48" s="44" t="s">
        <v>91</v>
      </c>
      <c r="N48" s="44">
        <v>46</v>
      </c>
      <c r="O48" s="44" t="s">
        <v>514</v>
      </c>
      <c r="P48" s="27"/>
      <c r="Q48" s="25"/>
      <c r="R48" s="24"/>
      <c r="S48" s="24"/>
      <c r="T48" s="24"/>
      <c r="U48" s="24"/>
      <c r="V48" s="24"/>
      <c r="W48" s="24"/>
      <c r="X48" s="24"/>
      <c r="Y48" s="24"/>
      <c r="Z48" s="24"/>
      <c r="AA48" s="24"/>
      <c r="AB48" s="24"/>
      <c r="AC48" s="24"/>
      <c r="AD48" s="11"/>
      <c r="AE48" s="24"/>
      <c r="AF48" s="43"/>
      <c r="AG48" s="19"/>
      <c r="AI48" s="572"/>
      <c r="AJ48" s="572"/>
      <c r="AK48" s="572"/>
      <c r="AL48" s="572"/>
      <c r="AM48" s="572"/>
      <c r="AN48" s="572"/>
      <c r="AO48" s="572"/>
      <c r="AP48" s="24"/>
      <c r="AQ48" s="572"/>
      <c r="AR48" s="571"/>
      <c r="AS48" s="569"/>
      <c r="AV48" s="572"/>
      <c r="AW48" s="572"/>
      <c r="AX48" s="572"/>
      <c r="AY48" s="572"/>
      <c r="AZ48" s="572"/>
    </row>
    <row r="49" spans="5:52">
      <c r="E49" s="43"/>
      <c r="F49" s="44" t="s">
        <v>361</v>
      </c>
      <c r="G49" s="44" t="s">
        <v>2851</v>
      </c>
      <c r="H49" s="44">
        <v>56</v>
      </c>
      <c r="I49" s="44"/>
      <c r="J49" s="44" t="s">
        <v>93</v>
      </c>
      <c r="K49" s="44" t="s">
        <v>401</v>
      </c>
      <c r="L49" s="44" t="s">
        <v>399</v>
      </c>
      <c r="M49" s="44" t="s">
        <v>91</v>
      </c>
      <c r="N49" s="44">
        <v>47</v>
      </c>
      <c r="O49" s="44" t="s">
        <v>514</v>
      </c>
      <c r="P49" s="27"/>
      <c r="Q49" s="25"/>
      <c r="R49" s="24"/>
      <c r="S49" s="24"/>
      <c r="T49" s="24"/>
      <c r="U49" s="24"/>
      <c r="V49" s="24"/>
      <c r="W49" s="24"/>
      <c r="X49" s="24"/>
      <c r="Y49" s="24"/>
      <c r="Z49" s="24"/>
      <c r="AA49" s="24"/>
      <c r="AB49" s="24"/>
      <c r="AC49" s="24"/>
      <c r="AD49" s="11"/>
      <c r="AE49" s="24"/>
      <c r="AF49" s="25"/>
      <c r="AG49" s="24"/>
      <c r="AH49" s="24"/>
      <c r="AI49" s="24"/>
      <c r="AJ49" s="24"/>
      <c r="AK49" s="24"/>
      <c r="AL49" s="24"/>
      <c r="AM49" s="24"/>
      <c r="AN49" s="24"/>
      <c r="AO49" s="24"/>
      <c r="AP49" s="24"/>
      <c r="AQ49" s="24"/>
      <c r="AR49" s="24"/>
      <c r="AS49" s="24"/>
      <c r="AT49" s="24"/>
      <c r="AU49" s="24"/>
      <c r="AV49" s="24"/>
    </row>
    <row r="50" spans="5:52">
      <c r="E50" s="43"/>
      <c r="F50" s="44" t="s">
        <v>362</v>
      </c>
      <c r="G50" s="44" t="s">
        <v>111</v>
      </c>
      <c r="H50" s="44">
        <v>84</v>
      </c>
      <c r="I50" s="44"/>
      <c r="J50" s="44" t="s">
        <v>93</v>
      </c>
      <c r="K50" s="44" t="s">
        <v>401</v>
      </c>
      <c r="L50" s="44" t="s">
        <v>402</v>
      </c>
      <c r="M50" s="44" t="s">
        <v>91</v>
      </c>
      <c r="N50" s="44">
        <v>48</v>
      </c>
      <c r="O50" s="44" t="s">
        <v>514</v>
      </c>
      <c r="P50" s="27"/>
      <c r="Q50" s="25"/>
      <c r="R50" s="24"/>
      <c r="S50" s="24"/>
      <c r="T50" s="24"/>
      <c r="U50" s="24"/>
      <c r="V50" s="24"/>
      <c r="W50" s="24"/>
      <c r="X50" s="24"/>
      <c r="Y50" s="24"/>
      <c r="Z50" s="24"/>
      <c r="AA50" s="24"/>
      <c r="AB50" s="24"/>
      <c r="AC50" s="24"/>
      <c r="AD50" s="11"/>
      <c r="AE50" s="24"/>
      <c r="AF50" s="25" t="s">
        <v>85</v>
      </c>
      <c r="AG50" s="25" t="s">
        <v>531</v>
      </c>
      <c r="AH50" s="24" t="s">
        <v>456</v>
      </c>
      <c r="AI50" s="24" t="s">
        <v>457</v>
      </c>
      <c r="AJ50" t="s">
        <v>541</v>
      </c>
      <c r="AK50" s="24" t="s">
        <v>88</v>
      </c>
      <c r="AL50" s="24" t="s">
        <v>86</v>
      </c>
      <c r="AM50" s="24" t="s">
        <v>331</v>
      </c>
      <c r="AN50" s="24" t="s">
        <v>332</v>
      </c>
      <c r="AO50" s="24" t="s">
        <v>433</v>
      </c>
      <c r="AP50" t="s">
        <v>336</v>
      </c>
      <c r="AQ50" s="24" t="s">
        <v>432</v>
      </c>
      <c r="AR50" s="24" t="s">
        <v>322</v>
      </c>
      <c r="AS50" t="s">
        <v>569</v>
      </c>
      <c r="AT50" s="24" t="s">
        <v>431</v>
      </c>
      <c r="AU50" t="s">
        <v>1902</v>
      </c>
      <c r="AV50" t="s">
        <v>1898</v>
      </c>
      <c r="AW50" t="s">
        <v>1899</v>
      </c>
      <c r="AX50" t="s">
        <v>1303</v>
      </c>
      <c r="AY50" t="s">
        <v>1900</v>
      </c>
      <c r="AZ50" t="s">
        <v>1901</v>
      </c>
    </row>
    <row r="51" spans="5:52">
      <c r="E51" s="43"/>
      <c r="F51" s="44" t="s">
        <v>2342</v>
      </c>
      <c r="G51" s="44" t="s">
        <v>112</v>
      </c>
      <c r="H51" s="44">
        <v>110</v>
      </c>
      <c r="I51" s="44"/>
      <c r="J51" s="44" t="s">
        <v>93</v>
      </c>
      <c r="K51" s="44" t="s">
        <v>401</v>
      </c>
      <c r="L51" s="44" t="s">
        <v>403</v>
      </c>
      <c r="M51" s="44" t="s">
        <v>91</v>
      </c>
      <c r="N51" s="44">
        <v>49</v>
      </c>
      <c r="O51" t="s">
        <v>1266</v>
      </c>
      <c r="P51" s="27"/>
      <c r="Q51" s="25"/>
      <c r="R51" s="24"/>
      <c r="S51" s="24"/>
      <c r="T51" s="24"/>
      <c r="U51" s="24"/>
      <c r="V51" s="24"/>
      <c r="W51" s="24"/>
      <c r="X51" s="24"/>
      <c r="Y51" s="24"/>
      <c r="Z51" s="24"/>
      <c r="AA51" s="24"/>
      <c r="AB51" s="24"/>
      <c r="AC51" s="24"/>
      <c r="AD51" s="11"/>
      <c r="AE51" s="24"/>
      <c r="AF51" s="447"/>
      <c r="AG51" s="19"/>
      <c r="AH51" s="38" t="s">
        <v>2561</v>
      </c>
      <c r="AP51">
        <v>1</v>
      </c>
      <c r="AQ51" s="77" t="s">
        <v>1125</v>
      </c>
      <c r="AR51" s="19"/>
      <c r="AS51" s="448"/>
      <c r="AW51" s="449"/>
      <c r="AX51" s="49"/>
    </row>
    <row r="52" spans="5:52">
      <c r="E52" s="440"/>
      <c r="F52" s="438" t="s">
        <v>2853</v>
      </c>
      <c r="G52" s="438" t="s">
        <v>2852</v>
      </c>
      <c r="H52" s="441">
        <v>40</v>
      </c>
      <c r="I52" s="441"/>
      <c r="J52" s="438" t="s">
        <v>93</v>
      </c>
      <c r="K52" s="441" t="s">
        <v>401</v>
      </c>
      <c r="L52" s="441" t="s">
        <v>333</v>
      </c>
      <c r="M52" s="441" t="s">
        <v>91</v>
      </c>
      <c r="N52" s="441"/>
      <c r="O52" s="441"/>
      <c r="P52" s="27"/>
      <c r="Q52" s="25"/>
      <c r="R52" s="24"/>
      <c r="S52" s="24"/>
      <c r="T52" s="24"/>
      <c r="U52" s="24"/>
      <c r="V52" s="24"/>
      <c r="W52" s="24"/>
      <c r="X52" s="24"/>
      <c r="Y52" s="24"/>
      <c r="Z52" s="24"/>
      <c r="AA52" s="24"/>
      <c r="AB52" s="24"/>
      <c r="AC52" s="24"/>
      <c r="AD52" s="11"/>
      <c r="AE52" s="24"/>
      <c r="AF52" s="261" t="s">
        <v>2187</v>
      </c>
      <c r="AG52" t="s">
        <v>1137</v>
      </c>
      <c r="AH52" t="s">
        <v>1896</v>
      </c>
      <c r="AK52">
        <v>15</v>
      </c>
      <c r="AP52">
        <v>2</v>
      </c>
      <c r="AQ52" s="77" t="s">
        <v>1125</v>
      </c>
      <c r="AR52" s="19"/>
      <c r="AS52" t="s">
        <v>84</v>
      </c>
      <c r="AT52" t="s">
        <v>320</v>
      </c>
      <c r="AU52" t="s">
        <v>1904</v>
      </c>
      <c r="AV52">
        <v>8.1000000000000003E-2</v>
      </c>
      <c r="AW52" s="449">
        <v>0.24</v>
      </c>
      <c r="AX52" s="49">
        <v>67</v>
      </c>
      <c r="AY52">
        <v>3088</v>
      </c>
      <c r="AZ52">
        <v>1</v>
      </c>
    </row>
    <row r="53" spans="5:52">
      <c r="F53" t="s">
        <v>1274</v>
      </c>
      <c r="G53" t="s">
        <v>1275</v>
      </c>
      <c r="H53">
        <v>75</v>
      </c>
      <c r="J53" t="s">
        <v>93</v>
      </c>
      <c r="K53" t="s">
        <v>1265</v>
      </c>
      <c r="L53" s="44" t="s">
        <v>399</v>
      </c>
      <c r="M53" s="44" t="s">
        <v>91</v>
      </c>
      <c r="N53" s="44">
        <v>50</v>
      </c>
      <c r="O53" t="s">
        <v>1266</v>
      </c>
      <c r="P53" s="27"/>
      <c r="Q53" s="25"/>
      <c r="R53" s="24"/>
      <c r="S53" s="24"/>
      <c r="T53" s="24"/>
      <c r="U53" s="24"/>
      <c r="V53" s="24"/>
      <c r="W53" s="24"/>
      <c r="X53" s="24"/>
      <c r="Y53" s="24"/>
      <c r="Z53" s="24"/>
      <c r="AA53" s="24"/>
      <c r="AB53" s="24"/>
      <c r="AC53" s="24"/>
      <c r="AD53" s="11"/>
      <c r="AE53" s="24"/>
      <c r="AF53" s="261" t="s">
        <v>2188</v>
      </c>
      <c r="AG53" t="s">
        <v>1137</v>
      </c>
      <c r="AH53" t="s">
        <v>1897</v>
      </c>
      <c r="AK53">
        <v>15</v>
      </c>
      <c r="AP53">
        <v>3</v>
      </c>
      <c r="AQ53" s="77" t="s">
        <v>1125</v>
      </c>
      <c r="AR53" s="19"/>
      <c r="AS53" t="s">
        <v>84</v>
      </c>
      <c r="AT53" t="s">
        <v>320</v>
      </c>
      <c r="AU53" t="s">
        <v>1904</v>
      </c>
      <c r="AV53">
        <v>9.5000000000000001E-2</v>
      </c>
      <c r="AW53" s="449">
        <v>0.28000000000000003</v>
      </c>
      <c r="AX53" s="49">
        <v>50</v>
      </c>
      <c r="AY53">
        <v>3088</v>
      </c>
      <c r="AZ53">
        <v>1</v>
      </c>
    </row>
    <row r="54" spans="5:52">
      <c r="F54" t="s">
        <v>1276</v>
      </c>
      <c r="G54" t="s">
        <v>1277</v>
      </c>
      <c r="H54">
        <v>110</v>
      </c>
      <c r="J54" t="s">
        <v>93</v>
      </c>
      <c r="K54" t="s">
        <v>1265</v>
      </c>
      <c r="L54" s="44" t="s">
        <v>402</v>
      </c>
      <c r="M54" s="44" t="s">
        <v>91</v>
      </c>
      <c r="N54" s="44">
        <v>51</v>
      </c>
      <c r="O54" t="s">
        <v>1266</v>
      </c>
      <c r="P54" s="27"/>
      <c r="AC54" s="24"/>
      <c r="AD54" s="11"/>
      <c r="AE54" s="24"/>
      <c r="AF54" s="447" t="s">
        <v>3129</v>
      </c>
      <c r="AG54" s="19" t="s">
        <v>1137</v>
      </c>
      <c r="AH54" t="s">
        <v>3127</v>
      </c>
      <c r="AK54">
        <v>10</v>
      </c>
      <c r="AP54">
        <v>4</v>
      </c>
      <c r="AQ54" s="566" t="s">
        <v>1125</v>
      </c>
      <c r="AR54" s="19"/>
      <c r="AS54" s="569" t="s">
        <v>84</v>
      </c>
      <c r="AT54" t="s">
        <v>320</v>
      </c>
      <c r="AU54" t="s">
        <v>1904</v>
      </c>
      <c r="AV54">
        <v>0.33800000000000002</v>
      </c>
      <c r="AW54" s="568">
        <v>0.24</v>
      </c>
      <c r="AX54" s="49">
        <v>125</v>
      </c>
      <c r="AY54">
        <v>3088</v>
      </c>
      <c r="AZ54">
        <v>1</v>
      </c>
    </row>
    <row r="55" spans="5:52">
      <c r="F55" t="s">
        <v>1278</v>
      </c>
      <c r="G55" t="s">
        <v>1279</v>
      </c>
      <c r="H55">
        <v>134</v>
      </c>
      <c r="J55" t="s">
        <v>93</v>
      </c>
      <c r="K55" t="s">
        <v>1265</v>
      </c>
      <c r="L55" s="44" t="s">
        <v>403</v>
      </c>
      <c r="M55" s="44" t="s">
        <v>91</v>
      </c>
      <c r="N55" s="44">
        <v>52</v>
      </c>
      <c r="O55" t="s">
        <v>1266</v>
      </c>
      <c r="P55" s="27"/>
      <c r="AC55" s="24"/>
      <c r="AD55" s="11"/>
      <c r="AE55" s="24"/>
      <c r="AF55" s="447" t="s">
        <v>3130</v>
      </c>
      <c r="AG55" s="19" t="s">
        <v>1137</v>
      </c>
      <c r="AH55" t="s">
        <v>3128</v>
      </c>
      <c r="AK55">
        <v>10</v>
      </c>
      <c r="AP55">
        <v>5</v>
      </c>
      <c r="AQ55" s="566" t="s">
        <v>1125</v>
      </c>
      <c r="AR55" s="19"/>
      <c r="AS55" s="569" t="s">
        <v>84</v>
      </c>
      <c r="AT55" t="s">
        <v>320</v>
      </c>
      <c r="AU55" t="s">
        <v>1904</v>
      </c>
      <c r="AV55">
        <v>0.23899999999999999</v>
      </c>
      <c r="AW55" s="568">
        <v>0.28000000000000003</v>
      </c>
      <c r="AX55" s="49">
        <v>65</v>
      </c>
      <c r="AY55">
        <v>3088</v>
      </c>
      <c r="AZ55">
        <v>1</v>
      </c>
    </row>
    <row r="56" spans="5:52">
      <c r="E56" s="25"/>
      <c r="F56" s="24" t="s">
        <v>1280</v>
      </c>
      <c r="G56" s="44" t="s">
        <v>1281</v>
      </c>
      <c r="H56" s="24">
        <v>52</v>
      </c>
      <c r="I56" s="24"/>
      <c r="J56" s="44" t="s">
        <v>93</v>
      </c>
      <c r="K56" s="24" t="s">
        <v>1271</v>
      </c>
      <c r="L56" s="24" t="s">
        <v>333</v>
      </c>
      <c r="M56" s="24" t="s">
        <v>91</v>
      </c>
      <c r="N56" s="44">
        <v>53</v>
      </c>
      <c r="O56" s="24" t="s">
        <v>1266</v>
      </c>
      <c r="P56" s="27"/>
      <c r="AC56" s="24"/>
      <c r="AD56" s="11"/>
      <c r="AE56" s="24"/>
      <c r="AF56" s="447" t="s">
        <v>2189</v>
      </c>
      <c r="AG56" s="19" t="s">
        <v>1137</v>
      </c>
      <c r="AH56" t="s">
        <v>2562</v>
      </c>
      <c r="AK56">
        <v>10</v>
      </c>
      <c r="AP56">
        <v>6</v>
      </c>
      <c r="AQ56" s="566" t="s">
        <v>1125</v>
      </c>
      <c r="AR56" s="19"/>
      <c r="AS56" s="567" t="s">
        <v>84</v>
      </c>
      <c r="AT56" t="s">
        <v>320</v>
      </c>
      <c r="AU56" t="s">
        <v>1904</v>
      </c>
      <c r="AV56">
        <v>3.1E-2</v>
      </c>
      <c r="AW56" s="568">
        <v>0.24</v>
      </c>
      <c r="AX56" s="49">
        <v>40</v>
      </c>
      <c r="AY56">
        <v>3088</v>
      </c>
      <c r="AZ56">
        <v>1</v>
      </c>
    </row>
    <row r="57" spans="5:52">
      <c r="E57" s="25"/>
      <c r="F57" s="24" t="s">
        <v>1282</v>
      </c>
      <c r="G57" s="44" t="s">
        <v>1283</v>
      </c>
      <c r="H57" s="24">
        <v>97</v>
      </c>
      <c r="I57" s="24"/>
      <c r="J57" s="44" t="s">
        <v>93</v>
      </c>
      <c r="K57" s="24" t="s">
        <v>1271</v>
      </c>
      <c r="L57" s="24" t="s">
        <v>399</v>
      </c>
      <c r="M57" s="24" t="s">
        <v>91</v>
      </c>
      <c r="N57" s="44">
        <v>54</v>
      </c>
      <c r="O57" s="24" t="s">
        <v>1266</v>
      </c>
      <c r="P57" s="27"/>
      <c r="AC57" s="24"/>
      <c r="AD57" s="11"/>
      <c r="AE57" s="24"/>
      <c r="AF57" s="447" t="s">
        <v>2190</v>
      </c>
      <c r="AG57" s="19" t="s">
        <v>1137</v>
      </c>
      <c r="AH57" t="s">
        <v>2563</v>
      </c>
      <c r="AK57">
        <v>10</v>
      </c>
      <c r="AP57">
        <v>8</v>
      </c>
      <c r="AQ57" s="566" t="s">
        <v>1125</v>
      </c>
      <c r="AR57" s="19"/>
      <c r="AS57" s="567" t="s">
        <v>84</v>
      </c>
      <c r="AT57" t="s">
        <v>320</v>
      </c>
      <c r="AU57" t="s">
        <v>1904</v>
      </c>
      <c r="AV57">
        <v>0.11799999999999999</v>
      </c>
      <c r="AW57" s="568">
        <v>0.24</v>
      </c>
      <c r="AX57" s="49">
        <v>40</v>
      </c>
      <c r="AY57">
        <v>3088</v>
      </c>
      <c r="AZ57">
        <v>1</v>
      </c>
    </row>
    <row r="58" spans="5:52">
      <c r="E58" s="43"/>
      <c r="F58" s="44" t="s">
        <v>363</v>
      </c>
      <c r="G58" s="44" t="s">
        <v>480</v>
      </c>
      <c r="H58" s="44">
        <v>62</v>
      </c>
      <c r="I58" s="44"/>
      <c r="J58" s="44" t="s">
        <v>93</v>
      </c>
      <c r="K58" s="44" t="s">
        <v>404</v>
      </c>
      <c r="L58" s="44" t="s">
        <v>333</v>
      </c>
      <c r="M58" s="44" t="s">
        <v>91</v>
      </c>
      <c r="N58" s="44">
        <v>55</v>
      </c>
      <c r="O58" s="44" t="s">
        <v>514</v>
      </c>
      <c r="P58" s="27"/>
      <c r="AC58" s="24"/>
      <c r="AD58" s="11"/>
      <c r="AE58" s="24"/>
      <c r="AF58" s="447" t="s">
        <v>2191</v>
      </c>
      <c r="AG58" s="19" t="s">
        <v>1137</v>
      </c>
      <c r="AH58" t="s">
        <v>2565</v>
      </c>
      <c r="AK58">
        <v>10</v>
      </c>
      <c r="AP58">
        <v>10</v>
      </c>
      <c r="AQ58" s="566" t="s">
        <v>1125</v>
      </c>
      <c r="AR58" s="19"/>
      <c r="AS58" s="567" t="s">
        <v>84</v>
      </c>
      <c r="AT58" t="s">
        <v>320</v>
      </c>
      <c r="AU58" t="s">
        <v>1904</v>
      </c>
      <c r="AV58">
        <v>3.1E-2</v>
      </c>
      <c r="AW58" s="568">
        <v>0.38</v>
      </c>
      <c r="AX58" s="49">
        <v>50</v>
      </c>
      <c r="AY58">
        <v>3088</v>
      </c>
      <c r="AZ58">
        <v>1</v>
      </c>
    </row>
    <row r="59" spans="5:52">
      <c r="E59" s="43"/>
      <c r="F59" s="44" t="s">
        <v>364</v>
      </c>
      <c r="G59" s="44" t="s">
        <v>481</v>
      </c>
      <c r="H59" s="44">
        <v>109</v>
      </c>
      <c r="I59" s="44"/>
      <c r="J59" s="44" t="s">
        <v>93</v>
      </c>
      <c r="K59" s="44" t="s">
        <v>404</v>
      </c>
      <c r="L59" s="44" t="s">
        <v>399</v>
      </c>
      <c r="M59" s="44" t="s">
        <v>91</v>
      </c>
      <c r="N59" s="44">
        <v>56</v>
      </c>
      <c r="O59" s="44" t="s">
        <v>514</v>
      </c>
      <c r="P59" s="27"/>
      <c r="AC59" s="24"/>
      <c r="AD59" s="11"/>
      <c r="AE59" s="24"/>
      <c r="AF59" s="447" t="s">
        <v>2192</v>
      </c>
      <c r="AG59" s="19" t="s">
        <v>1137</v>
      </c>
      <c r="AH59" t="s">
        <v>2564</v>
      </c>
      <c r="AK59">
        <v>10</v>
      </c>
      <c r="AP59">
        <v>12</v>
      </c>
      <c r="AQ59" s="566" t="s">
        <v>1125</v>
      </c>
      <c r="AR59" s="19"/>
      <c r="AS59" s="567" t="s">
        <v>84</v>
      </c>
      <c r="AT59" t="s">
        <v>320</v>
      </c>
      <c r="AU59" t="s">
        <v>1904</v>
      </c>
      <c r="AV59">
        <v>0.11799999999999999</v>
      </c>
      <c r="AW59" s="568">
        <v>0.38</v>
      </c>
      <c r="AX59" s="49">
        <v>50</v>
      </c>
      <c r="AY59">
        <v>3088</v>
      </c>
      <c r="AZ59">
        <v>1</v>
      </c>
    </row>
    <row r="60" spans="5:52">
      <c r="E60" s="43"/>
      <c r="F60" s="44" t="s">
        <v>365</v>
      </c>
      <c r="G60" s="44" t="s">
        <v>482</v>
      </c>
      <c r="H60" s="44">
        <v>186</v>
      </c>
      <c r="I60" s="44"/>
      <c r="J60" s="44" t="s">
        <v>93</v>
      </c>
      <c r="K60" s="44" t="s">
        <v>404</v>
      </c>
      <c r="L60" s="44" t="s">
        <v>402</v>
      </c>
      <c r="M60" s="44" t="s">
        <v>91</v>
      </c>
      <c r="N60" s="44">
        <v>57</v>
      </c>
      <c r="O60" s="44" t="s">
        <v>514</v>
      </c>
      <c r="P60" s="27"/>
      <c r="AC60" s="24"/>
      <c r="AD60" s="11"/>
      <c r="AE60" s="24"/>
      <c r="AF60" s="261" t="s">
        <v>2193</v>
      </c>
      <c r="AG60" t="s">
        <v>1137</v>
      </c>
      <c r="AH60" t="s">
        <v>2566</v>
      </c>
      <c r="AK60">
        <v>15</v>
      </c>
      <c r="AP60">
        <v>14</v>
      </c>
      <c r="AQ60" s="77" t="s">
        <v>1125</v>
      </c>
      <c r="AR60" s="19"/>
      <c r="AS60" t="s">
        <v>84</v>
      </c>
      <c r="AT60" t="s">
        <v>320</v>
      </c>
      <c r="AU60" t="s">
        <v>1904</v>
      </c>
      <c r="AV60">
        <v>3.1E-2</v>
      </c>
      <c r="AW60" s="449">
        <v>0.38</v>
      </c>
      <c r="AX60" s="49">
        <v>100</v>
      </c>
      <c r="AY60">
        <v>3088</v>
      </c>
      <c r="AZ60">
        <v>1</v>
      </c>
    </row>
    <row r="61" spans="5:52">
      <c r="E61" s="43"/>
      <c r="F61" s="44" t="s">
        <v>366</v>
      </c>
      <c r="G61" s="44" t="s">
        <v>483</v>
      </c>
      <c r="H61" s="44">
        <v>248</v>
      </c>
      <c r="I61" s="44"/>
      <c r="J61" s="44" t="s">
        <v>93</v>
      </c>
      <c r="K61" s="44" t="s">
        <v>404</v>
      </c>
      <c r="L61" s="44" t="s">
        <v>403</v>
      </c>
      <c r="M61" s="44" t="s">
        <v>91</v>
      </c>
      <c r="N61" s="44">
        <v>58</v>
      </c>
      <c r="O61" s="44" t="s">
        <v>514</v>
      </c>
      <c r="AC61" s="24"/>
      <c r="AD61" s="11"/>
      <c r="AE61" s="24"/>
      <c r="AF61" s="261" t="s">
        <v>2194</v>
      </c>
      <c r="AG61" t="s">
        <v>1137</v>
      </c>
      <c r="AH61" t="s">
        <v>2567</v>
      </c>
      <c r="AK61">
        <v>15</v>
      </c>
      <c r="AP61">
        <v>16</v>
      </c>
      <c r="AQ61" s="77" t="s">
        <v>1125</v>
      </c>
      <c r="AR61" s="19"/>
      <c r="AS61" t="s">
        <v>84</v>
      </c>
      <c r="AT61" t="s">
        <v>320</v>
      </c>
      <c r="AU61" t="s">
        <v>1904</v>
      </c>
      <c r="AV61">
        <v>0.11799999999999999</v>
      </c>
      <c r="AW61" s="449">
        <v>0.38</v>
      </c>
      <c r="AX61" s="49">
        <v>100</v>
      </c>
      <c r="AY61">
        <v>3088</v>
      </c>
      <c r="AZ61">
        <v>1</v>
      </c>
    </row>
    <row r="62" spans="5:52">
      <c r="E62" s="43"/>
      <c r="F62" s="44" t="s">
        <v>1284</v>
      </c>
      <c r="G62" s="44" t="s">
        <v>629</v>
      </c>
      <c r="H62" s="44">
        <v>328</v>
      </c>
      <c r="I62" s="44"/>
      <c r="J62" s="44" t="s">
        <v>93</v>
      </c>
      <c r="K62" s="44" t="s">
        <v>404</v>
      </c>
      <c r="L62" s="44" t="s">
        <v>628</v>
      </c>
      <c r="M62" s="44" t="s">
        <v>91</v>
      </c>
      <c r="N62" s="44">
        <v>59</v>
      </c>
      <c r="O62" s="44" t="s">
        <v>514</v>
      </c>
      <c r="AC62" s="24"/>
      <c r="AD62" s="11"/>
      <c r="AE62" s="24"/>
      <c r="AF62" s="560" t="s">
        <v>2731</v>
      </c>
      <c r="AG62" s="561" t="s">
        <v>1137</v>
      </c>
      <c r="AH62" s="521" t="s">
        <v>1841</v>
      </c>
      <c r="AI62" s="519"/>
      <c r="AJ62" s="519"/>
      <c r="AK62" s="519">
        <v>16</v>
      </c>
      <c r="AL62" s="519"/>
      <c r="AM62" s="519"/>
      <c r="AN62" s="519"/>
      <c r="AO62" s="519"/>
      <c r="AP62" s="519">
        <v>18</v>
      </c>
      <c r="AQ62" s="562" t="s">
        <v>1125</v>
      </c>
      <c r="AR62" s="561"/>
      <c r="AS62" s="563" t="s">
        <v>84</v>
      </c>
      <c r="AT62" s="519" t="s">
        <v>320</v>
      </c>
      <c r="AU62" s="519" t="s">
        <v>2617</v>
      </c>
      <c r="AV62" s="519">
        <v>7.665</v>
      </c>
      <c r="AW62" s="564">
        <v>0.5</v>
      </c>
      <c r="AX62" s="524">
        <v>61</v>
      </c>
      <c r="AY62" s="519">
        <v>4129</v>
      </c>
      <c r="AZ62" s="519">
        <v>1</v>
      </c>
    </row>
    <row r="63" spans="5:52">
      <c r="E63" s="43"/>
      <c r="F63" s="44" t="s">
        <v>367</v>
      </c>
      <c r="G63" s="44" t="s">
        <v>484</v>
      </c>
      <c r="H63" s="44">
        <v>90</v>
      </c>
      <c r="I63" s="44"/>
      <c r="J63" s="44" t="s">
        <v>407</v>
      </c>
      <c r="K63" s="44" t="s">
        <v>404</v>
      </c>
      <c r="L63" s="44" t="s">
        <v>333</v>
      </c>
      <c r="M63" s="44" t="s">
        <v>91</v>
      </c>
      <c r="N63" s="44">
        <v>60</v>
      </c>
      <c r="O63" s="44" t="s">
        <v>514</v>
      </c>
      <c r="AC63" s="24"/>
      <c r="AD63" s="11"/>
      <c r="AE63" s="24"/>
      <c r="AF63" s="25" t="s">
        <v>85</v>
      </c>
      <c r="AG63" s="25" t="s">
        <v>531</v>
      </c>
      <c r="AH63" s="24" t="s">
        <v>456</v>
      </c>
      <c r="AI63" s="24" t="s">
        <v>457</v>
      </c>
      <c r="AJ63" t="s">
        <v>541</v>
      </c>
      <c r="AK63" s="24" t="s">
        <v>88</v>
      </c>
      <c r="AL63" s="24" t="s">
        <v>86</v>
      </c>
      <c r="AM63" s="24" t="s">
        <v>331</v>
      </c>
      <c r="AN63" s="24" t="s">
        <v>332</v>
      </c>
      <c r="AO63" s="24" t="s">
        <v>433</v>
      </c>
      <c r="AP63" t="s">
        <v>336</v>
      </c>
      <c r="AQ63" s="24" t="s">
        <v>432</v>
      </c>
      <c r="AR63" s="24" t="s">
        <v>322</v>
      </c>
      <c r="AS63" t="s">
        <v>569</v>
      </c>
      <c r="AT63" s="24" t="s">
        <v>431</v>
      </c>
      <c r="AU63" s="57" t="s">
        <v>1116</v>
      </c>
      <c r="AV63" t="s">
        <v>2049</v>
      </c>
      <c r="AW63" t="s">
        <v>1239</v>
      </c>
      <c r="AX63" t="s">
        <v>2057</v>
      </c>
      <c r="AY63" t="s">
        <v>2058</v>
      </c>
      <c r="AZ63" t="s">
        <v>2059</v>
      </c>
    </row>
    <row r="64" spans="5:52">
      <c r="E64" s="43"/>
      <c r="F64" s="44" t="s">
        <v>368</v>
      </c>
      <c r="G64" s="44" t="s">
        <v>485</v>
      </c>
      <c r="H64" s="44">
        <v>160</v>
      </c>
      <c r="I64" s="44"/>
      <c r="J64" s="44" t="s">
        <v>407</v>
      </c>
      <c r="K64" s="44" t="s">
        <v>404</v>
      </c>
      <c r="L64" s="44" t="s">
        <v>399</v>
      </c>
      <c r="M64" s="44" t="s">
        <v>91</v>
      </c>
      <c r="N64" s="44">
        <v>61</v>
      </c>
      <c r="O64" s="44" t="s">
        <v>514</v>
      </c>
      <c r="AC64" s="24"/>
      <c r="AD64" s="11"/>
      <c r="AE64" s="24"/>
      <c r="AF64" s="43" t="s">
        <v>1576</v>
      </c>
      <c r="AG64" s="19" t="s">
        <v>1312</v>
      </c>
      <c r="AH64" t="s">
        <v>548</v>
      </c>
      <c r="AI64" s="24"/>
      <c r="AJ64" s="24"/>
      <c r="AK64" s="24">
        <v>15</v>
      </c>
      <c r="AL64" s="24"/>
      <c r="AM64" s="24"/>
      <c r="AN64" s="24"/>
      <c r="AO64" s="24"/>
      <c r="AP64" s="24">
        <v>1</v>
      </c>
      <c r="AQ64" s="24" t="s">
        <v>136</v>
      </c>
      <c r="AR64" s="25"/>
      <c r="AS64" t="s">
        <v>523</v>
      </c>
      <c r="AT64" s="39" t="s">
        <v>2241</v>
      </c>
      <c r="AU64" t="s">
        <v>87</v>
      </c>
    </row>
    <row r="65" spans="5:52">
      <c r="E65" s="43"/>
      <c r="F65" s="44" t="s">
        <v>369</v>
      </c>
      <c r="G65" s="44" t="s">
        <v>486</v>
      </c>
      <c r="H65" s="44">
        <v>285</v>
      </c>
      <c r="I65" s="44"/>
      <c r="J65" s="44" t="s">
        <v>407</v>
      </c>
      <c r="K65" s="44" t="s">
        <v>404</v>
      </c>
      <c r="L65" s="44" t="s">
        <v>402</v>
      </c>
      <c r="M65" s="44" t="s">
        <v>91</v>
      </c>
      <c r="N65" s="44">
        <v>62</v>
      </c>
      <c r="O65" s="44" t="s">
        <v>522</v>
      </c>
      <c r="AC65" s="24"/>
      <c r="AD65" s="11"/>
      <c r="AE65" s="24"/>
      <c r="AF65" s="43" t="s">
        <v>1575</v>
      </c>
      <c r="AG65" s="19" t="s">
        <v>1312</v>
      </c>
      <c r="AH65" t="s">
        <v>547</v>
      </c>
      <c r="AI65" s="24"/>
      <c r="AJ65" s="24"/>
      <c r="AK65" s="24">
        <v>10</v>
      </c>
      <c r="AL65" s="24"/>
      <c r="AM65" s="24"/>
      <c r="AN65" s="24"/>
      <c r="AO65" s="24"/>
      <c r="AP65" s="24">
        <v>2</v>
      </c>
      <c r="AQ65" s="24" t="s">
        <v>136</v>
      </c>
      <c r="AR65" s="25"/>
      <c r="AS65" t="s">
        <v>523</v>
      </c>
      <c r="AT65" s="39" t="s">
        <v>2241</v>
      </c>
      <c r="AU65" t="s">
        <v>87</v>
      </c>
    </row>
    <row r="66" spans="5:52">
      <c r="E66" s="43"/>
      <c r="F66" s="44" t="s">
        <v>370</v>
      </c>
      <c r="G66" s="44" t="s">
        <v>487</v>
      </c>
      <c r="H66" s="44">
        <v>320</v>
      </c>
      <c r="I66" s="44"/>
      <c r="J66" s="44" t="s">
        <v>407</v>
      </c>
      <c r="K66" s="44" t="s">
        <v>404</v>
      </c>
      <c r="L66" s="44" t="s">
        <v>403</v>
      </c>
      <c r="M66" s="44" t="s">
        <v>91</v>
      </c>
      <c r="N66" s="44">
        <v>63</v>
      </c>
      <c r="O66" s="44" t="s">
        <v>514</v>
      </c>
      <c r="AC66" s="24"/>
      <c r="AD66" s="11"/>
      <c r="AE66" s="24"/>
      <c r="AF66" s="43" t="s">
        <v>1574</v>
      </c>
      <c r="AG66" s="19" t="s">
        <v>1312</v>
      </c>
      <c r="AH66" t="s">
        <v>546</v>
      </c>
      <c r="AI66" s="24"/>
      <c r="AJ66" s="24"/>
      <c r="AK66" s="24">
        <v>15</v>
      </c>
      <c r="AL66" s="24"/>
      <c r="AM66" s="24"/>
      <c r="AN66" s="24"/>
      <c r="AO66" s="24"/>
      <c r="AP66" s="24">
        <v>3</v>
      </c>
      <c r="AQ66" s="24" t="s">
        <v>1838</v>
      </c>
      <c r="AR66" s="25"/>
      <c r="AS66" t="s">
        <v>523</v>
      </c>
      <c r="AT66" s="39" t="s">
        <v>2241</v>
      </c>
      <c r="AU66" t="s">
        <v>87</v>
      </c>
    </row>
    <row r="67" spans="5:52">
      <c r="E67" s="43"/>
      <c r="F67" s="44" t="s">
        <v>371</v>
      </c>
      <c r="G67" s="44" t="s">
        <v>488</v>
      </c>
      <c r="H67" s="44">
        <v>28</v>
      </c>
      <c r="I67" s="44"/>
      <c r="J67" s="44" t="s">
        <v>93</v>
      </c>
      <c r="K67" s="44" t="s">
        <v>401</v>
      </c>
      <c r="L67" s="44" t="s">
        <v>333</v>
      </c>
      <c r="M67" s="44" t="s">
        <v>91</v>
      </c>
      <c r="N67" s="44">
        <v>64</v>
      </c>
      <c r="O67" s="44" t="s">
        <v>514</v>
      </c>
      <c r="AC67" s="24"/>
      <c r="AD67" s="11"/>
      <c r="AE67" s="24"/>
      <c r="AF67" s="43" t="s">
        <v>1572</v>
      </c>
      <c r="AG67" s="19" t="s">
        <v>1312</v>
      </c>
      <c r="AH67" t="s">
        <v>544</v>
      </c>
      <c r="AI67" s="24"/>
      <c r="AJ67" s="24"/>
      <c r="AK67" s="24">
        <v>12</v>
      </c>
      <c r="AL67" s="24"/>
      <c r="AM67" s="24"/>
      <c r="AN67" s="24"/>
      <c r="AO67" s="24"/>
      <c r="AP67" s="24">
        <v>4</v>
      </c>
      <c r="AQ67" s="24" t="s">
        <v>1838</v>
      </c>
      <c r="AR67" s="25"/>
      <c r="AS67" t="s">
        <v>523</v>
      </c>
      <c r="AT67" s="39" t="s">
        <v>2241</v>
      </c>
      <c r="AU67" t="s">
        <v>87</v>
      </c>
    </row>
    <row r="68" spans="5:52">
      <c r="E68" s="43"/>
      <c r="F68" s="44" t="s">
        <v>372</v>
      </c>
      <c r="G68" s="44" t="s">
        <v>489</v>
      </c>
      <c r="H68" s="44">
        <v>56</v>
      </c>
      <c r="I68" s="44"/>
      <c r="J68" s="44" t="s">
        <v>93</v>
      </c>
      <c r="K68" s="44" t="s">
        <v>401</v>
      </c>
      <c r="L68" s="44" t="s">
        <v>399</v>
      </c>
      <c r="M68" s="44" t="s">
        <v>91</v>
      </c>
      <c r="N68" s="44">
        <v>65</v>
      </c>
      <c r="O68" s="44" t="s">
        <v>514</v>
      </c>
      <c r="AC68" s="24"/>
      <c r="AD68" s="11"/>
      <c r="AE68" s="24"/>
      <c r="AF68" s="43" t="s">
        <v>1573</v>
      </c>
      <c r="AG68" s="19" t="s">
        <v>1312</v>
      </c>
      <c r="AH68" t="s">
        <v>545</v>
      </c>
      <c r="AI68" s="24"/>
      <c r="AJ68" s="24"/>
      <c r="AK68" s="24">
        <v>12</v>
      </c>
      <c r="AL68" s="24"/>
      <c r="AM68" s="24"/>
      <c r="AN68" s="24"/>
      <c r="AO68" s="24"/>
      <c r="AP68" s="24">
        <v>5</v>
      </c>
      <c r="AQ68" s="24" t="s">
        <v>1838</v>
      </c>
      <c r="AR68" s="25"/>
      <c r="AS68" t="s">
        <v>523</v>
      </c>
      <c r="AT68" s="39" t="s">
        <v>2241</v>
      </c>
      <c r="AU68" t="s">
        <v>87</v>
      </c>
    </row>
    <row r="69" spans="5:52">
      <c r="E69" s="43"/>
      <c r="F69" s="44" t="s">
        <v>645</v>
      </c>
      <c r="G69" s="44" t="s">
        <v>674</v>
      </c>
      <c r="H69" s="44">
        <v>89</v>
      </c>
      <c r="I69" s="44"/>
      <c r="J69" s="44" t="s">
        <v>93</v>
      </c>
      <c r="K69" s="44" t="s">
        <v>401</v>
      </c>
      <c r="L69" s="44" t="s">
        <v>402</v>
      </c>
      <c r="M69" s="44" t="s">
        <v>91</v>
      </c>
      <c r="N69" s="44">
        <v>66</v>
      </c>
      <c r="O69" s="44" t="s">
        <v>514</v>
      </c>
      <c r="AC69" s="24"/>
      <c r="AD69" s="11"/>
      <c r="AE69" s="24"/>
      <c r="AF69" s="43" t="s">
        <v>1577</v>
      </c>
      <c r="AG69" s="19" t="s">
        <v>1312</v>
      </c>
      <c r="AH69" t="s">
        <v>543</v>
      </c>
      <c r="AI69" s="24"/>
      <c r="AJ69" s="24"/>
      <c r="AK69" s="24"/>
      <c r="AL69" s="24"/>
      <c r="AM69" s="24"/>
      <c r="AN69" s="24"/>
      <c r="AO69" s="24"/>
      <c r="AP69" s="24">
        <v>6</v>
      </c>
      <c r="AQ69" s="24"/>
      <c r="AR69" s="25"/>
      <c r="AS69" t="s">
        <v>523</v>
      </c>
      <c r="AT69" s="39" t="s">
        <v>2241</v>
      </c>
      <c r="AU69" s="57" t="s">
        <v>596</v>
      </c>
    </row>
    <row r="70" spans="5:52">
      <c r="E70" s="43"/>
      <c r="F70" s="44" t="s">
        <v>610</v>
      </c>
      <c r="G70" s="44"/>
      <c r="H70" s="44" t="s">
        <v>465</v>
      </c>
      <c r="I70" s="44"/>
      <c r="J70" s="44"/>
      <c r="K70" s="44"/>
      <c r="L70" s="44"/>
      <c r="M70" s="44"/>
      <c r="N70" s="44">
        <v>67</v>
      </c>
      <c r="O70" s="44"/>
      <c r="AC70" s="24"/>
      <c r="AD70" s="11"/>
      <c r="AE70" s="24"/>
      <c r="AF70" s="43" t="s">
        <v>1582</v>
      </c>
      <c r="AG70" s="11" t="s">
        <v>1137</v>
      </c>
      <c r="AH70" t="s">
        <v>440</v>
      </c>
      <c r="AI70" s="24"/>
      <c r="AJ70" s="24"/>
      <c r="AK70" s="24">
        <v>15</v>
      </c>
      <c r="AL70" s="24"/>
      <c r="AM70" s="24"/>
      <c r="AN70" s="24"/>
      <c r="AO70" s="24"/>
      <c r="AP70" s="24">
        <v>7</v>
      </c>
      <c r="AQ70" s="24" t="s">
        <v>136</v>
      </c>
      <c r="AR70" s="25"/>
      <c r="AS70" t="s">
        <v>84</v>
      </c>
      <c r="AT70" s="39" t="s">
        <v>2241</v>
      </c>
      <c r="AU70" t="s">
        <v>87</v>
      </c>
    </row>
    <row r="71" spans="5:52">
      <c r="F71" s="24" t="s">
        <v>1285</v>
      </c>
      <c r="G71" s="44" t="s">
        <v>1286</v>
      </c>
      <c r="H71" s="24">
        <v>28</v>
      </c>
      <c r="I71" s="24"/>
      <c r="J71" s="24" t="s">
        <v>92</v>
      </c>
      <c r="K71" s="24" t="s">
        <v>330</v>
      </c>
      <c r="L71" s="24" t="s">
        <v>333</v>
      </c>
      <c r="M71" s="24" t="s">
        <v>91</v>
      </c>
      <c r="N71" s="44">
        <v>68</v>
      </c>
      <c r="O71" s="24" t="s">
        <v>513</v>
      </c>
      <c r="AC71" s="24"/>
      <c r="AD71" s="11"/>
      <c r="AE71" s="24"/>
      <c r="AF71" s="43" t="s">
        <v>1581</v>
      </c>
      <c r="AG71" s="11" t="s">
        <v>1137</v>
      </c>
      <c r="AH71" t="s">
        <v>441</v>
      </c>
      <c r="AI71" s="24"/>
      <c r="AJ71" s="24"/>
      <c r="AK71" s="24">
        <v>10</v>
      </c>
      <c r="AL71" s="24"/>
      <c r="AM71" s="24"/>
      <c r="AN71" s="24"/>
      <c r="AO71" s="24"/>
      <c r="AP71" s="24">
        <v>8</v>
      </c>
      <c r="AQ71" s="24" t="s">
        <v>136</v>
      </c>
      <c r="AR71" s="25"/>
      <c r="AS71" t="s">
        <v>84</v>
      </c>
      <c r="AT71" s="39" t="s">
        <v>2241</v>
      </c>
      <c r="AU71" t="s">
        <v>87</v>
      </c>
    </row>
    <row r="72" spans="5:52">
      <c r="F72" s="24" t="s">
        <v>1287</v>
      </c>
      <c r="G72" s="44" t="s">
        <v>1288</v>
      </c>
      <c r="H72" s="24">
        <v>54</v>
      </c>
      <c r="I72" s="24"/>
      <c r="J72" s="24" t="s">
        <v>92</v>
      </c>
      <c r="K72" s="24" t="s">
        <v>330</v>
      </c>
      <c r="L72" s="24" t="s">
        <v>399</v>
      </c>
      <c r="M72" s="24" t="s">
        <v>91</v>
      </c>
      <c r="N72" s="44">
        <v>69</v>
      </c>
      <c r="O72" s="24" t="s">
        <v>513</v>
      </c>
      <c r="AC72" s="24"/>
      <c r="AD72" s="11"/>
      <c r="AE72" s="24"/>
      <c r="AF72" s="43" t="s">
        <v>1580</v>
      </c>
      <c r="AG72" s="11" t="s">
        <v>1137</v>
      </c>
      <c r="AH72" t="s">
        <v>460</v>
      </c>
      <c r="AI72" s="24"/>
      <c r="AJ72" s="24"/>
      <c r="AK72" s="24">
        <v>15</v>
      </c>
      <c r="AL72" s="24"/>
      <c r="AM72" s="24"/>
      <c r="AN72" s="24"/>
      <c r="AO72" s="24"/>
      <c r="AP72" s="24">
        <v>9</v>
      </c>
      <c r="AQ72" s="24" t="s">
        <v>1838</v>
      </c>
      <c r="AR72" s="25"/>
      <c r="AS72" t="s">
        <v>84</v>
      </c>
      <c r="AT72" s="39" t="s">
        <v>2241</v>
      </c>
      <c r="AU72" t="s">
        <v>87</v>
      </c>
    </row>
    <row r="73" spans="5:52">
      <c r="E73" s="43"/>
      <c r="F73" s="44" t="s">
        <v>524</v>
      </c>
      <c r="G73" s="44" t="s">
        <v>675</v>
      </c>
      <c r="H73" s="44">
        <v>32</v>
      </c>
      <c r="I73" s="44"/>
      <c r="J73" s="44" t="s">
        <v>92</v>
      </c>
      <c r="K73" s="44" t="s">
        <v>401</v>
      </c>
      <c r="L73" s="44" t="s">
        <v>333</v>
      </c>
      <c r="M73" s="44" t="s">
        <v>91</v>
      </c>
      <c r="N73" s="44">
        <v>70</v>
      </c>
      <c r="O73" s="44" t="s">
        <v>513</v>
      </c>
      <c r="AC73" s="24"/>
      <c r="AD73" s="11"/>
      <c r="AE73" s="24"/>
      <c r="AF73" s="43" t="s">
        <v>1578</v>
      </c>
      <c r="AG73" s="11" t="s">
        <v>1137</v>
      </c>
      <c r="AH73" t="s">
        <v>458</v>
      </c>
      <c r="AI73" s="24"/>
      <c r="AJ73" s="24"/>
      <c r="AK73" s="24">
        <v>12</v>
      </c>
      <c r="AL73" s="24"/>
      <c r="AM73" s="24"/>
      <c r="AN73" s="24"/>
      <c r="AO73" s="24"/>
      <c r="AP73" s="24">
        <v>10</v>
      </c>
      <c r="AQ73" s="24" t="s">
        <v>1838</v>
      </c>
      <c r="AR73" s="25"/>
      <c r="AS73" t="s">
        <v>84</v>
      </c>
      <c r="AT73" s="39" t="s">
        <v>2241</v>
      </c>
      <c r="AU73" t="s">
        <v>87</v>
      </c>
    </row>
    <row r="74" spans="5:52">
      <c r="E74" s="43"/>
      <c r="F74" s="44" t="s">
        <v>525</v>
      </c>
      <c r="G74" s="44" t="s">
        <v>676</v>
      </c>
      <c r="H74" s="44">
        <v>63</v>
      </c>
      <c r="I74" s="44"/>
      <c r="J74" s="44" t="s">
        <v>92</v>
      </c>
      <c r="K74" s="44" t="s">
        <v>401</v>
      </c>
      <c r="L74" s="44" t="s">
        <v>399</v>
      </c>
      <c r="M74" s="44" t="s">
        <v>91</v>
      </c>
      <c r="N74" s="44">
        <v>71</v>
      </c>
      <c r="O74" s="44" t="s">
        <v>513</v>
      </c>
      <c r="AC74" s="24"/>
      <c r="AD74" s="11"/>
      <c r="AE74" s="24"/>
      <c r="AF74" s="43" t="s">
        <v>1579</v>
      </c>
      <c r="AG74" s="11" t="s">
        <v>1137</v>
      </c>
      <c r="AH74" t="s">
        <v>459</v>
      </c>
      <c r="AI74" s="24"/>
      <c r="AJ74" s="24"/>
      <c r="AK74" s="24">
        <v>12</v>
      </c>
      <c r="AL74" s="24"/>
      <c r="AM74" s="24"/>
      <c r="AN74" s="24"/>
      <c r="AO74" s="24"/>
      <c r="AP74" s="24">
        <v>11</v>
      </c>
      <c r="AQ74" s="24" t="s">
        <v>1838</v>
      </c>
      <c r="AR74" s="25"/>
      <c r="AS74" t="s">
        <v>84</v>
      </c>
      <c r="AT74" s="39" t="s">
        <v>2241</v>
      </c>
      <c r="AU74" t="s">
        <v>87</v>
      </c>
    </row>
    <row r="75" spans="5:52">
      <c r="E75" s="43"/>
      <c r="F75" s="44" t="s">
        <v>646</v>
      </c>
      <c r="G75" s="44" t="s">
        <v>679</v>
      </c>
      <c r="H75" s="44">
        <v>95</v>
      </c>
      <c r="I75" s="44"/>
      <c r="J75" s="44" t="s">
        <v>92</v>
      </c>
      <c r="K75" s="44" t="s">
        <v>401</v>
      </c>
      <c r="L75" s="44" t="s">
        <v>402</v>
      </c>
      <c r="M75" s="44" t="s">
        <v>91</v>
      </c>
      <c r="N75" s="44">
        <v>72</v>
      </c>
      <c r="O75" s="44" t="s">
        <v>513</v>
      </c>
      <c r="AC75" s="24"/>
      <c r="AD75" s="11"/>
      <c r="AE75" s="24"/>
      <c r="AF75" s="43" t="s">
        <v>1583</v>
      </c>
      <c r="AG75" s="11" t="s">
        <v>1137</v>
      </c>
      <c r="AH75" t="s">
        <v>542</v>
      </c>
      <c r="AP75" s="24">
        <v>12</v>
      </c>
      <c r="AR75" s="19"/>
      <c r="AS75" t="s">
        <v>84</v>
      </c>
      <c r="AT75" s="39" t="s">
        <v>2241</v>
      </c>
      <c r="AU75" s="57" t="s">
        <v>596</v>
      </c>
    </row>
    <row r="76" spans="5:52">
      <c r="E76" s="43"/>
      <c r="F76" s="44" t="s">
        <v>526</v>
      </c>
      <c r="G76" s="44" t="s">
        <v>677</v>
      </c>
      <c r="H76" s="44">
        <v>126</v>
      </c>
      <c r="I76" s="44"/>
      <c r="J76" s="44" t="s">
        <v>92</v>
      </c>
      <c r="K76" s="44" t="s">
        <v>401</v>
      </c>
      <c r="L76" s="44" t="s">
        <v>403</v>
      </c>
      <c r="M76" s="44" t="s">
        <v>91</v>
      </c>
      <c r="N76" s="44">
        <v>73</v>
      </c>
      <c r="O76" s="44" t="s">
        <v>513</v>
      </c>
      <c r="AC76" s="24"/>
      <c r="AD76" s="11"/>
      <c r="AE76" s="24"/>
      <c r="AF76" s="25"/>
      <c r="AG76" s="24"/>
      <c r="AH76" s="24"/>
      <c r="AI76" s="24"/>
      <c r="AJ76" s="24"/>
      <c r="AK76" s="24"/>
      <c r="AL76" s="24"/>
      <c r="AM76" s="24"/>
      <c r="AN76" s="24"/>
      <c r="AO76" s="24"/>
      <c r="AP76" s="24"/>
      <c r="AQ76" s="24"/>
      <c r="AR76" s="24"/>
      <c r="AS76" s="24"/>
      <c r="AT76" s="24"/>
      <c r="AU76" s="24"/>
      <c r="AV76" s="24"/>
    </row>
    <row r="77" spans="5:52">
      <c r="E77" s="43"/>
      <c r="F77" s="44" t="s">
        <v>527</v>
      </c>
      <c r="G77" s="44" t="s">
        <v>678</v>
      </c>
      <c r="H77" s="44">
        <v>192</v>
      </c>
      <c r="I77" s="44"/>
      <c r="J77" s="44" t="s">
        <v>92</v>
      </c>
      <c r="K77" s="44" t="s">
        <v>401</v>
      </c>
      <c r="L77" s="44" t="s">
        <v>408</v>
      </c>
      <c r="M77" s="44" t="s">
        <v>91</v>
      </c>
      <c r="N77" s="44">
        <v>74</v>
      </c>
      <c r="O77" s="44" t="s">
        <v>514</v>
      </c>
      <c r="AC77" s="24"/>
      <c r="AD77" s="11"/>
      <c r="AE77" s="24"/>
      <c r="AF77" s="25" t="s">
        <v>85</v>
      </c>
      <c r="AG77" s="25" t="s">
        <v>531</v>
      </c>
      <c r="AH77" s="24" t="s">
        <v>456</v>
      </c>
      <c r="AI77" s="24" t="s">
        <v>457</v>
      </c>
      <c r="AJ77" t="s">
        <v>541</v>
      </c>
      <c r="AK77" s="24" t="s">
        <v>88</v>
      </c>
      <c r="AL77" s="24" t="s">
        <v>86</v>
      </c>
      <c r="AM77" s="24" t="s">
        <v>331</v>
      </c>
      <c r="AN77" s="24" t="s">
        <v>332</v>
      </c>
      <c r="AO77" s="24" t="s">
        <v>433</v>
      </c>
      <c r="AP77" t="s">
        <v>336</v>
      </c>
      <c r="AQ77" s="24" t="s">
        <v>432</v>
      </c>
      <c r="AR77" s="24" t="s">
        <v>322</v>
      </c>
      <c r="AS77" t="s">
        <v>569</v>
      </c>
      <c r="AT77" s="24" t="s">
        <v>431</v>
      </c>
      <c r="AU77" s="57" t="s">
        <v>1116</v>
      </c>
      <c r="AV77" t="s">
        <v>2049</v>
      </c>
      <c r="AW77" t="s">
        <v>1239</v>
      </c>
      <c r="AX77" t="s">
        <v>2057</v>
      </c>
      <c r="AY77" t="s">
        <v>2058</v>
      </c>
      <c r="AZ77" t="s">
        <v>2059</v>
      </c>
    </row>
    <row r="78" spans="5:52">
      <c r="E78" s="43"/>
      <c r="F78" s="44" t="s">
        <v>647</v>
      </c>
      <c r="G78" s="44" t="s">
        <v>680</v>
      </c>
      <c r="H78" s="44">
        <v>256</v>
      </c>
      <c r="I78" s="44"/>
      <c r="J78" s="44" t="s">
        <v>92</v>
      </c>
      <c r="K78" s="44" t="s">
        <v>401</v>
      </c>
      <c r="L78" s="44" t="s">
        <v>409</v>
      </c>
      <c r="M78" s="44" t="s">
        <v>91</v>
      </c>
      <c r="N78" s="44">
        <v>75</v>
      </c>
      <c r="O78" s="44" t="s">
        <v>514</v>
      </c>
      <c r="AC78" s="24"/>
      <c r="AD78" s="11"/>
      <c r="AE78" s="24"/>
      <c r="AF78" s="43" t="s">
        <v>1587</v>
      </c>
      <c r="AG78" s="19" t="s">
        <v>1312</v>
      </c>
      <c r="AH78" t="s">
        <v>599</v>
      </c>
      <c r="AK78">
        <v>15</v>
      </c>
      <c r="AP78" s="24">
        <v>1</v>
      </c>
      <c r="AQ78" s="24" t="s">
        <v>1846</v>
      </c>
      <c r="AR78" s="19"/>
      <c r="AS78" t="s">
        <v>523</v>
      </c>
      <c r="AT78" s="24" t="s">
        <v>442</v>
      </c>
      <c r="AU78" t="s">
        <v>1119</v>
      </c>
    </row>
    <row r="79" spans="5:52">
      <c r="E79" s="25"/>
      <c r="F79" t="s">
        <v>1289</v>
      </c>
      <c r="G79" s="44" t="s">
        <v>1290</v>
      </c>
      <c r="H79" s="24">
        <v>40</v>
      </c>
      <c r="I79" s="24"/>
      <c r="J79" s="24" t="s">
        <v>92</v>
      </c>
      <c r="K79" s="24" t="s">
        <v>1265</v>
      </c>
      <c r="L79" s="24" t="s">
        <v>333</v>
      </c>
      <c r="M79" s="24" t="s">
        <v>91</v>
      </c>
      <c r="N79" s="44">
        <v>76</v>
      </c>
      <c r="O79" s="24" t="s">
        <v>1266</v>
      </c>
      <c r="P79" s="42"/>
      <c r="AC79" s="24"/>
      <c r="AD79" s="11"/>
      <c r="AE79" s="24"/>
      <c r="AF79" s="43" t="s">
        <v>1585</v>
      </c>
      <c r="AG79" s="19" t="s">
        <v>1312</v>
      </c>
      <c r="AH79" t="s">
        <v>550</v>
      </c>
      <c r="AI79" s="24"/>
      <c r="AJ79" s="24"/>
      <c r="AK79" s="24">
        <v>10</v>
      </c>
      <c r="AL79" s="24"/>
      <c r="AM79" s="24"/>
      <c r="AN79" s="24"/>
      <c r="AO79" s="24"/>
      <c r="AP79">
        <v>2</v>
      </c>
      <c r="AQ79" s="24" t="s">
        <v>1846</v>
      </c>
      <c r="AR79" s="25"/>
      <c r="AS79" t="s">
        <v>523</v>
      </c>
      <c r="AT79" s="24" t="s">
        <v>442</v>
      </c>
      <c r="AU79" t="s">
        <v>1119</v>
      </c>
    </row>
    <row r="80" spans="5:52">
      <c r="E80" s="25"/>
      <c r="F80" t="s">
        <v>1291</v>
      </c>
      <c r="G80" s="44" t="s">
        <v>1292</v>
      </c>
      <c r="H80" s="24">
        <v>77</v>
      </c>
      <c r="I80" s="24"/>
      <c r="J80" s="24" t="s">
        <v>92</v>
      </c>
      <c r="K80" s="24" t="s">
        <v>1265</v>
      </c>
      <c r="L80" s="24" t="s">
        <v>399</v>
      </c>
      <c r="M80" s="24" t="s">
        <v>91</v>
      </c>
      <c r="N80" s="44">
        <v>77</v>
      </c>
      <c r="O80" s="24" t="s">
        <v>1266</v>
      </c>
      <c r="P80" s="27"/>
      <c r="AC80" s="24"/>
      <c r="AD80" s="11"/>
      <c r="AE80" s="24"/>
      <c r="AF80" s="43" t="s">
        <v>1586</v>
      </c>
      <c r="AG80" s="19" t="s">
        <v>1312</v>
      </c>
      <c r="AH80" t="s">
        <v>551</v>
      </c>
      <c r="AI80" s="24"/>
      <c r="AJ80" s="24"/>
      <c r="AK80" s="24">
        <v>15</v>
      </c>
      <c r="AL80" s="24"/>
      <c r="AM80" s="24"/>
      <c r="AN80" s="24"/>
      <c r="AO80" s="24"/>
      <c r="AP80" s="24">
        <v>3</v>
      </c>
      <c r="AQ80" s="24" t="s">
        <v>134</v>
      </c>
      <c r="AR80" s="25"/>
      <c r="AS80" t="s">
        <v>523</v>
      </c>
      <c r="AT80" s="24" t="s">
        <v>442</v>
      </c>
      <c r="AU80" t="s">
        <v>1119</v>
      </c>
    </row>
    <row r="81" spans="5:48">
      <c r="E81" s="43"/>
      <c r="F81" s="44" t="s">
        <v>515</v>
      </c>
      <c r="G81" s="44" t="s">
        <v>116</v>
      </c>
      <c r="H81" s="44">
        <v>61</v>
      </c>
      <c r="I81" s="44"/>
      <c r="J81" s="44" t="s">
        <v>521</v>
      </c>
      <c r="K81" s="44" t="s">
        <v>401</v>
      </c>
      <c r="L81" s="44" t="s">
        <v>333</v>
      </c>
      <c r="M81" s="44" t="s">
        <v>91</v>
      </c>
      <c r="N81" s="44">
        <v>78</v>
      </c>
      <c r="O81" s="44" t="s">
        <v>513</v>
      </c>
      <c r="P81" s="27"/>
      <c r="AC81" s="24"/>
      <c r="AD81" s="11"/>
      <c r="AE81" s="24"/>
      <c r="AF81" s="43" t="s">
        <v>1591</v>
      </c>
      <c r="AG81" s="19" t="s">
        <v>1312</v>
      </c>
      <c r="AH81" t="s">
        <v>2136</v>
      </c>
      <c r="AI81" s="24"/>
      <c r="AJ81" s="24"/>
      <c r="AK81" s="24">
        <v>15</v>
      </c>
      <c r="AL81" s="24"/>
      <c r="AM81" s="24"/>
      <c r="AN81" s="24"/>
      <c r="AO81" s="24"/>
      <c r="AP81">
        <v>4</v>
      </c>
      <c r="AQ81" s="24" t="s">
        <v>1846</v>
      </c>
      <c r="AR81" s="25"/>
      <c r="AS81" t="s">
        <v>523</v>
      </c>
      <c r="AT81" s="24" t="s">
        <v>442</v>
      </c>
      <c r="AU81" t="s">
        <v>1119</v>
      </c>
    </row>
    <row r="82" spans="5:48">
      <c r="E82" s="43"/>
      <c r="F82" s="44" t="s">
        <v>516</v>
      </c>
      <c r="G82" s="44" t="s">
        <v>117</v>
      </c>
      <c r="H82" s="44">
        <v>117</v>
      </c>
      <c r="I82" s="44"/>
      <c r="J82" s="44" t="s">
        <v>521</v>
      </c>
      <c r="K82" s="44" t="s">
        <v>401</v>
      </c>
      <c r="L82" s="44" t="s">
        <v>399</v>
      </c>
      <c r="M82" s="44" t="s">
        <v>91</v>
      </c>
      <c r="N82" s="44">
        <v>79</v>
      </c>
      <c r="O82" s="44" t="s">
        <v>513</v>
      </c>
      <c r="P82" s="42"/>
      <c r="AC82" s="24"/>
      <c r="AD82" s="11"/>
      <c r="AE82" s="24"/>
      <c r="AF82" s="261" t="s">
        <v>2196</v>
      </c>
      <c r="AG82" s="19" t="s">
        <v>1312</v>
      </c>
      <c r="AH82" t="s">
        <v>2195</v>
      </c>
      <c r="AI82" s="24"/>
      <c r="AJ82" s="24"/>
      <c r="AK82" s="24">
        <v>20</v>
      </c>
      <c r="AL82" s="24"/>
      <c r="AM82" s="24"/>
      <c r="AN82" s="24"/>
      <c r="AO82" s="24"/>
      <c r="AP82" s="24">
        <v>5</v>
      </c>
      <c r="AQ82" t="s">
        <v>134</v>
      </c>
      <c r="AR82" s="25"/>
      <c r="AS82" t="s">
        <v>523</v>
      </c>
      <c r="AT82" s="24" t="s">
        <v>442</v>
      </c>
      <c r="AU82" t="s">
        <v>1117</v>
      </c>
    </row>
    <row r="83" spans="5:48">
      <c r="E83" s="43"/>
      <c r="F83" s="44" t="s">
        <v>648</v>
      </c>
      <c r="G83" s="44" t="s">
        <v>681</v>
      </c>
      <c r="H83" s="44">
        <v>179</v>
      </c>
      <c r="I83" s="44"/>
      <c r="J83" s="44" t="s">
        <v>521</v>
      </c>
      <c r="K83" s="44" t="s">
        <v>401</v>
      </c>
      <c r="L83" s="44" t="s">
        <v>402</v>
      </c>
      <c r="M83" s="44" t="s">
        <v>91</v>
      </c>
      <c r="N83" s="44">
        <v>80</v>
      </c>
      <c r="O83" s="44" t="s">
        <v>513</v>
      </c>
      <c r="P83" s="27"/>
      <c r="AC83" s="24"/>
      <c r="AD83" s="11"/>
      <c r="AE83" s="24"/>
      <c r="AF83" s="43" t="s">
        <v>1588</v>
      </c>
      <c r="AG83" s="19" t="s">
        <v>1312</v>
      </c>
      <c r="AH83" t="s">
        <v>552</v>
      </c>
      <c r="AI83" s="24"/>
      <c r="AJ83" s="24"/>
      <c r="AK83" s="24">
        <v>15</v>
      </c>
      <c r="AL83" s="24"/>
      <c r="AM83" s="24"/>
      <c r="AN83" s="24"/>
      <c r="AO83" s="24"/>
      <c r="AP83">
        <v>6</v>
      </c>
      <c r="AQ83" s="24" t="s">
        <v>134</v>
      </c>
      <c r="AR83" s="25"/>
      <c r="AS83" t="s">
        <v>523</v>
      </c>
      <c r="AT83" s="24" t="s">
        <v>442</v>
      </c>
      <c r="AU83" t="s">
        <v>1117</v>
      </c>
    </row>
    <row r="84" spans="5:48">
      <c r="E84" s="43"/>
      <c r="F84" s="44" t="s">
        <v>517</v>
      </c>
      <c r="G84" s="44" t="s">
        <v>118</v>
      </c>
      <c r="H84" s="44">
        <v>235</v>
      </c>
      <c r="I84" s="44"/>
      <c r="J84" s="44" t="s">
        <v>521</v>
      </c>
      <c r="K84" s="44" t="s">
        <v>401</v>
      </c>
      <c r="L84" s="44" t="s">
        <v>403</v>
      </c>
      <c r="M84" s="44" t="s">
        <v>91</v>
      </c>
      <c r="N84" s="44">
        <v>81</v>
      </c>
      <c r="O84" s="44" t="s">
        <v>513</v>
      </c>
      <c r="P84" s="27"/>
      <c r="AC84" s="24"/>
      <c r="AD84" s="11"/>
      <c r="AE84" s="24"/>
      <c r="AF84" s="43" t="s">
        <v>1589</v>
      </c>
      <c r="AG84" s="19" t="s">
        <v>1312</v>
      </c>
      <c r="AH84" t="s">
        <v>553</v>
      </c>
      <c r="AI84" s="24"/>
      <c r="AJ84" s="24"/>
      <c r="AK84" s="24">
        <v>15</v>
      </c>
      <c r="AL84" s="24"/>
      <c r="AM84" s="24"/>
      <c r="AN84" s="24"/>
      <c r="AO84" s="24"/>
      <c r="AP84" s="24">
        <v>7</v>
      </c>
      <c r="AQ84" s="24" t="s">
        <v>134</v>
      </c>
      <c r="AR84" s="25"/>
      <c r="AS84" t="s">
        <v>523</v>
      </c>
      <c r="AT84" s="24" t="s">
        <v>442</v>
      </c>
      <c r="AU84" t="s">
        <v>1767</v>
      </c>
    </row>
    <row r="85" spans="5:48">
      <c r="E85" s="43"/>
      <c r="F85" s="44" t="s">
        <v>518</v>
      </c>
      <c r="G85" s="44" t="s">
        <v>119</v>
      </c>
      <c r="H85" s="44">
        <v>355</v>
      </c>
      <c r="I85" s="44"/>
      <c r="J85" s="44" t="s">
        <v>521</v>
      </c>
      <c r="K85" s="44" t="s">
        <v>401</v>
      </c>
      <c r="L85" s="44" t="s">
        <v>408</v>
      </c>
      <c r="M85" s="44" t="s">
        <v>91</v>
      </c>
      <c r="N85" s="44">
        <v>82</v>
      </c>
      <c r="O85" s="44" t="s">
        <v>514</v>
      </c>
      <c r="P85" s="27"/>
      <c r="AC85" s="24"/>
      <c r="AD85" s="11"/>
      <c r="AE85" s="24"/>
      <c r="AF85" s="43" t="s">
        <v>1584</v>
      </c>
      <c r="AG85" s="19" t="s">
        <v>1312</v>
      </c>
      <c r="AH85" t="s">
        <v>549</v>
      </c>
      <c r="AI85" s="24"/>
      <c r="AJ85" s="24"/>
      <c r="AK85" s="24">
        <v>15</v>
      </c>
      <c r="AL85" s="24"/>
      <c r="AM85" s="24"/>
      <c r="AN85" s="24"/>
      <c r="AO85" s="24"/>
      <c r="AP85">
        <v>8</v>
      </c>
      <c r="AQ85" s="24" t="s">
        <v>1846</v>
      </c>
      <c r="AR85" s="25"/>
      <c r="AS85" t="s">
        <v>523</v>
      </c>
      <c r="AT85" s="24" t="s">
        <v>442</v>
      </c>
      <c r="AU85" t="s">
        <v>87</v>
      </c>
    </row>
    <row r="86" spans="5:48">
      <c r="E86" s="43"/>
      <c r="F86" s="44" t="s">
        <v>519</v>
      </c>
      <c r="G86" s="44" t="s">
        <v>120</v>
      </c>
      <c r="H86" s="44">
        <v>468</v>
      </c>
      <c r="I86" s="44"/>
      <c r="J86" s="44" t="s">
        <v>521</v>
      </c>
      <c r="K86" s="44" t="s">
        <v>401</v>
      </c>
      <c r="L86" s="44" t="s">
        <v>409</v>
      </c>
      <c r="M86" s="44" t="s">
        <v>91</v>
      </c>
      <c r="N86" s="44">
        <v>83</v>
      </c>
      <c r="O86" s="44" t="s">
        <v>514</v>
      </c>
      <c r="P86" s="27"/>
      <c r="AC86" s="24"/>
      <c r="AD86" s="24"/>
      <c r="AE86" s="24"/>
      <c r="AF86" s="43" t="s">
        <v>1590</v>
      </c>
      <c r="AG86" s="19" t="s">
        <v>1312</v>
      </c>
      <c r="AH86" t="s">
        <v>543</v>
      </c>
      <c r="AI86" s="24"/>
      <c r="AJ86" s="24"/>
      <c r="AK86" s="24"/>
      <c r="AL86" s="24"/>
      <c r="AM86" s="24"/>
      <c r="AN86" s="24"/>
      <c r="AO86" s="24"/>
      <c r="AP86" s="24">
        <v>9</v>
      </c>
      <c r="AQ86" s="24"/>
      <c r="AR86" s="25"/>
      <c r="AS86" t="s">
        <v>523</v>
      </c>
      <c r="AT86" s="24" t="s">
        <v>442</v>
      </c>
      <c r="AU86" s="57" t="s">
        <v>596</v>
      </c>
    </row>
    <row r="87" spans="5:48">
      <c r="E87" s="43"/>
      <c r="F87" s="44" t="s">
        <v>520</v>
      </c>
      <c r="G87" s="44" t="s">
        <v>121</v>
      </c>
      <c r="H87" s="44">
        <v>577</v>
      </c>
      <c r="I87" s="44"/>
      <c r="J87" s="44" t="s">
        <v>521</v>
      </c>
      <c r="K87" s="44" t="s">
        <v>401</v>
      </c>
      <c r="L87" s="44" t="s">
        <v>410</v>
      </c>
      <c r="M87" s="44" t="s">
        <v>91</v>
      </c>
      <c r="N87" s="44">
        <v>84</v>
      </c>
      <c r="O87" s="44"/>
      <c r="P87" s="42"/>
      <c r="AC87" s="24"/>
      <c r="AD87" s="24"/>
      <c r="AE87" s="24"/>
      <c r="AF87" s="43" t="s">
        <v>1595</v>
      </c>
      <c r="AG87" s="11" t="s">
        <v>1137</v>
      </c>
      <c r="AH87" t="s">
        <v>598</v>
      </c>
      <c r="AK87">
        <v>15</v>
      </c>
      <c r="AP87">
        <v>10</v>
      </c>
      <c r="AQ87" s="24" t="s">
        <v>1846</v>
      </c>
      <c r="AR87" s="19"/>
      <c r="AS87" t="s">
        <v>84</v>
      </c>
      <c r="AT87" s="24" t="s">
        <v>442</v>
      </c>
      <c r="AU87" t="s">
        <v>1119</v>
      </c>
    </row>
    <row r="88" spans="5:48">
      <c r="E88" s="43"/>
      <c r="F88" s="44" t="s">
        <v>610</v>
      </c>
      <c r="G88" s="44"/>
      <c r="H88" s="44" t="s">
        <v>465</v>
      </c>
      <c r="I88" s="44"/>
      <c r="J88" s="44"/>
      <c r="K88" s="44"/>
      <c r="L88" s="44"/>
      <c r="M88" s="44"/>
      <c r="N88" s="44">
        <v>85</v>
      </c>
      <c r="O88" s="44"/>
      <c r="P88" s="27"/>
      <c r="AC88" s="24"/>
      <c r="AD88" s="24"/>
      <c r="AE88" s="24"/>
      <c r="AF88" s="43" t="s">
        <v>1593</v>
      </c>
      <c r="AG88" s="11" t="s">
        <v>1137</v>
      </c>
      <c r="AH88" s="24" t="s">
        <v>443</v>
      </c>
      <c r="AI88" s="24"/>
      <c r="AJ88" s="24"/>
      <c r="AK88" s="24">
        <v>10</v>
      </c>
      <c r="AL88" s="24"/>
      <c r="AM88" s="24"/>
      <c r="AN88" s="24"/>
      <c r="AO88" s="24"/>
      <c r="AP88" s="24">
        <v>11</v>
      </c>
      <c r="AQ88" s="24" t="s">
        <v>1846</v>
      </c>
      <c r="AR88" s="25"/>
      <c r="AS88" t="s">
        <v>84</v>
      </c>
      <c r="AT88" s="24" t="s">
        <v>442</v>
      </c>
      <c r="AU88" t="s">
        <v>1119</v>
      </c>
    </row>
    <row r="89" spans="5:48">
      <c r="E89" s="43"/>
      <c r="F89" s="44" t="s">
        <v>649</v>
      </c>
      <c r="G89" s="44" t="s">
        <v>682</v>
      </c>
      <c r="H89" s="44">
        <v>72</v>
      </c>
      <c r="I89" s="44"/>
      <c r="J89" s="44" t="s">
        <v>411</v>
      </c>
      <c r="K89" s="44" t="s">
        <v>423</v>
      </c>
      <c r="L89" s="44"/>
      <c r="M89" s="44" t="s">
        <v>91</v>
      </c>
      <c r="N89" s="44">
        <v>86</v>
      </c>
      <c r="O89" s="44" t="s">
        <v>514</v>
      </c>
      <c r="P89" s="42"/>
      <c r="AC89" s="24"/>
      <c r="AD89" s="24"/>
      <c r="AE89" s="24"/>
      <c r="AF89" s="43" t="s">
        <v>1594</v>
      </c>
      <c r="AG89" s="11" t="s">
        <v>1137</v>
      </c>
      <c r="AH89" s="24" t="s">
        <v>445</v>
      </c>
      <c r="AI89" s="24"/>
      <c r="AJ89" s="24"/>
      <c r="AK89" s="24">
        <v>15</v>
      </c>
      <c r="AL89" s="24"/>
      <c r="AM89" s="24"/>
      <c r="AN89" s="24"/>
      <c r="AO89" s="24"/>
      <c r="AP89">
        <v>12</v>
      </c>
      <c r="AQ89" s="24" t="s">
        <v>134</v>
      </c>
      <c r="AR89" s="25"/>
      <c r="AS89" t="s">
        <v>84</v>
      </c>
      <c r="AT89" s="24" t="s">
        <v>442</v>
      </c>
      <c r="AU89" t="s">
        <v>1119</v>
      </c>
    </row>
    <row r="90" spans="5:48">
      <c r="E90" s="43"/>
      <c r="F90" s="44" t="s">
        <v>373</v>
      </c>
      <c r="G90" s="44" t="s">
        <v>506</v>
      </c>
      <c r="H90" s="44">
        <v>95</v>
      </c>
      <c r="I90" s="44"/>
      <c r="J90" s="44" t="s">
        <v>411</v>
      </c>
      <c r="K90" s="44" t="s">
        <v>412</v>
      </c>
      <c r="L90" s="44"/>
      <c r="M90" s="44" t="s">
        <v>91</v>
      </c>
      <c r="N90" s="44">
        <v>87</v>
      </c>
      <c r="O90" s="44" t="s">
        <v>513</v>
      </c>
      <c r="P90" s="27"/>
      <c r="AC90" s="24"/>
      <c r="AD90" s="24"/>
      <c r="AE90" s="24"/>
      <c r="AF90" s="43" t="s">
        <v>1599</v>
      </c>
      <c r="AG90" s="11" t="s">
        <v>1137</v>
      </c>
      <c r="AH90" t="s">
        <v>2131</v>
      </c>
      <c r="AI90" s="24"/>
      <c r="AJ90" s="24"/>
      <c r="AK90" s="24">
        <v>15</v>
      </c>
      <c r="AL90" s="24"/>
      <c r="AM90" s="24"/>
      <c r="AN90" s="24"/>
      <c r="AO90" s="24"/>
      <c r="AP90" s="24">
        <v>13</v>
      </c>
      <c r="AQ90" s="24" t="s">
        <v>1846</v>
      </c>
      <c r="AR90" s="25"/>
      <c r="AS90" t="s">
        <v>84</v>
      </c>
      <c r="AT90" s="24" t="s">
        <v>442</v>
      </c>
      <c r="AU90" t="s">
        <v>1119</v>
      </c>
    </row>
    <row r="91" spans="5:48">
      <c r="E91" s="43"/>
      <c r="F91" s="44" t="s">
        <v>374</v>
      </c>
      <c r="G91" s="44" t="s">
        <v>507</v>
      </c>
      <c r="H91" s="44">
        <v>114</v>
      </c>
      <c r="I91" s="44"/>
      <c r="J91" s="44" t="s">
        <v>411</v>
      </c>
      <c r="K91" s="44" t="s">
        <v>413</v>
      </c>
      <c r="L91" s="44"/>
      <c r="M91" s="44" t="s">
        <v>91</v>
      </c>
      <c r="N91" s="44">
        <v>88</v>
      </c>
      <c r="O91" s="44" t="s">
        <v>513</v>
      </c>
      <c r="P91" s="42"/>
      <c r="AC91" s="24"/>
      <c r="AD91" s="24"/>
      <c r="AE91" s="24"/>
      <c r="AF91" s="261" t="s">
        <v>2197</v>
      </c>
      <c r="AG91" s="11" t="s">
        <v>1137</v>
      </c>
      <c r="AH91" t="s">
        <v>2137</v>
      </c>
      <c r="AI91" s="24"/>
      <c r="AJ91" s="24"/>
      <c r="AK91" s="24">
        <v>20</v>
      </c>
      <c r="AL91" s="24"/>
      <c r="AM91" s="24"/>
      <c r="AN91" s="24"/>
      <c r="AO91" s="24"/>
      <c r="AP91">
        <v>14</v>
      </c>
      <c r="AQ91" t="s">
        <v>134</v>
      </c>
      <c r="AR91" s="25"/>
      <c r="AS91" t="s">
        <v>84</v>
      </c>
      <c r="AT91" s="24" t="s">
        <v>442</v>
      </c>
      <c r="AU91" t="s">
        <v>1117</v>
      </c>
    </row>
    <row r="92" spans="5:48">
      <c r="E92" s="43"/>
      <c r="F92" s="44" t="s">
        <v>633</v>
      </c>
      <c r="G92" s="44" t="s">
        <v>683</v>
      </c>
      <c r="H92" s="44">
        <v>190</v>
      </c>
      <c r="I92" s="44"/>
      <c r="J92" s="44" t="s">
        <v>411</v>
      </c>
      <c r="K92" s="44" t="s">
        <v>425</v>
      </c>
      <c r="L92" s="44"/>
      <c r="M92" s="44" t="s">
        <v>91</v>
      </c>
      <c r="N92" s="44">
        <v>89</v>
      </c>
      <c r="O92" s="44" t="s">
        <v>514</v>
      </c>
      <c r="P92" s="27"/>
      <c r="AC92" s="24"/>
      <c r="AD92" s="24"/>
      <c r="AE92" s="24"/>
      <c r="AF92" s="43" t="s">
        <v>1596</v>
      </c>
      <c r="AG92" s="11" t="s">
        <v>1137</v>
      </c>
      <c r="AH92" s="24" t="s">
        <v>446</v>
      </c>
      <c r="AI92" s="24"/>
      <c r="AJ92" s="24"/>
      <c r="AK92" s="24">
        <v>15</v>
      </c>
      <c r="AL92" s="24"/>
      <c r="AM92" s="24"/>
      <c r="AN92" s="24"/>
      <c r="AO92" s="24"/>
      <c r="AP92" s="24">
        <v>15</v>
      </c>
      <c r="AQ92" s="24" t="s">
        <v>134</v>
      </c>
      <c r="AR92" s="25"/>
      <c r="AS92" t="s">
        <v>84</v>
      </c>
      <c r="AT92" s="24" t="s">
        <v>442</v>
      </c>
      <c r="AU92" t="s">
        <v>1117</v>
      </c>
    </row>
    <row r="93" spans="5:48">
      <c r="E93" s="43"/>
      <c r="F93" s="44" t="s">
        <v>375</v>
      </c>
      <c r="G93" s="44" t="s">
        <v>508</v>
      </c>
      <c r="H93" s="44">
        <v>199</v>
      </c>
      <c r="I93" s="44"/>
      <c r="J93" s="44" t="s">
        <v>411</v>
      </c>
      <c r="K93" s="44" t="s">
        <v>414</v>
      </c>
      <c r="L93" s="44"/>
      <c r="M93" s="44" t="s">
        <v>91</v>
      </c>
      <c r="N93" s="44">
        <v>90</v>
      </c>
      <c r="O93" s="44" t="s">
        <v>513</v>
      </c>
      <c r="P93" s="27"/>
      <c r="AC93" s="24"/>
      <c r="AD93" s="24"/>
      <c r="AE93" s="24"/>
      <c r="AF93" s="43" t="s">
        <v>1597</v>
      </c>
      <c r="AG93" s="11" t="s">
        <v>1137</v>
      </c>
      <c r="AH93" s="24" t="s">
        <v>447</v>
      </c>
      <c r="AI93" s="24"/>
      <c r="AJ93" s="24"/>
      <c r="AK93" s="24">
        <v>15</v>
      </c>
      <c r="AL93" s="24"/>
      <c r="AM93" s="24"/>
      <c r="AN93" s="24"/>
      <c r="AO93" s="24"/>
      <c r="AP93">
        <v>16</v>
      </c>
      <c r="AQ93" s="24" t="s">
        <v>134</v>
      </c>
      <c r="AR93" s="25"/>
      <c r="AS93" t="s">
        <v>84</v>
      </c>
      <c r="AT93" s="24" t="s">
        <v>442</v>
      </c>
      <c r="AU93" t="s">
        <v>1767</v>
      </c>
    </row>
    <row r="94" spans="5:48">
      <c r="E94" s="43"/>
      <c r="F94" s="44" t="s">
        <v>376</v>
      </c>
      <c r="G94" s="44" t="s">
        <v>509</v>
      </c>
      <c r="H94" s="44">
        <v>284</v>
      </c>
      <c r="I94" s="44"/>
      <c r="J94" s="44" t="s">
        <v>411</v>
      </c>
      <c r="K94" s="44" t="s">
        <v>415</v>
      </c>
      <c r="L94" s="44"/>
      <c r="M94" s="44" t="s">
        <v>91</v>
      </c>
      <c r="N94" s="44">
        <v>91</v>
      </c>
      <c r="O94" s="44" t="s">
        <v>513</v>
      </c>
      <c r="P94" s="27"/>
      <c r="AC94" s="24"/>
      <c r="AD94" s="24"/>
      <c r="AE94" s="24"/>
      <c r="AF94" s="43" t="s">
        <v>1592</v>
      </c>
      <c r="AG94" s="11" t="s">
        <v>1137</v>
      </c>
      <c r="AH94" s="24" t="s">
        <v>444</v>
      </c>
      <c r="AI94" s="24"/>
      <c r="AJ94" s="24"/>
      <c r="AK94" s="24">
        <v>15</v>
      </c>
      <c r="AL94" s="24"/>
      <c r="AM94" s="24"/>
      <c r="AN94" s="24"/>
      <c r="AO94" s="24"/>
      <c r="AP94" s="24">
        <v>17</v>
      </c>
      <c r="AQ94" s="24" t="s">
        <v>1846</v>
      </c>
      <c r="AR94" s="25"/>
      <c r="AS94" t="s">
        <v>84</v>
      </c>
      <c r="AT94" s="24" t="s">
        <v>442</v>
      </c>
      <c r="AU94" t="s">
        <v>87</v>
      </c>
    </row>
    <row r="95" spans="5:48">
      <c r="E95" s="43"/>
      <c r="F95" s="44" t="s">
        <v>377</v>
      </c>
      <c r="G95" s="44" t="s">
        <v>510</v>
      </c>
      <c r="H95" s="44">
        <v>455</v>
      </c>
      <c r="I95" s="44"/>
      <c r="J95" s="44" t="s">
        <v>411</v>
      </c>
      <c r="K95" s="44" t="s">
        <v>416</v>
      </c>
      <c r="L95" s="44"/>
      <c r="M95" s="44" t="s">
        <v>91</v>
      </c>
      <c r="N95" s="44">
        <v>92</v>
      </c>
      <c r="O95" s="44" t="s">
        <v>513</v>
      </c>
      <c r="P95" s="27"/>
      <c r="AC95" s="24"/>
      <c r="AD95" s="24"/>
      <c r="AE95" s="24"/>
      <c r="AF95" s="43" t="s">
        <v>1598</v>
      </c>
      <c r="AG95" s="11" t="s">
        <v>1137</v>
      </c>
      <c r="AH95" t="s">
        <v>542</v>
      </c>
      <c r="AI95" s="24"/>
      <c r="AJ95" s="24"/>
      <c r="AK95" s="24"/>
      <c r="AL95" s="24"/>
      <c r="AM95" s="24"/>
      <c r="AN95" s="24"/>
      <c r="AO95" s="24"/>
      <c r="AP95">
        <v>18</v>
      </c>
      <c r="AQ95" s="24"/>
      <c r="AR95" s="19"/>
      <c r="AS95" t="s">
        <v>84</v>
      </c>
      <c r="AT95" s="24" t="s">
        <v>442</v>
      </c>
      <c r="AU95" s="57" t="s">
        <v>596</v>
      </c>
    </row>
    <row r="96" spans="5:48">
      <c r="E96" s="43"/>
      <c r="F96" s="44" t="s">
        <v>378</v>
      </c>
      <c r="G96" s="44" t="s">
        <v>511</v>
      </c>
      <c r="H96" s="44">
        <v>1080</v>
      </c>
      <c r="I96" s="44"/>
      <c r="J96" s="44" t="s">
        <v>411</v>
      </c>
      <c r="K96" s="44" t="s">
        <v>417</v>
      </c>
      <c r="L96" s="44"/>
      <c r="M96" s="44" t="s">
        <v>91</v>
      </c>
      <c r="N96" s="44">
        <v>93</v>
      </c>
      <c r="O96" s="44" t="s">
        <v>513</v>
      </c>
      <c r="P96" s="27"/>
      <c r="AF96" s="25"/>
      <c r="AG96" s="24"/>
      <c r="AH96" s="24"/>
      <c r="AI96" s="24"/>
      <c r="AJ96" s="24"/>
      <c r="AK96" s="24"/>
      <c r="AL96" s="24"/>
      <c r="AM96" s="24"/>
      <c r="AN96" s="24"/>
      <c r="AO96" s="24"/>
      <c r="AP96" s="24"/>
      <c r="AQ96" s="24"/>
      <c r="AR96" s="24"/>
      <c r="AS96" s="24"/>
      <c r="AT96" s="24"/>
      <c r="AU96" s="24"/>
      <c r="AV96" s="24"/>
    </row>
    <row r="97" spans="5:52">
      <c r="E97" s="25"/>
      <c r="F97" s="24" t="s">
        <v>1293</v>
      </c>
      <c r="G97" s="24" t="s">
        <v>1294</v>
      </c>
      <c r="H97" s="24">
        <v>1610</v>
      </c>
      <c r="I97" s="24"/>
      <c r="J97" s="24" t="s">
        <v>411</v>
      </c>
      <c r="K97" s="24" t="s">
        <v>1295</v>
      </c>
      <c r="L97" s="24"/>
      <c r="M97" s="24" t="s">
        <v>91</v>
      </c>
      <c r="N97" s="44">
        <v>94</v>
      </c>
      <c r="O97" s="24" t="s">
        <v>514</v>
      </c>
      <c r="P97" s="27"/>
      <c r="AF97" s="25" t="s">
        <v>85</v>
      </c>
      <c r="AG97" s="25" t="s">
        <v>531</v>
      </c>
      <c r="AH97" s="24" t="s">
        <v>456</v>
      </c>
      <c r="AI97" s="24" t="s">
        <v>457</v>
      </c>
      <c r="AJ97" t="s">
        <v>541</v>
      </c>
      <c r="AK97" s="24" t="s">
        <v>88</v>
      </c>
      <c r="AL97" s="24" t="s">
        <v>86</v>
      </c>
      <c r="AM97" s="24" t="s">
        <v>331</v>
      </c>
      <c r="AN97" s="24" t="s">
        <v>332</v>
      </c>
      <c r="AO97" s="24" t="s">
        <v>433</v>
      </c>
      <c r="AP97" t="s">
        <v>336</v>
      </c>
      <c r="AQ97" s="24" t="s">
        <v>432</v>
      </c>
      <c r="AR97" s="24" t="s">
        <v>322</v>
      </c>
      <c r="AS97" t="s">
        <v>569</v>
      </c>
      <c r="AT97" s="24" t="s">
        <v>431</v>
      </c>
      <c r="AU97" s="57" t="s">
        <v>1116</v>
      </c>
      <c r="AV97" t="s">
        <v>2049</v>
      </c>
      <c r="AW97" t="s">
        <v>1239</v>
      </c>
      <c r="AX97" t="s">
        <v>2057</v>
      </c>
      <c r="AY97" t="s">
        <v>2058</v>
      </c>
      <c r="AZ97" t="s">
        <v>2059</v>
      </c>
    </row>
    <row r="98" spans="5:52">
      <c r="F98" s="24" t="s">
        <v>1296</v>
      </c>
      <c r="G98" s="24" t="s">
        <v>1297</v>
      </c>
      <c r="H98" s="24">
        <v>2140</v>
      </c>
      <c r="I98" s="24"/>
      <c r="J98" s="24" t="s">
        <v>411</v>
      </c>
      <c r="K98" s="24" t="s">
        <v>1298</v>
      </c>
      <c r="L98" s="24"/>
      <c r="M98" s="24" t="s">
        <v>91</v>
      </c>
      <c r="N98" s="44">
        <v>95</v>
      </c>
      <c r="O98" s="24" t="s">
        <v>1266</v>
      </c>
      <c r="P98" s="27"/>
      <c r="AF98" s="43" t="s">
        <v>1600</v>
      </c>
      <c r="AG98" s="19" t="s">
        <v>1312</v>
      </c>
      <c r="AH98" t="s">
        <v>557</v>
      </c>
      <c r="AI98" s="24"/>
      <c r="AJ98" s="24"/>
      <c r="AK98" s="24">
        <v>15</v>
      </c>
      <c r="AL98" s="24"/>
      <c r="AM98" s="24"/>
      <c r="AN98" s="24"/>
      <c r="AO98" s="24"/>
      <c r="AP98" s="24">
        <v>1</v>
      </c>
      <c r="AQ98" s="24" t="s">
        <v>1145</v>
      </c>
      <c r="AR98" s="25"/>
      <c r="AS98" t="s">
        <v>523</v>
      </c>
      <c r="AT98" s="24" t="s">
        <v>448</v>
      </c>
      <c r="AU98" t="s">
        <v>1119</v>
      </c>
    </row>
    <row r="99" spans="5:52">
      <c r="E99" s="43"/>
      <c r="F99" s="44" t="s">
        <v>335</v>
      </c>
      <c r="G99" s="44"/>
      <c r="H99" s="44">
        <v>227</v>
      </c>
      <c r="I99" s="44"/>
      <c r="J99" s="44" t="s">
        <v>418</v>
      </c>
      <c r="K99" s="44" t="s">
        <v>419</v>
      </c>
      <c r="L99" s="44"/>
      <c r="M99" s="44" t="s">
        <v>91</v>
      </c>
      <c r="N99" s="44">
        <v>96</v>
      </c>
      <c r="O99" s="44" t="s">
        <v>513</v>
      </c>
      <c r="P99" s="27"/>
      <c r="AF99" s="43" t="s">
        <v>1601</v>
      </c>
      <c r="AG99" s="19" t="s">
        <v>1312</v>
      </c>
      <c r="AH99" t="s">
        <v>556</v>
      </c>
      <c r="AI99" s="24"/>
      <c r="AJ99" s="24"/>
      <c r="AK99" s="24">
        <v>15</v>
      </c>
      <c r="AL99" s="24"/>
      <c r="AM99" s="24"/>
      <c r="AN99" s="24"/>
      <c r="AO99" s="24"/>
      <c r="AP99" s="24">
        <v>2</v>
      </c>
      <c r="AQ99" s="24" t="s">
        <v>96</v>
      </c>
      <c r="AR99" s="25"/>
      <c r="AS99" t="s">
        <v>523</v>
      </c>
      <c r="AT99" s="24" t="s">
        <v>448</v>
      </c>
      <c r="AU99" t="s">
        <v>1119</v>
      </c>
    </row>
    <row r="100" spans="5:52">
      <c r="E100" s="43"/>
      <c r="F100" s="44" t="s">
        <v>379</v>
      </c>
      <c r="G100" s="44"/>
      <c r="H100" s="44">
        <v>364</v>
      </c>
      <c r="I100" s="44"/>
      <c r="J100" s="44" t="s">
        <v>418</v>
      </c>
      <c r="K100" s="44" t="s">
        <v>420</v>
      </c>
      <c r="L100" s="44"/>
      <c r="M100" s="44" t="s">
        <v>91</v>
      </c>
      <c r="N100" s="44">
        <v>97</v>
      </c>
      <c r="O100" s="44" t="s">
        <v>513</v>
      </c>
      <c r="P100" s="27"/>
      <c r="AF100" s="43" t="s">
        <v>1602</v>
      </c>
      <c r="AG100" s="19" t="s">
        <v>1312</v>
      </c>
      <c r="AH100" t="s">
        <v>563</v>
      </c>
      <c r="AI100" s="24"/>
      <c r="AJ100" s="24"/>
      <c r="AK100" s="24">
        <v>15</v>
      </c>
      <c r="AL100" s="24"/>
      <c r="AM100" s="24"/>
      <c r="AN100" s="24"/>
      <c r="AO100" s="24"/>
      <c r="AP100" s="24">
        <v>3</v>
      </c>
      <c r="AQ100" s="24" t="s">
        <v>1145</v>
      </c>
      <c r="AR100" s="25"/>
      <c r="AS100" t="s">
        <v>523</v>
      </c>
      <c r="AT100" s="24" t="s">
        <v>448</v>
      </c>
      <c r="AU100" t="s">
        <v>1119</v>
      </c>
    </row>
    <row r="101" spans="5:52">
      <c r="E101" s="43"/>
      <c r="F101" s="44" t="s">
        <v>650</v>
      </c>
      <c r="G101" s="44"/>
      <c r="H101" s="44">
        <v>398</v>
      </c>
      <c r="I101" s="44"/>
      <c r="J101" s="44" t="s">
        <v>418</v>
      </c>
      <c r="K101" s="44" t="s">
        <v>684</v>
      </c>
      <c r="L101" s="44"/>
      <c r="M101" s="44" t="s">
        <v>91</v>
      </c>
      <c r="N101" s="44">
        <v>98</v>
      </c>
      <c r="O101" s="44" t="s">
        <v>513</v>
      </c>
      <c r="P101" s="27"/>
      <c r="AF101" s="43" t="s">
        <v>1603</v>
      </c>
      <c r="AG101" s="19" t="s">
        <v>1312</v>
      </c>
      <c r="AH101" t="s">
        <v>565</v>
      </c>
      <c r="AI101" s="24"/>
      <c r="AJ101" s="24"/>
      <c r="AK101" s="24">
        <v>15</v>
      </c>
      <c r="AL101" s="24"/>
      <c r="AM101" s="24"/>
      <c r="AN101" s="24"/>
      <c r="AO101" s="24"/>
      <c r="AP101" s="24">
        <v>4</v>
      </c>
      <c r="AQ101" s="24" t="s">
        <v>1145</v>
      </c>
      <c r="AR101" s="25"/>
      <c r="AS101" t="s">
        <v>523</v>
      </c>
      <c r="AT101" s="24" t="s">
        <v>448</v>
      </c>
      <c r="AU101" t="s">
        <v>1119</v>
      </c>
    </row>
    <row r="102" spans="5:52">
      <c r="E102" s="43"/>
      <c r="F102" s="44" t="s">
        <v>380</v>
      </c>
      <c r="G102" s="44"/>
      <c r="H102" s="44">
        <v>456</v>
      </c>
      <c r="I102" s="44"/>
      <c r="J102" s="44" t="s">
        <v>418</v>
      </c>
      <c r="K102" s="44" t="s">
        <v>416</v>
      </c>
      <c r="L102" s="44"/>
      <c r="M102" s="44" t="s">
        <v>91</v>
      </c>
      <c r="N102" s="44">
        <v>99</v>
      </c>
      <c r="O102" s="44" t="s">
        <v>514</v>
      </c>
      <c r="P102" s="27"/>
      <c r="AF102" s="43" t="s">
        <v>1775</v>
      </c>
      <c r="AG102" s="19" t="s">
        <v>1312</v>
      </c>
      <c r="AH102" t="s">
        <v>1756</v>
      </c>
      <c r="AI102" s="24"/>
      <c r="AJ102" s="24"/>
      <c r="AK102" s="24">
        <v>15</v>
      </c>
      <c r="AL102" s="24"/>
      <c r="AM102" s="24"/>
      <c r="AN102" s="24"/>
      <c r="AO102" s="24"/>
      <c r="AP102" s="24">
        <v>5</v>
      </c>
      <c r="AQ102" s="24" t="s">
        <v>1145</v>
      </c>
      <c r="AR102" s="25"/>
      <c r="AS102" t="s">
        <v>523</v>
      </c>
      <c r="AT102" s="24" t="s">
        <v>448</v>
      </c>
      <c r="AU102" t="s">
        <v>1119</v>
      </c>
    </row>
    <row r="103" spans="5:52">
      <c r="E103" s="43"/>
      <c r="F103" s="44" t="s">
        <v>634</v>
      </c>
      <c r="G103" s="44"/>
      <c r="H103" s="44">
        <v>1080</v>
      </c>
      <c r="I103" s="44"/>
      <c r="J103" s="44" t="s">
        <v>418</v>
      </c>
      <c r="K103" s="44" t="s">
        <v>417</v>
      </c>
      <c r="L103" s="44"/>
      <c r="M103" s="44" t="s">
        <v>91</v>
      </c>
      <c r="N103" s="44">
        <v>100</v>
      </c>
      <c r="O103" s="44" t="s">
        <v>514</v>
      </c>
      <c r="P103" s="27"/>
      <c r="AF103" s="43" t="s">
        <v>1605</v>
      </c>
      <c r="AG103" s="19" t="s">
        <v>1312</v>
      </c>
      <c r="AH103" t="s">
        <v>555</v>
      </c>
      <c r="AI103" s="24"/>
      <c r="AJ103" s="24"/>
      <c r="AK103" s="24">
        <v>15</v>
      </c>
      <c r="AL103" s="24"/>
      <c r="AM103" s="24"/>
      <c r="AN103" s="24"/>
      <c r="AO103" s="24"/>
      <c r="AP103" s="24">
        <v>6</v>
      </c>
      <c r="AQ103" s="24" t="s">
        <v>1846</v>
      </c>
      <c r="AR103" s="25"/>
      <c r="AS103" t="s">
        <v>523</v>
      </c>
      <c r="AT103" s="24" t="s">
        <v>448</v>
      </c>
      <c r="AU103" t="s">
        <v>1119</v>
      </c>
    </row>
    <row r="104" spans="5:52">
      <c r="E104" s="43"/>
      <c r="F104" s="44" t="s">
        <v>610</v>
      </c>
      <c r="G104" s="44"/>
      <c r="H104" s="44" t="s">
        <v>465</v>
      </c>
      <c r="I104" s="44"/>
      <c r="J104" s="44"/>
      <c r="K104" s="44"/>
      <c r="L104" s="44"/>
      <c r="M104" s="44"/>
      <c r="N104" s="44">
        <v>101</v>
      </c>
      <c r="O104" s="44"/>
      <c r="P104" s="27"/>
      <c r="AF104" s="43" t="s">
        <v>1606</v>
      </c>
      <c r="AG104" s="19" t="s">
        <v>1312</v>
      </c>
      <c r="AH104" t="s">
        <v>534</v>
      </c>
      <c r="AI104" s="24"/>
      <c r="AJ104" s="24"/>
      <c r="AK104" s="24">
        <v>10</v>
      </c>
      <c r="AL104" s="24"/>
      <c r="AM104" s="24"/>
      <c r="AN104" s="24"/>
      <c r="AO104" s="24"/>
      <c r="AP104" s="24">
        <v>7</v>
      </c>
      <c r="AQ104" s="24" t="s">
        <v>1145</v>
      </c>
      <c r="AR104" s="25"/>
      <c r="AS104" t="s">
        <v>523</v>
      </c>
      <c r="AT104" s="24" t="s">
        <v>448</v>
      </c>
      <c r="AU104" t="s">
        <v>1119</v>
      </c>
    </row>
    <row r="105" spans="5:52">
      <c r="E105" s="43"/>
      <c r="F105" s="44" t="s">
        <v>381</v>
      </c>
      <c r="G105" s="44" t="s">
        <v>497</v>
      </c>
      <c r="H105" s="44">
        <v>46</v>
      </c>
      <c r="I105" s="44"/>
      <c r="J105" s="44" t="s">
        <v>421</v>
      </c>
      <c r="K105" s="44" t="s">
        <v>422</v>
      </c>
      <c r="L105" s="44"/>
      <c r="M105" s="44" t="s">
        <v>91</v>
      </c>
      <c r="N105" s="44">
        <v>102</v>
      </c>
      <c r="O105" s="44" t="s">
        <v>513</v>
      </c>
      <c r="P105" s="27"/>
      <c r="AF105" s="43" t="s">
        <v>1607</v>
      </c>
      <c r="AG105" s="19" t="s">
        <v>1312</v>
      </c>
      <c r="AH105" t="s">
        <v>617</v>
      </c>
      <c r="AK105">
        <v>15</v>
      </c>
      <c r="AP105" s="24">
        <v>8</v>
      </c>
      <c r="AQ105" t="s">
        <v>1145</v>
      </c>
      <c r="AR105" s="19"/>
      <c r="AS105" t="s">
        <v>523</v>
      </c>
      <c r="AT105" s="24" t="s">
        <v>448</v>
      </c>
      <c r="AU105" t="s">
        <v>1119</v>
      </c>
    </row>
    <row r="106" spans="5:52">
      <c r="E106" s="43"/>
      <c r="F106" s="44" t="s">
        <v>382</v>
      </c>
      <c r="G106" s="44" t="s">
        <v>498</v>
      </c>
      <c r="H106" s="44">
        <v>66</v>
      </c>
      <c r="I106" s="44"/>
      <c r="J106" s="44" t="s">
        <v>421</v>
      </c>
      <c r="K106" s="44" t="s">
        <v>423</v>
      </c>
      <c r="L106" s="44"/>
      <c r="M106" s="44" t="s">
        <v>91</v>
      </c>
      <c r="N106" s="44">
        <v>103</v>
      </c>
      <c r="O106" s="44" t="s">
        <v>513</v>
      </c>
      <c r="P106" s="27"/>
      <c r="AF106" s="43" t="s">
        <v>1608</v>
      </c>
      <c r="AG106" s="19" t="s">
        <v>1312</v>
      </c>
      <c r="AH106" t="s">
        <v>554</v>
      </c>
      <c r="AI106" s="24"/>
      <c r="AJ106" s="24"/>
      <c r="AK106" s="24">
        <v>15</v>
      </c>
      <c r="AL106" s="24"/>
      <c r="AM106" s="24"/>
      <c r="AN106" s="24"/>
      <c r="AO106" s="24"/>
      <c r="AP106" s="24">
        <v>9</v>
      </c>
      <c r="AQ106" s="24" t="s">
        <v>1145</v>
      </c>
      <c r="AR106" s="25"/>
      <c r="AS106" t="s">
        <v>523</v>
      </c>
      <c r="AT106" s="24" t="s">
        <v>448</v>
      </c>
      <c r="AU106" t="s">
        <v>1119</v>
      </c>
    </row>
    <row r="107" spans="5:52">
      <c r="E107" s="43"/>
      <c r="F107" s="44" t="s">
        <v>383</v>
      </c>
      <c r="G107" s="44" t="s">
        <v>499</v>
      </c>
      <c r="H107" s="44">
        <v>95</v>
      </c>
      <c r="I107" s="44"/>
      <c r="J107" s="44" t="s">
        <v>421</v>
      </c>
      <c r="K107" s="44" t="s">
        <v>424</v>
      </c>
      <c r="L107" s="44"/>
      <c r="M107" s="44" t="s">
        <v>91</v>
      </c>
      <c r="N107" s="44">
        <v>104</v>
      </c>
      <c r="O107" s="44" t="s">
        <v>513</v>
      </c>
      <c r="P107" s="27"/>
      <c r="AF107" s="43" t="s">
        <v>1604</v>
      </c>
      <c r="AG107" s="19" t="s">
        <v>1312</v>
      </c>
      <c r="AH107" t="s">
        <v>543</v>
      </c>
      <c r="AI107" s="24"/>
      <c r="AJ107" s="24"/>
      <c r="AK107" s="24"/>
      <c r="AL107" s="24"/>
      <c r="AM107" s="24"/>
      <c r="AN107" s="24"/>
      <c r="AO107" s="24"/>
      <c r="AP107" s="24">
        <v>10</v>
      </c>
      <c r="AQ107" s="24"/>
      <c r="AR107" s="25"/>
      <c r="AS107" t="s">
        <v>523</v>
      </c>
      <c r="AT107" s="24" t="s">
        <v>448</v>
      </c>
      <c r="AU107" s="57" t="s">
        <v>596</v>
      </c>
    </row>
    <row r="108" spans="5:52">
      <c r="E108" s="43"/>
      <c r="F108" s="44" t="s">
        <v>384</v>
      </c>
      <c r="G108" s="44" t="s">
        <v>500</v>
      </c>
      <c r="H108" s="44">
        <v>138</v>
      </c>
      <c r="I108" s="44"/>
      <c r="J108" s="44" t="s">
        <v>421</v>
      </c>
      <c r="K108" s="44" t="s">
        <v>413</v>
      </c>
      <c r="L108" s="44"/>
      <c r="M108" s="44" t="s">
        <v>91</v>
      </c>
      <c r="N108" s="44">
        <v>105</v>
      </c>
      <c r="O108" s="44" t="s">
        <v>513</v>
      </c>
      <c r="P108" s="27"/>
      <c r="AF108" s="43" t="s">
        <v>1609</v>
      </c>
      <c r="AG108" s="11" t="s">
        <v>1137</v>
      </c>
      <c r="AH108" s="24" t="s">
        <v>452</v>
      </c>
      <c r="AI108" s="24"/>
      <c r="AJ108" s="24"/>
      <c r="AK108" s="24">
        <v>15</v>
      </c>
      <c r="AL108" s="24"/>
      <c r="AM108" s="24"/>
      <c r="AN108" s="24"/>
      <c r="AO108" s="24"/>
      <c r="AP108" s="24">
        <v>11</v>
      </c>
      <c r="AQ108" s="24" t="s">
        <v>1145</v>
      </c>
      <c r="AR108" s="25"/>
      <c r="AS108" t="s">
        <v>84</v>
      </c>
      <c r="AT108" s="24" t="s">
        <v>448</v>
      </c>
      <c r="AU108" t="s">
        <v>1119</v>
      </c>
    </row>
    <row r="109" spans="5:52">
      <c r="E109" s="43"/>
      <c r="F109" s="44" t="s">
        <v>385</v>
      </c>
      <c r="G109" s="44" t="s">
        <v>501</v>
      </c>
      <c r="H109" s="44">
        <v>188</v>
      </c>
      <c r="I109" s="44"/>
      <c r="J109" s="44" t="s">
        <v>421</v>
      </c>
      <c r="K109" s="44" t="s">
        <v>425</v>
      </c>
      <c r="L109" s="44"/>
      <c r="M109" s="44" t="s">
        <v>91</v>
      </c>
      <c r="N109" s="44">
        <v>106</v>
      </c>
      <c r="O109" s="44" t="s">
        <v>513</v>
      </c>
      <c r="P109" s="27"/>
      <c r="AF109" s="43" t="s">
        <v>1610</v>
      </c>
      <c r="AG109" s="11" t="s">
        <v>1137</v>
      </c>
      <c r="AH109" s="24" t="s">
        <v>451</v>
      </c>
      <c r="AI109" s="24"/>
      <c r="AJ109" s="24"/>
      <c r="AK109" s="24">
        <v>15</v>
      </c>
      <c r="AL109" s="24"/>
      <c r="AM109" s="24"/>
      <c r="AN109" s="24"/>
      <c r="AO109" s="24"/>
      <c r="AP109" s="24">
        <v>12</v>
      </c>
      <c r="AQ109" s="24" t="s">
        <v>96</v>
      </c>
      <c r="AR109" s="25"/>
      <c r="AS109" t="s">
        <v>84</v>
      </c>
      <c r="AT109" s="24" t="s">
        <v>448</v>
      </c>
      <c r="AU109" t="s">
        <v>1119</v>
      </c>
    </row>
    <row r="110" spans="5:52">
      <c r="E110" s="43"/>
      <c r="F110" s="44" t="s">
        <v>386</v>
      </c>
      <c r="G110" s="44" t="s">
        <v>502</v>
      </c>
      <c r="H110" s="44">
        <v>250</v>
      </c>
      <c r="I110" s="44"/>
      <c r="J110" s="44" t="s">
        <v>421</v>
      </c>
      <c r="K110" s="44" t="s">
        <v>419</v>
      </c>
      <c r="L110" s="44"/>
      <c r="M110" s="44" t="s">
        <v>91</v>
      </c>
      <c r="N110" s="44">
        <v>107</v>
      </c>
      <c r="O110" s="44" t="s">
        <v>513</v>
      </c>
      <c r="P110" s="27"/>
      <c r="AF110" s="43" t="s">
        <v>1611</v>
      </c>
      <c r="AG110" s="11" t="s">
        <v>1137</v>
      </c>
      <c r="AH110" t="s">
        <v>562</v>
      </c>
      <c r="AI110" s="24"/>
      <c r="AJ110" s="24"/>
      <c r="AK110" s="24">
        <v>15</v>
      </c>
      <c r="AL110" s="24"/>
      <c r="AM110" s="24"/>
      <c r="AN110" s="24"/>
      <c r="AO110" s="24"/>
      <c r="AP110" s="24">
        <v>13</v>
      </c>
      <c r="AQ110" s="24" t="s">
        <v>1145</v>
      </c>
      <c r="AR110" s="25"/>
      <c r="AS110" t="s">
        <v>84</v>
      </c>
      <c r="AT110" s="24" t="s">
        <v>448</v>
      </c>
      <c r="AU110" t="s">
        <v>1119</v>
      </c>
    </row>
    <row r="111" spans="5:52">
      <c r="E111" s="43"/>
      <c r="F111" s="44" t="s">
        <v>387</v>
      </c>
      <c r="G111" s="44" t="s">
        <v>503</v>
      </c>
      <c r="H111" s="44">
        <v>295</v>
      </c>
      <c r="I111" s="44"/>
      <c r="J111" s="44" t="s">
        <v>421</v>
      </c>
      <c r="K111" s="44" t="s">
        <v>415</v>
      </c>
      <c r="L111" s="44"/>
      <c r="M111" s="44" t="s">
        <v>91</v>
      </c>
      <c r="N111" s="44">
        <v>108</v>
      </c>
      <c r="O111" s="44" t="s">
        <v>513</v>
      </c>
      <c r="AF111" s="43" t="s">
        <v>1612</v>
      </c>
      <c r="AG111" s="11" t="s">
        <v>1137</v>
      </c>
      <c r="AH111" t="s">
        <v>564</v>
      </c>
      <c r="AI111" s="24"/>
      <c r="AJ111" s="24"/>
      <c r="AK111" s="24">
        <v>15</v>
      </c>
      <c r="AL111" s="24"/>
      <c r="AM111" s="24"/>
      <c r="AN111" s="24"/>
      <c r="AO111" s="24"/>
      <c r="AP111" s="24">
        <v>14</v>
      </c>
      <c r="AQ111" s="24" t="s">
        <v>1145</v>
      </c>
      <c r="AR111" s="25"/>
      <c r="AS111" t="s">
        <v>84</v>
      </c>
      <c r="AT111" s="24" t="s">
        <v>448</v>
      </c>
      <c r="AU111" t="s">
        <v>1119</v>
      </c>
    </row>
    <row r="112" spans="5:52">
      <c r="E112" s="43"/>
      <c r="F112" s="44" t="s">
        <v>388</v>
      </c>
      <c r="G112" s="44" t="s">
        <v>504</v>
      </c>
      <c r="H112" s="44">
        <v>465</v>
      </c>
      <c r="I112" s="44"/>
      <c r="J112" s="44" t="s">
        <v>421</v>
      </c>
      <c r="K112" s="44" t="s">
        <v>416</v>
      </c>
      <c r="L112" s="44"/>
      <c r="M112" s="44" t="s">
        <v>91</v>
      </c>
      <c r="N112" s="44">
        <v>109</v>
      </c>
      <c r="O112" s="44" t="s">
        <v>513</v>
      </c>
      <c r="AF112" s="43" t="s">
        <v>1779</v>
      </c>
      <c r="AG112" s="11" t="s">
        <v>1137</v>
      </c>
      <c r="AH112" t="s">
        <v>1757</v>
      </c>
      <c r="AI112" s="24"/>
      <c r="AJ112" s="24"/>
      <c r="AK112" s="24">
        <v>15</v>
      </c>
      <c r="AL112" s="24"/>
      <c r="AM112" s="24"/>
      <c r="AN112" s="24"/>
      <c r="AO112" s="24"/>
      <c r="AP112" s="24">
        <v>15</v>
      </c>
      <c r="AQ112" s="24" t="s">
        <v>1145</v>
      </c>
      <c r="AR112" s="25"/>
      <c r="AS112" t="s">
        <v>84</v>
      </c>
      <c r="AT112" s="24" t="s">
        <v>448</v>
      </c>
      <c r="AU112" t="s">
        <v>1119</v>
      </c>
    </row>
    <row r="113" spans="5:52">
      <c r="E113" s="43"/>
      <c r="F113" s="44" t="s">
        <v>389</v>
      </c>
      <c r="G113" s="44" t="s">
        <v>505</v>
      </c>
      <c r="H113" s="44">
        <v>1100</v>
      </c>
      <c r="I113" s="44"/>
      <c r="J113" s="44" t="s">
        <v>421</v>
      </c>
      <c r="K113" s="44" t="s">
        <v>417</v>
      </c>
      <c r="L113" s="44"/>
      <c r="M113" s="44" t="s">
        <v>91</v>
      </c>
      <c r="N113" s="44">
        <v>110</v>
      </c>
      <c r="O113" s="44" t="s">
        <v>513</v>
      </c>
      <c r="AF113" s="43" t="s">
        <v>1614</v>
      </c>
      <c r="AG113" s="11" t="s">
        <v>1137</v>
      </c>
      <c r="AH113" s="24" t="s">
        <v>464</v>
      </c>
      <c r="AI113" s="24"/>
      <c r="AJ113" s="24"/>
      <c r="AK113" s="24">
        <v>15</v>
      </c>
      <c r="AL113" s="24"/>
      <c r="AM113" s="24"/>
      <c r="AN113" s="24"/>
      <c r="AO113" s="24"/>
      <c r="AP113" s="24">
        <v>16</v>
      </c>
      <c r="AQ113" s="24" t="s">
        <v>1846</v>
      </c>
      <c r="AR113" s="25"/>
      <c r="AS113" t="s">
        <v>84</v>
      </c>
      <c r="AT113" s="24" t="s">
        <v>448</v>
      </c>
      <c r="AU113" t="s">
        <v>1119</v>
      </c>
    </row>
    <row r="114" spans="5:52">
      <c r="E114" s="43"/>
      <c r="F114" s="44" t="s">
        <v>610</v>
      </c>
      <c r="G114" s="44"/>
      <c r="H114" s="44" t="s">
        <v>465</v>
      </c>
      <c r="I114" s="44"/>
      <c r="J114" s="44"/>
      <c r="K114" s="44"/>
      <c r="L114" s="44"/>
      <c r="M114" s="44" t="s">
        <v>91</v>
      </c>
      <c r="N114" s="44">
        <v>111</v>
      </c>
      <c r="O114" s="44"/>
      <c r="AF114" s="43" t="s">
        <v>1615</v>
      </c>
      <c r="AG114" s="11" t="s">
        <v>1137</v>
      </c>
      <c r="AH114" s="24" t="s">
        <v>449</v>
      </c>
      <c r="AI114" s="24"/>
      <c r="AJ114" s="24"/>
      <c r="AK114" s="24">
        <v>10</v>
      </c>
      <c r="AL114" s="24"/>
      <c r="AM114" s="24"/>
      <c r="AN114" s="24"/>
      <c r="AO114" s="24"/>
      <c r="AP114" s="24">
        <v>17</v>
      </c>
      <c r="AQ114" s="24" t="s">
        <v>1145</v>
      </c>
      <c r="AR114" s="25"/>
      <c r="AS114" t="s">
        <v>84</v>
      </c>
      <c r="AT114" s="24" t="s">
        <v>448</v>
      </c>
      <c r="AU114" t="s">
        <v>1119</v>
      </c>
    </row>
    <row r="115" spans="5:52">
      <c r="E115" s="43"/>
      <c r="F115" s="44" t="s">
        <v>390</v>
      </c>
      <c r="G115" s="44" t="s">
        <v>490</v>
      </c>
      <c r="H115" s="44">
        <v>50</v>
      </c>
      <c r="I115" s="44"/>
      <c r="J115" s="44" t="s">
        <v>426</v>
      </c>
      <c r="K115" s="44" t="s">
        <v>427</v>
      </c>
      <c r="L115" s="44"/>
      <c r="M115" s="44" t="s">
        <v>91</v>
      </c>
      <c r="N115" s="44">
        <v>112</v>
      </c>
      <c r="O115" s="44" t="s">
        <v>513</v>
      </c>
      <c r="AF115" s="43" t="s">
        <v>1616</v>
      </c>
      <c r="AG115" s="11" t="s">
        <v>1137</v>
      </c>
      <c r="AH115" t="s">
        <v>613</v>
      </c>
      <c r="AK115">
        <v>15</v>
      </c>
      <c r="AP115" s="24">
        <v>18</v>
      </c>
      <c r="AQ115" t="s">
        <v>1145</v>
      </c>
      <c r="AR115" s="19"/>
      <c r="AS115" t="s">
        <v>84</v>
      </c>
      <c r="AT115" s="24" t="s">
        <v>448</v>
      </c>
      <c r="AU115" t="s">
        <v>1119</v>
      </c>
    </row>
    <row r="116" spans="5:52">
      <c r="E116" s="43"/>
      <c r="F116" s="44" t="s">
        <v>391</v>
      </c>
      <c r="G116" s="44" t="s">
        <v>491</v>
      </c>
      <c r="H116" s="44">
        <v>74</v>
      </c>
      <c r="I116" s="44"/>
      <c r="J116" s="44" t="s">
        <v>426</v>
      </c>
      <c r="K116" s="44" t="s">
        <v>423</v>
      </c>
      <c r="L116" s="44"/>
      <c r="M116" s="44" t="s">
        <v>91</v>
      </c>
      <c r="N116" s="44">
        <v>113</v>
      </c>
      <c r="O116" s="44" t="s">
        <v>513</v>
      </c>
      <c r="AF116" s="43" t="s">
        <v>1617</v>
      </c>
      <c r="AG116" s="11" t="s">
        <v>1137</v>
      </c>
      <c r="AH116" s="24" t="s">
        <v>450</v>
      </c>
      <c r="AI116" s="24"/>
      <c r="AJ116" s="24"/>
      <c r="AK116" s="24">
        <v>15</v>
      </c>
      <c r="AL116" s="24"/>
      <c r="AM116" s="24"/>
      <c r="AN116" s="24"/>
      <c r="AO116" s="24"/>
      <c r="AP116" s="24">
        <v>19</v>
      </c>
      <c r="AQ116" s="24" t="s">
        <v>1145</v>
      </c>
      <c r="AR116" s="25"/>
      <c r="AS116" t="s">
        <v>84</v>
      </c>
      <c r="AT116" s="24" t="s">
        <v>448</v>
      </c>
      <c r="AU116" t="s">
        <v>1119</v>
      </c>
    </row>
    <row r="117" spans="5:52">
      <c r="E117" s="43"/>
      <c r="F117" s="44" t="s">
        <v>392</v>
      </c>
      <c r="G117" s="44" t="s">
        <v>492</v>
      </c>
      <c r="H117" s="44">
        <v>93</v>
      </c>
      <c r="I117" s="44"/>
      <c r="J117" s="44" t="s">
        <v>426</v>
      </c>
      <c r="K117" s="44" t="s">
        <v>428</v>
      </c>
      <c r="L117" s="44"/>
      <c r="M117" s="44" t="s">
        <v>91</v>
      </c>
      <c r="N117" s="44">
        <v>114</v>
      </c>
      <c r="O117" s="44" t="s">
        <v>513</v>
      </c>
      <c r="AF117" s="43" t="s">
        <v>1613</v>
      </c>
      <c r="AG117" s="11" t="s">
        <v>1137</v>
      </c>
      <c r="AH117" t="s">
        <v>542</v>
      </c>
      <c r="AI117" s="24"/>
      <c r="AJ117" s="24"/>
      <c r="AK117" s="24"/>
      <c r="AL117" s="24"/>
      <c r="AM117" s="24"/>
      <c r="AN117" s="24"/>
      <c r="AO117" s="24"/>
      <c r="AP117" s="24">
        <v>20</v>
      </c>
      <c r="AQ117" s="24"/>
      <c r="AR117" s="19"/>
      <c r="AS117" t="s">
        <v>84</v>
      </c>
      <c r="AT117" s="24" t="s">
        <v>448</v>
      </c>
      <c r="AU117" s="57" t="s">
        <v>596</v>
      </c>
    </row>
    <row r="118" spans="5:52">
      <c r="E118" s="43"/>
      <c r="F118" s="44" t="s">
        <v>393</v>
      </c>
      <c r="G118" s="44" t="s">
        <v>493</v>
      </c>
      <c r="H118" s="44">
        <v>125</v>
      </c>
      <c r="I118" s="44"/>
      <c r="J118" s="44" t="s">
        <v>426</v>
      </c>
      <c r="K118" s="44" t="s">
        <v>413</v>
      </c>
      <c r="L118" s="44"/>
      <c r="M118" s="44" t="s">
        <v>91</v>
      </c>
      <c r="N118" s="44">
        <v>115</v>
      </c>
      <c r="O118" s="44" t="s">
        <v>513</v>
      </c>
      <c r="AF118" s="25"/>
      <c r="AG118" s="24"/>
      <c r="AH118" s="24"/>
      <c r="AI118" s="24"/>
      <c r="AJ118" s="24"/>
      <c r="AK118" s="24"/>
      <c r="AL118" s="24"/>
      <c r="AM118" s="24"/>
      <c r="AN118" s="24"/>
      <c r="AO118" s="24"/>
      <c r="AP118" s="24"/>
      <c r="AQ118" s="24"/>
      <c r="AR118" s="24"/>
      <c r="AS118" s="24"/>
    </row>
    <row r="119" spans="5:52">
      <c r="E119" s="43"/>
      <c r="F119" s="44" t="s">
        <v>394</v>
      </c>
      <c r="G119" s="44" t="s">
        <v>494</v>
      </c>
      <c r="H119" s="44">
        <v>205</v>
      </c>
      <c r="I119" s="44"/>
      <c r="J119" s="44" t="s">
        <v>426</v>
      </c>
      <c r="K119" s="44" t="s">
        <v>414</v>
      </c>
      <c r="L119" s="44"/>
      <c r="M119" s="44" t="s">
        <v>91</v>
      </c>
      <c r="N119" s="44">
        <v>116</v>
      </c>
      <c r="O119" s="44" t="s">
        <v>513</v>
      </c>
      <c r="AF119" s="25" t="s">
        <v>85</v>
      </c>
      <c r="AG119" s="25" t="s">
        <v>531</v>
      </c>
      <c r="AH119" s="24" t="s">
        <v>456</v>
      </c>
      <c r="AI119" s="24" t="s">
        <v>457</v>
      </c>
      <c r="AJ119" t="s">
        <v>541</v>
      </c>
      <c r="AK119" s="24" t="s">
        <v>88</v>
      </c>
      <c r="AL119" s="24" t="s">
        <v>86</v>
      </c>
      <c r="AM119" s="24" t="s">
        <v>331</v>
      </c>
      <c r="AN119" s="24" t="s">
        <v>332</v>
      </c>
      <c r="AO119" s="24" t="s">
        <v>433</v>
      </c>
      <c r="AP119" t="s">
        <v>336</v>
      </c>
      <c r="AQ119" s="24" t="s">
        <v>432</v>
      </c>
      <c r="AR119" s="24" t="s">
        <v>322</v>
      </c>
      <c r="AS119" t="s">
        <v>569</v>
      </c>
      <c r="AT119" s="24" t="s">
        <v>431</v>
      </c>
      <c r="AU119" s="57" t="s">
        <v>1116</v>
      </c>
      <c r="AV119" t="s">
        <v>2049</v>
      </c>
      <c r="AW119" t="s">
        <v>1239</v>
      </c>
      <c r="AX119" t="s">
        <v>2057</v>
      </c>
      <c r="AY119" t="s">
        <v>2058</v>
      </c>
      <c r="AZ119" t="s">
        <v>2059</v>
      </c>
    </row>
    <row r="120" spans="5:52">
      <c r="E120" s="43"/>
      <c r="F120" s="44" t="s">
        <v>395</v>
      </c>
      <c r="G120" s="44" t="s">
        <v>495</v>
      </c>
      <c r="H120" s="44">
        <v>290</v>
      </c>
      <c r="I120" s="44"/>
      <c r="J120" s="44" t="s">
        <v>426</v>
      </c>
      <c r="K120" s="44" t="s">
        <v>415</v>
      </c>
      <c r="L120" s="44"/>
      <c r="M120" s="44" t="s">
        <v>91</v>
      </c>
      <c r="N120" s="44">
        <v>117</v>
      </c>
      <c r="O120" s="44" t="s">
        <v>513</v>
      </c>
      <c r="AF120" s="43" t="s">
        <v>1618</v>
      </c>
      <c r="AG120" s="19" t="s">
        <v>1312</v>
      </c>
      <c r="AH120" t="s">
        <v>559</v>
      </c>
      <c r="AI120" s="24"/>
      <c r="AJ120" s="24"/>
      <c r="AK120" s="24">
        <v>12</v>
      </c>
      <c r="AL120" s="24"/>
      <c r="AM120" s="24"/>
      <c r="AN120" s="24"/>
      <c r="AO120" s="24"/>
      <c r="AP120" s="24">
        <v>1</v>
      </c>
      <c r="AQ120" s="24" t="s">
        <v>96</v>
      </c>
      <c r="AR120" s="25"/>
      <c r="AS120" t="s">
        <v>523</v>
      </c>
      <c r="AT120" s="24" t="s">
        <v>96</v>
      </c>
      <c r="AU120" t="s">
        <v>1120</v>
      </c>
    </row>
    <row r="121" spans="5:52">
      <c r="E121" s="43"/>
      <c r="F121" s="44" t="s">
        <v>396</v>
      </c>
      <c r="G121" s="44" t="s">
        <v>496</v>
      </c>
      <c r="H121" s="44">
        <v>455</v>
      </c>
      <c r="I121" s="44"/>
      <c r="J121" s="44" t="s">
        <v>426</v>
      </c>
      <c r="K121" s="44" t="s">
        <v>416</v>
      </c>
      <c r="L121" s="44"/>
      <c r="M121" s="44" t="s">
        <v>91</v>
      </c>
      <c r="N121" s="44">
        <v>118</v>
      </c>
      <c r="O121" s="44" t="s">
        <v>513</v>
      </c>
      <c r="AF121" s="43" t="s">
        <v>1619</v>
      </c>
      <c r="AG121" s="19" t="s">
        <v>1312</v>
      </c>
      <c r="AH121" t="s">
        <v>558</v>
      </c>
      <c r="AI121" s="24"/>
      <c r="AJ121" s="24"/>
      <c r="AK121" s="24">
        <v>12</v>
      </c>
      <c r="AL121" s="24"/>
      <c r="AM121" s="24"/>
      <c r="AN121" s="24"/>
      <c r="AO121" s="24"/>
      <c r="AP121" s="24">
        <v>2</v>
      </c>
      <c r="AQ121" s="24" t="s">
        <v>96</v>
      </c>
      <c r="AR121" s="25"/>
      <c r="AS121" t="s">
        <v>523</v>
      </c>
      <c r="AT121" s="24" t="s">
        <v>96</v>
      </c>
      <c r="AU121" t="s">
        <v>1120</v>
      </c>
    </row>
    <row r="122" spans="5:52">
      <c r="E122" s="43"/>
      <c r="F122" s="44" t="s">
        <v>651</v>
      </c>
      <c r="G122" s="44" t="s">
        <v>685</v>
      </c>
      <c r="H122" s="44">
        <v>1075</v>
      </c>
      <c r="I122" s="44"/>
      <c r="J122" s="44" t="s">
        <v>426</v>
      </c>
      <c r="K122" s="44" t="s">
        <v>417</v>
      </c>
      <c r="L122" s="44"/>
      <c r="M122" s="44" t="s">
        <v>91</v>
      </c>
      <c r="N122" s="44">
        <v>119</v>
      </c>
      <c r="O122" s="44" t="s">
        <v>514</v>
      </c>
      <c r="AF122" s="43" t="s">
        <v>1621</v>
      </c>
      <c r="AG122" s="19" t="s">
        <v>1312</v>
      </c>
      <c r="AH122" t="s">
        <v>561</v>
      </c>
      <c r="AI122" s="24"/>
      <c r="AJ122" s="24"/>
      <c r="AK122" s="24">
        <v>12</v>
      </c>
      <c r="AL122" s="24"/>
      <c r="AM122" s="24"/>
      <c r="AN122" s="24"/>
      <c r="AO122" s="24"/>
      <c r="AP122" s="24">
        <v>3</v>
      </c>
      <c r="AQ122" s="24" t="s">
        <v>96</v>
      </c>
      <c r="AR122" s="25"/>
      <c r="AS122" t="s">
        <v>523</v>
      </c>
      <c r="AT122" s="24" t="s">
        <v>96</v>
      </c>
      <c r="AU122" t="s">
        <v>2456</v>
      </c>
    </row>
    <row r="123" spans="5:52">
      <c r="E123" s="25"/>
      <c r="F123" t="s">
        <v>610</v>
      </c>
      <c r="G123" s="24"/>
      <c r="H123" s="24" t="s">
        <v>465</v>
      </c>
      <c r="I123" s="24"/>
      <c r="J123" s="24"/>
      <c r="K123" s="24"/>
      <c r="L123" s="24"/>
      <c r="M123" s="24"/>
      <c r="N123" s="44">
        <v>120</v>
      </c>
      <c r="O123" s="24"/>
      <c r="AF123" s="43" t="s">
        <v>1623</v>
      </c>
      <c r="AG123" s="19" t="s">
        <v>1312</v>
      </c>
      <c r="AH123" t="s">
        <v>560</v>
      </c>
      <c r="AI123" s="24"/>
      <c r="AJ123" s="24"/>
      <c r="AK123" s="24">
        <v>12</v>
      </c>
      <c r="AL123" s="24"/>
      <c r="AM123" s="24"/>
      <c r="AN123" s="24"/>
      <c r="AO123" s="24"/>
      <c r="AP123" s="24">
        <v>4</v>
      </c>
      <c r="AQ123" s="24" t="s">
        <v>96</v>
      </c>
      <c r="AR123" s="25"/>
      <c r="AS123" t="s">
        <v>523</v>
      </c>
      <c r="AT123" s="24" t="s">
        <v>96</v>
      </c>
      <c r="AU123" t="s">
        <v>2456</v>
      </c>
    </row>
    <row r="124" spans="5:52">
      <c r="E124" s="25"/>
      <c r="F124" t="s">
        <v>1331</v>
      </c>
      <c r="G124" s="24"/>
      <c r="H124" s="24" t="str">
        <f>""</f>
        <v/>
      </c>
      <c r="I124" s="24"/>
      <c r="J124" s="24" t="s">
        <v>528</v>
      </c>
      <c r="K124" s="24"/>
      <c r="L124" s="24"/>
      <c r="M124" s="24" t="s">
        <v>91</v>
      </c>
      <c r="N124" s="44">
        <v>121</v>
      </c>
      <c r="O124" s="24"/>
      <c r="AF124" s="43" t="s">
        <v>1620</v>
      </c>
      <c r="AG124" s="19" t="s">
        <v>1312</v>
      </c>
      <c r="AH124" t="s">
        <v>623</v>
      </c>
      <c r="AI124" s="24"/>
      <c r="AJ124" s="24"/>
      <c r="AK124" s="24">
        <v>15</v>
      </c>
      <c r="AL124" s="24"/>
      <c r="AM124" s="24"/>
      <c r="AN124" s="24"/>
      <c r="AO124" s="24"/>
      <c r="AP124" s="24">
        <v>5</v>
      </c>
      <c r="AQ124" s="24" t="s">
        <v>96</v>
      </c>
      <c r="AR124" s="25"/>
      <c r="AS124" t="s">
        <v>523</v>
      </c>
      <c r="AT124" s="24" t="s">
        <v>96</v>
      </c>
      <c r="AU124" t="s">
        <v>1119</v>
      </c>
    </row>
    <row r="125" spans="5:52">
      <c r="E125" s="25"/>
      <c r="F125" t="s">
        <v>1332</v>
      </c>
      <c r="G125" s="24"/>
      <c r="H125" s="24" t="str">
        <f>""</f>
        <v/>
      </c>
      <c r="I125" s="24"/>
      <c r="J125" s="24" t="s">
        <v>529</v>
      </c>
      <c r="K125" s="24"/>
      <c r="L125" s="24"/>
      <c r="M125" s="24" t="s">
        <v>91</v>
      </c>
      <c r="N125" s="44">
        <v>122</v>
      </c>
      <c r="O125" s="24"/>
      <c r="AF125" s="43" t="s">
        <v>1622</v>
      </c>
      <c r="AG125" s="19" t="s">
        <v>1312</v>
      </c>
      <c r="AH125" t="s">
        <v>543</v>
      </c>
      <c r="AI125" s="24"/>
      <c r="AJ125" s="24"/>
      <c r="AK125" s="24"/>
      <c r="AL125" s="24"/>
      <c r="AM125" s="24"/>
      <c r="AN125" s="24"/>
      <c r="AO125" s="24"/>
      <c r="AP125" s="24">
        <v>6</v>
      </c>
      <c r="AQ125" s="24"/>
      <c r="AR125" s="25"/>
      <c r="AS125" t="s">
        <v>523</v>
      </c>
      <c r="AT125" s="24" t="s">
        <v>96</v>
      </c>
      <c r="AU125" s="57" t="s">
        <v>596</v>
      </c>
    </row>
    <row r="126" spans="5:52">
      <c r="E126" s="25"/>
      <c r="F126" t="s">
        <v>1333</v>
      </c>
      <c r="G126" s="24"/>
      <c r="H126" s="24" t="str">
        <f>""</f>
        <v/>
      </c>
      <c r="I126" s="24"/>
      <c r="J126" s="24" t="s">
        <v>530</v>
      </c>
      <c r="K126" s="24"/>
      <c r="L126" s="24"/>
      <c r="M126" s="24" t="s">
        <v>91</v>
      </c>
      <c r="N126" s="44">
        <v>123</v>
      </c>
      <c r="O126" s="24"/>
      <c r="AF126" s="43" t="s">
        <v>1624</v>
      </c>
      <c r="AG126" s="11" t="s">
        <v>1137</v>
      </c>
      <c r="AH126" s="24" t="s">
        <v>462</v>
      </c>
      <c r="AI126" s="24"/>
      <c r="AJ126" s="24"/>
      <c r="AK126" s="24">
        <v>12</v>
      </c>
      <c r="AL126" s="24"/>
      <c r="AM126" s="24"/>
      <c r="AN126" s="24"/>
      <c r="AO126" s="24"/>
      <c r="AP126" s="24">
        <v>7</v>
      </c>
      <c r="AQ126" s="24" t="s">
        <v>96</v>
      </c>
      <c r="AR126" s="25"/>
      <c r="AS126" t="s">
        <v>84</v>
      </c>
      <c r="AT126" s="24" t="s">
        <v>96</v>
      </c>
      <c r="AU126" t="s">
        <v>1120</v>
      </c>
    </row>
    <row r="127" spans="5:52">
      <c r="E127" s="25"/>
      <c r="F127" t="s">
        <v>1330</v>
      </c>
      <c r="G127" s="24"/>
      <c r="H127" s="24" t="str">
        <f>""</f>
        <v/>
      </c>
      <c r="I127" s="24"/>
      <c r="J127" t="s">
        <v>572</v>
      </c>
      <c r="K127" s="24" t="s">
        <v>97</v>
      </c>
      <c r="L127" s="24"/>
      <c r="M127" s="24" t="s">
        <v>91</v>
      </c>
      <c r="N127" s="44">
        <v>124</v>
      </c>
      <c r="O127" s="24"/>
      <c r="AF127" s="43" t="s">
        <v>1625</v>
      </c>
      <c r="AG127" s="11" t="s">
        <v>1137</v>
      </c>
      <c r="AH127" s="24" t="s">
        <v>461</v>
      </c>
      <c r="AI127" s="24"/>
      <c r="AJ127" s="24"/>
      <c r="AK127" s="24">
        <v>12</v>
      </c>
      <c r="AL127" s="24"/>
      <c r="AM127" s="24"/>
      <c r="AN127" s="24"/>
      <c r="AO127" s="24"/>
      <c r="AP127" s="24">
        <v>8</v>
      </c>
      <c r="AQ127" s="24" t="s">
        <v>96</v>
      </c>
      <c r="AR127" s="25"/>
      <c r="AS127" t="s">
        <v>84</v>
      </c>
      <c r="AT127" s="24" t="s">
        <v>96</v>
      </c>
      <c r="AU127" t="s">
        <v>1120</v>
      </c>
    </row>
    <row r="128" spans="5:52">
      <c r="AF128" s="43" t="s">
        <v>1627</v>
      </c>
      <c r="AG128" s="11" t="s">
        <v>1137</v>
      </c>
      <c r="AH128" s="24" t="s">
        <v>454</v>
      </c>
      <c r="AI128" s="24"/>
      <c r="AJ128" s="24"/>
      <c r="AK128" s="24">
        <v>12</v>
      </c>
      <c r="AL128" s="24"/>
      <c r="AM128" s="24"/>
      <c r="AN128" s="24"/>
      <c r="AO128" s="24"/>
      <c r="AP128" s="24">
        <v>9</v>
      </c>
      <c r="AQ128" s="24" t="s">
        <v>96</v>
      </c>
      <c r="AR128" s="25"/>
      <c r="AS128" t="s">
        <v>84</v>
      </c>
      <c r="AT128" s="24" t="s">
        <v>96</v>
      </c>
      <c r="AU128" t="s">
        <v>2456</v>
      </c>
    </row>
    <row r="129" spans="32:52">
      <c r="AF129" s="43" t="s">
        <v>1629</v>
      </c>
      <c r="AG129" s="11" t="s">
        <v>1137</v>
      </c>
      <c r="AH129" s="24" t="s">
        <v>453</v>
      </c>
      <c r="AI129" s="24"/>
      <c r="AJ129" s="24"/>
      <c r="AK129" s="24">
        <v>12</v>
      </c>
      <c r="AL129" s="24"/>
      <c r="AM129" s="24"/>
      <c r="AN129" s="24"/>
      <c r="AO129" s="24"/>
      <c r="AP129" s="24">
        <v>10</v>
      </c>
      <c r="AQ129" s="24" t="s">
        <v>96</v>
      </c>
      <c r="AR129" s="25"/>
      <c r="AS129" t="s">
        <v>84</v>
      </c>
      <c r="AT129" s="24" t="s">
        <v>96</v>
      </c>
      <c r="AU129" t="s">
        <v>2456</v>
      </c>
    </row>
    <row r="130" spans="32:52">
      <c r="AF130" s="43" t="s">
        <v>1626</v>
      </c>
      <c r="AG130" s="11" t="s">
        <v>1137</v>
      </c>
      <c r="AH130" t="s">
        <v>626</v>
      </c>
      <c r="AI130" s="24"/>
      <c r="AJ130" s="24"/>
      <c r="AK130" s="24">
        <v>15</v>
      </c>
      <c r="AL130" s="24"/>
      <c r="AM130" s="24"/>
      <c r="AN130" s="24"/>
      <c r="AO130" s="24"/>
      <c r="AP130" s="24">
        <v>11</v>
      </c>
      <c r="AQ130" s="24" t="s">
        <v>96</v>
      </c>
      <c r="AR130" s="25"/>
      <c r="AS130" t="s">
        <v>84</v>
      </c>
      <c r="AT130" s="24" t="s">
        <v>96</v>
      </c>
      <c r="AU130" t="s">
        <v>1119</v>
      </c>
    </row>
    <row r="131" spans="32:52">
      <c r="AF131" s="43" t="s">
        <v>1628</v>
      </c>
      <c r="AG131" s="11" t="s">
        <v>1137</v>
      </c>
      <c r="AH131" t="s">
        <v>542</v>
      </c>
      <c r="AI131" s="24"/>
      <c r="AJ131" s="24"/>
      <c r="AK131" s="24"/>
      <c r="AL131" s="24"/>
      <c r="AM131" s="24"/>
      <c r="AN131" s="24"/>
      <c r="AO131" s="24"/>
      <c r="AP131" s="24">
        <v>12</v>
      </c>
      <c r="AQ131" s="24"/>
      <c r="AR131" s="19"/>
      <c r="AS131" t="s">
        <v>84</v>
      </c>
      <c r="AT131" s="24" t="s">
        <v>96</v>
      </c>
      <c r="AU131" s="57" t="s">
        <v>596</v>
      </c>
    </row>
    <row r="132" spans="32:52">
      <c r="AF132" s="25"/>
      <c r="AG132" s="24"/>
      <c r="AH132" s="24"/>
      <c r="AI132" s="24"/>
      <c r="AJ132" s="24"/>
      <c r="AK132" s="24"/>
      <c r="AL132" s="24"/>
      <c r="AM132" s="24"/>
      <c r="AN132" s="24"/>
      <c r="AO132" s="24"/>
      <c r="AP132" s="24"/>
      <c r="AQ132" s="24"/>
      <c r="AR132" s="24"/>
      <c r="AS132" s="24"/>
    </row>
    <row r="133" spans="32:52">
      <c r="AF133" s="25" t="s">
        <v>85</v>
      </c>
      <c r="AG133" s="25" t="s">
        <v>531</v>
      </c>
      <c r="AH133" s="24" t="s">
        <v>456</v>
      </c>
      <c r="AI133" s="24" t="s">
        <v>457</v>
      </c>
      <c r="AJ133" t="s">
        <v>541</v>
      </c>
      <c r="AK133" s="24" t="s">
        <v>88</v>
      </c>
      <c r="AL133" s="24" t="s">
        <v>86</v>
      </c>
      <c r="AM133" s="24" t="s">
        <v>331</v>
      </c>
      <c r="AN133" s="24" t="s">
        <v>332</v>
      </c>
      <c r="AO133" s="24" t="s">
        <v>433</v>
      </c>
      <c r="AP133" t="s">
        <v>336</v>
      </c>
      <c r="AQ133" s="24" t="s">
        <v>432</v>
      </c>
      <c r="AR133" s="24" t="s">
        <v>322</v>
      </c>
      <c r="AS133" t="s">
        <v>569</v>
      </c>
      <c r="AT133" s="24" t="s">
        <v>431</v>
      </c>
      <c r="AU133" s="57" t="s">
        <v>1116</v>
      </c>
      <c r="AV133" t="s">
        <v>2049</v>
      </c>
      <c r="AW133" t="s">
        <v>1239</v>
      </c>
      <c r="AX133" t="s">
        <v>2057</v>
      </c>
      <c r="AY133" t="s">
        <v>2058</v>
      </c>
      <c r="AZ133" t="s">
        <v>2059</v>
      </c>
    </row>
    <row r="134" spans="32:52">
      <c r="AF134" s="43" t="s">
        <v>1631</v>
      </c>
      <c r="AG134" s="19" t="s">
        <v>1312</v>
      </c>
      <c r="AH134" t="s">
        <v>538</v>
      </c>
      <c r="AI134" s="24"/>
      <c r="AJ134" s="24"/>
      <c r="AK134" s="24">
        <v>20</v>
      </c>
      <c r="AL134" s="24"/>
      <c r="AM134" s="24"/>
      <c r="AN134" s="24"/>
      <c r="AO134" s="24"/>
      <c r="AP134" s="24">
        <v>1</v>
      </c>
      <c r="AQ134" s="24" t="s">
        <v>318</v>
      </c>
      <c r="AR134" s="25"/>
      <c r="AS134" t="s">
        <v>523</v>
      </c>
      <c r="AT134" s="24" t="s">
        <v>319</v>
      </c>
      <c r="AU134" s="57" t="s">
        <v>1121</v>
      </c>
    </row>
    <row r="135" spans="32:52">
      <c r="AF135" s="43" t="s">
        <v>1632</v>
      </c>
      <c r="AG135" s="19" t="s">
        <v>1312</v>
      </c>
      <c r="AH135" t="s">
        <v>539</v>
      </c>
      <c r="AI135" s="24"/>
      <c r="AJ135" s="24"/>
      <c r="AK135" s="24">
        <v>10</v>
      </c>
      <c r="AL135" s="24"/>
      <c r="AM135" s="24"/>
      <c r="AN135" s="24"/>
      <c r="AO135" s="24"/>
      <c r="AP135" s="24">
        <v>2</v>
      </c>
      <c r="AQ135" s="24" t="s">
        <v>318</v>
      </c>
      <c r="AR135" s="25"/>
      <c r="AS135" t="s">
        <v>523</v>
      </c>
      <c r="AT135" s="24" t="s">
        <v>319</v>
      </c>
      <c r="AU135" s="57" t="s">
        <v>1122</v>
      </c>
    </row>
    <row r="136" spans="32:52">
      <c r="AF136" s="43" t="s">
        <v>1633</v>
      </c>
      <c r="AG136" s="19" t="s">
        <v>1312</v>
      </c>
      <c r="AH136" t="s">
        <v>540</v>
      </c>
      <c r="AI136" s="24"/>
      <c r="AJ136" s="24"/>
      <c r="AK136" s="24">
        <v>15</v>
      </c>
      <c r="AL136" s="24"/>
      <c r="AM136" s="24"/>
      <c r="AN136" s="24"/>
      <c r="AO136" s="24"/>
      <c r="AP136" s="24">
        <v>3</v>
      </c>
      <c r="AQ136" s="24" t="s">
        <v>318</v>
      </c>
      <c r="AR136" s="25"/>
      <c r="AS136" t="s">
        <v>523</v>
      </c>
      <c r="AT136" s="24" t="s">
        <v>319</v>
      </c>
      <c r="AU136" s="57" t="s">
        <v>1122</v>
      </c>
    </row>
    <row r="137" spans="32:52">
      <c r="AF137" s="450" t="s">
        <v>2540</v>
      </c>
      <c r="AG137" s="19" t="s">
        <v>1312</v>
      </c>
      <c r="AH137" t="s">
        <v>2539</v>
      </c>
      <c r="AK137">
        <v>20</v>
      </c>
      <c r="AP137" s="24">
        <v>4</v>
      </c>
      <c r="AQ137" s="24" t="s">
        <v>318</v>
      </c>
      <c r="AR137" s="19"/>
      <c r="AS137" t="s">
        <v>523</v>
      </c>
      <c r="AT137" s="24" t="s">
        <v>319</v>
      </c>
      <c r="AU137" t="s">
        <v>596</v>
      </c>
    </row>
    <row r="138" spans="32:52">
      <c r="AF138" s="43" t="s">
        <v>1630</v>
      </c>
      <c r="AG138" s="19" t="s">
        <v>1312</v>
      </c>
      <c r="AH138" t="s">
        <v>543</v>
      </c>
      <c r="AI138" s="24"/>
      <c r="AJ138" s="24"/>
      <c r="AK138" s="24"/>
      <c r="AL138" s="24"/>
      <c r="AM138" s="24"/>
      <c r="AN138" s="24"/>
      <c r="AO138" s="24"/>
      <c r="AP138" s="24">
        <v>5</v>
      </c>
      <c r="AQ138" s="24"/>
      <c r="AR138" s="25"/>
      <c r="AS138" t="s">
        <v>523</v>
      </c>
      <c r="AT138" s="24" t="s">
        <v>319</v>
      </c>
      <c r="AU138" s="57" t="s">
        <v>596</v>
      </c>
    </row>
    <row r="139" spans="32:52">
      <c r="AF139" s="43" t="s">
        <v>1635</v>
      </c>
      <c r="AG139" s="11" t="s">
        <v>1137</v>
      </c>
      <c r="AH139" s="24" t="s">
        <v>455</v>
      </c>
      <c r="AI139" s="24"/>
      <c r="AJ139" s="24"/>
      <c r="AK139" s="24">
        <v>20</v>
      </c>
      <c r="AL139" s="24"/>
      <c r="AM139" s="24"/>
      <c r="AN139" s="24"/>
      <c r="AO139" s="24"/>
      <c r="AP139" s="24">
        <v>6</v>
      </c>
      <c r="AQ139" s="24" t="s">
        <v>318</v>
      </c>
      <c r="AR139" s="25"/>
      <c r="AS139" t="s">
        <v>84</v>
      </c>
      <c r="AT139" s="24" t="s">
        <v>319</v>
      </c>
      <c r="AU139" s="57" t="s">
        <v>1121</v>
      </c>
    </row>
    <row r="140" spans="32:52">
      <c r="AF140" s="43" t="s">
        <v>1636</v>
      </c>
      <c r="AG140" s="11" t="s">
        <v>1137</v>
      </c>
      <c r="AH140" s="24" t="s">
        <v>438</v>
      </c>
      <c r="AI140" s="24"/>
      <c r="AJ140" s="24"/>
      <c r="AK140" s="24">
        <v>10</v>
      </c>
      <c r="AL140" s="24"/>
      <c r="AM140" s="24"/>
      <c r="AN140" s="24"/>
      <c r="AO140" s="24"/>
      <c r="AP140" s="24">
        <v>7</v>
      </c>
      <c r="AQ140" s="24" t="s">
        <v>318</v>
      </c>
      <c r="AR140" s="25"/>
      <c r="AS140" t="s">
        <v>84</v>
      </c>
      <c r="AT140" s="24" t="s">
        <v>319</v>
      </c>
      <c r="AU140" s="57" t="s">
        <v>1122</v>
      </c>
    </row>
    <row r="141" spans="32:52">
      <c r="AF141" s="43" t="s">
        <v>1637</v>
      </c>
      <c r="AG141" s="11" t="s">
        <v>1137</v>
      </c>
      <c r="AH141" s="24" t="s">
        <v>439</v>
      </c>
      <c r="AI141" s="24"/>
      <c r="AJ141" s="24"/>
      <c r="AK141" s="24">
        <v>15</v>
      </c>
      <c r="AL141" s="24"/>
      <c r="AM141" s="24"/>
      <c r="AN141" s="24"/>
      <c r="AO141" s="24"/>
      <c r="AP141" s="24">
        <v>8</v>
      </c>
      <c r="AQ141" s="24" t="s">
        <v>318</v>
      </c>
      <c r="AR141" s="25"/>
      <c r="AS141" t="s">
        <v>84</v>
      </c>
      <c r="AT141" s="24" t="s">
        <v>319</v>
      </c>
      <c r="AU141" s="57" t="s">
        <v>1122</v>
      </c>
    </row>
    <row r="142" spans="32:52">
      <c r="AF142" s="450" t="s">
        <v>2541</v>
      </c>
      <c r="AG142" s="11" t="s">
        <v>1137</v>
      </c>
      <c r="AH142" t="s">
        <v>318</v>
      </c>
      <c r="AK142">
        <v>20</v>
      </c>
      <c r="AP142" s="24">
        <v>9</v>
      </c>
      <c r="AQ142" s="24" t="s">
        <v>318</v>
      </c>
      <c r="AR142" s="19"/>
      <c r="AS142" t="s">
        <v>84</v>
      </c>
      <c r="AT142" s="24" t="s">
        <v>319</v>
      </c>
      <c r="AU142" t="s">
        <v>596</v>
      </c>
    </row>
    <row r="143" spans="32:52">
      <c r="AF143" s="43" t="s">
        <v>1634</v>
      </c>
      <c r="AG143" s="11" t="s">
        <v>1137</v>
      </c>
      <c r="AH143" t="s">
        <v>542</v>
      </c>
      <c r="AI143" s="24"/>
      <c r="AJ143" s="24"/>
      <c r="AK143" s="24"/>
      <c r="AL143" s="24"/>
      <c r="AM143" s="24"/>
      <c r="AN143" s="24"/>
      <c r="AO143" s="24"/>
      <c r="AP143" s="24">
        <v>10</v>
      </c>
      <c r="AQ143" s="24"/>
      <c r="AR143" s="19"/>
      <c r="AS143" t="s">
        <v>84</v>
      </c>
      <c r="AT143" s="24" t="s">
        <v>319</v>
      </c>
      <c r="AU143" s="57" t="s">
        <v>596</v>
      </c>
    </row>
    <row r="144" spans="32:52">
      <c r="AF144" s="43"/>
    </row>
    <row r="146" spans="32:52">
      <c r="AF146" s="298" t="s">
        <v>85</v>
      </c>
      <c r="AG146" s="298" t="s">
        <v>531</v>
      </c>
      <c r="AH146" s="299" t="s">
        <v>456</v>
      </c>
      <c r="AI146" s="299" t="s">
        <v>457</v>
      </c>
      <c r="AJ146" s="299" t="s">
        <v>541</v>
      </c>
      <c r="AK146" s="299" t="s">
        <v>88</v>
      </c>
      <c r="AL146" s="299" t="s">
        <v>86</v>
      </c>
      <c r="AM146" s="299" t="s">
        <v>331</v>
      </c>
      <c r="AN146" s="299" t="s">
        <v>332</v>
      </c>
      <c r="AO146" s="299" t="s">
        <v>433</v>
      </c>
      <c r="AP146" s="299" t="s">
        <v>336</v>
      </c>
      <c r="AQ146" s="299" t="s">
        <v>432</v>
      </c>
      <c r="AR146" s="299" t="s">
        <v>322</v>
      </c>
      <c r="AS146" s="299" t="s">
        <v>569</v>
      </c>
      <c r="AT146" s="299" t="s">
        <v>431</v>
      </c>
      <c r="AU146" s="299" t="s">
        <v>1116</v>
      </c>
      <c r="AV146" s="299" t="s">
        <v>2049</v>
      </c>
      <c r="AW146" s="299" t="s">
        <v>1239</v>
      </c>
      <c r="AX146" s="299" t="s">
        <v>2057</v>
      </c>
      <c r="AY146" s="299" t="s">
        <v>2058</v>
      </c>
      <c r="AZ146" s="299" t="s">
        <v>2059</v>
      </c>
    </row>
    <row r="147" spans="32:52">
      <c r="AF147" s="451" t="s">
        <v>2240</v>
      </c>
      <c r="AG147" s="300" t="s">
        <v>1312</v>
      </c>
      <c r="AH147" s="301" t="s">
        <v>2239</v>
      </c>
      <c r="AI147" s="301"/>
      <c r="AJ147" s="301"/>
      <c r="AK147" s="301">
        <v>15</v>
      </c>
      <c r="AL147" s="301"/>
      <c r="AM147" s="301"/>
      <c r="AN147" s="301"/>
      <c r="AO147" s="301"/>
      <c r="AP147" s="301">
        <v>1</v>
      </c>
      <c r="AQ147" s="301"/>
      <c r="AR147" s="300"/>
      <c r="AS147" s="301" t="s">
        <v>523</v>
      </c>
      <c r="AT147" s="301" t="s">
        <v>319</v>
      </c>
      <c r="AU147" s="301" t="s">
        <v>596</v>
      </c>
      <c r="AV147" s="301"/>
      <c r="AW147" s="301"/>
      <c r="AX147" s="301"/>
      <c r="AY147" s="301"/>
      <c r="AZ147" s="301"/>
    </row>
    <row r="149" spans="32:52">
      <c r="AF149" s="379" t="s">
        <v>85</v>
      </c>
      <c r="AG149" s="298" t="s">
        <v>531</v>
      </c>
      <c r="AH149" s="299" t="s">
        <v>456</v>
      </c>
      <c r="AI149" s="299" t="s">
        <v>457</v>
      </c>
      <c r="AJ149" s="299" t="s">
        <v>541</v>
      </c>
      <c r="AK149" s="299" t="s">
        <v>88</v>
      </c>
      <c r="AL149" s="299" t="s">
        <v>86</v>
      </c>
      <c r="AM149" s="299" t="s">
        <v>331</v>
      </c>
      <c r="AN149" s="299" t="s">
        <v>332</v>
      </c>
      <c r="AO149" s="299" t="s">
        <v>433</v>
      </c>
      <c r="AP149" s="299" t="s">
        <v>336</v>
      </c>
      <c r="AQ149" s="299" t="s">
        <v>432</v>
      </c>
      <c r="AR149" s="299" t="s">
        <v>322</v>
      </c>
      <c r="AS149" s="299" t="s">
        <v>569</v>
      </c>
      <c r="AT149" s="299" t="s">
        <v>431</v>
      </c>
      <c r="AU149" s="299" t="s">
        <v>1116</v>
      </c>
      <c r="AV149" s="299" t="s">
        <v>2049</v>
      </c>
      <c r="AW149" s="299" t="s">
        <v>1239</v>
      </c>
      <c r="AX149" s="299" t="s">
        <v>2057</v>
      </c>
      <c r="AY149" s="299" t="s">
        <v>2058</v>
      </c>
      <c r="AZ149" s="380" t="s">
        <v>2059</v>
      </c>
    </row>
    <row r="150" spans="32:52">
      <c r="AF150" s="19" t="s">
        <v>2798</v>
      </c>
      <c r="AG150" t="s">
        <v>1312</v>
      </c>
      <c r="AH150" t="s">
        <v>2793</v>
      </c>
      <c r="AK150">
        <v>30</v>
      </c>
      <c r="AP150">
        <v>1</v>
      </c>
      <c r="AQ150" t="s">
        <v>319</v>
      </c>
      <c r="AS150" t="s">
        <v>523</v>
      </c>
      <c r="AT150" t="s">
        <v>319</v>
      </c>
      <c r="AU150" t="s">
        <v>2800</v>
      </c>
    </row>
    <row r="151" spans="32:52">
      <c r="AF151" s="19" t="s">
        <v>2804</v>
      </c>
      <c r="AG151" t="s">
        <v>1312</v>
      </c>
      <c r="AH151" t="s">
        <v>2795</v>
      </c>
      <c r="AK151">
        <v>30</v>
      </c>
      <c r="AP151">
        <v>2</v>
      </c>
      <c r="AQ151" t="s">
        <v>319</v>
      </c>
      <c r="AS151" t="s">
        <v>523</v>
      </c>
      <c r="AT151" t="s">
        <v>319</v>
      </c>
      <c r="AU151" t="s">
        <v>2800</v>
      </c>
    </row>
    <row r="152" spans="32:52">
      <c r="AF152" s="19" t="s">
        <v>2799</v>
      </c>
      <c r="AG152" t="s">
        <v>1312</v>
      </c>
      <c r="AH152" t="s">
        <v>2796</v>
      </c>
      <c r="AK152">
        <v>30</v>
      </c>
      <c r="AP152">
        <v>3</v>
      </c>
      <c r="AQ152" t="s">
        <v>319</v>
      </c>
      <c r="AS152" t="s">
        <v>523</v>
      </c>
      <c r="AT152" t="s">
        <v>319</v>
      </c>
      <c r="AU152" t="s">
        <v>2800</v>
      </c>
    </row>
    <row r="153" spans="32:52">
      <c r="AF153" s="19" t="s">
        <v>2798</v>
      </c>
      <c r="AG153" t="s">
        <v>1137</v>
      </c>
      <c r="AH153" t="s">
        <v>2793</v>
      </c>
      <c r="AK153">
        <v>30</v>
      </c>
      <c r="AP153">
        <v>4</v>
      </c>
      <c r="AQ153" t="s">
        <v>319</v>
      </c>
      <c r="AS153" t="s">
        <v>84</v>
      </c>
      <c r="AT153" t="s">
        <v>319</v>
      </c>
      <c r="AU153" t="s">
        <v>2800</v>
      </c>
    </row>
    <row r="154" spans="32:52">
      <c r="AF154" s="19" t="s">
        <v>2804</v>
      </c>
      <c r="AG154" t="s">
        <v>1137</v>
      </c>
      <c r="AH154" t="s">
        <v>2795</v>
      </c>
      <c r="AK154">
        <v>30</v>
      </c>
      <c r="AP154">
        <v>5</v>
      </c>
      <c r="AQ154" t="s">
        <v>319</v>
      </c>
      <c r="AS154" t="s">
        <v>84</v>
      </c>
      <c r="AT154" t="s">
        <v>319</v>
      </c>
      <c r="AU154" t="s">
        <v>2800</v>
      </c>
    </row>
    <row r="155" spans="32:52">
      <c r="AF155" s="19" t="s">
        <v>2799</v>
      </c>
      <c r="AG155" t="s">
        <v>1137</v>
      </c>
      <c r="AH155" t="s">
        <v>2796</v>
      </c>
      <c r="AK155">
        <v>30</v>
      </c>
      <c r="AP155">
        <v>6</v>
      </c>
      <c r="AQ155" t="s">
        <v>319</v>
      </c>
      <c r="AS155" t="s">
        <v>84</v>
      </c>
      <c r="AT155" t="s">
        <v>319</v>
      </c>
      <c r="AU155" t="s">
        <v>2800</v>
      </c>
    </row>
    <row r="184" spans="48:48">
      <c r="AV184" t="s">
        <v>1313</v>
      </c>
    </row>
  </sheetData>
  <sheetProtection algorithmName="SHA-512" hashValue="3+fvEstCC2r2wra2zJxeWEOTm9BC4JLxRqzwN5HQVJInec30R3LIAMBzVf/DJL0Z5e2AwFZO17BMHnudx+rEng==" saltValue="PrJXSGNl0rMM6DnpMrigrQ==" spinCount="100000" sheet="1" objects="1" scenarios="1"/>
  <phoneticPr fontId="149" type="noConversion"/>
  <conditionalFormatting sqref="AQ51:AQ61">
    <cfRule type="containsBlanks" dxfId="155" priority="2">
      <formula>LEN(TRIM(AQ51))=0</formula>
    </cfRule>
  </conditionalFormatting>
  <dataValidations count="1">
    <dataValidation type="list" allowBlank="1" showInputMessage="1" showErrorMessage="1" sqref="AQ51:AQ61" xr:uid="{B57342AC-D75B-40F4-BFB5-E20F4C565251}">
      <formula1>ENDUSECAT</formula1>
    </dataValidation>
  </dataValidations>
  <pageMargins left="0" right="0" top="0" bottom="0" header="0" footer="0"/>
  <pageSetup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2">
    <tabColor theme="8" tint="0.59999389629810485"/>
  </sheetPr>
  <dimension ref="A1:FA949"/>
  <sheetViews>
    <sheetView zoomScale="85" zoomScaleNormal="85" workbookViewId="0">
      <selection activeCell="R401" sqref="R401"/>
    </sheetView>
  </sheetViews>
  <sheetFormatPr defaultColWidth="8.42578125" defaultRowHeight="15" zeroHeight="1"/>
  <cols>
    <col min="1" max="1" width="35.42578125" style="15" bestFit="1" customWidth="1"/>
    <col min="2" max="5" width="10" customWidth="1"/>
    <col min="6" max="6" width="10" style="31" customWidth="1"/>
    <col min="7" max="7" width="10" customWidth="1"/>
    <col min="8" max="10" width="10" style="14" customWidth="1"/>
    <col min="11" max="11" width="10" customWidth="1"/>
    <col min="12" max="13" width="10" style="10" customWidth="1"/>
    <col min="14" max="14" width="11.7109375" style="31" bestFit="1" customWidth="1"/>
    <col min="15" max="15" width="11.5703125" style="31" bestFit="1" customWidth="1"/>
    <col min="16" max="17" width="10" style="37" customWidth="1"/>
    <col min="18" max="18" width="10" style="14" customWidth="1"/>
    <col min="19" max="19" width="10.5703125" style="14" bestFit="1" customWidth="1"/>
    <col min="20" max="20" width="10" style="14" customWidth="1"/>
    <col min="21" max="21" width="10.5703125" style="14" bestFit="1" customWidth="1"/>
    <col min="22" max="22" width="10" customWidth="1"/>
    <col min="23" max="24" width="10" style="10" customWidth="1"/>
    <col min="25" max="26" width="10" style="31" customWidth="1"/>
    <col min="27" max="28" width="10" style="37" customWidth="1"/>
    <col min="29" max="29" width="10" customWidth="1"/>
    <col min="30" max="30" width="11.5703125" style="31" bestFit="1" customWidth="1"/>
    <col min="31" max="34" width="10" style="31" customWidth="1"/>
    <col min="35" max="35" width="10" customWidth="1"/>
    <col min="36" max="37" width="10" style="58" customWidth="1"/>
    <col min="38" max="38" width="26.7109375" bestFit="1" customWidth="1"/>
    <col min="39" max="39" width="39.7109375" bestFit="1" customWidth="1"/>
    <col min="40" max="41" width="10" style="14" customWidth="1"/>
    <col min="42" max="43" width="10" customWidth="1"/>
    <col min="44" max="57" width="10" style="176" customWidth="1"/>
    <col min="58" max="63" width="10.85546875" customWidth="1"/>
    <col min="64" max="64" width="10.85546875" style="176" customWidth="1"/>
    <col min="65" max="67" width="10.85546875" customWidth="1"/>
    <col min="68" max="70" width="10.85546875" style="176" customWidth="1"/>
    <col min="71" max="81" width="10.85546875" customWidth="1"/>
    <col min="82" max="84" width="10.85546875" style="176" customWidth="1"/>
    <col min="85" max="94" width="10.85546875" customWidth="1"/>
    <col min="95" max="97" width="10.85546875" style="176" customWidth="1"/>
    <col min="98" max="122" width="10.85546875" customWidth="1"/>
    <col min="123" max="125" width="10.85546875" style="176" customWidth="1"/>
    <col min="126" max="133" width="10.85546875" customWidth="1"/>
    <col min="134" max="134" width="13.85546875" bestFit="1" customWidth="1"/>
    <col min="135" max="157" width="10.85546875" customWidth="1"/>
  </cols>
  <sheetData>
    <row r="1" spans="1:157" ht="60" customHeight="1">
      <c r="A1" s="108" t="s">
        <v>316</v>
      </c>
      <c r="B1" s="177" t="s">
        <v>317</v>
      </c>
      <c r="C1" s="177" t="s">
        <v>1435</v>
      </c>
      <c r="D1" s="1" t="s">
        <v>0</v>
      </c>
      <c r="E1" s="177" t="s">
        <v>432</v>
      </c>
      <c r="F1" s="208" t="s">
        <v>1302</v>
      </c>
      <c r="G1" s="177" t="s">
        <v>75</v>
      </c>
      <c r="H1" s="204" t="s">
        <v>594</v>
      </c>
      <c r="I1" s="204" t="s">
        <v>595</v>
      </c>
      <c r="J1" s="204" t="s">
        <v>1304</v>
      </c>
      <c r="K1" s="177" t="s">
        <v>569</v>
      </c>
      <c r="L1" s="212" t="s">
        <v>1460</v>
      </c>
      <c r="M1" s="212" t="s">
        <v>1459</v>
      </c>
      <c r="N1" s="208" t="s">
        <v>2266</v>
      </c>
      <c r="O1" s="208" t="s">
        <v>1436</v>
      </c>
      <c r="P1" s="215" t="s">
        <v>2267</v>
      </c>
      <c r="Q1" s="215" t="s">
        <v>1437</v>
      </c>
      <c r="R1" s="204" t="s">
        <v>307</v>
      </c>
      <c r="S1" s="204" t="s">
        <v>1443</v>
      </c>
      <c r="T1" s="204" t="s">
        <v>1444</v>
      </c>
      <c r="U1" s="204" t="s">
        <v>1445</v>
      </c>
      <c r="V1" s="177" t="s">
        <v>1446</v>
      </c>
      <c r="W1" s="212" t="s">
        <v>1461</v>
      </c>
      <c r="X1" s="212" t="s">
        <v>1462</v>
      </c>
      <c r="Y1" s="208" t="s">
        <v>2268</v>
      </c>
      <c r="Z1" s="208" t="s">
        <v>1438</v>
      </c>
      <c r="AA1" s="215" t="s">
        <v>2269</v>
      </c>
      <c r="AB1" s="215" t="s">
        <v>1463</v>
      </c>
      <c r="AC1" s="177" t="s">
        <v>574</v>
      </c>
      <c r="AD1" s="208" t="s">
        <v>635</v>
      </c>
      <c r="AE1" s="208" t="s">
        <v>1256</v>
      </c>
      <c r="AF1" s="208" t="s">
        <v>1439</v>
      </c>
      <c r="AG1" s="208" t="s">
        <v>1163</v>
      </c>
      <c r="AH1" s="208" t="s">
        <v>1260</v>
      </c>
      <c r="AI1" s="177" t="s">
        <v>1440</v>
      </c>
      <c r="AJ1" s="178" t="s">
        <v>99</v>
      </c>
      <c r="AK1" s="178" t="s">
        <v>101</v>
      </c>
      <c r="AL1" s="177" t="s">
        <v>1441</v>
      </c>
      <c r="AM1" s="177" t="s">
        <v>1442</v>
      </c>
      <c r="AN1" s="204" t="s">
        <v>1447</v>
      </c>
      <c r="AO1" s="204" t="s">
        <v>325</v>
      </c>
      <c r="AP1" s="178" t="s">
        <v>1116</v>
      </c>
      <c r="AQ1" s="204" t="s">
        <v>88</v>
      </c>
      <c r="AR1" s="178" t="s">
        <v>2270</v>
      </c>
      <c r="AS1" s="177" t="s">
        <v>1214</v>
      </c>
      <c r="AT1" s="177" t="s">
        <v>2400</v>
      </c>
      <c r="AU1" s="175"/>
      <c r="AV1" s="175"/>
      <c r="AW1" s="175"/>
      <c r="AX1" s="175"/>
      <c r="AY1" s="175"/>
      <c r="AZ1" s="175"/>
      <c r="BA1" s="175"/>
      <c r="BB1" s="175"/>
      <c r="BC1" s="175"/>
      <c r="BD1" s="175"/>
      <c r="BE1" s="175"/>
      <c r="BF1" s="177" t="s">
        <v>1448</v>
      </c>
      <c r="BG1" s="178" t="s">
        <v>1449</v>
      </c>
      <c r="BH1" s="177" t="s">
        <v>1450</v>
      </c>
      <c r="BI1" s="180" t="s">
        <v>1451</v>
      </c>
      <c r="BJ1" s="180" t="s">
        <v>1524</v>
      </c>
      <c r="BK1" s="180" t="s">
        <v>1525</v>
      </c>
      <c r="BL1" s="175"/>
      <c r="BM1" s="178" t="s">
        <v>1696</v>
      </c>
      <c r="BN1" s="179" t="s">
        <v>1695</v>
      </c>
      <c r="BO1" s="178" t="s">
        <v>1694</v>
      </c>
      <c r="BP1" s="175"/>
      <c r="BQ1" s="175"/>
      <c r="BR1" s="175"/>
      <c r="BS1" s="178" t="s">
        <v>1693</v>
      </c>
      <c r="BT1" s="178" t="s">
        <v>1692</v>
      </c>
      <c r="BU1" s="178" t="s">
        <v>1671</v>
      </c>
      <c r="BV1" s="178" t="s">
        <v>1672</v>
      </c>
      <c r="BW1" s="178" t="s">
        <v>1673</v>
      </c>
      <c r="BX1" s="178" t="s">
        <v>1674</v>
      </c>
      <c r="BY1" s="178" t="s">
        <v>1675</v>
      </c>
      <c r="BZ1" s="178" t="s">
        <v>1676</v>
      </c>
      <c r="CA1" s="178" t="s">
        <v>1677</v>
      </c>
      <c r="CB1" s="178" t="s">
        <v>1678</v>
      </c>
      <c r="CC1" s="178" t="s">
        <v>1679</v>
      </c>
      <c r="CD1" s="178" t="s">
        <v>2207</v>
      </c>
      <c r="CE1" s="175"/>
      <c r="CF1" s="175"/>
      <c r="CG1" s="178" t="s">
        <v>1680</v>
      </c>
      <c r="CH1" s="178" t="s">
        <v>1477</v>
      </c>
      <c r="CI1" s="178" t="s">
        <v>1681</v>
      </c>
      <c r="CJ1" s="178" t="s">
        <v>1682</v>
      </c>
      <c r="CK1" s="178" t="s">
        <v>1683</v>
      </c>
      <c r="CL1" s="178" t="s">
        <v>1684</v>
      </c>
      <c r="CM1" s="178" t="s">
        <v>1685</v>
      </c>
      <c r="CN1" s="178" t="s">
        <v>1686</v>
      </c>
      <c r="CO1" s="178" t="s">
        <v>1687</v>
      </c>
      <c r="CP1" s="178" t="s">
        <v>1688</v>
      </c>
      <c r="CQ1" s="175"/>
      <c r="CR1" s="175"/>
      <c r="CS1" s="175"/>
      <c r="CT1" s="175"/>
      <c r="CU1" s="178" t="s">
        <v>2740</v>
      </c>
      <c r="CV1" s="178" t="s">
        <v>1690</v>
      </c>
      <c r="CW1" s="178" t="s">
        <v>1166</v>
      </c>
      <c r="CX1" s="178" t="s">
        <v>1689</v>
      </c>
      <c r="CY1" s="178" t="s">
        <v>1691</v>
      </c>
      <c r="CZ1" s="178" t="s">
        <v>1499</v>
      </c>
      <c r="DA1" s="178" t="s">
        <v>1491</v>
      </c>
      <c r="DB1" s="178" t="s">
        <v>1697</v>
      </c>
      <c r="DC1" s="178" t="s">
        <v>1698</v>
      </c>
      <c r="DD1" s="178" t="s">
        <v>1699</v>
      </c>
      <c r="DE1" s="178" t="s">
        <v>1700</v>
      </c>
      <c r="DF1" s="178" t="s">
        <v>1701</v>
      </c>
      <c r="DG1" s="178" t="s">
        <v>1702</v>
      </c>
      <c r="DH1" s="178" t="s">
        <v>1703</v>
      </c>
      <c r="DI1" s="178" t="s">
        <v>1704</v>
      </c>
      <c r="DJ1" s="177" t="s">
        <v>1452</v>
      </c>
      <c r="DK1" s="177" t="s">
        <v>1453</v>
      </c>
      <c r="DL1" s="177" t="s">
        <v>1454</v>
      </c>
      <c r="DM1" s="177" t="s">
        <v>1455</v>
      </c>
      <c r="DN1" s="177" t="s">
        <v>1456</v>
      </c>
      <c r="DO1" s="177" t="s">
        <v>1457</v>
      </c>
      <c r="DP1" s="177" t="s">
        <v>1458</v>
      </c>
      <c r="DQ1" s="178" t="s">
        <v>1509</v>
      </c>
      <c r="DR1" s="177" t="s">
        <v>1510</v>
      </c>
      <c r="DS1" s="175"/>
      <c r="DT1" s="175"/>
      <c r="DU1" s="175"/>
      <c r="DV1" s="177" t="s">
        <v>1194</v>
      </c>
      <c r="DW1" s="177" t="s">
        <v>1195</v>
      </c>
      <c r="DX1" s="177" t="s">
        <v>73</v>
      </c>
      <c r="DY1" s="177" t="s">
        <v>71</v>
      </c>
      <c r="DZ1" s="177" t="s">
        <v>72</v>
      </c>
      <c r="EA1" s="177" t="s">
        <v>1199</v>
      </c>
      <c r="EB1" s="177" t="s">
        <v>1196</v>
      </c>
      <c r="EC1" s="177" t="s">
        <v>1197</v>
      </c>
      <c r="ED1" s="177" t="s">
        <v>1198</v>
      </c>
      <c r="EE1" s="177" t="s">
        <v>138</v>
      </c>
      <c r="EF1" s="177" t="s">
        <v>293</v>
      </c>
      <c r="EG1" s="177" t="s">
        <v>1200</v>
      </c>
      <c r="EH1" s="178" t="s">
        <v>1209</v>
      </c>
      <c r="EI1" s="177" t="s">
        <v>1705</v>
      </c>
      <c r="EJ1" s="177" t="s">
        <v>1706</v>
      </c>
      <c r="EK1" s="178" t="s">
        <v>1737</v>
      </c>
      <c r="EL1" s="178" t="s">
        <v>1467</v>
      </c>
      <c r="EM1" s="178" t="s">
        <v>1739</v>
      </c>
      <c r="EN1" s="178" t="s">
        <v>1740</v>
      </c>
      <c r="EO1" s="178" t="s">
        <v>1738</v>
      </c>
      <c r="EP1" s="178" t="s">
        <v>1741</v>
      </c>
      <c r="EQ1" s="178" t="s">
        <v>1742</v>
      </c>
      <c r="ER1" s="177" t="s">
        <v>1813</v>
      </c>
      <c r="ES1" s="177" t="s">
        <v>1814</v>
      </c>
      <c r="ET1" s="175"/>
      <c r="EU1" s="175"/>
      <c r="EV1" s="175"/>
      <c r="EW1" s="178" t="s">
        <v>1675</v>
      </c>
      <c r="EX1" s="178" t="s">
        <v>1676</v>
      </c>
      <c r="EY1" s="178" t="s">
        <v>1677</v>
      </c>
      <c r="EZ1" s="178" t="s">
        <v>1678</v>
      </c>
      <c r="FA1" s="178" t="s">
        <v>1679</v>
      </c>
    </row>
    <row r="2" spans="1:157" hidden="1">
      <c r="A2" s="15">
        <f>PROJID</f>
        <v>0</v>
      </c>
      <c r="AJ2"/>
      <c r="AK2"/>
      <c r="AR2"/>
      <c r="AS2"/>
      <c r="AT2"/>
      <c r="BF2" t="str">
        <f>IF(M05S07F02=0,"",M05S07F02)</f>
        <v/>
      </c>
      <c r="BG2" s="19">
        <f>PROJID</f>
        <v>0</v>
      </c>
      <c r="BH2" t="str">
        <f>VERSION</f>
        <v>v3.0.0</v>
      </c>
      <c r="BI2" t="s">
        <v>138</v>
      </c>
      <c r="BJ2" s="14" t="str">
        <f>IF(ISNUMBER(CBCUSE),CBCUSE,"")</f>
        <v/>
      </c>
      <c r="BK2" s="14" t="str">
        <f>IF(ISNUMBER(PAYCUSE),PAYCUSE,"")</f>
        <v/>
      </c>
      <c r="BM2" t="str">
        <f>IF(M02S01F01="","",M02S01F01)</f>
        <v/>
      </c>
      <c r="BN2" t="str">
        <f>IF(M02S01F02="","",M02S01F02)</f>
        <v/>
      </c>
      <c r="BO2" s="228" t="str">
        <f>IF(M02S01F03="","",M02S01F03)</f>
        <v/>
      </c>
      <c r="BS2" t="str">
        <f>IF(M02S02F01="","",M02S02F01)</f>
        <v/>
      </c>
      <c r="BT2" t="str">
        <f>IF(M02S02F02="","",M02S02F02)</f>
        <v/>
      </c>
      <c r="BU2" t="str">
        <f>IF(M02S02F03="","",M02S02F03)</f>
        <v/>
      </c>
      <c r="BV2" t="str">
        <f>IF(M02S02F04="","",M02S02F04)</f>
        <v/>
      </c>
      <c r="BW2" t="str">
        <f>IF(M02S02F05="","",M02S02F05)</f>
        <v/>
      </c>
      <c r="BX2" t="str">
        <f>IF(M02S02F06="","",M02S02F06)</f>
        <v/>
      </c>
      <c r="BY2" t="str">
        <f>IF(M02S02F07="","",M02S02F07)</f>
        <v/>
      </c>
      <c r="BZ2" t="str">
        <f>IF(M02S02F08="","",M02S02F08)</f>
        <v/>
      </c>
      <c r="CA2" t="str">
        <f>IF(M02S02F09="","",M02S02F09)</f>
        <v/>
      </c>
      <c r="CB2" s="13" t="str">
        <f>IF(M02S02F10="","",M02S02F10)</f>
        <v/>
      </c>
      <c r="CC2" t="str">
        <f>IF(M02S02F11="","",M02S02F11)</f>
        <v/>
      </c>
      <c r="CD2" t="str">
        <f>IF(M02S02F12="","",M02S02F12)</f>
        <v/>
      </c>
      <c r="CG2" t="str">
        <f>IF(M02S03F01="","",M02S03F01)</f>
        <v/>
      </c>
      <c r="CH2" t="str">
        <f>IF(M02S03F02="","",M02S03F02)</f>
        <v/>
      </c>
      <c r="CI2" t="str">
        <f>IF(M02S03F03="","",M02S03F03)</f>
        <v/>
      </c>
      <c r="CJ2" t="str">
        <f>IF(M02S03F04="","",M02S03F04)</f>
        <v/>
      </c>
      <c r="CK2" t="str">
        <f>IF(M02S03F05="","",M02S03F05)</f>
        <v/>
      </c>
      <c r="CL2" t="str">
        <f>IF(M02S03F06="","",M02S03F06)</f>
        <v/>
      </c>
      <c r="CM2" t="str">
        <f>IF(M02S03F07="","",M02S03F07)</f>
        <v/>
      </c>
      <c r="CN2" t="str">
        <f>IF(M02S03F08="","",M02S03F08)</f>
        <v/>
      </c>
      <c r="CO2" s="13" t="str">
        <f>IF(M02S03F09="","",M02S03F09)</f>
        <v/>
      </c>
      <c r="CP2" t="str">
        <f>IF(M02S03F10="","",M02S03F10)</f>
        <v/>
      </c>
      <c r="CT2" s="176"/>
      <c r="CU2" t="str">
        <f>IF(M02S04F02="","",M02S04F02)</f>
        <v/>
      </c>
      <c r="CV2" t="str">
        <f>IF(M02S04F03="","",M02S04F03)</f>
        <v/>
      </c>
      <c r="CW2" t="str">
        <f>IF(M02S04F04="","",M02S04F04)</f>
        <v/>
      </c>
      <c r="CX2" t="str">
        <f>IF(M02S04F05="","",M02S04F05)</f>
        <v/>
      </c>
      <c r="CY2" t="str">
        <f>IF(M02S04F06="","",M02S04F06)</f>
        <v/>
      </c>
      <c r="CZ2" t="str">
        <f>IF(M02S04F07="","",M02S04F07)</f>
        <v/>
      </c>
      <c r="DA2" t="str">
        <f>IF(M02S04F08="","",M02S04F08)</f>
        <v/>
      </c>
      <c r="DB2" t="str">
        <f>IF(M02S04F09="","",M02S04F09)</f>
        <v/>
      </c>
      <c r="DC2" t="str">
        <f>IF(M02S04F10="","",M02S04F10)</f>
        <v>MO</v>
      </c>
      <c r="DD2" t="str">
        <f>IF(M02S04F11="","",M02S04F11)</f>
        <v/>
      </c>
      <c r="DE2" t="str">
        <f>IF(M02S04F12="","",M02S04F12)</f>
        <v/>
      </c>
      <c r="DF2" t="str">
        <f>IF(M02S04F13="","",M02S04F13)</f>
        <v/>
      </c>
      <c r="DG2" t="str">
        <f>IF(M02S04F14="","",M02S04F14)</f>
        <v/>
      </c>
      <c r="DH2" s="13" t="str">
        <f>IF(M02S04F15="","",M02S04F15)</f>
        <v/>
      </c>
      <c r="DI2" t="str">
        <f>IF(M02S04F16="","",M02S04F16)</f>
        <v/>
      </c>
      <c r="DJ2" t="str">
        <f>IF(M05S07F07="","",M05S07F07)</f>
        <v/>
      </c>
      <c r="DK2" t="str">
        <f>IF(M02S04F18="","",M02S04F18)</f>
        <v/>
      </c>
      <c r="DL2" t="str">
        <f>IF(M02S04F19="","",M02S04F19)</f>
        <v/>
      </c>
      <c r="DM2" t="str">
        <f>IF(M02S04F20="","",M02S04F20)</f>
        <v/>
      </c>
      <c r="DN2" t="str">
        <f>IF(M02S04F21="","",M02S04F21)</f>
        <v/>
      </c>
      <c r="DO2" t="str">
        <f>IF(M02S04F22="","",M02S04F22)</f>
        <v/>
      </c>
      <c r="DP2" t="str">
        <f>IF(M02S04F23="","",M02S04F23)</f>
        <v/>
      </c>
      <c r="DQ2" t="str">
        <f>IF(M02S04F24="","",M02S04F24)</f>
        <v/>
      </c>
      <c r="DR2" t="str">
        <f>IF(M02S04F25="","",M02S04F25)</f>
        <v/>
      </c>
      <c r="DV2" t="str">
        <f>IFERROR(INDEX(PAYMENT[Payment Preference],MATCH(M05S01F01,PAYMENT[Payment to],0)),"")</f>
        <v/>
      </c>
      <c r="DW2" t="str">
        <f>IF(M05S01F02="","",CLEAN(TRIM(SUBSTITUTE(PROPER(M05S01F02),"'S","'s"))))</f>
        <v/>
      </c>
      <c r="DX2" t="str">
        <f>IF(M05S01F03="","",CLEAN(TRIM(PROPER(M05S01F03))))</f>
        <v/>
      </c>
      <c r="DY2" t="str">
        <f>IF(M05S01F04="","",CLEAN(TRIM(PROPER(M05S01F04))))</f>
        <v/>
      </c>
      <c r="DZ2" t="str">
        <f>IF(M05S01F05="","",M05S01F05)</f>
        <v/>
      </c>
      <c r="EA2" t="str">
        <f>IF(M05S01F06="","",CLEAN(TRIM(M05S01F06)))</f>
        <v/>
      </c>
      <c r="EB2" t="str">
        <f>IF(M05S01F07="","",PROPER(M05S01F07))</f>
        <v/>
      </c>
      <c r="EC2" t="str">
        <f>IF(M05S01F08="","",PROPER(M05S01F08))</f>
        <v/>
      </c>
      <c r="ED2" s="13" t="str">
        <f>IF(M05S01F09="","",M05S01F09)</f>
        <v/>
      </c>
      <c r="EE2" t="str">
        <f>IF(M05S01F10="","",M05S01F10)</f>
        <v/>
      </c>
      <c r="EF2" t="str">
        <f>IFERROR(INDEX(TAXENTITY[System Text],MATCH(M05S01F11,TAXENTITY[Tax Entity],0)),"")</f>
        <v/>
      </c>
      <c r="EG2" t="str">
        <f>IF(AND(M05S01F12&lt;&gt;"",M05S01F13&lt;&gt;""),M05S01F12&amp;"-"&amp;M05S01F13,"")</f>
        <v/>
      </c>
      <c r="EH2" t="b">
        <f>PayeeChckBox</f>
        <v>0</v>
      </c>
      <c r="EI2" s="228" t="str">
        <f>IF(M05S02F01="","",M05S02F01)</f>
        <v/>
      </c>
      <c r="EJ2" s="228" t="str">
        <f>IF(M05S02F02="","",M05S02F02)</f>
        <v/>
      </c>
      <c r="EK2" s="228" t="str">
        <f>IF(ENGDATE="","",ENGDATE)</f>
        <v/>
      </c>
      <c r="EL2" s="228" t="str">
        <f>IF(M05S04F01="Project Start Date","",M05S04F01)</f>
        <v/>
      </c>
      <c r="EM2" s="228" t="str">
        <f>IF(M05S04F02="Completion Paperwork Submission Date","",M05S04F02)</f>
        <v/>
      </c>
      <c r="EN2" t="str">
        <f>IF(M05S04F03="Customer Signature","",M05S04F03)</f>
        <v/>
      </c>
      <c r="EO2" s="228" t="str">
        <f>IF(M05S04F04="Date","",M05S04F04)</f>
        <v/>
      </c>
      <c r="EP2" t="str">
        <f>IF(M05S05F01="Customer Signature","",M05S05F01)</f>
        <v/>
      </c>
      <c r="EQ2" s="228" t="str">
        <f>IF(M05S05F02="Date","",M05S05F02)</f>
        <v/>
      </c>
      <c r="ER2" t="str">
        <f>IF(M05S07F08="","",M05S07F08)</f>
        <v/>
      </c>
      <c r="ES2" t="str">
        <f>IF(M05S07F09="","",M05S07F09)</f>
        <v/>
      </c>
      <c r="ET2" s="176"/>
      <c r="EU2" s="176"/>
      <c r="EV2" s="176"/>
      <c r="EW2" t="str">
        <f>IF(M02S02F13="","",M02S02F13)</f>
        <v/>
      </c>
      <c r="EX2" t="str">
        <f>IF(M02S02F14="","",M02S02F14)</f>
        <v/>
      </c>
      <c r="EY2" t="str">
        <f>IF(M02S02F15="","",M02S02F15)</f>
        <v/>
      </c>
      <c r="EZ2" s="13" t="str">
        <f>IF(M02S02F16="","",M02S02F16)</f>
        <v/>
      </c>
      <c r="FA2" t="str">
        <f>IF(M02S02F17="","",M02S02F17)</f>
        <v/>
      </c>
    </row>
    <row r="3" spans="1:157" s="195" customFormat="1">
      <c r="A3" s="224" t="str">
        <f>"Standard "&amp;M3S2</f>
        <v>Standard Lighting</v>
      </c>
      <c r="F3" s="209"/>
      <c r="H3" s="205"/>
      <c r="I3" s="205"/>
      <c r="J3" s="205"/>
      <c r="L3" s="213"/>
      <c r="M3" s="213"/>
      <c r="N3" s="209"/>
      <c r="O3" s="209"/>
      <c r="P3" s="216"/>
      <c r="Q3" s="216"/>
      <c r="R3" s="205"/>
      <c r="S3" s="205"/>
      <c r="T3" s="205"/>
      <c r="U3" s="205"/>
      <c r="W3" s="213"/>
      <c r="X3" s="213"/>
      <c r="Y3" s="209"/>
      <c r="Z3" s="209"/>
      <c r="AA3" s="216"/>
      <c r="AB3" s="216"/>
      <c r="AD3" s="209"/>
      <c r="AE3" s="209"/>
      <c r="AF3" s="209"/>
      <c r="AG3" s="209"/>
      <c r="AH3" s="209"/>
      <c r="AK3" s="196"/>
      <c r="AN3" s="205"/>
      <c r="AO3" s="205"/>
      <c r="AU3" s="197"/>
      <c r="AV3" s="197"/>
      <c r="AW3" s="197"/>
      <c r="AX3" s="197"/>
      <c r="AY3" s="197"/>
      <c r="AZ3" s="197"/>
      <c r="BA3" s="197"/>
      <c r="BB3" s="197"/>
      <c r="BC3" s="197"/>
      <c r="BD3" s="197"/>
      <c r="BE3" s="197"/>
    </row>
    <row r="4" spans="1:157" hidden="1">
      <c r="A4" s="15">
        <f t="shared" ref="A4:A33" si="0">PROJID</f>
        <v>0</v>
      </c>
      <c r="B4" t="str">
        <f>IF(C4="","",CONCATENATE(ROW(),"-",C4))</f>
        <v/>
      </c>
      <c r="C4" t="str">
        <f>IFERROR(IF(R4&gt;0,INDEX('M03-S02'!$BH$18:$BH$199,2*(ROWS($C$4:C4)-1)+1),""),"")</f>
        <v/>
      </c>
      <c r="D4" t="s">
        <v>1320</v>
      </c>
      <c r="E4" t="str">
        <f>IFERROR(INDEX('M03-S02'!$BD$18:$BD$199,2*(ROWS($E$4:E4)-1)+1),"")</f>
        <v/>
      </c>
      <c r="F4" s="31">
        <f>IFERROR(INDEX('M03-S02'!$X$18:$X$199,2*(ROWS($F$4:F4)-1)+1),"")</f>
        <v>0</v>
      </c>
      <c r="G4">
        <f>IFERROR(INDEX('M03-S02'!$AG$18:$AG$199,2*(ROWS($G$4:G4)-1)+1),"")</f>
        <v>0</v>
      </c>
      <c r="H4" s="14">
        <f>IFERROR(ROUND(INDEX('M03-S02'!$AI$18:$AI$199,2*(ROWS(H$4:H4)-1)+1),2),"")</f>
        <v>0</v>
      </c>
      <c r="I4" s="14">
        <f>IFERROR(ROUND(INDEX('M03-S02'!$AK$18:$AK$199,2*(ROWS(I$4:I4)-1)+1),2),"")</f>
        <v>0</v>
      </c>
      <c r="J4" s="14" t="str">
        <f>IFERROR(ROUND(INDEX('M03-S02'!$AX$18:$AX$199,2*(ROWS(J$4:J4)-1)+1),2),"")</f>
        <v/>
      </c>
      <c r="K4" t="s">
        <v>84</v>
      </c>
      <c r="L4" s="10">
        <f>IFERROR(ROUND(INDEX('M03-S02'!$V$18:$V$199,2*(ROWS(L$4:L4)-1)+1),3),"")</f>
        <v>0</v>
      </c>
      <c r="M4" s="10">
        <f>IFERROR(ROUND(INDEX('M03-S02'!$V$18:$V$199,2*(ROWS(M$4:M4)-1)+1),3),"")</f>
        <v>0</v>
      </c>
      <c r="N4" s="37" t="str">
        <f>IFERROR(INDEX('M03-S02'!$AZ$18:$AZ$199,2*(ROWS(N$4:N4)-1)+1),"")</f>
        <v/>
      </c>
      <c r="O4" s="37" t="str">
        <f>IFERROR(INDEX('M03-S02'!$BE$18:$BE$199,2*(ROWS(O$4:O4)-1)+1),"")</f>
        <v/>
      </c>
      <c r="P4" s="37" t="str">
        <f>IFERROR(INDEX('M03-S02'!$BA$18:$BA$199,2*(ROWS(P$4:P4)-1)+1),"")</f>
        <v/>
      </c>
      <c r="Q4" s="37" t="str">
        <f>IFERROR(INDEX('M03-S02'!$BF$18:$BF$199,2*(ROWS(Q$4:Q4)-1)+1),"")</f>
        <v/>
      </c>
      <c r="R4" s="14" t="str">
        <f>IFERROR(INDEX('M03-S02'!$AR$18:$AR$199,2*(ROWS(R$4:R4)-1)+1),"")</f>
        <v/>
      </c>
      <c r="S4" s="207"/>
      <c r="T4" s="207"/>
      <c r="U4" s="207"/>
      <c r="V4" s="194"/>
      <c r="W4" s="218"/>
      <c r="X4" s="218"/>
      <c r="Y4" s="210"/>
      <c r="Z4" s="210"/>
      <c r="AA4" s="219"/>
      <c r="AB4" s="219"/>
      <c r="AC4" s="194"/>
      <c r="AD4" s="37" t="str">
        <f>IFERROR(INDEX('M03-S02'!$BB$18:$BB$199,2*(ROWS(AD$4:AD4)-1)+1),"")</f>
        <v/>
      </c>
      <c r="AE4" s="37" t="str">
        <f>IFERROR(INDEX('M03-S02'!$BC$18:$BC$199,2*(ROWS(AE$4:AE4)-1)+1),"")</f>
        <v/>
      </c>
      <c r="AF4" s="31" t="str">
        <f>IFERROR(INDEX('M03-S02'!$R$18:$R$199,2*(ROWS(AF$4:AF4)-1)+1),"")</f>
        <v/>
      </c>
      <c r="AG4" s="31" t="str">
        <f>IFERROR(INDEX('M03-S02'!$T$18:$T$199,2*(ROWS(AG$4:AG4)-1)+1),"")</f>
        <v/>
      </c>
      <c r="AH4" s="210"/>
      <c r="AI4">
        <f>IFERROR(INDEX('M03-S02'!$B$18:$B$199,2*(ROWS(AI$4:AI4)-1)+1),"")</f>
        <v>1</v>
      </c>
      <c r="AJ4" s="194"/>
      <c r="AK4">
        <f>IFERROR(INDEX('M03-S02'!$G$18:$G$199,2*(ROWS(AK$4:AK4)-1)+1),"")</f>
        <v>0</v>
      </c>
      <c r="AL4">
        <f>IFERROR(INDEX('M03-S02'!$O$18:$O$199,2*(ROWS(AL$4:AL4)-1)+1),"")</f>
        <v>0</v>
      </c>
      <c r="AM4">
        <f>IFERROR(INDEX('M03-S02'!$AC$18:$AC$199,2*(ROWS(AM$4:AM4)-1)+1),"")</f>
        <v>0</v>
      </c>
      <c r="AN4" s="207"/>
      <c r="AO4" s="207"/>
      <c r="AP4" t="str">
        <f>IFERROR(INDEX('M03-S02'!$AY$18:$AY$199,2*(ROWS(AP$4:AP4)-1)+1),"")</f>
        <v/>
      </c>
      <c r="AQ4" s="194"/>
      <c r="AR4" t="str">
        <f>IFERROR(INDEX(STDLIGHT[Reporting Methodology],MATCH(EXPORT!C4,STDLIGHT[Measure Number],0)),"")</f>
        <v/>
      </c>
      <c r="AS4" t="str">
        <f>IFERROR(INDEX(STDLIGHT[Primary Key],MATCH(C4,STDLIGHT[Measure Number],0)),"")</f>
        <v/>
      </c>
      <c r="AT4" s="14" t="str" cm="1">
        <f t="array" ref="AT4">_xlfn.LET(_xlpm.ROWS, 2*(ROWS(AT$4:AT4)-1)+1,IFERROR(INDEX('M03-S02'!$AR$18:$AR$199, _xlpm.ROWS)-INDEX('M03-S02'!$BQ$18:$BQ$199, _xlpm.ROWS),""))</f>
        <v/>
      </c>
      <c r="BL4"/>
      <c r="BP4"/>
      <c r="BQ4"/>
      <c r="BR4"/>
      <c r="CD4"/>
      <c r="CE4"/>
      <c r="CF4"/>
      <c r="CQ4"/>
      <c r="CR4"/>
      <c r="CS4"/>
      <c r="DS4"/>
      <c r="DT4"/>
      <c r="DU4"/>
    </row>
    <row r="5" spans="1:157" hidden="1">
      <c r="A5" s="15">
        <f t="shared" si="0"/>
        <v>0</v>
      </c>
      <c r="B5" t="str">
        <f t="shared" ref="B5:B33" si="1">IF(C5="","",CONCATENATE(ROW(),"-",C5))</f>
        <v/>
      </c>
      <c r="C5" t="str">
        <f>IFERROR(IF(R5&gt;0,INDEX('M03-S02'!$BH$18:$BH$199,2*(ROWS($C$4:C5)-1)+1),""),"")</f>
        <v/>
      </c>
      <c r="D5" t="s">
        <v>1320</v>
      </c>
      <c r="E5" t="str">
        <f>IFERROR(INDEX('M03-S02'!$BD$18:$BD$199,2*(ROWS($E$4:E5)-1)+1),"")</f>
        <v/>
      </c>
      <c r="F5" s="31">
        <f>IFERROR(INDEX('M03-S02'!$X$18:$X$199,2*(ROWS($F$4:F5)-1)+1),"")</f>
        <v>0</v>
      </c>
      <c r="G5">
        <f>IFERROR(INDEX('M03-S02'!$AG$18:$AG$199,2*(ROWS($G$4:G5)-1)+1),"")</f>
        <v>0</v>
      </c>
      <c r="H5" s="14">
        <f>IFERROR(ROUND(INDEX('M03-S02'!$AI$18:$AI$199,2*(ROWS(H$4:H5)-1)+1),2),"")</f>
        <v>0</v>
      </c>
      <c r="I5" s="14">
        <f>IFERROR(ROUND(INDEX('M03-S02'!$AK$18:$AK$199,2*(ROWS(I$4:I5)-1)+1),2),"")</f>
        <v>0</v>
      </c>
      <c r="J5" s="14" t="str">
        <f>IFERROR(ROUND(INDEX('M03-S02'!$AX$18:$AX$199,2*(ROWS(J$4:J5)-1)+1),2),"")</f>
        <v/>
      </c>
      <c r="K5" t="s">
        <v>84</v>
      </c>
      <c r="L5" s="10">
        <f>IFERROR(ROUND(INDEX('M03-S02'!$V$18:$V$199,2*(ROWS(L$4:L5)-1)+1),3),"")</f>
        <v>0</v>
      </c>
      <c r="M5" s="10">
        <f>IFERROR(ROUND(INDEX('M03-S02'!$V$18:$V$199,2*(ROWS(M$4:M5)-1)+1),3),"")</f>
        <v>0</v>
      </c>
      <c r="N5" s="37" t="str">
        <f>IFERROR(INDEX('M03-S02'!$AZ$18:$AZ$199,2*(ROWS(N$4:N5)-1)+1),"")</f>
        <v/>
      </c>
      <c r="O5" s="37" t="str">
        <f>IFERROR(INDEX('M03-S02'!$BE$18:$BE$199,2*(ROWS(O$4:O5)-1)+1),"")</f>
        <v/>
      </c>
      <c r="P5" s="37" t="str">
        <f>IFERROR(INDEX('M03-S02'!$BA$18:$BA$199,2*(ROWS(P$4:P5)-1)+1),"")</f>
        <v/>
      </c>
      <c r="Q5" s="37" t="str">
        <f>IFERROR(INDEX('M03-S02'!$BF$18:$BF$199,2*(ROWS(Q$4:Q5)-1)+1),"")</f>
        <v/>
      </c>
      <c r="R5" s="14" t="str">
        <f>IFERROR(INDEX('M03-S02'!$AR$18:$AR$199,2*(ROWS(R$4:R5)-1)+1),"")</f>
        <v/>
      </c>
      <c r="S5" s="207"/>
      <c r="T5" s="207"/>
      <c r="U5" s="207"/>
      <c r="V5" s="194"/>
      <c r="W5" s="218"/>
      <c r="X5" s="218"/>
      <c r="Y5" s="210"/>
      <c r="Z5" s="210"/>
      <c r="AA5" s="219"/>
      <c r="AB5" s="219"/>
      <c r="AC5" s="194"/>
      <c r="AD5" s="37" t="str">
        <f>IFERROR(INDEX('M03-S02'!$BB$18:$BB$199,2*(ROWS(AD$4:AD5)-1)+1),"")</f>
        <v/>
      </c>
      <c r="AE5" s="37" t="str">
        <f>IFERROR(INDEX('M03-S02'!$BC$18:$BC$199,2*(ROWS(AE$4:AE5)-1)+1),"")</f>
        <v/>
      </c>
      <c r="AF5" s="31" t="str">
        <f>IFERROR(INDEX('M03-S02'!$R$18:$R$199,2*(ROWS(AF$4:AF5)-1)+1),"")</f>
        <v/>
      </c>
      <c r="AG5" s="31" t="str">
        <f>IFERROR(INDEX('M03-S02'!$T$18:$T$199,2*(ROWS(AG$4:AG5)-1)+1),"")</f>
        <v/>
      </c>
      <c r="AH5" s="210"/>
      <c r="AI5">
        <f>IFERROR(INDEX('M03-S02'!$B$18:$B$199,2*(ROWS(AI$4:AI5)-1)+1),"")</f>
        <v>2</v>
      </c>
      <c r="AJ5" s="194"/>
      <c r="AK5">
        <f>IFERROR(INDEX('M03-S02'!$G$18:$G$199,2*(ROWS(AK$4:AK5)-1)+1),"")</f>
        <v>0</v>
      </c>
      <c r="AL5">
        <f>IFERROR(INDEX('M03-S02'!$O$18:$O$199,2*(ROWS(AL$4:AL5)-1)+1),"")</f>
        <v>0</v>
      </c>
      <c r="AM5">
        <f>IFERROR(INDEX('M03-S02'!$AC$18:$AC$199,2*(ROWS(AM$4:AM5)-1)+1),"")</f>
        <v>0</v>
      </c>
      <c r="AN5" s="207"/>
      <c r="AO5" s="207"/>
      <c r="AP5" t="str">
        <f>IFERROR(INDEX('M03-S02'!$AY$18:$AY$199,2*(ROWS(AP$4:AP5)-1)+1),"")</f>
        <v/>
      </c>
      <c r="AQ5" s="194"/>
      <c r="AR5" t="str">
        <f>IFERROR(INDEX(STDLIGHT[Reporting Methodology],MATCH(EXPORT!C5,STDLIGHT[Measure Number],0)),"")</f>
        <v/>
      </c>
      <c r="AS5" t="str">
        <f>IFERROR(INDEX(STDLIGHT[Primary Key],MATCH(C5,STDLIGHT[Measure Number],0)),"")</f>
        <v/>
      </c>
      <c r="AT5" s="14" t="str" cm="1">
        <f t="array" ref="AT5">_xlfn.LET(_xlpm.ROWS, 2*(ROWS(AT$4:AT5)-1)+1,IFERROR(INDEX('M03-S02'!$AR$18:$AR$199, _xlpm.ROWS)-INDEX('M03-S02'!$BQ$18:$BQ$199, _xlpm.ROWS),""))</f>
        <v/>
      </c>
      <c r="BL5"/>
      <c r="BP5"/>
      <c r="BQ5"/>
      <c r="BR5"/>
      <c r="CD5"/>
      <c r="CE5"/>
      <c r="CF5"/>
      <c r="CQ5"/>
      <c r="CR5"/>
      <c r="CS5"/>
      <c r="DS5"/>
      <c r="DT5"/>
      <c r="DU5"/>
    </row>
    <row r="6" spans="1:157" hidden="1">
      <c r="A6" s="15">
        <f t="shared" si="0"/>
        <v>0</v>
      </c>
      <c r="B6" t="str">
        <f t="shared" si="1"/>
        <v/>
      </c>
      <c r="C6" t="str">
        <f>IFERROR(IF(R6&gt;0,INDEX('M03-S02'!$BH$18:$BH$199,2*(ROWS($C$4:C6)-1)+1),""),"")</f>
        <v/>
      </c>
      <c r="D6" t="s">
        <v>1320</v>
      </c>
      <c r="E6" t="str">
        <f>IFERROR(INDEX('M03-S02'!$BD$18:$BD$199,2*(ROWS($E$4:E6)-1)+1),"")</f>
        <v/>
      </c>
      <c r="F6" s="31">
        <f>IFERROR(INDEX('M03-S02'!$X$18:$X$199,2*(ROWS($F$4:F6)-1)+1),"")</f>
        <v>0</v>
      </c>
      <c r="G6">
        <f>IFERROR(INDEX('M03-S02'!$AG$18:$AG$199,2*(ROWS($G$4:G6)-1)+1),"")</f>
        <v>0</v>
      </c>
      <c r="H6" s="14">
        <f>IFERROR(ROUND(INDEX('M03-S02'!$AI$18:$AI$199,2*(ROWS(H$4:H6)-1)+1),2),"")</f>
        <v>0</v>
      </c>
      <c r="I6" s="14">
        <f>IFERROR(ROUND(INDEX('M03-S02'!$AK$18:$AK$199,2*(ROWS(I$4:I6)-1)+1),2),"")</f>
        <v>0</v>
      </c>
      <c r="J6" s="14" t="str">
        <f>IFERROR(ROUND(INDEX('M03-S02'!$AX$18:$AX$199,2*(ROWS(J$4:J6)-1)+1),2),"")</f>
        <v/>
      </c>
      <c r="K6" t="s">
        <v>84</v>
      </c>
      <c r="L6" s="10">
        <f>IFERROR(ROUND(INDEX('M03-S02'!$V$18:$V$199,2*(ROWS(L$4:L6)-1)+1),3),"")</f>
        <v>0</v>
      </c>
      <c r="M6" s="10">
        <f>IFERROR(ROUND(INDEX('M03-S02'!$V$18:$V$199,2*(ROWS(M$4:M6)-1)+1),3),"")</f>
        <v>0</v>
      </c>
      <c r="N6" s="37" t="str">
        <f>IFERROR(INDEX('M03-S02'!$AZ$18:$AZ$199,2*(ROWS(N$4:N6)-1)+1),"")</f>
        <v/>
      </c>
      <c r="O6" s="37" t="str">
        <f>IFERROR(INDEX('M03-S02'!$BE$18:$BE$199,2*(ROWS(O$4:O6)-1)+1),"")</f>
        <v/>
      </c>
      <c r="P6" s="37" t="str">
        <f>IFERROR(INDEX('M03-S02'!$BA$18:$BA$199,2*(ROWS(P$4:P6)-1)+1),"")</f>
        <v/>
      </c>
      <c r="Q6" s="37" t="str">
        <f>IFERROR(INDEX('M03-S02'!$BF$18:$BF$199,2*(ROWS(Q$4:Q6)-1)+1),"")</f>
        <v/>
      </c>
      <c r="R6" s="14" t="str">
        <f>IFERROR(INDEX('M03-S02'!$AR$18:$AR$199,2*(ROWS(R$4:R6)-1)+1),"")</f>
        <v/>
      </c>
      <c r="S6" s="207"/>
      <c r="T6" s="207"/>
      <c r="U6" s="207"/>
      <c r="V6" s="194"/>
      <c r="W6" s="218"/>
      <c r="X6" s="218"/>
      <c r="Y6" s="210"/>
      <c r="Z6" s="210"/>
      <c r="AA6" s="219"/>
      <c r="AB6" s="219"/>
      <c r="AC6" s="194"/>
      <c r="AD6" s="37" t="str">
        <f>IFERROR(INDEX('M03-S02'!$BB$18:$BB$199,2*(ROWS(AD$4:AD6)-1)+1),"")</f>
        <v/>
      </c>
      <c r="AE6" s="37" t="str">
        <f>IFERROR(INDEX('M03-S02'!$BC$18:$BC$199,2*(ROWS(AE$4:AE6)-1)+1),"")</f>
        <v/>
      </c>
      <c r="AF6" s="31" t="str">
        <f>IFERROR(INDEX('M03-S02'!$R$18:$R$199,2*(ROWS(AF$4:AF6)-1)+1),"")</f>
        <v/>
      </c>
      <c r="AG6" s="31" t="str">
        <f>IFERROR(INDEX('M03-S02'!$T$18:$T$199,2*(ROWS(AG$4:AG6)-1)+1),"")</f>
        <v/>
      </c>
      <c r="AH6" s="210"/>
      <c r="AI6">
        <f>IFERROR(INDEX('M03-S02'!$B$18:$B$199,2*(ROWS(AI$4:AI6)-1)+1),"")</f>
        <v>3</v>
      </c>
      <c r="AJ6" s="194"/>
      <c r="AK6">
        <f>IFERROR(INDEX('M03-S02'!$G$18:$G$199,2*(ROWS(AK$4:AK6)-1)+1),"")</f>
        <v>0</v>
      </c>
      <c r="AL6">
        <f>IFERROR(INDEX('M03-S02'!$O$18:$O$199,2*(ROWS(AL$4:AL6)-1)+1),"")</f>
        <v>0</v>
      </c>
      <c r="AM6">
        <f>IFERROR(INDEX('M03-S02'!$AC$18:$AC$199,2*(ROWS(AM$4:AM6)-1)+1),"")</f>
        <v>0</v>
      </c>
      <c r="AN6" s="207"/>
      <c r="AO6" s="207"/>
      <c r="AP6" t="str">
        <f>IFERROR(INDEX('M03-S02'!$AY$18:$AY$199,2*(ROWS(AP$4:AP6)-1)+1),"")</f>
        <v/>
      </c>
      <c r="AQ6" s="194"/>
      <c r="AR6" t="str">
        <f>IFERROR(INDEX(STDLIGHT[Reporting Methodology],MATCH(EXPORT!C6,STDLIGHT[Measure Number],0)),"")</f>
        <v/>
      </c>
      <c r="AS6" t="str">
        <f>IFERROR(INDEX(STDLIGHT[Primary Key],MATCH(C6,STDLIGHT[Measure Number],0)),"")</f>
        <v/>
      </c>
      <c r="AT6" s="14" t="str" cm="1">
        <f t="array" ref="AT6">_xlfn.LET(_xlpm.ROWS, 2*(ROWS(AT$4:AT6)-1)+1,IFERROR(INDEX('M03-S02'!$AR$18:$AR$199, _xlpm.ROWS)-INDEX('M03-S02'!$BQ$18:$BQ$199, _xlpm.ROWS),""))</f>
        <v/>
      </c>
      <c r="BL6"/>
      <c r="BP6"/>
      <c r="BQ6"/>
      <c r="BR6"/>
      <c r="CD6"/>
      <c r="CE6"/>
      <c r="CF6"/>
      <c r="CQ6"/>
      <c r="CR6"/>
      <c r="CS6"/>
      <c r="DS6"/>
      <c r="DT6"/>
      <c r="DU6"/>
    </row>
    <row r="7" spans="1:157" hidden="1">
      <c r="A7" s="15">
        <f t="shared" si="0"/>
        <v>0</v>
      </c>
      <c r="B7" t="str">
        <f t="shared" si="1"/>
        <v/>
      </c>
      <c r="C7" t="str">
        <f>IFERROR(IF(R7&gt;0,INDEX('M03-S02'!$BH$18:$BH$199,2*(ROWS($C$4:C7)-1)+1),""),"")</f>
        <v/>
      </c>
      <c r="D7" t="s">
        <v>1320</v>
      </c>
      <c r="E7" t="str">
        <f>IFERROR(INDEX('M03-S02'!$BD$18:$BD$199,2*(ROWS($E$4:E7)-1)+1),"")</f>
        <v/>
      </c>
      <c r="F7" s="31">
        <f>IFERROR(INDEX('M03-S02'!$X$18:$X$199,2*(ROWS($F$4:F7)-1)+1),"")</f>
        <v>0</v>
      </c>
      <c r="G7">
        <f>IFERROR(INDEX('M03-S02'!$AG$18:$AG$199,2*(ROWS($G$4:G7)-1)+1),"")</f>
        <v>0</v>
      </c>
      <c r="H7" s="14">
        <f>IFERROR(ROUND(INDEX('M03-S02'!$AI$18:$AI$199,2*(ROWS(H$4:H7)-1)+1),2),"")</f>
        <v>0</v>
      </c>
      <c r="I7" s="14">
        <f>IFERROR(ROUND(INDEX('M03-S02'!$AK$18:$AK$199,2*(ROWS(I$4:I7)-1)+1),2),"")</f>
        <v>0</v>
      </c>
      <c r="J7" s="14" t="str">
        <f>IFERROR(ROUND(INDEX('M03-S02'!$AX$18:$AX$199,2*(ROWS(J$4:J7)-1)+1),2),"")</f>
        <v/>
      </c>
      <c r="K7" t="s">
        <v>84</v>
      </c>
      <c r="L7" s="10">
        <f>IFERROR(ROUND(INDEX('M03-S02'!$V$18:$V$199,2*(ROWS(L$4:L7)-1)+1),3),"")</f>
        <v>0</v>
      </c>
      <c r="M7" s="10">
        <f>IFERROR(ROUND(INDEX('M03-S02'!$V$18:$V$199,2*(ROWS(M$4:M7)-1)+1),3),"")</f>
        <v>0</v>
      </c>
      <c r="N7" s="37" t="str">
        <f>IFERROR(INDEX('M03-S02'!$AZ$18:$AZ$199,2*(ROWS(N$4:N7)-1)+1),"")</f>
        <v/>
      </c>
      <c r="O7" s="37" t="str">
        <f>IFERROR(INDEX('M03-S02'!$BE$18:$BE$199,2*(ROWS(O$4:O7)-1)+1),"")</f>
        <v/>
      </c>
      <c r="P7" s="37" t="str">
        <f>IFERROR(INDEX('M03-S02'!$BA$18:$BA$199,2*(ROWS(P$4:P7)-1)+1),"")</f>
        <v/>
      </c>
      <c r="Q7" s="37" t="str">
        <f>IFERROR(INDEX('M03-S02'!$BF$18:$BF$199,2*(ROWS(Q$4:Q7)-1)+1),"")</f>
        <v/>
      </c>
      <c r="R7" s="14" t="str">
        <f>IFERROR(INDEX('M03-S02'!$AR$18:$AR$199,2*(ROWS(R$4:R7)-1)+1),"")</f>
        <v/>
      </c>
      <c r="S7" s="207"/>
      <c r="T7" s="207"/>
      <c r="U7" s="207"/>
      <c r="V7" s="194"/>
      <c r="W7" s="218"/>
      <c r="X7" s="218"/>
      <c r="Y7" s="210"/>
      <c r="Z7" s="210"/>
      <c r="AA7" s="219"/>
      <c r="AB7" s="219"/>
      <c r="AC7" s="194"/>
      <c r="AD7" s="37" t="str">
        <f>IFERROR(INDEX('M03-S02'!$BB$18:$BB$199,2*(ROWS(AD$4:AD7)-1)+1),"")</f>
        <v/>
      </c>
      <c r="AE7" s="37" t="str">
        <f>IFERROR(INDEX('M03-S02'!$BC$18:$BC$199,2*(ROWS(AE$4:AE7)-1)+1),"")</f>
        <v/>
      </c>
      <c r="AF7" s="31" t="str">
        <f>IFERROR(INDEX('M03-S02'!$R$18:$R$199,2*(ROWS(AF$4:AF7)-1)+1),"")</f>
        <v/>
      </c>
      <c r="AG7" s="31" t="str">
        <f>IFERROR(INDEX('M03-S02'!$T$18:$T$199,2*(ROWS(AG$4:AG7)-1)+1),"")</f>
        <v/>
      </c>
      <c r="AH7" s="210"/>
      <c r="AI7">
        <f>IFERROR(INDEX('M03-S02'!$B$18:$B$199,2*(ROWS(AI$4:AI7)-1)+1),"")</f>
        <v>4</v>
      </c>
      <c r="AJ7" s="194"/>
      <c r="AK7">
        <f>IFERROR(INDEX('M03-S02'!$G$18:$G$199,2*(ROWS(AK$4:AK7)-1)+1),"")</f>
        <v>0</v>
      </c>
      <c r="AL7">
        <f>IFERROR(INDEX('M03-S02'!$O$18:$O$199,2*(ROWS(AL$4:AL7)-1)+1),"")</f>
        <v>0</v>
      </c>
      <c r="AM7">
        <f>IFERROR(INDEX('M03-S02'!$AC$18:$AC$199,2*(ROWS(AM$4:AM7)-1)+1),"")</f>
        <v>0</v>
      </c>
      <c r="AN7" s="207"/>
      <c r="AO7" s="207"/>
      <c r="AP7" t="str">
        <f>IFERROR(INDEX('M03-S02'!$AY$18:$AY$199,2*(ROWS(AP$4:AP7)-1)+1),"")</f>
        <v/>
      </c>
      <c r="AQ7" s="194"/>
      <c r="AR7" t="str">
        <f>IFERROR(INDEX(STDLIGHT[Reporting Methodology],MATCH(EXPORT!C7,STDLIGHT[Measure Number],0)),"")</f>
        <v/>
      </c>
      <c r="AS7" t="str">
        <f>IFERROR(INDEX(STDLIGHT[Primary Key],MATCH(C7,STDLIGHT[Measure Number],0)),"")</f>
        <v/>
      </c>
      <c r="AT7" s="14" t="str" cm="1">
        <f t="array" ref="AT7">_xlfn.LET(_xlpm.ROWS, 2*(ROWS(AT$4:AT7)-1)+1,IFERROR(INDEX('M03-S02'!$AR$18:$AR$199, _xlpm.ROWS)-INDEX('M03-S02'!$BQ$18:$BQ$199, _xlpm.ROWS),""))</f>
        <v/>
      </c>
      <c r="BL7"/>
      <c r="BP7"/>
      <c r="BQ7"/>
      <c r="BR7"/>
      <c r="CD7"/>
      <c r="CE7"/>
      <c r="CF7"/>
      <c r="CQ7"/>
      <c r="CR7"/>
      <c r="CS7"/>
      <c r="DS7"/>
      <c r="DT7"/>
      <c r="DU7"/>
    </row>
    <row r="8" spans="1:157" hidden="1">
      <c r="A8" s="15">
        <f t="shared" si="0"/>
        <v>0</v>
      </c>
      <c r="B8" t="str">
        <f t="shared" si="1"/>
        <v/>
      </c>
      <c r="C8" t="str">
        <f>IFERROR(IF(R8&gt;0,INDEX('M03-S02'!$BH$18:$BH$199,2*(ROWS($C$4:C8)-1)+1),""),"")</f>
        <v/>
      </c>
      <c r="D8" t="s">
        <v>1320</v>
      </c>
      <c r="E8" t="str">
        <f>IFERROR(INDEX('M03-S02'!$BD$18:$BD$199,2*(ROWS($E$4:E8)-1)+1),"")</f>
        <v/>
      </c>
      <c r="F8" s="31">
        <f>IFERROR(INDEX('M03-S02'!$X$18:$X$199,2*(ROWS($F$4:F8)-1)+1),"")</f>
        <v>0</v>
      </c>
      <c r="G8">
        <f>IFERROR(INDEX('M03-S02'!$AG$18:$AG$199,2*(ROWS($G$4:G8)-1)+1),"")</f>
        <v>0</v>
      </c>
      <c r="H8" s="14">
        <f>IFERROR(ROUND(INDEX('M03-S02'!$AI$18:$AI$199,2*(ROWS(H$4:H8)-1)+1),2),"")</f>
        <v>0</v>
      </c>
      <c r="I8" s="14">
        <f>IFERROR(ROUND(INDEX('M03-S02'!$AK$18:$AK$199,2*(ROWS(I$4:I8)-1)+1),2),"")</f>
        <v>0</v>
      </c>
      <c r="J8" s="14" t="str">
        <f>IFERROR(ROUND(INDEX('M03-S02'!$AX$18:$AX$199,2*(ROWS(J$4:J8)-1)+1),2),"")</f>
        <v/>
      </c>
      <c r="K8" t="s">
        <v>84</v>
      </c>
      <c r="L8" s="10">
        <f>IFERROR(ROUND(INDEX('M03-S02'!$V$18:$V$199,2*(ROWS(L$4:L8)-1)+1),3),"")</f>
        <v>0</v>
      </c>
      <c r="M8" s="10">
        <f>IFERROR(ROUND(INDEX('M03-S02'!$V$18:$V$199,2*(ROWS(M$4:M8)-1)+1),3),"")</f>
        <v>0</v>
      </c>
      <c r="N8" s="37" t="str">
        <f>IFERROR(INDEX('M03-S02'!$AZ$18:$AZ$199,2*(ROWS(N$4:N8)-1)+1),"")</f>
        <v/>
      </c>
      <c r="O8" s="37" t="str">
        <f>IFERROR(INDEX('M03-S02'!$BE$18:$BE$199,2*(ROWS(O$4:O8)-1)+1),"")</f>
        <v/>
      </c>
      <c r="P8" s="37" t="str">
        <f>IFERROR(INDEX('M03-S02'!$BA$18:$BA$199,2*(ROWS(P$4:P8)-1)+1),"")</f>
        <v/>
      </c>
      <c r="Q8" s="37" t="str">
        <f>IFERROR(INDEX('M03-S02'!$BF$18:$BF$199,2*(ROWS(Q$4:Q8)-1)+1),"")</f>
        <v/>
      </c>
      <c r="R8" s="14" t="str">
        <f>IFERROR(INDEX('M03-S02'!$AR$18:$AR$199,2*(ROWS(R$4:R8)-1)+1),"")</f>
        <v/>
      </c>
      <c r="S8" s="207"/>
      <c r="T8" s="207"/>
      <c r="U8" s="207"/>
      <c r="V8" s="194"/>
      <c r="W8" s="218"/>
      <c r="X8" s="218"/>
      <c r="Y8" s="210"/>
      <c r="Z8" s="210"/>
      <c r="AA8" s="219"/>
      <c r="AB8" s="219"/>
      <c r="AC8" s="194"/>
      <c r="AD8" s="37" t="str">
        <f>IFERROR(INDEX('M03-S02'!$BB$18:$BB$199,2*(ROWS(AD$4:AD8)-1)+1),"")</f>
        <v/>
      </c>
      <c r="AE8" s="37" t="str">
        <f>IFERROR(INDEX('M03-S02'!$BC$18:$BC$199,2*(ROWS(AE$4:AE8)-1)+1),"")</f>
        <v/>
      </c>
      <c r="AF8" s="31" t="str">
        <f>IFERROR(INDEX('M03-S02'!$R$18:$R$199,2*(ROWS(AF$4:AF8)-1)+1),"")</f>
        <v/>
      </c>
      <c r="AG8" s="31" t="str">
        <f>IFERROR(INDEX('M03-S02'!$T$18:$T$199,2*(ROWS(AG$4:AG8)-1)+1),"")</f>
        <v/>
      </c>
      <c r="AH8" s="210"/>
      <c r="AI8">
        <f>IFERROR(INDEX('M03-S02'!$B$18:$B$199,2*(ROWS(AI$4:AI8)-1)+1),"")</f>
        <v>5</v>
      </c>
      <c r="AJ8" s="194"/>
      <c r="AK8">
        <f>IFERROR(INDEX('M03-S02'!$G$18:$G$199,2*(ROWS(AK$4:AK8)-1)+1),"")</f>
        <v>0</v>
      </c>
      <c r="AL8">
        <f>IFERROR(INDEX('M03-S02'!$O$18:$O$199,2*(ROWS(AL$4:AL8)-1)+1),"")</f>
        <v>0</v>
      </c>
      <c r="AM8">
        <f>IFERROR(INDEX('M03-S02'!$AC$18:$AC$199,2*(ROWS(AM$4:AM8)-1)+1),"")</f>
        <v>0</v>
      </c>
      <c r="AN8" s="207"/>
      <c r="AO8" s="207"/>
      <c r="AP8" t="str">
        <f>IFERROR(INDEX('M03-S02'!$AY$18:$AY$199,2*(ROWS(AP$4:AP8)-1)+1),"")</f>
        <v/>
      </c>
      <c r="AQ8" s="194"/>
      <c r="AR8" t="str">
        <f>IFERROR(INDEX(STDLIGHT[Reporting Methodology],MATCH(EXPORT!C8,STDLIGHT[Measure Number],0)),"")</f>
        <v/>
      </c>
      <c r="AS8" t="str">
        <f>IFERROR(INDEX(STDLIGHT[Primary Key],MATCH(C8,STDLIGHT[Measure Number],0)),"")</f>
        <v/>
      </c>
      <c r="AT8" s="14" t="str" cm="1">
        <f t="array" ref="AT8">_xlfn.LET(_xlpm.ROWS, 2*(ROWS(AT$4:AT8)-1)+1,IFERROR(INDEX('M03-S02'!$AR$18:$AR$199, _xlpm.ROWS)-INDEX('M03-S02'!$BQ$18:$BQ$199, _xlpm.ROWS),""))</f>
        <v/>
      </c>
      <c r="BL8"/>
      <c r="BP8"/>
      <c r="BQ8"/>
      <c r="BR8"/>
      <c r="CD8"/>
      <c r="CE8"/>
      <c r="CF8"/>
      <c r="CQ8"/>
      <c r="CR8"/>
      <c r="CS8"/>
      <c r="DS8"/>
      <c r="DT8"/>
      <c r="DU8"/>
    </row>
    <row r="9" spans="1:157" hidden="1">
      <c r="A9" s="15">
        <f t="shared" si="0"/>
        <v>0</v>
      </c>
      <c r="B9" t="str">
        <f t="shared" si="1"/>
        <v/>
      </c>
      <c r="C9" t="str">
        <f>IFERROR(IF(R9&gt;0,INDEX('M03-S02'!$BH$18:$BH$199,2*(ROWS($C$4:C9)-1)+1),""),"")</f>
        <v/>
      </c>
      <c r="D9" t="s">
        <v>1320</v>
      </c>
      <c r="E9" t="str">
        <f>IFERROR(INDEX('M03-S02'!$BD$18:$BD$199,2*(ROWS($E$4:E9)-1)+1),"")</f>
        <v/>
      </c>
      <c r="F9" s="31">
        <f>IFERROR(INDEX('M03-S02'!$X$18:$X$199,2*(ROWS($F$4:F9)-1)+1),"")</f>
        <v>0</v>
      </c>
      <c r="G9">
        <f>IFERROR(INDEX('M03-S02'!$AG$18:$AG$199,2*(ROWS($G$4:G9)-1)+1),"")</f>
        <v>0</v>
      </c>
      <c r="H9" s="14">
        <f>IFERROR(ROUND(INDEX('M03-S02'!$AI$18:$AI$199,2*(ROWS(H$4:H9)-1)+1),2),"")</f>
        <v>0</v>
      </c>
      <c r="I9" s="14">
        <f>IFERROR(ROUND(INDEX('M03-S02'!$AK$18:$AK$199,2*(ROWS(I$4:I9)-1)+1),2),"")</f>
        <v>0</v>
      </c>
      <c r="J9" s="14" t="str">
        <f>IFERROR(ROUND(INDEX('M03-S02'!$AX$18:$AX$199,2*(ROWS(J$4:J9)-1)+1),2),"")</f>
        <v/>
      </c>
      <c r="K9" t="s">
        <v>84</v>
      </c>
      <c r="L9" s="10">
        <f>IFERROR(ROUND(INDEX('M03-S02'!$V$18:$V$199,2*(ROWS(L$4:L9)-1)+1),3),"")</f>
        <v>0</v>
      </c>
      <c r="M9" s="10">
        <f>IFERROR(ROUND(INDEX('M03-S02'!$V$18:$V$199,2*(ROWS(M$4:M9)-1)+1),3),"")</f>
        <v>0</v>
      </c>
      <c r="N9" s="37" t="str">
        <f>IFERROR(INDEX('M03-S02'!$AZ$18:$AZ$199,2*(ROWS(N$4:N9)-1)+1),"")</f>
        <v/>
      </c>
      <c r="O9" s="37" t="str">
        <f>IFERROR(INDEX('M03-S02'!$BE$18:$BE$199,2*(ROWS(O$4:O9)-1)+1),"")</f>
        <v/>
      </c>
      <c r="P9" s="37" t="str">
        <f>IFERROR(INDEX('M03-S02'!$BA$18:$BA$199,2*(ROWS(P$4:P9)-1)+1),"")</f>
        <v/>
      </c>
      <c r="Q9" s="37" t="str">
        <f>IFERROR(INDEX('M03-S02'!$BF$18:$BF$199,2*(ROWS(Q$4:Q9)-1)+1),"")</f>
        <v/>
      </c>
      <c r="R9" s="14" t="str">
        <f>IFERROR(INDEX('M03-S02'!$AR$18:$AR$199,2*(ROWS(R$4:R9)-1)+1),"")</f>
        <v/>
      </c>
      <c r="S9" s="207"/>
      <c r="T9" s="207"/>
      <c r="U9" s="207"/>
      <c r="V9" s="194"/>
      <c r="W9" s="218"/>
      <c r="X9" s="218"/>
      <c r="Y9" s="210"/>
      <c r="Z9" s="210"/>
      <c r="AA9" s="219"/>
      <c r="AB9" s="219"/>
      <c r="AC9" s="194"/>
      <c r="AD9" s="37" t="str">
        <f>IFERROR(INDEX('M03-S02'!$BB$18:$BB$199,2*(ROWS(AD$4:AD9)-1)+1),"")</f>
        <v/>
      </c>
      <c r="AE9" s="37" t="str">
        <f>IFERROR(INDEX('M03-S02'!$BC$18:$BC$199,2*(ROWS(AE$4:AE9)-1)+1),"")</f>
        <v/>
      </c>
      <c r="AF9" s="31" t="str">
        <f>IFERROR(INDEX('M03-S02'!$R$18:$R$199,2*(ROWS(AF$4:AF9)-1)+1),"")</f>
        <v/>
      </c>
      <c r="AG9" s="31" t="str">
        <f>IFERROR(INDEX('M03-S02'!$T$18:$T$199,2*(ROWS(AG$4:AG9)-1)+1),"")</f>
        <v/>
      </c>
      <c r="AH9" s="210"/>
      <c r="AI9">
        <f>IFERROR(INDEX('M03-S02'!$B$18:$B$199,2*(ROWS(AI$4:AI9)-1)+1),"")</f>
        <v>6</v>
      </c>
      <c r="AJ9" s="194"/>
      <c r="AK9">
        <f>IFERROR(INDEX('M03-S02'!$G$18:$G$199,2*(ROWS(AK$4:AK9)-1)+1),"")</f>
        <v>0</v>
      </c>
      <c r="AL9">
        <f>IFERROR(INDEX('M03-S02'!$O$18:$O$199,2*(ROWS(AL$4:AL9)-1)+1),"")</f>
        <v>0</v>
      </c>
      <c r="AM9">
        <f>IFERROR(INDEX('M03-S02'!$AC$18:$AC$199,2*(ROWS(AM$4:AM9)-1)+1),"")</f>
        <v>0</v>
      </c>
      <c r="AN9" s="207"/>
      <c r="AO9" s="207"/>
      <c r="AP9" t="str">
        <f>IFERROR(INDEX('M03-S02'!$AY$18:$AY$199,2*(ROWS(AP$4:AP9)-1)+1),"")</f>
        <v/>
      </c>
      <c r="AQ9" s="194"/>
      <c r="AR9" t="str">
        <f>IFERROR(INDEX(STDLIGHT[Reporting Methodology],MATCH(EXPORT!C9,STDLIGHT[Measure Number],0)),"")</f>
        <v/>
      </c>
      <c r="AS9" t="str">
        <f>IFERROR(INDEX(STDLIGHT[Primary Key],MATCH(C9,STDLIGHT[Measure Number],0)),"")</f>
        <v/>
      </c>
      <c r="AT9" s="14" t="str" cm="1">
        <f t="array" ref="AT9">_xlfn.LET(_xlpm.ROWS, 2*(ROWS(AT$4:AT9)-1)+1,IFERROR(INDEX('M03-S02'!$AR$18:$AR$199, _xlpm.ROWS)-INDEX('M03-S02'!$BQ$18:$BQ$199, _xlpm.ROWS),""))</f>
        <v/>
      </c>
      <c r="BL9"/>
      <c r="BP9"/>
      <c r="BQ9"/>
      <c r="BR9"/>
      <c r="CD9"/>
      <c r="CE9"/>
      <c r="CF9"/>
      <c r="CQ9"/>
      <c r="CR9"/>
      <c r="CS9"/>
      <c r="DS9"/>
      <c r="DT9"/>
      <c r="DU9"/>
    </row>
    <row r="10" spans="1:157" hidden="1">
      <c r="A10" s="15">
        <f t="shared" si="0"/>
        <v>0</v>
      </c>
      <c r="B10" t="str">
        <f t="shared" si="1"/>
        <v/>
      </c>
      <c r="C10" t="str">
        <f>IFERROR(IF(R10&gt;0,INDEX('M03-S02'!$BH$18:$BH$199,2*(ROWS($C$4:C10)-1)+1),""),"")</f>
        <v/>
      </c>
      <c r="D10" t="s">
        <v>1320</v>
      </c>
      <c r="E10" t="str">
        <f>IFERROR(INDEX('M03-S02'!$BD$18:$BD$199,2*(ROWS($E$4:E10)-1)+1),"")</f>
        <v/>
      </c>
      <c r="F10" s="31">
        <f>IFERROR(INDEX('M03-S02'!$X$18:$X$199,2*(ROWS($F$4:F10)-1)+1),"")</f>
        <v>0</v>
      </c>
      <c r="G10">
        <f>IFERROR(INDEX('M03-S02'!$AG$18:$AG$199,2*(ROWS($G$4:G10)-1)+1),"")</f>
        <v>0</v>
      </c>
      <c r="H10" s="14">
        <f>IFERROR(ROUND(INDEX('M03-S02'!$AI$18:$AI$199,2*(ROWS(H$4:H10)-1)+1),2),"")</f>
        <v>0</v>
      </c>
      <c r="I10" s="14">
        <f>IFERROR(ROUND(INDEX('M03-S02'!$AK$18:$AK$199,2*(ROWS(I$4:I10)-1)+1),2),"")</f>
        <v>0</v>
      </c>
      <c r="J10" s="14" t="str">
        <f>IFERROR(ROUND(INDEX('M03-S02'!$AX$18:$AX$199,2*(ROWS(J$4:J10)-1)+1),2),"")</f>
        <v/>
      </c>
      <c r="K10" t="s">
        <v>84</v>
      </c>
      <c r="L10" s="10">
        <f>IFERROR(ROUND(INDEX('M03-S02'!$V$18:$V$199,2*(ROWS(L$4:L10)-1)+1),3),"")</f>
        <v>0</v>
      </c>
      <c r="M10" s="10">
        <f>IFERROR(ROUND(INDEX('M03-S02'!$V$18:$V$199,2*(ROWS(M$4:M10)-1)+1),3),"")</f>
        <v>0</v>
      </c>
      <c r="N10" s="37" t="str">
        <f>IFERROR(INDEX('M03-S02'!$AZ$18:$AZ$199,2*(ROWS(N$4:N10)-1)+1),"")</f>
        <v/>
      </c>
      <c r="O10" s="37" t="str">
        <f>IFERROR(INDEX('M03-S02'!$BE$18:$BE$199,2*(ROWS(O$4:O10)-1)+1),"")</f>
        <v/>
      </c>
      <c r="P10" s="37" t="str">
        <f>IFERROR(INDEX('M03-S02'!$BA$18:$BA$199,2*(ROWS(P$4:P10)-1)+1),"")</f>
        <v/>
      </c>
      <c r="Q10" s="37" t="str">
        <f>IFERROR(INDEX('M03-S02'!$BF$18:$BF$199,2*(ROWS(Q$4:Q10)-1)+1),"")</f>
        <v/>
      </c>
      <c r="R10" s="14" t="str">
        <f>IFERROR(INDEX('M03-S02'!$AR$18:$AR$199,2*(ROWS(R$4:R10)-1)+1),"")</f>
        <v/>
      </c>
      <c r="S10" s="207"/>
      <c r="T10" s="207"/>
      <c r="U10" s="207"/>
      <c r="V10" s="194"/>
      <c r="W10" s="218"/>
      <c r="X10" s="218"/>
      <c r="Y10" s="210"/>
      <c r="Z10" s="210"/>
      <c r="AA10" s="219"/>
      <c r="AB10" s="219"/>
      <c r="AC10" s="194"/>
      <c r="AD10" s="37" t="str">
        <f>IFERROR(INDEX('M03-S02'!$BB$18:$BB$199,2*(ROWS(AD$4:AD10)-1)+1),"")</f>
        <v/>
      </c>
      <c r="AE10" s="37" t="str">
        <f>IFERROR(INDEX('M03-S02'!$BC$18:$BC$199,2*(ROWS(AE$4:AE10)-1)+1),"")</f>
        <v/>
      </c>
      <c r="AF10" s="31" t="str">
        <f>IFERROR(INDEX('M03-S02'!$R$18:$R$199,2*(ROWS(AF$4:AF10)-1)+1),"")</f>
        <v/>
      </c>
      <c r="AG10" s="31" t="str">
        <f>IFERROR(INDEX('M03-S02'!$T$18:$T$199,2*(ROWS(AG$4:AG10)-1)+1),"")</f>
        <v/>
      </c>
      <c r="AH10" s="210"/>
      <c r="AI10">
        <f>IFERROR(INDEX('M03-S02'!$B$18:$B$199,2*(ROWS(AI$4:AI10)-1)+1),"")</f>
        <v>7</v>
      </c>
      <c r="AJ10" s="194"/>
      <c r="AK10">
        <f>IFERROR(INDEX('M03-S02'!$G$18:$G$199,2*(ROWS(AK$4:AK10)-1)+1),"")</f>
        <v>0</v>
      </c>
      <c r="AL10">
        <f>IFERROR(INDEX('M03-S02'!$O$18:$O$199,2*(ROWS(AL$4:AL10)-1)+1),"")</f>
        <v>0</v>
      </c>
      <c r="AM10">
        <f>IFERROR(INDEX('M03-S02'!$AC$18:$AC$199,2*(ROWS(AM$4:AM10)-1)+1),"")</f>
        <v>0</v>
      </c>
      <c r="AN10" s="207"/>
      <c r="AO10" s="207"/>
      <c r="AP10" t="str">
        <f>IFERROR(INDEX('M03-S02'!$AY$18:$AY$199,2*(ROWS(AP$4:AP10)-1)+1),"")</f>
        <v/>
      </c>
      <c r="AQ10" s="194"/>
      <c r="AR10" t="str">
        <f>IFERROR(INDEX(STDLIGHT[Reporting Methodology],MATCH(EXPORT!C10,STDLIGHT[Measure Number],0)),"")</f>
        <v/>
      </c>
      <c r="AS10" t="str">
        <f>IFERROR(INDEX(STDLIGHT[Primary Key],MATCH(C10,STDLIGHT[Measure Number],0)),"")</f>
        <v/>
      </c>
      <c r="AT10" s="14" t="str" cm="1">
        <f t="array" ref="AT10">_xlfn.LET(_xlpm.ROWS, 2*(ROWS(AT$4:AT10)-1)+1,IFERROR(INDEX('M03-S02'!$AR$18:$AR$199, _xlpm.ROWS)-INDEX('M03-S02'!$BQ$18:$BQ$199, _xlpm.ROWS),""))</f>
        <v/>
      </c>
      <c r="BL10"/>
      <c r="BP10"/>
      <c r="BQ10"/>
      <c r="BR10"/>
      <c r="CD10"/>
      <c r="CE10"/>
      <c r="CF10"/>
      <c r="CQ10"/>
      <c r="CR10"/>
      <c r="CS10"/>
      <c r="DS10"/>
      <c r="DT10"/>
      <c r="DU10"/>
    </row>
    <row r="11" spans="1:157" hidden="1">
      <c r="A11" s="15">
        <f t="shared" si="0"/>
        <v>0</v>
      </c>
      <c r="B11" t="str">
        <f t="shared" si="1"/>
        <v/>
      </c>
      <c r="C11" t="str">
        <f>IFERROR(IF(R11&gt;0,INDEX('M03-S02'!$BH$18:$BH$199,2*(ROWS($C$4:C11)-1)+1),""),"")</f>
        <v/>
      </c>
      <c r="D11" t="s">
        <v>1320</v>
      </c>
      <c r="E11" t="str">
        <f>IFERROR(INDEX('M03-S02'!$BD$18:$BD$199,2*(ROWS($E$4:E11)-1)+1),"")</f>
        <v/>
      </c>
      <c r="F11" s="31">
        <f>IFERROR(INDEX('M03-S02'!$X$18:$X$199,2*(ROWS($F$4:F11)-1)+1),"")</f>
        <v>0</v>
      </c>
      <c r="G11">
        <f>IFERROR(INDEX('M03-S02'!$AG$18:$AG$199,2*(ROWS($G$4:G11)-1)+1),"")</f>
        <v>0</v>
      </c>
      <c r="H11" s="14">
        <f>IFERROR(ROUND(INDEX('M03-S02'!$AI$18:$AI$199,2*(ROWS(H$4:H11)-1)+1),2),"")</f>
        <v>0</v>
      </c>
      <c r="I11" s="14">
        <f>IFERROR(ROUND(INDEX('M03-S02'!$AK$18:$AK$199,2*(ROWS(I$4:I11)-1)+1),2),"")</f>
        <v>0</v>
      </c>
      <c r="J11" s="14" t="str">
        <f>IFERROR(ROUND(INDEX('M03-S02'!$AX$18:$AX$199,2*(ROWS(J$4:J11)-1)+1),2),"")</f>
        <v/>
      </c>
      <c r="K11" t="s">
        <v>84</v>
      </c>
      <c r="L11" s="10">
        <f>IFERROR(ROUND(INDEX('M03-S02'!$V$18:$V$199,2*(ROWS(L$4:L11)-1)+1),3),"")</f>
        <v>0</v>
      </c>
      <c r="M11" s="10">
        <f>IFERROR(ROUND(INDEX('M03-S02'!$V$18:$V$199,2*(ROWS(M$4:M11)-1)+1),3),"")</f>
        <v>0</v>
      </c>
      <c r="N11" s="37" t="str">
        <f>IFERROR(INDEX('M03-S02'!$AZ$18:$AZ$199,2*(ROWS(N$4:N11)-1)+1),"")</f>
        <v/>
      </c>
      <c r="O11" s="37" t="str">
        <f>IFERROR(INDEX('M03-S02'!$BE$18:$BE$199,2*(ROWS(O$4:O11)-1)+1),"")</f>
        <v/>
      </c>
      <c r="P11" s="37" t="str">
        <f>IFERROR(INDEX('M03-S02'!$BA$18:$BA$199,2*(ROWS(P$4:P11)-1)+1),"")</f>
        <v/>
      </c>
      <c r="Q11" s="37" t="str">
        <f>IFERROR(INDEX('M03-S02'!$BF$18:$BF$199,2*(ROWS(Q$4:Q11)-1)+1),"")</f>
        <v/>
      </c>
      <c r="R11" s="14" t="str">
        <f>IFERROR(INDEX('M03-S02'!$AR$18:$AR$199,2*(ROWS(R$4:R11)-1)+1),"")</f>
        <v/>
      </c>
      <c r="S11" s="207"/>
      <c r="T11" s="207"/>
      <c r="U11" s="207"/>
      <c r="V11" s="194"/>
      <c r="W11" s="218"/>
      <c r="X11" s="218"/>
      <c r="Y11" s="210"/>
      <c r="Z11" s="210"/>
      <c r="AA11" s="219"/>
      <c r="AB11" s="219"/>
      <c r="AC11" s="194"/>
      <c r="AD11" s="37" t="str">
        <f>IFERROR(INDEX('M03-S02'!$BB$18:$BB$199,2*(ROWS(AD$4:AD11)-1)+1),"")</f>
        <v/>
      </c>
      <c r="AE11" s="37" t="str">
        <f>IFERROR(INDEX('M03-S02'!$BC$18:$BC$199,2*(ROWS(AE$4:AE11)-1)+1),"")</f>
        <v/>
      </c>
      <c r="AF11" s="31" t="str">
        <f>IFERROR(INDEX('M03-S02'!$R$18:$R$199,2*(ROWS(AF$4:AF11)-1)+1),"")</f>
        <v/>
      </c>
      <c r="AG11" s="31" t="str">
        <f>IFERROR(INDEX('M03-S02'!$T$18:$T$199,2*(ROWS(AG$4:AG11)-1)+1),"")</f>
        <v/>
      </c>
      <c r="AH11" s="210"/>
      <c r="AI11">
        <f>IFERROR(INDEX('M03-S02'!$B$18:$B$199,2*(ROWS(AI$4:AI11)-1)+1),"")</f>
        <v>8</v>
      </c>
      <c r="AJ11" s="194"/>
      <c r="AK11">
        <f>IFERROR(INDEX('M03-S02'!$G$18:$G$199,2*(ROWS(AK$4:AK11)-1)+1),"")</f>
        <v>0</v>
      </c>
      <c r="AL11">
        <f>IFERROR(INDEX('M03-S02'!$O$18:$O$199,2*(ROWS(AL$4:AL11)-1)+1),"")</f>
        <v>0</v>
      </c>
      <c r="AM11">
        <f>IFERROR(INDEX('M03-S02'!$AC$18:$AC$199,2*(ROWS(AM$4:AM11)-1)+1),"")</f>
        <v>0</v>
      </c>
      <c r="AN11" s="207"/>
      <c r="AO11" s="207"/>
      <c r="AP11" t="str">
        <f>IFERROR(INDEX('M03-S02'!$AY$18:$AY$199,2*(ROWS(AP$4:AP11)-1)+1),"")</f>
        <v/>
      </c>
      <c r="AQ11" s="194"/>
      <c r="AR11" t="str">
        <f>IFERROR(INDEX(STDLIGHT[Reporting Methodology],MATCH(EXPORT!C11,STDLIGHT[Measure Number],0)),"")</f>
        <v/>
      </c>
      <c r="AS11" t="str">
        <f>IFERROR(INDEX(STDLIGHT[Primary Key],MATCH(C11,STDLIGHT[Measure Number],0)),"")</f>
        <v/>
      </c>
      <c r="AT11" s="14" t="str" cm="1">
        <f t="array" ref="AT11">_xlfn.LET(_xlpm.ROWS, 2*(ROWS(AT$4:AT11)-1)+1,IFERROR(INDEX('M03-S02'!$AR$18:$AR$199, _xlpm.ROWS)-INDEX('M03-S02'!$BQ$18:$BQ$199, _xlpm.ROWS),""))</f>
        <v/>
      </c>
      <c r="BL11"/>
      <c r="BP11"/>
      <c r="BQ11"/>
      <c r="BR11"/>
      <c r="CD11"/>
      <c r="CE11"/>
      <c r="CF11"/>
      <c r="CQ11"/>
      <c r="CR11"/>
      <c r="CS11"/>
      <c r="DS11"/>
      <c r="DT11"/>
      <c r="DU11"/>
    </row>
    <row r="12" spans="1:157" hidden="1">
      <c r="A12" s="15">
        <f t="shared" si="0"/>
        <v>0</v>
      </c>
      <c r="B12" t="str">
        <f t="shared" si="1"/>
        <v/>
      </c>
      <c r="C12" t="str">
        <f>IFERROR(IF(R12&gt;0,INDEX('M03-S02'!$BH$18:$BH$199,2*(ROWS($C$4:C12)-1)+1),""),"")</f>
        <v/>
      </c>
      <c r="D12" t="s">
        <v>1320</v>
      </c>
      <c r="E12" t="str">
        <f>IFERROR(INDEX('M03-S02'!$BD$18:$BD$199,2*(ROWS($E$4:E12)-1)+1),"")</f>
        <v/>
      </c>
      <c r="F12" s="31">
        <f>IFERROR(INDEX('M03-S02'!$X$18:$X$199,2*(ROWS($F$4:F12)-1)+1),"")</f>
        <v>0</v>
      </c>
      <c r="G12">
        <f>IFERROR(INDEX('M03-S02'!$AG$18:$AG$199,2*(ROWS($G$4:G12)-1)+1),"")</f>
        <v>0</v>
      </c>
      <c r="H12" s="14">
        <f>IFERROR(ROUND(INDEX('M03-S02'!$AI$18:$AI$199,2*(ROWS(H$4:H12)-1)+1),2),"")</f>
        <v>0</v>
      </c>
      <c r="I12" s="14">
        <f>IFERROR(ROUND(INDEX('M03-S02'!$AK$18:$AK$199,2*(ROWS(I$4:I12)-1)+1),2),"")</f>
        <v>0</v>
      </c>
      <c r="J12" s="14" t="str">
        <f>IFERROR(ROUND(INDEX('M03-S02'!$AX$18:$AX$199,2*(ROWS(J$4:J12)-1)+1),2),"")</f>
        <v/>
      </c>
      <c r="K12" t="s">
        <v>84</v>
      </c>
      <c r="L12" s="10">
        <f>IFERROR(ROUND(INDEX('M03-S02'!$V$18:$V$199,2*(ROWS(L$4:L12)-1)+1),3),"")</f>
        <v>0</v>
      </c>
      <c r="M12" s="10">
        <f>IFERROR(ROUND(INDEX('M03-S02'!$V$18:$V$199,2*(ROWS(M$4:M12)-1)+1),3),"")</f>
        <v>0</v>
      </c>
      <c r="N12" s="37" t="str">
        <f>IFERROR(INDEX('M03-S02'!$AZ$18:$AZ$199,2*(ROWS(N$4:N12)-1)+1),"")</f>
        <v/>
      </c>
      <c r="O12" s="37" t="str">
        <f>IFERROR(INDEX('M03-S02'!$BE$18:$BE$199,2*(ROWS(O$4:O12)-1)+1),"")</f>
        <v/>
      </c>
      <c r="P12" s="37" t="str">
        <f>IFERROR(INDEX('M03-S02'!$BA$18:$BA$199,2*(ROWS(P$4:P12)-1)+1),"")</f>
        <v/>
      </c>
      <c r="Q12" s="37" t="str">
        <f>IFERROR(INDEX('M03-S02'!$BF$18:$BF$199,2*(ROWS(Q$4:Q12)-1)+1),"")</f>
        <v/>
      </c>
      <c r="R12" s="14" t="str">
        <f>IFERROR(INDEX('M03-S02'!$AR$18:$AR$199,2*(ROWS(R$4:R12)-1)+1),"")</f>
        <v/>
      </c>
      <c r="S12" s="207"/>
      <c r="T12" s="207"/>
      <c r="U12" s="207"/>
      <c r="V12" s="194"/>
      <c r="W12" s="218"/>
      <c r="X12" s="218"/>
      <c r="Y12" s="210"/>
      <c r="Z12" s="210"/>
      <c r="AA12" s="219"/>
      <c r="AB12" s="219"/>
      <c r="AC12" s="194"/>
      <c r="AD12" s="37" t="str">
        <f>IFERROR(INDEX('M03-S02'!$BB$18:$BB$199,2*(ROWS(AD$4:AD12)-1)+1),"")</f>
        <v/>
      </c>
      <c r="AE12" s="37" t="str">
        <f>IFERROR(INDEX('M03-S02'!$BC$18:$BC$199,2*(ROWS(AE$4:AE12)-1)+1),"")</f>
        <v/>
      </c>
      <c r="AF12" s="31" t="str">
        <f>IFERROR(INDEX('M03-S02'!$R$18:$R$199,2*(ROWS(AF$4:AF12)-1)+1),"")</f>
        <v/>
      </c>
      <c r="AG12" s="31" t="str">
        <f>IFERROR(INDEX('M03-S02'!$T$18:$T$199,2*(ROWS(AG$4:AG12)-1)+1),"")</f>
        <v/>
      </c>
      <c r="AH12" s="210"/>
      <c r="AI12">
        <f>IFERROR(INDEX('M03-S02'!$B$18:$B$199,2*(ROWS(AI$4:AI12)-1)+1),"")</f>
        <v>9</v>
      </c>
      <c r="AJ12" s="194"/>
      <c r="AK12">
        <f>IFERROR(INDEX('M03-S02'!$G$18:$G$199,2*(ROWS(AK$4:AK12)-1)+1),"")</f>
        <v>0</v>
      </c>
      <c r="AL12">
        <f>IFERROR(INDEX('M03-S02'!$O$18:$O$199,2*(ROWS(AL$4:AL12)-1)+1),"")</f>
        <v>0</v>
      </c>
      <c r="AM12">
        <f>IFERROR(INDEX('M03-S02'!$AC$18:$AC$199,2*(ROWS(AM$4:AM12)-1)+1),"")</f>
        <v>0</v>
      </c>
      <c r="AN12" s="207"/>
      <c r="AO12" s="207"/>
      <c r="AP12" t="str">
        <f>IFERROR(INDEX('M03-S02'!$AY$18:$AY$199,2*(ROWS(AP$4:AP12)-1)+1),"")</f>
        <v/>
      </c>
      <c r="AQ12" s="194"/>
      <c r="AR12" t="str">
        <f>IFERROR(INDEX(STDLIGHT[Reporting Methodology],MATCH(EXPORT!C12,STDLIGHT[Measure Number],0)),"")</f>
        <v/>
      </c>
      <c r="AS12" t="str">
        <f>IFERROR(INDEX(STDLIGHT[Primary Key],MATCH(C12,STDLIGHT[Measure Number],0)),"")</f>
        <v/>
      </c>
      <c r="AT12" s="14" t="str" cm="1">
        <f t="array" ref="AT12">_xlfn.LET(_xlpm.ROWS, 2*(ROWS(AT$4:AT12)-1)+1,IFERROR(INDEX('M03-S02'!$AR$18:$AR$199, _xlpm.ROWS)-INDEX('M03-S02'!$BQ$18:$BQ$199, _xlpm.ROWS),""))</f>
        <v/>
      </c>
      <c r="BL12"/>
      <c r="BP12"/>
      <c r="BQ12"/>
      <c r="BR12"/>
      <c r="CD12"/>
      <c r="CE12"/>
      <c r="CF12"/>
      <c r="CQ12"/>
      <c r="CR12"/>
      <c r="CS12"/>
      <c r="DS12"/>
      <c r="DT12"/>
      <c r="DU12"/>
    </row>
    <row r="13" spans="1:157" hidden="1">
      <c r="A13" s="15">
        <f t="shared" si="0"/>
        <v>0</v>
      </c>
      <c r="B13" t="str">
        <f t="shared" si="1"/>
        <v/>
      </c>
      <c r="C13" t="str">
        <f>IFERROR(IF(R13&gt;0,INDEX('M03-S02'!$BH$18:$BH$199,2*(ROWS($C$4:C13)-1)+1),""),"")</f>
        <v/>
      </c>
      <c r="D13" t="s">
        <v>1320</v>
      </c>
      <c r="E13" t="str">
        <f>IFERROR(INDEX('M03-S02'!$BD$18:$BD$199,2*(ROWS($E$4:E13)-1)+1),"")</f>
        <v/>
      </c>
      <c r="F13" s="31">
        <f>IFERROR(INDEX('M03-S02'!$X$18:$X$199,2*(ROWS($F$4:F13)-1)+1),"")</f>
        <v>0</v>
      </c>
      <c r="G13">
        <f>IFERROR(INDEX('M03-S02'!$AG$18:$AG$199,2*(ROWS($G$4:G13)-1)+1),"")</f>
        <v>0</v>
      </c>
      <c r="H13" s="14">
        <f>IFERROR(ROUND(INDEX('M03-S02'!$AI$18:$AI$199,2*(ROWS(H$4:H13)-1)+1),2),"")</f>
        <v>0</v>
      </c>
      <c r="I13" s="14">
        <f>IFERROR(ROUND(INDEX('M03-S02'!$AK$18:$AK$199,2*(ROWS(I$4:I13)-1)+1),2),"")</f>
        <v>0</v>
      </c>
      <c r="J13" s="14" t="str">
        <f>IFERROR(ROUND(INDEX('M03-S02'!$AX$18:$AX$199,2*(ROWS(J$4:J13)-1)+1),2),"")</f>
        <v/>
      </c>
      <c r="K13" t="s">
        <v>84</v>
      </c>
      <c r="L13" s="10">
        <f>IFERROR(ROUND(INDEX('M03-S02'!$V$18:$V$199,2*(ROWS(L$4:L13)-1)+1),3),"")</f>
        <v>0</v>
      </c>
      <c r="M13" s="10">
        <f>IFERROR(ROUND(INDEX('M03-S02'!$V$18:$V$199,2*(ROWS(M$4:M13)-1)+1),3),"")</f>
        <v>0</v>
      </c>
      <c r="N13" s="37" t="str">
        <f>IFERROR(INDEX('M03-S02'!$AZ$18:$AZ$199,2*(ROWS(N$4:N13)-1)+1),"")</f>
        <v/>
      </c>
      <c r="O13" s="37" t="str">
        <f>IFERROR(INDEX('M03-S02'!$BE$18:$BE$199,2*(ROWS(O$4:O13)-1)+1),"")</f>
        <v/>
      </c>
      <c r="P13" s="37" t="str">
        <f>IFERROR(INDEX('M03-S02'!$BA$18:$BA$199,2*(ROWS(P$4:P13)-1)+1),"")</f>
        <v/>
      </c>
      <c r="Q13" s="37" t="str">
        <f>IFERROR(INDEX('M03-S02'!$BF$18:$BF$199,2*(ROWS(Q$4:Q13)-1)+1),"")</f>
        <v/>
      </c>
      <c r="R13" s="14" t="str">
        <f>IFERROR(INDEX('M03-S02'!$AR$18:$AR$199,2*(ROWS(R$4:R13)-1)+1),"")</f>
        <v/>
      </c>
      <c r="S13" s="207"/>
      <c r="T13" s="207"/>
      <c r="U13" s="207"/>
      <c r="V13" s="194"/>
      <c r="W13" s="218"/>
      <c r="X13" s="218"/>
      <c r="Y13" s="210"/>
      <c r="Z13" s="210"/>
      <c r="AA13" s="219"/>
      <c r="AB13" s="219"/>
      <c r="AC13" s="194"/>
      <c r="AD13" s="37" t="str">
        <f>IFERROR(INDEX('M03-S02'!$BB$18:$BB$199,2*(ROWS(AD$4:AD13)-1)+1),"")</f>
        <v/>
      </c>
      <c r="AE13" s="37" t="str">
        <f>IFERROR(INDEX('M03-S02'!$BC$18:$BC$199,2*(ROWS(AE$4:AE13)-1)+1),"")</f>
        <v/>
      </c>
      <c r="AF13" s="31" t="str">
        <f>IFERROR(INDEX('M03-S02'!$R$18:$R$199,2*(ROWS(AF$4:AF13)-1)+1),"")</f>
        <v/>
      </c>
      <c r="AG13" s="31" t="str">
        <f>IFERROR(INDEX('M03-S02'!$T$18:$T$199,2*(ROWS(AG$4:AG13)-1)+1),"")</f>
        <v/>
      </c>
      <c r="AH13" s="210"/>
      <c r="AI13">
        <f>IFERROR(INDEX('M03-S02'!$B$18:$B$199,2*(ROWS(AI$4:AI13)-1)+1),"")</f>
        <v>10</v>
      </c>
      <c r="AJ13" s="194"/>
      <c r="AK13">
        <f>IFERROR(INDEX('M03-S02'!$G$18:$G$199,2*(ROWS(AK$4:AK13)-1)+1),"")</f>
        <v>0</v>
      </c>
      <c r="AL13">
        <f>IFERROR(INDEX('M03-S02'!$O$18:$O$199,2*(ROWS(AL$4:AL13)-1)+1),"")</f>
        <v>0</v>
      </c>
      <c r="AM13">
        <f>IFERROR(INDEX('M03-S02'!$AC$18:$AC$199,2*(ROWS(AM$4:AM13)-1)+1),"")</f>
        <v>0</v>
      </c>
      <c r="AN13" s="207"/>
      <c r="AO13" s="207"/>
      <c r="AP13" t="str">
        <f>IFERROR(INDEX('M03-S02'!$AY$18:$AY$199,2*(ROWS(AP$4:AP13)-1)+1),"")</f>
        <v/>
      </c>
      <c r="AQ13" s="194"/>
      <c r="AR13" t="str">
        <f>IFERROR(INDEX(STDLIGHT[Reporting Methodology],MATCH(EXPORT!C13,STDLIGHT[Measure Number],0)),"")</f>
        <v/>
      </c>
      <c r="AS13" t="str">
        <f>IFERROR(INDEX(STDLIGHT[Primary Key],MATCH(C13,STDLIGHT[Measure Number],0)),"")</f>
        <v/>
      </c>
      <c r="AT13" s="14" t="str" cm="1">
        <f t="array" ref="AT13">_xlfn.LET(_xlpm.ROWS, 2*(ROWS(AT$4:AT13)-1)+1,IFERROR(INDEX('M03-S02'!$AR$18:$AR$199, _xlpm.ROWS)-INDEX('M03-S02'!$BQ$18:$BQ$199, _xlpm.ROWS),""))</f>
        <v/>
      </c>
      <c r="BL13"/>
      <c r="BP13"/>
      <c r="BQ13"/>
      <c r="BR13"/>
      <c r="CD13"/>
      <c r="CE13"/>
      <c r="CF13"/>
      <c r="CQ13"/>
      <c r="CR13"/>
      <c r="CS13"/>
      <c r="DS13"/>
      <c r="DT13"/>
      <c r="DU13"/>
    </row>
    <row r="14" spans="1:157" hidden="1">
      <c r="A14" s="15">
        <f t="shared" si="0"/>
        <v>0</v>
      </c>
      <c r="B14" t="str">
        <f t="shared" si="1"/>
        <v/>
      </c>
      <c r="C14" t="str">
        <f>IFERROR(IF(R14&gt;0,INDEX('M03-S02'!$BH$18:$BH$199,2*(ROWS($C$4:C14)-1)+1),""),"")</f>
        <v/>
      </c>
      <c r="D14" t="s">
        <v>1320</v>
      </c>
      <c r="E14" t="str">
        <f>IFERROR(INDEX('M03-S02'!$BD$18:$BD$199,2*(ROWS($E$4:E14)-1)+1),"")</f>
        <v/>
      </c>
      <c r="F14" s="31">
        <f>IFERROR(INDEX('M03-S02'!$X$18:$X$199,2*(ROWS($F$4:F14)-1)+1),"")</f>
        <v>0</v>
      </c>
      <c r="G14">
        <f>IFERROR(INDEX('M03-S02'!$AG$18:$AG$199,2*(ROWS($G$4:G14)-1)+1),"")</f>
        <v>0</v>
      </c>
      <c r="H14" s="14">
        <f>IFERROR(ROUND(INDEX('M03-S02'!$AI$18:$AI$199,2*(ROWS(H$4:H14)-1)+1),2),"")</f>
        <v>0</v>
      </c>
      <c r="I14" s="14">
        <f>IFERROR(ROUND(INDEX('M03-S02'!$AK$18:$AK$199,2*(ROWS(I$4:I14)-1)+1),2),"")</f>
        <v>0</v>
      </c>
      <c r="J14" s="14" t="str">
        <f>IFERROR(ROUND(INDEX('M03-S02'!$AX$18:$AX$199,2*(ROWS(J$4:J14)-1)+1),2),"")</f>
        <v/>
      </c>
      <c r="K14" t="s">
        <v>84</v>
      </c>
      <c r="L14" s="10">
        <f>IFERROR(ROUND(INDEX('M03-S02'!$V$18:$V$199,2*(ROWS(L$4:L14)-1)+1),3),"")</f>
        <v>0</v>
      </c>
      <c r="M14" s="10">
        <f>IFERROR(ROUND(INDEX('M03-S02'!$V$18:$V$199,2*(ROWS(M$4:M14)-1)+1),3),"")</f>
        <v>0</v>
      </c>
      <c r="N14" s="37" t="str">
        <f>IFERROR(INDEX('M03-S02'!$AZ$18:$AZ$199,2*(ROWS(N$4:N14)-1)+1),"")</f>
        <v/>
      </c>
      <c r="O14" s="37" t="str">
        <f>IFERROR(INDEX('M03-S02'!$BE$18:$BE$199,2*(ROWS(O$4:O14)-1)+1),"")</f>
        <v/>
      </c>
      <c r="P14" s="37" t="str">
        <f>IFERROR(INDEX('M03-S02'!$BA$18:$BA$199,2*(ROWS(P$4:P14)-1)+1),"")</f>
        <v/>
      </c>
      <c r="Q14" s="37" t="str">
        <f>IFERROR(INDEX('M03-S02'!$BF$18:$BF$199,2*(ROWS(Q$4:Q14)-1)+1),"")</f>
        <v/>
      </c>
      <c r="R14" s="14" t="str">
        <f>IFERROR(INDEX('M03-S02'!$AR$18:$AR$199,2*(ROWS(R$4:R14)-1)+1),"")</f>
        <v/>
      </c>
      <c r="S14" s="207"/>
      <c r="T14" s="207"/>
      <c r="U14" s="207"/>
      <c r="V14" s="194"/>
      <c r="W14" s="218"/>
      <c r="X14" s="218"/>
      <c r="Y14" s="210"/>
      <c r="Z14" s="210"/>
      <c r="AA14" s="219"/>
      <c r="AB14" s="219"/>
      <c r="AC14" s="194"/>
      <c r="AD14" s="37" t="str">
        <f>IFERROR(INDEX('M03-S02'!$BB$18:$BB$199,2*(ROWS(AD$4:AD14)-1)+1),"")</f>
        <v/>
      </c>
      <c r="AE14" s="37" t="str">
        <f>IFERROR(INDEX('M03-S02'!$BC$18:$BC$199,2*(ROWS(AE$4:AE14)-1)+1),"")</f>
        <v/>
      </c>
      <c r="AF14" s="31" t="str">
        <f>IFERROR(INDEX('M03-S02'!$R$18:$R$199,2*(ROWS(AF$4:AF14)-1)+1),"")</f>
        <v/>
      </c>
      <c r="AG14" s="31" t="str">
        <f>IFERROR(INDEX('M03-S02'!$T$18:$T$199,2*(ROWS(AG$4:AG14)-1)+1),"")</f>
        <v/>
      </c>
      <c r="AH14" s="210"/>
      <c r="AI14">
        <f>IFERROR(INDEX('M03-S02'!$B$18:$B$199,2*(ROWS(AI$4:AI14)-1)+1),"")</f>
        <v>11</v>
      </c>
      <c r="AJ14" s="194"/>
      <c r="AK14">
        <f>IFERROR(INDEX('M03-S02'!$G$18:$G$199,2*(ROWS(AK$4:AK14)-1)+1),"")</f>
        <v>0</v>
      </c>
      <c r="AL14">
        <f>IFERROR(INDEX('M03-S02'!$O$18:$O$199,2*(ROWS(AL$4:AL14)-1)+1),"")</f>
        <v>0</v>
      </c>
      <c r="AM14">
        <f>IFERROR(INDEX('M03-S02'!$AC$18:$AC$199,2*(ROWS(AM$4:AM14)-1)+1),"")</f>
        <v>0</v>
      </c>
      <c r="AN14" s="207"/>
      <c r="AO14" s="207"/>
      <c r="AP14" t="str">
        <f>IFERROR(INDEX('M03-S02'!$AY$18:$AY$199,2*(ROWS(AP$4:AP14)-1)+1),"")</f>
        <v/>
      </c>
      <c r="AQ14" s="194"/>
      <c r="AR14" t="str">
        <f>IFERROR(INDEX(STDLIGHT[Reporting Methodology],MATCH(EXPORT!C14,STDLIGHT[Measure Number],0)),"")</f>
        <v/>
      </c>
      <c r="AS14" t="str">
        <f>IFERROR(INDEX(STDLIGHT[Primary Key],MATCH(C14,STDLIGHT[Measure Number],0)),"")</f>
        <v/>
      </c>
      <c r="AT14" s="14" t="str" cm="1">
        <f t="array" ref="AT14">_xlfn.LET(_xlpm.ROWS, 2*(ROWS(AT$4:AT14)-1)+1,IFERROR(INDEX('M03-S02'!$AR$18:$AR$199, _xlpm.ROWS)-INDEX('M03-S02'!$BQ$18:$BQ$199, _xlpm.ROWS),""))</f>
        <v/>
      </c>
      <c r="BL14"/>
      <c r="BP14"/>
      <c r="BQ14"/>
      <c r="BR14"/>
      <c r="CD14"/>
      <c r="CE14"/>
      <c r="CF14"/>
      <c r="CQ14"/>
      <c r="CR14"/>
      <c r="CS14"/>
      <c r="DS14"/>
      <c r="DT14"/>
      <c r="DU14"/>
    </row>
    <row r="15" spans="1:157" hidden="1">
      <c r="A15" s="15">
        <f t="shared" si="0"/>
        <v>0</v>
      </c>
      <c r="B15" t="str">
        <f t="shared" si="1"/>
        <v/>
      </c>
      <c r="C15" t="str">
        <f>IFERROR(IF(R15&gt;0,INDEX('M03-S02'!$BH$18:$BH$199,2*(ROWS($C$4:C15)-1)+1),""),"")</f>
        <v/>
      </c>
      <c r="D15" t="s">
        <v>1320</v>
      </c>
      <c r="E15" t="str">
        <f>IFERROR(INDEX('M03-S02'!$BD$18:$BD$199,2*(ROWS($E$4:E15)-1)+1),"")</f>
        <v/>
      </c>
      <c r="F15" s="31">
        <f>IFERROR(INDEX('M03-S02'!$X$18:$X$199,2*(ROWS($F$4:F15)-1)+1),"")</f>
        <v>0</v>
      </c>
      <c r="G15">
        <f>IFERROR(INDEX('M03-S02'!$AG$18:$AG$199,2*(ROWS($G$4:G15)-1)+1),"")</f>
        <v>0</v>
      </c>
      <c r="H15" s="14">
        <f>IFERROR(ROUND(INDEX('M03-S02'!$AI$18:$AI$199,2*(ROWS(H$4:H15)-1)+1),2),"")</f>
        <v>0</v>
      </c>
      <c r="I15" s="14">
        <f>IFERROR(ROUND(INDEX('M03-S02'!$AK$18:$AK$199,2*(ROWS(I$4:I15)-1)+1),2),"")</f>
        <v>0</v>
      </c>
      <c r="J15" s="14" t="str">
        <f>IFERROR(ROUND(INDEX('M03-S02'!$AX$18:$AX$199,2*(ROWS(J$4:J15)-1)+1),2),"")</f>
        <v/>
      </c>
      <c r="K15" t="s">
        <v>84</v>
      </c>
      <c r="L15" s="10">
        <f>IFERROR(ROUND(INDEX('M03-S02'!$V$18:$V$199,2*(ROWS(L$4:L15)-1)+1),3),"")</f>
        <v>0</v>
      </c>
      <c r="M15" s="10">
        <f>IFERROR(ROUND(INDEX('M03-S02'!$V$18:$V$199,2*(ROWS(M$4:M15)-1)+1),3),"")</f>
        <v>0</v>
      </c>
      <c r="N15" s="37" t="str">
        <f>IFERROR(INDEX('M03-S02'!$AZ$18:$AZ$199,2*(ROWS(N$4:N15)-1)+1),"")</f>
        <v/>
      </c>
      <c r="O15" s="37" t="str">
        <f>IFERROR(INDEX('M03-S02'!$BE$18:$BE$199,2*(ROWS(O$4:O15)-1)+1),"")</f>
        <v/>
      </c>
      <c r="P15" s="37" t="str">
        <f>IFERROR(INDEX('M03-S02'!$BA$18:$BA$199,2*(ROWS(P$4:P15)-1)+1),"")</f>
        <v/>
      </c>
      <c r="Q15" s="37" t="str">
        <f>IFERROR(INDEX('M03-S02'!$BF$18:$BF$199,2*(ROWS(Q$4:Q15)-1)+1),"")</f>
        <v/>
      </c>
      <c r="R15" s="14" t="str">
        <f>IFERROR(INDEX('M03-S02'!$AR$18:$AR$199,2*(ROWS(R$4:R15)-1)+1),"")</f>
        <v/>
      </c>
      <c r="S15" s="207"/>
      <c r="T15" s="207"/>
      <c r="U15" s="207"/>
      <c r="V15" s="194"/>
      <c r="W15" s="218"/>
      <c r="X15" s="218"/>
      <c r="Y15" s="210"/>
      <c r="Z15" s="210"/>
      <c r="AA15" s="219"/>
      <c r="AB15" s="219"/>
      <c r="AC15" s="194"/>
      <c r="AD15" s="37" t="str">
        <f>IFERROR(INDEX('M03-S02'!$BB$18:$BB$199,2*(ROWS(AD$4:AD15)-1)+1),"")</f>
        <v/>
      </c>
      <c r="AE15" s="37" t="str">
        <f>IFERROR(INDEX('M03-S02'!$BC$18:$BC$199,2*(ROWS(AE$4:AE15)-1)+1),"")</f>
        <v/>
      </c>
      <c r="AF15" s="31" t="str">
        <f>IFERROR(INDEX('M03-S02'!$R$18:$R$199,2*(ROWS(AF$4:AF15)-1)+1),"")</f>
        <v/>
      </c>
      <c r="AG15" s="31" t="str">
        <f>IFERROR(INDEX('M03-S02'!$T$18:$T$199,2*(ROWS(AG$4:AG15)-1)+1),"")</f>
        <v/>
      </c>
      <c r="AH15" s="210"/>
      <c r="AI15">
        <f>IFERROR(INDEX('M03-S02'!$B$18:$B$199,2*(ROWS(AI$4:AI15)-1)+1),"")</f>
        <v>12</v>
      </c>
      <c r="AJ15" s="194"/>
      <c r="AK15">
        <f>IFERROR(INDEX('M03-S02'!$G$18:$G$199,2*(ROWS(AK$4:AK15)-1)+1),"")</f>
        <v>0</v>
      </c>
      <c r="AL15">
        <f>IFERROR(INDEX('M03-S02'!$O$18:$O$199,2*(ROWS(AL$4:AL15)-1)+1),"")</f>
        <v>0</v>
      </c>
      <c r="AM15">
        <f>IFERROR(INDEX('M03-S02'!$AC$18:$AC$199,2*(ROWS(AM$4:AM15)-1)+1),"")</f>
        <v>0</v>
      </c>
      <c r="AN15" s="207"/>
      <c r="AO15" s="207"/>
      <c r="AP15" t="str">
        <f>IFERROR(INDEX('M03-S02'!$AY$18:$AY$199,2*(ROWS(AP$4:AP15)-1)+1),"")</f>
        <v/>
      </c>
      <c r="AQ15" s="194"/>
      <c r="AR15" t="str">
        <f>IFERROR(INDEX(STDLIGHT[Reporting Methodology],MATCH(EXPORT!C15,STDLIGHT[Measure Number],0)),"")</f>
        <v/>
      </c>
      <c r="AS15" t="str">
        <f>IFERROR(INDEX(STDLIGHT[Primary Key],MATCH(C15,STDLIGHT[Measure Number],0)),"")</f>
        <v/>
      </c>
      <c r="AT15" s="14" t="str" cm="1">
        <f t="array" ref="AT15">_xlfn.LET(_xlpm.ROWS, 2*(ROWS(AT$4:AT15)-1)+1,IFERROR(INDEX('M03-S02'!$AR$18:$AR$199, _xlpm.ROWS)-INDEX('M03-S02'!$BQ$18:$BQ$199, _xlpm.ROWS),""))</f>
        <v/>
      </c>
      <c r="BL15"/>
      <c r="BP15"/>
      <c r="BQ15"/>
      <c r="BR15"/>
      <c r="CD15"/>
      <c r="CE15"/>
      <c r="CF15"/>
      <c r="CQ15"/>
      <c r="CR15"/>
      <c r="CS15"/>
      <c r="DS15"/>
      <c r="DT15"/>
      <c r="DU15"/>
    </row>
    <row r="16" spans="1:157" hidden="1">
      <c r="A16" s="15">
        <f t="shared" si="0"/>
        <v>0</v>
      </c>
      <c r="B16" t="str">
        <f t="shared" si="1"/>
        <v/>
      </c>
      <c r="C16" t="str">
        <f>IFERROR(IF(R16&gt;0,INDEX('M03-S02'!$BH$18:$BH$199,2*(ROWS($C$4:C16)-1)+1),""),"")</f>
        <v/>
      </c>
      <c r="D16" t="s">
        <v>1320</v>
      </c>
      <c r="E16" t="str">
        <f>IFERROR(INDEX('M03-S02'!$BD$18:$BD$199,2*(ROWS($E$4:E16)-1)+1),"")</f>
        <v/>
      </c>
      <c r="F16" s="31">
        <f>IFERROR(INDEX('M03-S02'!$X$18:$X$199,2*(ROWS($F$4:F16)-1)+1),"")</f>
        <v>0</v>
      </c>
      <c r="G16">
        <f>IFERROR(INDEX('M03-S02'!$AG$18:$AG$199,2*(ROWS($G$4:G16)-1)+1),"")</f>
        <v>0</v>
      </c>
      <c r="H16" s="14">
        <f>IFERROR(ROUND(INDEX('M03-S02'!$AI$18:$AI$199,2*(ROWS(H$4:H16)-1)+1),2),"")</f>
        <v>0</v>
      </c>
      <c r="I16" s="14">
        <f>IFERROR(ROUND(INDEX('M03-S02'!$AK$18:$AK$199,2*(ROWS(I$4:I16)-1)+1),2),"")</f>
        <v>0</v>
      </c>
      <c r="J16" s="14" t="str">
        <f>IFERROR(ROUND(INDEX('M03-S02'!$AX$18:$AX$199,2*(ROWS(J$4:J16)-1)+1),2),"")</f>
        <v/>
      </c>
      <c r="K16" t="s">
        <v>84</v>
      </c>
      <c r="L16" s="10">
        <f>IFERROR(ROUND(INDEX('M03-S02'!$V$18:$V$199,2*(ROWS(L$4:L16)-1)+1),3),"")</f>
        <v>0</v>
      </c>
      <c r="M16" s="10">
        <f>IFERROR(ROUND(INDEX('M03-S02'!$V$18:$V$199,2*(ROWS(M$4:M16)-1)+1),3),"")</f>
        <v>0</v>
      </c>
      <c r="N16" s="37" t="str">
        <f>IFERROR(INDEX('M03-S02'!$AZ$18:$AZ$199,2*(ROWS(N$4:N16)-1)+1),"")</f>
        <v/>
      </c>
      <c r="O16" s="37" t="str">
        <f>IFERROR(INDEX('M03-S02'!$BE$18:$BE$199,2*(ROWS(O$4:O16)-1)+1),"")</f>
        <v/>
      </c>
      <c r="P16" s="37" t="str">
        <f>IFERROR(INDEX('M03-S02'!$BA$18:$BA$199,2*(ROWS(P$4:P16)-1)+1),"")</f>
        <v/>
      </c>
      <c r="Q16" s="37" t="str">
        <f>IFERROR(INDEX('M03-S02'!$BF$18:$BF$199,2*(ROWS(Q$4:Q16)-1)+1),"")</f>
        <v/>
      </c>
      <c r="R16" s="14" t="str">
        <f>IFERROR(INDEX('M03-S02'!$AR$18:$AR$199,2*(ROWS(R$4:R16)-1)+1),"")</f>
        <v/>
      </c>
      <c r="S16" s="207"/>
      <c r="T16" s="207"/>
      <c r="U16" s="207"/>
      <c r="V16" s="194"/>
      <c r="W16" s="218"/>
      <c r="X16" s="218"/>
      <c r="Y16" s="210"/>
      <c r="Z16" s="210"/>
      <c r="AA16" s="219"/>
      <c r="AB16" s="219"/>
      <c r="AC16" s="194"/>
      <c r="AD16" s="37" t="str">
        <f>IFERROR(INDEX('M03-S02'!$BB$18:$BB$199,2*(ROWS(AD$4:AD16)-1)+1),"")</f>
        <v/>
      </c>
      <c r="AE16" s="37" t="str">
        <f>IFERROR(INDEX('M03-S02'!$BC$18:$BC$199,2*(ROWS(AE$4:AE16)-1)+1),"")</f>
        <v/>
      </c>
      <c r="AF16" s="31" t="str">
        <f>IFERROR(INDEX('M03-S02'!$R$18:$R$199,2*(ROWS(AF$4:AF16)-1)+1),"")</f>
        <v/>
      </c>
      <c r="AG16" s="31" t="str">
        <f>IFERROR(INDEX('M03-S02'!$T$18:$T$199,2*(ROWS(AG$4:AG16)-1)+1),"")</f>
        <v/>
      </c>
      <c r="AH16" s="210"/>
      <c r="AI16">
        <f>IFERROR(INDEX('M03-S02'!$B$18:$B$199,2*(ROWS(AI$4:AI16)-1)+1),"")</f>
        <v>13</v>
      </c>
      <c r="AJ16" s="194"/>
      <c r="AK16">
        <f>IFERROR(INDEX('M03-S02'!$G$18:$G$199,2*(ROWS(AK$4:AK16)-1)+1),"")</f>
        <v>0</v>
      </c>
      <c r="AL16">
        <f>IFERROR(INDEX('M03-S02'!$O$18:$O$199,2*(ROWS(AL$4:AL16)-1)+1),"")</f>
        <v>0</v>
      </c>
      <c r="AM16">
        <f>IFERROR(INDEX('M03-S02'!$AC$18:$AC$199,2*(ROWS(AM$4:AM16)-1)+1),"")</f>
        <v>0</v>
      </c>
      <c r="AN16" s="207"/>
      <c r="AO16" s="207"/>
      <c r="AP16" t="str">
        <f>IFERROR(INDEX('M03-S02'!$AY$18:$AY$199,2*(ROWS(AP$4:AP16)-1)+1),"")</f>
        <v/>
      </c>
      <c r="AQ16" s="194"/>
      <c r="AR16" t="str">
        <f>IFERROR(INDEX(STDLIGHT[Reporting Methodology],MATCH(EXPORT!C16,STDLIGHT[Measure Number],0)),"")</f>
        <v/>
      </c>
      <c r="AS16" t="str">
        <f>IFERROR(INDEX(STDLIGHT[Primary Key],MATCH(C16,STDLIGHT[Measure Number],0)),"")</f>
        <v/>
      </c>
      <c r="AT16" s="14" t="str" cm="1">
        <f t="array" ref="AT16">_xlfn.LET(_xlpm.ROWS, 2*(ROWS(AT$4:AT16)-1)+1,IFERROR(INDEX('M03-S02'!$AR$18:$AR$199, _xlpm.ROWS)-INDEX('M03-S02'!$BQ$18:$BQ$199, _xlpm.ROWS),""))</f>
        <v/>
      </c>
      <c r="BL16"/>
      <c r="BP16"/>
      <c r="BQ16"/>
      <c r="BR16"/>
      <c r="CD16"/>
      <c r="CE16"/>
      <c r="CF16"/>
      <c r="CQ16"/>
      <c r="CR16"/>
      <c r="CS16"/>
      <c r="DS16"/>
      <c r="DT16"/>
      <c r="DU16"/>
    </row>
    <row r="17" spans="1:125" hidden="1">
      <c r="A17" s="15">
        <f t="shared" si="0"/>
        <v>0</v>
      </c>
      <c r="B17" t="str">
        <f t="shared" si="1"/>
        <v/>
      </c>
      <c r="C17" t="str">
        <f>IFERROR(IF(R17&gt;0,INDEX('M03-S02'!$BH$18:$BH$199,2*(ROWS($C$4:C17)-1)+1),""),"")</f>
        <v/>
      </c>
      <c r="D17" t="s">
        <v>1320</v>
      </c>
      <c r="E17" t="str">
        <f>IFERROR(INDEX('M03-S02'!$BD$18:$BD$199,2*(ROWS($E$4:E17)-1)+1),"")</f>
        <v/>
      </c>
      <c r="F17" s="31">
        <f>IFERROR(INDEX('M03-S02'!$X$18:$X$199,2*(ROWS($F$4:F17)-1)+1),"")</f>
        <v>0</v>
      </c>
      <c r="G17">
        <f>IFERROR(INDEX('M03-S02'!$AG$18:$AG$199,2*(ROWS($G$4:G17)-1)+1),"")</f>
        <v>0</v>
      </c>
      <c r="H17" s="14">
        <f>IFERROR(ROUND(INDEX('M03-S02'!$AI$18:$AI$199,2*(ROWS(H$4:H17)-1)+1),2),"")</f>
        <v>0</v>
      </c>
      <c r="I17" s="14">
        <f>IFERROR(ROUND(INDEX('M03-S02'!$AK$18:$AK$199,2*(ROWS(I$4:I17)-1)+1),2),"")</f>
        <v>0</v>
      </c>
      <c r="J17" s="14" t="str">
        <f>IFERROR(ROUND(INDEX('M03-S02'!$AX$18:$AX$199,2*(ROWS(J$4:J17)-1)+1),2),"")</f>
        <v/>
      </c>
      <c r="K17" t="s">
        <v>84</v>
      </c>
      <c r="L17" s="10">
        <f>IFERROR(ROUND(INDEX('M03-S02'!$V$18:$V$199,2*(ROWS(L$4:L17)-1)+1),3),"")</f>
        <v>0</v>
      </c>
      <c r="M17" s="10">
        <f>IFERROR(ROUND(INDEX('M03-S02'!$V$18:$V$199,2*(ROWS(M$4:M17)-1)+1),3),"")</f>
        <v>0</v>
      </c>
      <c r="N17" s="37" t="str">
        <f>IFERROR(INDEX('M03-S02'!$AZ$18:$AZ$199,2*(ROWS(N$4:N17)-1)+1),"")</f>
        <v/>
      </c>
      <c r="O17" s="37" t="str">
        <f>IFERROR(INDEX('M03-S02'!$BE$18:$BE$199,2*(ROWS(O$4:O17)-1)+1),"")</f>
        <v/>
      </c>
      <c r="P17" s="37" t="str">
        <f>IFERROR(INDEX('M03-S02'!$BA$18:$BA$199,2*(ROWS(P$4:P17)-1)+1),"")</f>
        <v/>
      </c>
      <c r="Q17" s="37" t="str">
        <f>IFERROR(INDEX('M03-S02'!$BF$18:$BF$199,2*(ROWS(Q$4:Q17)-1)+1),"")</f>
        <v/>
      </c>
      <c r="R17" s="14" t="str">
        <f>IFERROR(INDEX('M03-S02'!$AR$18:$AR$199,2*(ROWS(R$4:R17)-1)+1),"")</f>
        <v/>
      </c>
      <c r="S17" s="207"/>
      <c r="T17" s="207"/>
      <c r="U17" s="207"/>
      <c r="V17" s="194"/>
      <c r="W17" s="218"/>
      <c r="X17" s="218"/>
      <c r="Y17" s="210"/>
      <c r="Z17" s="210"/>
      <c r="AA17" s="219"/>
      <c r="AB17" s="219"/>
      <c r="AC17" s="194"/>
      <c r="AD17" s="37" t="str">
        <f>IFERROR(INDEX('M03-S02'!$BB$18:$BB$199,2*(ROWS(AD$4:AD17)-1)+1),"")</f>
        <v/>
      </c>
      <c r="AE17" s="37" t="str">
        <f>IFERROR(INDEX('M03-S02'!$BC$18:$BC$199,2*(ROWS(AE$4:AE17)-1)+1),"")</f>
        <v/>
      </c>
      <c r="AF17" s="31" t="str">
        <f>IFERROR(INDEX('M03-S02'!$R$18:$R$199,2*(ROWS(AF$4:AF17)-1)+1),"")</f>
        <v/>
      </c>
      <c r="AG17" s="31" t="str">
        <f>IFERROR(INDEX('M03-S02'!$T$18:$T$199,2*(ROWS(AG$4:AG17)-1)+1),"")</f>
        <v/>
      </c>
      <c r="AH17" s="210"/>
      <c r="AI17">
        <f>IFERROR(INDEX('M03-S02'!$B$18:$B$199,2*(ROWS(AI$4:AI17)-1)+1),"")</f>
        <v>14</v>
      </c>
      <c r="AJ17" s="194"/>
      <c r="AK17">
        <f>IFERROR(INDEX('M03-S02'!$G$18:$G$199,2*(ROWS(AK$4:AK17)-1)+1),"")</f>
        <v>0</v>
      </c>
      <c r="AL17">
        <f>IFERROR(INDEX('M03-S02'!$O$18:$O$199,2*(ROWS(AL$4:AL17)-1)+1),"")</f>
        <v>0</v>
      </c>
      <c r="AM17">
        <f>IFERROR(INDEX('M03-S02'!$AC$18:$AC$199,2*(ROWS(AM$4:AM17)-1)+1),"")</f>
        <v>0</v>
      </c>
      <c r="AN17" s="207"/>
      <c r="AO17" s="207"/>
      <c r="AP17" t="str">
        <f>IFERROR(INDEX('M03-S02'!$AY$18:$AY$199,2*(ROWS(AP$4:AP17)-1)+1),"")</f>
        <v/>
      </c>
      <c r="AQ17" s="194"/>
      <c r="AR17" t="str">
        <f>IFERROR(INDEX(STDLIGHT[Reporting Methodology],MATCH(EXPORT!C17,STDLIGHT[Measure Number],0)),"")</f>
        <v/>
      </c>
      <c r="AS17" t="str">
        <f>IFERROR(INDEX(STDLIGHT[Primary Key],MATCH(C17,STDLIGHT[Measure Number],0)),"")</f>
        <v/>
      </c>
      <c r="AT17" s="14" t="str" cm="1">
        <f t="array" ref="AT17">_xlfn.LET(_xlpm.ROWS, 2*(ROWS(AT$4:AT17)-1)+1,IFERROR(INDEX('M03-S02'!$AR$18:$AR$199, _xlpm.ROWS)-INDEX('M03-S02'!$BQ$18:$BQ$199, _xlpm.ROWS),""))</f>
        <v/>
      </c>
      <c r="BL17"/>
      <c r="BP17"/>
      <c r="BQ17"/>
      <c r="BR17"/>
      <c r="CD17"/>
      <c r="CE17"/>
      <c r="CF17"/>
      <c r="CQ17"/>
      <c r="CR17"/>
      <c r="CS17"/>
      <c r="DS17"/>
      <c r="DT17"/>
      <c r="DU17"/>
    </row>
    <row r="18" spans="1:125" hidden="1">
      <c r="A18" s="15">
        <f t="shared" si="0"/>
        <v>0</v>
      </c>
      <c r="B18" t="str">
        <f t="shared" si="1"/>
        <v/>
      </c>
      <c r="C18" t="str">
        <f>IFERROR(IF(R18&gt;0,INDEX('M03-S02'!$BH$18:$BH$199,2*(ROWS($C$4:C18)-1)+1),""),"")</f>
        <v/>
      </c>
      <c r="D18" t="s">
        <v>1320</v>
      </c>
      <c r="E18" t="str">
        <f>IFERROR(INDEX('M03-S02'!$BD$18:$BD$199,2*(ROWS($E$4:E18)-1)+1),"")</f>
        <v/>
      </c>
      <c r="F18" s="31">
        <f>IFERROR(INDEX('M03-S02'!$X$18:$X$199,2*(ROWS($F$4:F18)-1)+1),"")</f>
        <v>0</v>
      </c>
      <c r="G18">
        <f>IFERROR(INDEX('M03-S02'!$AG$18:$AG$199,2*(ROWS($G$4:G18)-1)+1),"")</f>
        <v>0</v>
      </c>
      <c r="H18" s="14">
        <f>IFERROR(ROUND(INDEX('M03-S02'!$AI$18:$AI$199,2*(ROWS(H$4:H18)-1)+1),2),"")</f>
        <v>0</v>
      </c>
      <c r="I18" s="14">
        <f>IFERROR(ROUND(INDEX('M03-S02'!$AK$18:$AK$199,2*(ROWS(I$4:I18)-1)+1),2),"")</f>
        <v>0</v>
      </c>
      <c r="J18" s="14" t="str">
        <f>IFERROR(ROUND(INDEX('M03-S02'!$AX$18:$AX$199,2*(ROWS(J$4:J18)-1)+1),2),"")</f>
        <v/>
      </c>
      <c r="K18" t="s">
        <v>84</v>
      </c>
      <c r="L18" s="10">
        <f>IFERROR(ROUND(INDEX('M03-S02'!$V$18:$V$199,2*(ROWS(L$4:L18)-1)+1),3),"")</f>
        <v>0</v>
      </c>
      <c r="M18" s="10">
        <f>IFERROR(ROUND(INDEX('M03-S02'!$V$18:$V$199,2*(ROWS(M$4:M18)-1)+1),3),"")</f>
        <v>0</v>
      </c>
      <c r="N18" s="37" t="str">
        <f>IFERROR(INDEX('M03-S02'!$AZ$18:$AZ$199,2*(ROWS(N$4:N18)-1)+1),"")</f>
        <v/>
      </c>
      <c r="O18" s="37" t="str">
        <f>IFERROR(INDEX('M03-S02'!$BE$18:$BE$199,2*(ROWS(O$4:O18)-1)+1),"")</f>
        <v/>
      </c>
      <c r="P18" s="37" t="str">
        <f>IFERROR(INDEX('M03-S02'!$BA$18:$BA$199,2*(ROWS(P$4:P18)-1)+1),"")</f>
        <v/>
      </c>
      <c r="Q18" s="37" t="str">
        <f>IFERROR(INDEX('M03-S02'!$BF$18:$BF$199,2*(ROWS(Q$4:Q18)-1)+1),"")</f>
        <v/>
      </c>
      <c r="R18" s="14" t="str">
        <f>IFERROR(INDEX('M03-S02'!$AR$18:$AR$199,2*(ROWS(R$4:R18)-1)+1),"")</f>
        <v/>
      </c>
      <c r="S18" s="207"/>
      <c r="T18" s="207"/>
      <c r="U18" s="207"/>
      <c r="V18" s="194"/>
      <c r="W18" s="218"/>
      <c r="X18" s="218"/>
      <c r="Y18" s="210"/>
      <c r="Z18" s="210"/>
      <c r="AA18" s="219"/>
      <c r="AB18" s="219"/>
      <c r="AC18" s="194"/>
      <c r="AD18" s="37" t="str">
        <f>IFERROR(INDEX('M03-S02'!$BB$18:$BB$199,2*(ROWS(AD$4:AD18)-1)+1),"")</f>
        <v/>
      </c>
      <c r="AE18" s="37" t="str">
        <f>IFERROR(INDEX('M03-S02'!$BC$18:$BC$199,2*(ROWS(AE$4:AE18)-1)+1),"")</f>
        <v/>
      </c>
      <c r="AF18" s="31" t="str">
        <f>IFERROR(INDEX('M03-S02'!$R$18:$R$199,2*(ROWS(AF$4:AF18)-1)+1),"")</f>
        <v/>
      </c>
      <c r="AG18" s="31" t="str">
        <f>IFERROR(INDEX('M03-S02'!$T$18:$T$199,2*(ROWS(AG$4:AG18)-1)+1),"")</f>
        <v/>
      </c>
      <c r="AH18" s="210"/>
      <c r="AI18">
        <f>IFERROR(INDEX('M03-S02'!$B$18:$B$199,2*(ROWS(AI$4:AI18)-1)+1),"")</f>
        <v>15</v>
      </c>
      <c r="AJ18" s="194"/>
      <c r="AK18">
        <f>IFERROR(INDEX('M03-S02'!$G$18:$G$199,2*(ROWS(AK$4:AK18)-1)+1),"")</f>
        <v>0</v>
      </c>
      <c r="AL18">
        <f>IFERROR(INDEX('M03-S02'!$O$18:$O$199,2*(ROWS(AL$4:AL18)-1)+1),"")</f>
        <v>0</v>
      </c>
      <c r="AM18">
        <f>IFERROR(INDEX('M03-S02'!$AC$18:$AC$199,2*(ROWS(AM$4:AM18)-1)+1),"")</f>
        <v>0</v>
      </c>
      <c r="AN18" s="207"/>
      <c r="AO18" s="207"/>
      <c r="AP18" t="str">
        <f>IFERROR(INDEX('M03-S02'!$AY$18:$AY$199,2*(ROWS(AP$4:AP18)-1)+1),"")</f>
        <v/>
      </c>
      <c r="AQ18" s="194"/>
      <c r="AR18" t="str">
        <f>IFERROR(INDEX(STDLIGHT[Reporting Methodology],MATCH(EXPORT!C18,STDLIGHT[Measure Number],0)),"")</f>
        <v/>
      </c>
      <c r="AS18" t="str">
        <f>IFERROR(INDEX(STDLIGHT[Primary Key],MATCH(C18,STDLIGHT[Measure Number],0)),"")</f>
        <v/>
      </c>
      <c r="AT18" s="14" t="str" cm="1">
        <f t="array" ref="AT18">_xlfn.LET(_xlpm.ROWS, 2*(ROWS(AT$4:AT18)-1)+1,IFERROR(INDEX('M03-S02'!$AR$18:$AR$199, _xlpm.ROWS)-INDEX('M03-S02'!$BQ$18:$BQ$199, _xlpm.ROWS),""))</f>
        <v/>
      </c>
      <c r="BL18"/>
      <c r="BP18"/>
      <c r="BQ18"/>
      <c r="BR18"/>
      <c r="CD18"/>
      <c r="CE18"/>
      <c r="CF18"/>
      <c r="CQ18"/>
      <c r="CR18"/>
      <c r="CS18"/>
      <c r="DS18"/>
      <c r="DT18"/>
      <c r="DU18"/>
    </row>
    <row r="19" spans="1:125" hidden="1">
      <c r="A19" s="15">
        <f t="shared" si="0"/>
        <v>0</v>
      </c>
      <c r="B19" t="str">
        <f t="shared" si="1"/>
        <v/>
      </c>
      <c r="C19" t="str">
        <f>IFERROR(IF(R19&gt;0,INDEX('M03-S02'!$BH$18:$BH$199,2*(ROWS($C$4:C19)-1)+1),""),"")</f>
        <v/>
      </c>
      <c r="D19" t="s">
        <v>1320</v>
      </c>
      <c r="E19" t="str">
        <f>IFERROR(INDEX('M03-S02'!$BD$18:$BD$199,2*(ROWS($E$4:E19)-1)+1),"")</f>
        <v/>
      </c>
      <c r="F19" s="31">
        <f>IFERROR(INDEX('M03-S02'!$X$18:$X$199,2*(ROWS($F$4:F19)-1)+1),"")</f>
        <v>0</v>
      </c>
      <c r="G19">
        <f>IFERROR(INDEX('M03-S02'!$AG$18:$AG$199,2*(ROWS($G$4:G19)-1)+1),"")</f>
        <v>0</v>
      </c>
      <c r="H19" s="14">
        <f>IFERROR(ROUND(INDEX('M03-S02'!$AI$18:$AI$199,2*(ROWS(H$4:H19)-1)+1),2),"")</f>
        <v>0</v>
      </c>
      <c r="I19" s="14">
        <f>IFERROR(ROUND(INDEX('M03-S02'!$AK$18:$AK$199,2*(ROWS(I$4:I19)-1)+1),2),"")</f>
        <v>0</v>
      </c>
      <c r="J19" s="14" t="str">
        <f>IFERROR(ROUND(INDEX('M03-S02'!$AX$18:$AX$199,2*(ROWS(J$4:J19)-1)+1),2),"")</f>
        <v/>
      </c>
      <c r="K19" t="s">
        <v>84</v>
      </c>
      <c r="L19" s="10">
        <f>IFERROR(ROUND(INDEX('M03-S02'!$V$18:$V$199,2*(ROWS(L$4:L19)-1)+1),3),"")</f>
        <v>0</v>
      </c>
      <c r="M19" s="10">
        <f>IFERROR(ROUND(INDEX('M03-S02'!$V$18:$V$199,2*(ROWS(M$4:M19)-1)+1),3),"")</f>
        <v>0</v>
      </c>
      <c r="N19" s="37" t="str">
        <f>IFERROR(INDEX('M03-S02'!$AZ$18:$AZ$199,2*(ROWS(N$4:N19)-1)+1),"")</f>
        <v/>
      </c>
      <c r="O19" s="37" t="str">
        <f>IFERROR(INDEX('M03-S02'!$BE$18:$BE$199,2*(ROWS(O$4:O19)-1)+1),"")</f>
        <v/>
      </c>
      <c r="P19" s="37" t="str">
        <f>IFERROR(INDEX('M03-S02'!$BA$18:$BA$199,2*(ROWS(P$4:P19)-1)+1),"")</f>
        <v/>
      </c>
      <c r="Q19" s="37" t="str">
        <f>IFERROR(INDEX('M03-S02'!$BF$18:$BF$199,2*(ROWS(Q$4:Q19)-1)+1),"")</f>
        <v/>
      </c>
      <c r="R19" s="14" t="str">
        <f>IFERROR(INDEX('M03-S02'!$AR$18:$AR$199,2*(ROWS(R$4:R19)-1)+1),"")</f>
        <v/>
      </c>
      <c r="S19" s="207"/>
      <c r="T19" s="207"/>
      <c r="U19" s="207"/>
      <c r="V19" s="194"/>
      <c r="W19" s="218"/>
      <c r="X19" s="218"/>
      <c r="Y19" s="210"/>
      <c r="Z19" s="210"/>
      <c r="AA19" s="219"/>
      <c r="AB19" s="219"/>
      <c r="AC19" s="194"/>
      <c r="AD19" s="37" t="str">
        <f>IFERROR(INDEX('M03-S02'!$BB$18:$BB$199,2*(ROWS(AD$4:AD19)-1)+1),"")</f>
        <v/>
      </c>
      <c r="AE19" s="37" t="str">
        <f>IFERROR(INDEX('M03-S02'!$BC$18:$BC$199,2*(ROWS(AE$4:AE19)-1)+1),"")</f>
        <v/>
      </c>
      <c r="AF19" s="31" t="str">
        <f>IFERROR(INDEX('M03-S02'!$R$18:$R$199,2*(ROWS(AF$4:AF19)-1)+1),"")</f>
        <v/>
      </c>
      <c r="AG19" s="31" t="str">
        <f>IFERROR(INDEX('M03-S02'!$T$18:$T$199,2*(ROWS(AG$4:AG19)-1)+1),"")</f>
        <v/>
      </c>
      <c r="AH19" s="210"/>
      <c r="AI19">
        <f>IFERROR(INDEX('M03-S02'!$B$18:$B$199,2*(ROWS(AI$4:AI19)-1)+1),"")</f>
        <v>16</v>
      </c>
      <c r="AJ19" s="194"/>
      <c r="AK19">
        <f>IFERROR(INDEX('M03-S02'!$G$18:$G$199,2*(ROWS(AK$4:AK19)-1)+1),"")</f>
        <v>0</v>
      </c>
      <c r="AL19">
        <f>IFERROR(INDEX('M03-S02'!$O$18:$O$199,2*(ROWS(AL$4:AL19)-1)+1),"")</f>
        <v>0</v>
      </c>
      <c r="AM19">
        <f>IFERROR(INDEX('M03-S02'!$AC$18:$AC$199,2*(ROWS(AM$4:AM19)-1)+1),"")</f>
        <v>0</v>
      </c>
      <c r="AN19" s="207"/>
      <c r="AO19" s="207"/>
      <c r="AP19" t="str">
        <f>IFERROR(INDEX('M03-S02'!$AY$18:$AY$199,2*(ROWS(AP$4:AP19)-1)+1),"")</f>
        <v/>
      </c>
      <c r="AQ19" s="194"/>
      <c r="AR19" t="str">
        <f>IFERROR(INDEX(STDLIGHT[Reporting Methodology],MATCH(EXPORT!C19,STDLIGHT[Measure Number],0)),"")</f>
        <v/>
      </c>
      <c r="AS19" t="str">
        <f>IFERROR(INDEX(STDLIGHT[Primary Key],MATCH(C19,STDLIGHT[Measure Number],0)),"")</f>
        <v/>
      </c>
      <c r="AT19" s="14" t="str" cm="1">
        <f t="array" ref="AT19">_xlfn.LET(_xlpm.ROWS, 2*(ROWS(AT$4:AT19)-1)+1,IFERROR(INDEX('M03-S02'!$AR$18:$AR$199, _xlpm.ROWS)-INDEX('M03-S02'!$BQ$18:$BQ$199, _xlpm.ROWS),""))</f>
        <v/>
      </c>
      <c r="BL19"/>
      <c r="BP19"/>
      <c r="BQ19"/>
      <c r="BR19"/>
      <c r="CD19"/>
      <c r="CE19"/>
      <c r="CF19"/>
      <c r="CQ19"/>
      <c r="CR19"/>
      <c r="CS19"/>
      <c r="DS19"/>
      <c r="DT19"/>
      <c r="DU19"/>
    </row>
    <row r="20" spans="1:125" hidden="1">
      <c r="A20" s="15">
        <f t="shared" si="0"/>
        <v>0</v>
      </c>
      <c r="B20" t="str">
        <f t="shared" si="1"/>
        <v/>
      </c>
      <c r="C20" t="str">
        <f>IFERROR(IF(R20&gt;0,INDEX('M03-S02'!$BH$18:$BH$199,2*(ROWS($C$4:C20)-1)+1),""),"")</f>
        <v/>
      </c>
      <c r="D20" t="s">
        <v>1320</v>
      </c>
      <c r="E20" t="str">
        <f>IFERROR(INDEX('M03-S02'!$BD$18:$BD$199,2*(ROWS($E$4:E20)-1)+1),"")</f>
        <v/>
      </c>
      <c r="F20" s="31">
        <f>IFERROR(INDEX('M03-S02'!$X$18:$X$199,2*(ROWS($F$4:F20)-1)+1),"")</f>
        <v>0</v>
      </c>
      <c r="G20">
        <f>IFERROR(INDEX('M03-S02'!$AG$18:$AG$199,2*(ROWS($G$4:G20)-1)+1),"")</f>
        <v>0</v>
      </c>
      <c r="H20" s="14">
        <f>IFERROR(ROUND(INDEX('M03-S02'!$AI$18:$AI$199,2*(ROWS(H$4:H20)-1)+1),2),"")</f>
        <v>0</v>
      </c>
      <c r="I20" s="14">
        <f>IFERROR(ROUND(INDEX('M03-S02'!$AK$18:$AK$199,2*(ROWS(I$4:I20)-1)+1),2),"")</f>
        <v>0</v>
      </c>
      <c r="J20" s="14" t="str">
        <f>IFERROR(ROUND(INDEX('M03-S02'!$AX$18:$AX$199,2*(ROWS(J$4:J20)-1)+1),2),"")</f>
        <v/>
      </c>
      <c r="K20" t="s">
        <v>84</v>
      </c>
      <c r="L20" s="10">
        <f>IFERROR(ROUND(INDEX('M03-S02'!$V$18:$V$199,2*(ROWS(L$4:L20)-1)+1),3),"")</f>
        <v>0</v>
      </c>
      <c r="M20" s="10">
        <f>IFERROR(ROUND(INDEX('M03-S02'!$V$18:$V$199,2*(ROWS(M$4:M20)-1)+1),3),"")</f>
        <v>0</v>
      </c>
      <c r="N20" s="37" t="str">
        <f>IFERROR(INDEX('M03-S02'!$AZ$18:$AZ$199,2*(ROWS(N$4:N20)-1)+1),"")</f>
        <v/>
      </c>
      <c r="O20" s="37" t="str">
        <f>IFERROR(INDEX('M03-S02'!$BE$18:$BE$199,2*(ROWS(O$4:O20)-1)+1),"")</f>
        <v/>
      </c>
      <c r="P20" s="37" t="str">
        <f>IFERROR(INDEX('M03-S02'!$BA$18:$BA$199,2*(ROWS(P$4:P20)-1)+1),"")</f>
        <v/>
      </c>
      <c r="Q20" s="37" t="str">
        <f>IFERROR(INDEX('M03-S02'!$BF$18:$BF$199,2*(ROWS(Q$4:Q20)-1)+1),"")</f>
        <v/>
      </c>
      <c r="R20" s="14" t="str">
        <f>IFERROR(INDEX('M03-S02'!$AR$18:$AR$199,2*(ROWS(R$4:R20)-1)+1),"")</f>
        <v/>
      </c>
      <c r="S20" s="207"/>
      <c r="T20" s="207"/>
      <c r="U20" s="207"/>
      <c r="V20" s="194"/>
      <c r="W20" s="218"/>
      <c r="X20" s="218"/>
      <c r="Y20" s="210"/>
      <c r="Z20" s="210"/>
      <c r="AA20" s="219"/>
      <c r="AB20" s="219"/>
      <c r="AC20" s="194"/>
      <c r="AD20" s="37" t="str">
        <f>IFERROR(INDEX('M03-S02'!$BB$18:$BB$199,2*(ROWS(AD$4:AD20)-1)+1),"")</f>
        <v/>
      </c>
      <c r="AE20" s="37" t="str">
        <f>IFERROR(INDEX('M03-S02'!$BC$18:$BC$199,2*(ROWS(AE$4:AE20)-1)+1),"")</f>
        <v/>
      </c>
      <c r="AF20" s="31" t="str">
        <f>IFERROR(INDEX('M03-S02'!$R$18:$R$199,2*(ROWS(AF$4:AF20)-1)+1),"")</f>
        <v/>
      </c>
      <c r="AG20" s="31" t="str">
        <f>IFERROR(INDEX('M03-S02'!$T$18:$T$199,2*(ROWS(AG$4:AG20)-1)+1),"")</f>
        <v/>
      </c>
      <c r="AH20" s="210"/>
      <c r="AI20">
        <f>IFERROR(INDEX('M03-S02'!$B$18:$B$199,2*(ROWS(AI$4:AI20)-1)+1),"")</f>
        <v>17</v>
      </c>
      <c r="AJ20" s="194"/>
      <c r="AK20">
        <f>IFERROR(INDEX('M03-S02'!$G$18:$G$199,2*(ROWS(AK$4:AK20)-1)+1),"")</f>
        <v>0</v>
      </c>
      <c r="AL20">
        <f>IFERROR(INDEX('M03-S02'!$O$18:$O$199,2*(ROWS(AL$4:AL20)-1)+1),"")</f>
        <v>0</v>
      </c>
      <c r="AM20">
        <f>IFERROR(INDEX('M03-S02'!$AC$18:$AC$199,2*(ROWS(AM$4:AM20)-1)+1),"")</f>
        <v>0</v>
      </c>
      <c r="AN20" s="207"/>
      <c r="AO20" s="207"/>
      <c r="AP20" t="str">
        <f>IFERROR(INDEX('M03-S02'!$AY$18:$AY$199,2*(ROWS(AP$4:AP20)-1)+1),"")</f>
        <v/>
      </c>
      <c r="AQ20" s="194"/>
      <c r="AR20" t="str">
        <f>IFERROR(INDEX(STDLIGHT[Reporting Methodology],MATCH(EXPORT!C20,STDLIGHT[Measure Number],0)),"")</f>
        <v/>
      </c>
      <c r="AS20" t="str">
        <f>IFERROR(INDEX(STDLIGHT[Primary Key],MATCH(C20,STDLIGHT[Measure Number],0)),"")</f>
        <v/>
      </c>
      <c r="AT20" s="14" t="str" cm="1">
        <f t="array" ref="AT20">_xlfn.LET(_xlpm.ROWS, 2*(ROWS(AT$4:AT20)-1)+1,IFERROR(INDEX('M03-S02'!$AR$18:$AR$199, _xlpm.ROWS)-INDEX('M03-S02'!$BQ$18:$BQ$199, _xlpm.ROWS),""))</f>
        <v/>
      </c>
      <c r="BL20"/>
      <c r="BP20"/>
      <c r="BQ20"/>
      <c r="BR20"/>
      <c r="CD20"/>
      <c r="CE20"/>
      <c r="CF20"/>
      <c r="CQ20"/>
      <c r="CR20"/>
      <c r="CS20"/>
      <c r="DS20"/>
      <c r="DT20"/>
      <c r="DU20"/>
    </row>
    <row r="21" spans="1:125" hidden="1">
      <c r="A21" s="15">
        <f t="shared" si="0"/>
        <v>0</v>
      </c>
      <c r="B21" t="str">
        <f t="shared" si="1"/>
        <v/>
      </c>
      <c r="C21" t="str">
        <f>IFERROR(IF(R21&gt;0,INDEX('M03-S02'!$BH$18:$BH$199,2*(ROWS($C$4:C21)-1)+1),""),"")</f>
        <v/>
      </c>
      <c r="D21" t="s">
        <v>1320</v>
      </c>
      <c r="E21" t="str">
        <f>IFERROR(INDEX('M03-S02'!$BD$18:$BD$199,2*(ROWS($E$4:E21)-1)+1),"")</f>
        <v/>
      </c>
      <c r="F21" s="31">
        <f>IFERROR(INDEX('M03-S02'!$X$18:$X$199,2*(ROWS($F$4:F21)-1)+1),"")</f>
        <v>0</v>
      </c>
      <c r="G21">
        <f>IFERROR(INDEX('M03-S02'!$AG$18:$AG$199,2*(ROWS($G$4:G21)-1)+1),"")</f>
        <v>0</v>
      </c>
      <c r="H21" s="14">
        <f>IFERROR(ROUND(INDEX('M03-S02'!$AI$18:$AI$199,2*(ROWS(H$4:H21)-1)+1),2),"")</f>
        <v>0</v>
      </c>
      <c r="I21" s="14">
        <f>IFERROR(ROUND(INDEX('M03-S02'!$AK$18:$AK$199,2*(ROWS(I$4:I21)-1)+1),2),"")</f>
        <v>0</v>
      </c>
      <c r="J21" s="14" t="str">
        <f>IFERROR(ROUND(INDEX('M03-S02'!$AX$18:$AX$199,2*(ROWS(J$4:J21)-1)+1),2),"")</f>
        <v/>
      </c>
      <c r="K21" t="s">
        <v>84</v>
      </c>
      <c r="L21" s="10">
        <f>IFERROR(ROUND(INDEX('M03-S02'!$V$18:$V$199,2*(ROWS(L$4:L21)-1)+1),3),"")</f>
        <v>0</v>
      </c>
      <c r="M21" s="10">
        <f>IFERROR(ROUND(INDEX('M03-S02'!$V$18:$V$199,2*(ROWS(M$4:M21)-1)+1),3),"")</f>
        <v>0</v>
      </c>
      <c r="N21" s="37" t="str">
        <f>IFERROR(INDEX('M03-S02'!$AZ$18:$AZ$199,2*(ROWS(N$4:N21)-1)+1),"")</f>
        <v/>
      </c>
      <c r="O21" s="37" t="str">
        <f>IFERROR(INDEX('M03-S02'!$BE$18:$BE$199,2*(ROWS(O$4:O21)-1)+1),"")</f>
        <v/>
      </c>
      <c r="P21" s="37" t="str">
        <f>IFERROR(INDEX('M03-S02'!$BA$18:$BA$199,2*(ROWS(P$4:P21)-1)+1),"")</f>
        <v/>
      </c>
      <c r="Q21" s="37" t="str">
        <f>IFERROR(INDEX('M03-S02'!$BF$18:$BF$199,2*(ROWS(Q$4:Q21)-1)+1),"")</f>
        <v/>
      </c>
      <c r="R21" s="14" t="str">
        <f>IFERROR(INDEX('M03-S02'!$AR$18:$AR$199,2*(ROWS(R$4:R21)-1)+1),"")</f>
        <v/>
      </c>
      <c r="S21" s="207"/>
      <c r="T21" s="207"/>
      <c r="U21" s="207"/>
      <c r="V21" s="194"/>
      <c r="W21" s="218"/>
      <c r="X21" s="218"/>
      <c r="Y21" s="210"/>
      <c r="Z21" s="210"/>
      <c r="AA21" s="219"/>
      <c r="AB21" s="219"/>
      <c r="AC21" s="194"/>
      <c r="AD21" s="37" t="str">
        <f>IFERROR(INDEX('M03-S02'!$BB$18:$BB$199,2*(ROWS(AD$4:AD21)-1)+1),"")</f>
        <v/>
      </c>
      <c r="AE21" s="37" t="str">
        <f>IFERROR(INDEX('M03-S02'!$BC$18:$BC$199,2*(ROWS(AE$4:AE21)-1)+1),"")</f>
        <v/>
      </c>
      <c r="AF21" s="31" t="str">
        <f>IFERROR(INDEX('M03-S02'!$R$18:$R$199,2*(ROWS(AF$4:AF21)-1)+1),"")</f>
        <v/>
      </c>
      <c r="AG21" s="31" t="str">
        <f>IFERROR(INDEX('M03-S02'!$T$18:$T$199,2*(ROWS(AG$4:AG21)-1)+1),"")</f>
        <v/>
      </c>
      <c r="AH21" s="210"/>
      <c r="AI21">
        <f>IFERROR(INDEX('M03-S02'!$B$18:$B$199,2*(ROWS(AI$4:AI21)-1)+1),"")</f>
        <v>18</v>
      </c>
      <c r="AJ21" s="194"/>
      <c r="AK21">
        <f>IFERROR(INDEX('M03-S02'!$G$18:$G$199,2*(ROWS(AK$4:AK21)-1)+1),"")</f>
        <v>0</v>
      </c>
      <c r="AL21">
        <f>IFERROR(INDEX('M03-S02'!$O$18:$O$199,2*(ROWS(AL$4:AL21)-1)+1),"")</f>
        <v>0</v>
      </c>
      <c r="AM21">
        <f>IFERROR(INDEX('M03-S02'!$AC$18:$AC$199,2*(ROWS(AM$4:AM21)-1)+1),"")</f>
        <v>0</v>
      </c>
      <c r="AN21" s="207"/>
      <c r="AO21" s="207"/>
      <c r="AP21" t="str">
        <f>IFERROR(INDEX('M03-S02'!$AY$18:$AY$199,2*(ROWS(AP$4:AP21)-1)+1),"")</f>
        <v/>
      </c>
      <c r="AQ21" s="194"/>
      <c r="AR21" t="str">
        <f>IFERROR(INDEX(STDLIGHT[Reporting Methodology],MATCH(EXPORT!C21,STDLIGHT[Measure Number],0)),"")</f>
        <v/>
      </c>
      <c r="AS21" t="str">
        <f>IFERROR(INDEX(STDLIGHT[Primary Key],MATCH(C21,STDLIGHT[Measure Number],0)),"")</f>
        <v/>
      </c>
      <c r="AT21" s="14" t="str" cm="1">
        <f t="array" ref="AT21">_xlfn.LET(_xlpm.ROWS, 2*(ROWS(AT$4:AT21)-1)+1,IFERROR(INDEX('M03-S02'!$AR$18:$AR$199, _xlpm.ROWS)-INDEX('M03-S02'!$BQ$18:$BQ$199, _xlpm.ROWS),""))</f>
        <v/>
      </c>
      <c r="BL21"/>
      <c r="BP21"/>
      <c r="BQ21"/>
      <c r="BR21"/>
      <c r="CD21"/>
      <c r="CE21"/>
      <c r="CF21"/>
      <c r="CQ21"/>
      <c r="CR21"/>
      <c r="CS21"/>
      <c r="DS21"/>
      <c r="DT21"/>
      <c r="DU21"/>
    </row>
    <row r="22" spans="1:125" hidden="1">
      <c r="A22" s="15">
        <f t="shared" si="0"/>
        <v>0</v>
      </c>
      <c r="B22" t="str">
        <f t="shared" si="1"/>
        <v/>
      </c>
      <c r="C22" t="str">
        <f>IFERROR(IF(R22&gt;0,INDEX('M03-S02'!$BH$18:$BH$199,2*(ROWS($C$4:C22)-1)+1),""),"")</f>
        <v/>
      </c>
      <c r="D22" t="s">
        <v>1320</v>
      </c>
      <c r="E22" t="str">
        <f>IFERROR(INDEX('M03-S02'!$BD$18:$BD$199,2*(ROWS($E$4:E22)-1)+1),"")</f>
        <v/>
      </c>
      <c r="F22" s="31">
        <f>IFERROR(INDEX('M03-S02'!$X$18:$X$199,2*(ROWS($F$4:F22)-1)+1),"")</f>
        <v>0</v>
      </c>
      <c r="G22">
        <f>IFERROR(INDEX('M03-S02'!$AG$18:$AG$199,2*(ROWS($G$4:G22)-1)+1),"")</f>
        <v>0</v>
      </c>
      <c r="H22" s="14">
        <f>IFERROR(ROUND(INDEX('M03-S02'!$AI$18:$AI$199,2*(ROWS(H$4:H22)-1)+1),2),"")</f>
        <v>0</v>
      </c>
      <c r="I22" s="14">
        <f>IFERROR(ROUND(INDEX('M03-S02'!$AK$18:$AK$199,2*(ROWS(I$4:I22)-1)+1),2),"")</f>
        <v>0</v>
      </c>
      <c r="J22" s="14" t="str">
        <f>IFERROR(ROUND(INDEX('M03-S02'!$AX$18:$AX$199,2*(ROWS(J$4:J22)-1)+1),2),"")</f>
        <v/>
      </c>
      <c r="K22" t="s">
        <v>84</v>
      </c>
      <c r="L22" s="10">
        <f>IFERROR(ROUND(INDEX('M03-S02'!$V$18:$V$199,2*(ROWS(L$4:L22)-1)+1),3),"")</f>
        <v>0</v>
      </c>
      <c r="M22" s="10">
        <f>IFERROR(ROUND(INDEX('M03-S02'!$V$18:$V$199,2*(ROWS(M$4:M22)-1)+1),3),"")</f>
        <v>0</v>
      </c>
      <c r="N22" s="37" t="str">
        <f>IFERROR(INDEX('M03-S02'!$AZ$18:$AZ$199,2*(ROWS(N$4:N22)-1)+1),"")</f>
        <v/>
      </c>
      <c r="O22" s="37" t="str">
        <f>IFERROR(INDEX('M03-S02'!$BE$18:$BE$199,2*(ROWS(O$4:O22)-1)+1),"")</f>
        <v/>
      </c>
      <c r="P22" s="37" t="str">
        <f>IFERROR(INDEX('M03-S02'!$BA$18:$BA$199,2*(ROWS(P$4:P22)-1)+1),"")</f>
        <v/>
      </c>
      <c r="Q22" s="37" t="str">
        <f>IFERROR(INDEX('M03-S02'!$BF$18:$BF$199,2*(ROWS(Q$4:Q22)-1)+1),"")</f>
        <v/>
      </c>
      <c r="R22" s="14" t="str">
        <f>IFERROR(INDEX('M03-S02'!$AR$18:$AR$199,2*(ROWS(R$4:R22)-1)+1),"")</f>
        <v/>
      </c>
      <c r="S22" s="207"/>
      <c r="T22" s="207"/>
      <c r="U22" s="207"/>
      <c r="V22" s="194"/>
      <c r="W22" s="218"/>
      <c r="X22" s="218"/>
      <c r="Y22" s="210"/>
      <c r="Z22" s="210"/>
      <c r="AA22" s="219"/>
      <c r="AB22" s="219"/>
      <c r="AC22" s="194"/>
      <c r="AD22" s="37" t="str">
        <f>IFERROR(INDEX('M03-S02'!$BB$18:$BB$199,2*(ROWS(AD$4:AD22)-1)+1),"")</f>
        <v/>
      </c>
      <c r="AE22" s="37" t="str">
        <f>IFERROR(INDEX('M03-S02'!$BC$18:$BC$199,2*(ROWS(AE$4:AE22)-1)+1),"")</f>
        <v/>
      </c>
      <c r="AF22" s="31" t="str">
        <f>IFERROR(INDEX('M03-S02'!$R$18:$R$199,2*(ROWS(AF$4:AF22)-1)+1),"")</f>
        <v/>
      </c>
      <c r="AG22" s="31" t="str">
        <f>IFERROR(INDEX('M03-S02'!$T$18:$T$199,2*(ROWS(AG$4:AG22)-1)+1),"")</f>
        <v/>
      </c>
      <c r="AH22" s="210"/>
      <c r="AI22">
        <f>IFERROR(INDEX('M03-S02'!$B$18:$B$199,2*(ROWS(AI$4:AI22)-1)+1),"")</f>
        <v>19</v>
      </c>
      <c r="AJ22" s="194"/>
      <c r="AK22">
        <f>IFERROR(INDEX('M03-S02'!$G$18:$G$199,2*(ROWS(AK$4:AK22)-1)+1),"")</f>
        <v>0</v>
      </c>
      <c r="AL22">
        <f>IFERROR(INDEX('M03-S02'!$O$18:$O$199,2*(ROWS(AL$4:AL22)-1)+1),"")</f>
        <v>0</v>
      </c>
      <c r="AM22">
        <f>IFERROR(INDEX('M03-S02'!$AC$18:$AC$199,2*(ROWS(AM$4:AM22)-1)+1),"")</f>
        <v>0</v>
      </c>
      <c r="AN22" s="207"/>
      <c r="AO22" s="207"/>
      <c r="AP22" t="str">
        <f>IFERROR(INDEX('M03-S02'!$AY$18:$AY$199,2*(ROWS(AP$4:AP22)-1)+1),"")</f>
        <v/>
      </c>
      <c r="AQ22" s="194"/>
      <c r="AR22" t="str">
        <f>IFERROR(INDEX(STDLIGHT[Reporting Methodology],MATCH(EXPORT!C22,STDLIGHT[Measure Number],0)),"")</f>
        <v/>
      </c>
      <c r="AS22" t="str">
        <f>IFERROR(INDEX(STDLIGHT[Primary Key],MATCH(C22,STDLIGHT[Measure Number],0)),"")</f>
        <v/>
      </c>
      <c r="AT22" s="14" t="str" cm="1">
        <f t="array" ref="AT22">_xlfn.LET(_xlpm.ROWS, 2*(ROWS(AT$4:AT22)-1)+1,IFERROR(INDEX('M03-S02'!$AR$18:$AR$199, _xlpm.ROWS)-INDEX('M03-S02'!$BQ$18:$BQ$199, _xlpm.ROWS),""))</f>
        <v/>
      </c>
      <c r="BL22"/>
      <c r="BP22"/>
      <c r="BQ22"/>
      <c r="BR22"/>
      <c r="CD22"/>
      <c r="CE22"/>
      <c r="CF22"/>
      <c r="CQ22"/>
      <c r="CR22"/>
      <c r="CS22"/>
      <c r="DS22"/>
      <c r="DT22"/>
      <c r="DU22"/>
    </row>
    <row r="23" spans="1:125" hidden="1">
      <c r="A23" s="15">
        <f t="shared" si="0"/>
        <v>0</v>
      </c>
      <c r="B23" t="str">
        <f t="shared" si="1"/>
        <v/>
      </c>
      <c r="C23" t="str">
        <f>IFERROR(IF(R23&gt;0,INDEX('M03-S02'!$BH$18:$BH$199,2*(ROWS($C$4:C23)-1)+1),""),"")</f>
        <v/>
      </c>
      <c r="D23" t="s">
        <v>1320</v>
      </c>
      <c r="E23" t="str">
        <f>IFERROR(INDEX('M03-S02'!$BD$18:$BD$199,2*(ROWS($E$4:E23)-1)+1),"")</f>
        <v/>
      </c>
      <c r="F23" s="31">
        <f>IFERROR(INDEX('M03-S02'!$X$18:$X$199,2*(ROWS($F$4:F23)-1)+1),"")</f>
        <v>0</v>
      </c>
      <c r="G23">
        <f>IFERROR(INDEX('M03-S02'!$AG$18:$AG$199,2*(ROWS($G$4:G23)-1)+1),"")</f>
        <v>0</v>
      </c>
      <c r="H23" s="14">
        <f>IFERROR(ROUND(INDEX('M03-S02'!$AI$18:$AI$199,2*(ROWS(H$4:H23)-1)+1),2),"")</f>
        <v>0</v>
      </c>
      <c r="I23" s="14">
        <f>IFERROR(ROUND(INDEX('M03-S02'!$AK$18:$AK$199,2*(ROWS(I$4:I23)-1)+1),2),"")</f>
        <v>0</v>
      </c>
      <c r="J23" s="14" t="str">
        <f>IFERROR(ROUND(INDEX('M03-S02'!$AX$18:$AX$199,2*(ROWS(J$4:J23)-1)+1),2),"")</f>
        <v/>
      </c>
      <c r="K23" t="s">
        <v>84</v>
      </c>
      <c r="L23" s="10">
        <f>IFERROR(ROUND(INDEX('M03-S02'!$V$18:$V$199,2*(ROWS(L$4:L23)-1)+1),3),"")</f>
        <v>0</v>
      </c>
      <c r="M23" s="10">
        <f>IFERROR(ROUND(INDEX('M03-S02'!$V$18:$V$199,2*(ROWS(M$4:M23)-1)+1),3),"")</f>
        <v>0</v>
      </c>
      <c r="N23" s="37" t="str">
        <f>IFERROR(INDEX('M03-S02'!$AZ$18:$AZ$199,2*(ROWS(N$4:N23)-1)+1),"")</f>
        <v/>
      </c>
      <c r="O23" s="37" t="str">
        <f>IFERROR(INDEX('M03-S02'!$BE$18:$BE$199,2*(ROWS(O$4:O23)-1)+1),"")</f>
        <v/>
      </c>
      <c r="P23" s="37" t="str">
        <f>IFERROR(INDEX('M03-S02'!$BA$18:$BA$199,2*(ROWS(P$4:P23)-1)+1),"")</f>
        <v/>
      </c>
      <c r="Q23" s="37" t="str">
        <f>IFERROR(INDEX('M03-S02'!$BF$18:$BF$199,2*(ROWS(Q$4:Q23)-1)+1),"")</f>
        <v/>
      </c>
      <c r="R23" s="14" t="str">
        <f>IFERROR(INDEX('M03-S02'!$AR$18:$AR$199,2*(ROWS(R$4:R23)-1)+1),"")</f>
        <v/>
      </c>
      <c r="S23" s="207"/>
      <c r="T23" s="207"/>
      <c r="U23" s="207"/>
      <c r="V23" s="194"/>
      <c r="W23" s="218"/>
      <c r="X23" s="218"/>
      <c r="Y23" s="210"/>
      <c r="Z23" s="210"/>
      <c r="AA23" s="219"/>
      <c r="AB23" s="219"/>
      <c r="AC23" s="194"/>
      <c r="AD23" s="37" t="str">
        <f>IFERROR(INDEX('M03-S02'!$BB$18:$BB$199,2*(ROWS(AD$4:AD23)-1)+1),"")</f>
        <v/>
      </c>
      <c r="AE23" s="37" t="str">
        <f>IFERROR(INDEX('M03-S02'!$BC$18:$BC$199,2*(ROWS(AE$4:AE23)-1)+1),"")</f>
        <v/>
      </c>
      <c r="AF23" s="31" t="str">
        <f>IFERROR(INDEX('M03-S02'!$R$18:$R$199,2*(ROWS(AF$4:AF23)-1)+1),"")</f>
        <v/>
      </c>
      <c r="AG23" s="31" t="str">
        <f>IFERROR(INDEX('M03-S02'!$T$18:$T$199,2*(ROWS(AG$4:AG23)-1)+1),"")</f>
        <v/>
      </c>
      <c r="AH23" s="210"/>
      <c r="AI23">
        <f>IFERROR(INDEX('M03-S02'!$B$18:$B$199,2*(ROWS(AI$4:AI23)-1)+1),"")</f>
        <v>20</v>
      </c>
      <c r="AJ23" s="194"/>
      <c r="AK23">
        <f>IFERROR(INDEX('M03-S02'!$G$18:$G$199,2*(ROWS(AK$4:AK23)-1)+1),"")</f>
        <v>0</v>
      </c>
      <c r="AL23">
        <f>IFERROR(INDEX('M03-S02'!$O$18:$O$199,2*(ROWS(AL$4:AL23)-1)+1),"")</f>
        <v>0</v>
      </c>
      <c r="AM23">
        <f>IFERROR(INDEX('M03-S02'!$AC$18:$AC$199,2*(ROWS(AM$4:AM23)-1)+1),"")</f>
        <v>0</v>
      </c>
      <c r="AN23" s="207"/>
      <c r="AO23" s="207"/>
      <c r="AP23" t="str">
        <f>IFERROR(INDEX('M03-S02'!$AY$18:$AY$199,2*(ROWS(AP$4:AP23)-1)+1),"")</f>
        <v/>
      </c>
      <c r="AQ23" s="194"/>
      <c r="AR23" t="str">
        <f>IFERROR(INDEX(STDLIGHT[Reporting Methodology],MATCH(EXPORT!C23,STDLIGHT[Measure Number],0)),"")</f>
        <v/>
      </c>
      <c r="AS23" t="str">
        <f>IFERROR(INDEX(STDLIGHT[Primary Key],MATCH(C23,STDLIGHT[Measure Number],0)),"")</f>
        <v/>
      </c>
      <c r="AT23" s="14" t="str" cm="1">
        <f t="array" ref="AT23">_xlfn.LET(_xlpm.ROWS, 2*(ROWS(AT$4:AT23)-1)+1,IFERROR(INDEX('M03-S02'!$AR$18:$AR$199, _xlpm.ROWS)-INDEX('M03-S02'!$BQ$18:$BQ$199, _xlpm.ROWS),""))</f>
        <v/>
      </c>
      <c r="BL23"/>
      <c r="BP23"/>
      <c r="BQ23"/>
      <c r="BR23"/>
      <c r="CD23"/>
      <c r="CE23"/>
      <c r="CF23"/>
      <c r="CQ23"/>
      <c r="CR23"/>
      <c r="CS23"/>
      <c r="DS23"/>
      <c r="DT23"/>
      <c r="DU23"/>
    </row>
    <row r="24" spans="1:125" hidden="1">
      <c r="A24" s="15">
        <f t="shared" si="0"/>
        <v>0</v>
      </c>
      <c r="B24" t="str">
        <f t="shared" si="1"/>
        <v/>
      </c>
      <c r="C24" t="str">
        <f>IFERROR(IF(R24&gt;0,INDEX('M03-S02'!$BH$18:$BH$199,2*(ROWS($C$4:C24)-1)+1),""),"")</f>
        <v/>
      </c>
      <c r="D24" t="s">
        <v>1320</v>
      </c>
      <c r="E24" t="str">
        <f>IFERROR(INDEX('M03-S02'!$BD$18:$BD$199,2*(ROWS($E$4:E24)-1)+1),"")</f>
        <v/>
      </c>
      <c r="F24" s="31">
        <f>IFERROR(INDEX('M03-S02'!$X$18:$X$199,2*(ROWS($F$4:F24)-1)+1),"")</f>
        <v>0</v>
      </c>
      <c r="G24">
        <f>IFERROR(INDEX('M03-S02'!$AG$18:$AG$199,2*(ROWS($G$4:G24)-1)+1),"")</f>
        <v>0</v>
      </c>
      <c r="H24" s="14">
        <f>IFERROR(ROUND(INDEX('M03-S02'!$AI$18:$AI$199,2*(ROWS(H$4:H24)-1)+1),2),"")</f>
        <v>0</v>
      </c>
      <c r="I24" s="14">
        <f>IFERROR(ROUND(INDEX('M03-S02'!$AK$18:$AK$199,2*(ROWS(I$4:I24)-1)+1),2),"")</f>
        <v>0</v>
      </c>
      <c r="J24" s="14" t="str">
        <f>IFERROR(ROUND(INDEX('M03-S02'!$AX$18:$AX$199,2*(ROWS(J$4:J24)-1)+1),2),"")</f>
        <v/>
      </c>
      <c r="K24" t="s">
        <v>84</v>
      </c>
      <c r="L24" s="10">
        <f>IFERROR(ROUND(INDEX('M03-S02'!$V$18:$V$199,2*(ROWS(L$4:L24)-1)+1),3),"")</f>
        <v>0</v>
      </c>
      <c r="M24" s="10">
        <f>IFERROR(ROUND(INDEX('M03-S02'!$V$18:$V$199,2*(ROWS(M$4:M24)-1)+1),3),"")</f>
        <v>0</v>
      </c>
      <c r="N24" s="37" t="str">
        <f>IFERROR(INDEX('M03-S02'!$AZ$18:$AZ$199,2*(ROWS(N$4:N24)-1)+1),"")</f>
        <v/>
      </c>
      <c r="O24" s="37" t="str">
        <f>IFERROR(INDEX('M03-S02'!$BE$18:$BE$199,2*(ROWS(O$4:O24)-1)+1),"")</f>
        <v/>
      </c>
      <c r="P24" s="37" t="str">
        <f>IFERROR(INDEX('M03-S02'!$BA$18:$BA$199,2*(ROWS(P$4:P24)-1)+1),"")</f>
        <v/>
      </c>
      <c r="Q24" s="37" t="str">
        <f>IFERROR(INDEX('M03-S02'!$BF$18:$BF$199,2*(ROWS(Q$4:Q24)-1)+1),"")</f>
        <v/>
      </c>
      <c r="R24" s="14" t="str">
        <f>IFERROR(INDEX('M03-S02'!$AR$18:$AR$199,2*(ROWS(R$4:R24)-1)+1),"")</f>
        <v/>
      </c>
      <c r="S24" s="207"/>
      <c r="T24" s="207"/>
      <c r="U24" s="207"/>
      <c r="V24" s="194"/>
      <c r="W24" s="218"/>
      <c r="X24" s="218"/>
      <c r="Y24" s="210"/>
      <c r="Z24" s="210"/>
      <c r="AA24" s="219"/>
      <c r="AB24" s="219"/>
      <c r="AC24" s="194"/>
      <c r="AD24" s="37" t="str">
        <f>IFERROR(INDEX('M03-S02'!$BB$18:$BB$199,2*(ROWS(AD$4:AD24)-1)+1),"")</f>
        <v/>
      </c>
      <c r="AE24" s="37" t="str">
        <f>IFERROR(INDEX('M03-S02'!$BC$18:$BC$199,2*(ROWS(AE$4:AE24)-1)+1),"")</f>
        <v/>
      </c>
      <c r="AF24" s="31" t="str">
        <f>IFERROR(INDEX('M03-S02'!$R$18:$R$199,2*(ROWS(AF$4:AF24)-1)+1),"")</f>
        <v/>
      </c>
      <c r="AG24" s="31" t="str">
        <f>IFERROR(INDEX('M03-S02'!$T$18:$T$199,2*(ROWS(AG$4:AG24)-1)+1),"")</f>
        <v/>
      </c>
      <c r="AH24" s="210"/>
      <c r="AI24">
        <f>IFERROR(INDEX('M03-S02'!$B$18:$B$199,2*(ROWS(AI$4:AI24)-1)+1),"")</f>
        <v>21</v>
      </c>
      <c r="AJ24" s="194"/>
      <c r="AK24">
        <f>IFERROR(INDEX('M03-S02'!$G$18:$G$199,2*(ROWS(AK$4:AK24)-1)+1),"")</f>
        <v>0</v>
      </c>
      <c r="AL24">
        <f>IFERROR(INDEX('M03-S02'!$O$18:$O$199,2*(ROWS(AL$4:AL24)-1)+1),"")</f>
        <v>0</v>
      </c>
      <c r="AM24">
        <f>IFERROR(INDEX('M03-S02'!$AC$18:$AC$199,2*(ROWS(AM$4:AM24)-1)+1),"")</f>
        <v>0</v>
      </c>
      <c r="AN24" s="207"/>
      <c r="AO24" s="207"/>
      <c r="AP24" t="str">
        <f>IFERROR(INDEX('M03-S02'!$AY$18:$AY$199,2*(ROWS(AP$4:AP24)-1)+1),"")</f>
        <v/>
      </c>
      <c r="AQ24" s="194"/>
      <c r="AR24" t="str">
        <f>IFERROR(INDEX(STDLIGHT[Reporting Methodology],MATCH(EXPORT!C24,STDLIGHT[Measure Number],0)),"")</f>
        <v/>
      </c>
      <c r="AS24" t="str">
        <f>IFERROR(INDEX(STDLIGHT[Primary Key],MATCH(C24,STDLIGHT[Measure Number],0)),"")</f>
        <v/>
      </c>
      <c r="AT24" s="14" t="str" cm="1">
        <f t="array" ref="AT24">_xlfn.LET(_xlpm.ROWS, 2*(ROWS(AT$4:AT24)-1)+1,IFERROR(INDEX('M03-S02'!$AR$18:$AR$199, _xlpm.ROWS)-INDEX('M03-S02'!$BQ$18:$BQ$199, _xlpm.ROWS),""))</f>
        <v/>
      </c>
      <c r="BL24"/>
      <c r="BP24"/>
      <c r="BQ24"/>
      <c r="BR24"/>
      <c r="CD24"/>
      <c r="CE24"/>
      <c r="CF24"/>
      <c r="CQ24"/>
      <c r="CR24"/>
      <c r="CS24"/>
      <c r="DS24"/>
      <c r="DT24"/>
      <c r="DU24"/>
    </row>
    <row r="25" spans="1:125" hidden="1">
      <c r="A25" s="15">
        <f t="shared" si="0"/>
        <v>0</v>
      </c>
      <c r="B25" t="str">
        <f t="shared" si="1"/>
        <v/>
      </c>
      <c r="C25" t="str">
        <f>IFERROR(IF(R25&gt;0,INDEX('M03-S02'!$BH$18:$BH$199,2*(ROWS($C$4:C25)-1)+1),""),"")</f>
        <v/>
      </c>
      <c r="D25" t="s">
        <v>1320</v>
      </c>
      <c r="E25" t="str">
        <f>IFERROR(INDEX('M03-S02'!$BD$18:$BD$199,2*(ROWS($E$4:E25)-1)+1),"")</f>
        <v/>
      </c>
      <c r="F25" s="31">
        <f>IFERROR(INDEX('M03-S02'!$X$18:$X$199,2*(ROWS($F$4:F25)-1)+1),"")</f>
        <v>0</v>
      </c>
      <c r="G25">
        <f>IFERROR(INDEX('M03-S02'!$AG$18:$AG$199,2*(ROWS($G$4:G25)-1)+1),"")</f>
        <v>0</v>
      </c>
      <c r="H25" s="14">
        <f>IFERROR(ROUND(INDEX('M03-S02'!$AI$18:$AI$199,2*(ROWS(H$4:H25)-1)+1),2),"")</f>
        <v>0</v>
      </c>
      <c r="I25" s="14">
        <f>IFERROR(ROUND(INDEX('M03-S02'!$AK$18:$AK$199,2*(ROWS(I$4:I25)-1)+1),2),"")</f>
        <v>0</v>
      </c>
      <c r="J25" s="14" t="str">
        <f>IFERROR(ROUND(INDEX('M03-S02'!$AX$18:$AX$199,2*(ROWS(J$4:J25)-1)+1),2),"")</f>
        <v/>
      </c>
      <c r="K25" t="s">
        <v>84</v>
      </c>
      <c r="L25" s="10">
        <f>IFERROR(ROUND(INDEX('M03-S02'!$V$18:$V$199,2*(ROWS(L$4:L25)-1)+1),3),"")</f>
        <v>0</v>
      </c>
      <c r="M25" s="10">
        <f>IFERROR(ROUND(INDEX('M03-S02'!$V$18:$V$199,2*(ROWS(M$4:M25)-1)+1),3),"")</f>
        <v>0</v>
      </c>
      <c r="N25" s="37" t="str">
        <f>IFERROR(INDEX('M03-S02'!$AZ$18:$AZ$199,2*(ROWS(N$4:N25)-1)+1),"")</f>
        <v/>
      </c>
      <c r="O25" s="37" t="str">
        <f>IFERROR(INDEX('M03-S02'!$BE$18:$BE$199,2*(ROWS(O$4:O25)-1)+1),"")</f>
        <v/>
      </c>
      <c r="P25" s="37" t="str">
        <f>IFERROR(INDEX('M03-S02'!$BA$18:$BA$199,2*(ROWS(P$4:P25)-1)+1),"")</f>
        <v/>
      </c>
      <c r="Q25" s="37" t="str">
        <f>IFERROR(INDEX('M03-S02'!$BF$18:$BF$199,2*(ROWS(Q$4:Q25)-1)+1),"")</f>
        <v/>
      </c>
      <c r="R25" s="14" t="str">
        <f>IFERROR(INDEX('M03-S02'!$AR$18:$AR$199,2*(ROWS(R$4:R25)-1)+1),"")</f>
        <v/>
      </c>
      <c r="S25" s="207"/>
      <c r="T25" s="207"/>
      <c r="U25" s="207"/>
      <c r="V25" s="194"/>
      <c r="W25" s="218"/>
      <c r="X25" s="218"/>
      <c r="Y25" s="210"/>
      <c r="Z25" s="210"/>
      <c r="AA25" s="219"/>
      <c r="AB25" s="219"/>
      <c r="AC25" s="194"/>
      <c r="AD25" s="37" t="str">
        <f>IFERROR(INDEX('M03-S02'!$BB$18:$BB$199,2*(ROWS(AD$4:AD25)-1)+1),"")</f>
        <v/>
      </c>
      <c r="AE25" s="37" t="str">
        <f>IFERROR(INDEX('M03-S02'!$BC$18:$BC$199,2*(ROWS(AE$4:AE25)-1)+1),"")</f>
        <v/>
      </c>
      <c r="AF25" s="31" t="str">
        <f>IFERROR(INDEX('M03-S02'!$R$18:$R$199,2*(ROWS(AF$4:AF25)-1)+1),"")</f>
        <v/>
      </c>
      <c r="AG25" s="31" t="str">
        <f>IFERROR(INDEX('M03-S02'!$T$18:$T$199,2*(ROWS(AG$4:AG25)-1)+1),"")</f>
        <v/>
      </c>
      <c r="AH25" s="210"/>
      <c r="AI25">
        <f>IFERROR(INDEX('M03-S02'!$B$18:$B$199,2*(ROWS(AI$4:AI25)-1)+1),"")</f>
        <v>22</v>
      </c>
      <c r="AJ25" s="194"/>
      <c r="AK25">
        <f>IFERROR(INDEX('M03-S02'!$G$18:$G$199,2*(ROWS(AK$4:AK25)-1)+1),"")</f>
        <v>0</v>
      </c>
      <c r="AL25">
        <f>IFERROR(INDEX('M03-S02'!$O$18:$O$199,2*(ROWS(AL$4:AL25)-1)+1),"")</f>
        <v>0</v>
      </c>
      <c r="AM25">
        <f>IFERROR(INDEX('M03-S02'!$AC$18:$AC$199,2*(ROWS(AM$4:AM25)-1)+1),"")</f>
        <v>0</v>
      </c>
      <c r="AN25" s="207"/>
      <c r="AO25" s="207"/>
      <c r="AP25" t="str">
        <f>IFERROR(INDEX('M03-S02'!$AY$18:$AY$199,2*(ROWS(AP$4:AP25)-1)+1),"")</f>
        <v/>
      </c>
      <c r="AQ25" s="194"/>
      <c r="AR25" t="str">
        <f>IFERROR(INDEX(STDLIGHT[Reporting Methodology],MATCH(EXPORT!C25,STDLIGHT[Measure Number],0)),"")</f>
        <v/>
      </c>
      <c r="AS25" t="str">
        <f>IFERROR(INDEX(STDLIGHT[Primary Key],MATCH(C25,STDLIGHT[Measure Number],0)),"")</f>
        <v/>
      </c>
      <c r="AT25" s="14" t="str" cm="1">
        <f t="array" ref="AT25">_xlfn.LET(_xlpm.ROWS, 2*(ROWS(AT$4:AT25)-1)+1,IFERROR(INDEX('M03-S02'!$AR$18:$AR$199, _xlpm.ROWS)-INDEX('M03-S02'!$BQ$18:$BQ$199, _xlpm.ROWS),""))</f>
        <v/>
      </c>
      <c r="BL25"/>
      <c r="BP25"/>
      <c r="BQ25"/>
      <c r="BR25"/>
      <c r="CD25"/>
      <c r="CE25"/>
      <c r="CF25"/>
      <c r="CQ25"/>
      <c r="CR25"/>
      <c r="CS25"/>
      <c r="DS25"/>
      <c r="DT25"/>
      <c r="DU25"/>
    </row>
    <row r="26" spans="1:125" hidden="1">
      <c r="A26" s="15">
        <f t="shared" si="0"/>
        <v>0</v>
      </c>
      <c r="B26" t="str">
        <f t="shared" si="1"/>
        <v/>
      </c>
      <c r="C26" t="str">
        <f>IFERROR(IF(R26&gt;0,INDEX('M03-S02'!$BH$18:$BH$199,2*(ROWS($C$4:C26)-1)+1),""),"")</f>
        <v/>
      </c>
      <c r="D26" t="s">
        <v>1320</v>
      </c>
      <c r="E26" t="str">
        <f>IFERROR(INDEX('M03-S02'!$BD$18:$BD$199,2*(ROWS($E$4:E26)-1)+1),"")</f>
        <v/>
      </c>
      <c r="F26" s="31">
        <f>IFERROR(INDEX('M03-S02'!$X$18:$X$199,2*(ROWS($F$4:F26)-1)+1),"")</f>
        <v>0</v>
      </c>
      <c r="G26">
        <f>IFERROR(INDEX('M03-S02'!$AG$18:$AG$199,2*(ROWS($G$4:G26)-1)+1),"")</f>
        <v>0</v>
      </c>
      <c r="H26" s="14">
        <f>IFERROR(ROUND(INDEX('M03-S02'!$AI$18:$AI$199,2*(ROWS(H$4:H26)-1)+1),2),"")</f>
        <v>0</v>
      </c>
      <c r="I26" s="14">
        <f>IFERROR(ROUND(INDEX('M03-S02'!$AK$18:$AK$199,2*(ROWS(I$4:I26)-1)+1),2),"")</f>
        <v>0</v>
      </c>
      <c r="J26" s="14" t="str">
        <f>IFERROR(ROUND(INDEX('M03-S02'!$AX$18:$AX$199,2*(ROWS(J$4:J26)-1)+1),2),"")</f>
        <v/>
      </c>
      <c r="K26" t="s">
        <v>84</v>
      </c>
      <c r="L26" s="10">
        <f>IFERROR(ROUND(INDEX('M03-S02'!$V$18:$V$199,2*(ROWS(L$4:L26)-1)+1),3),"")</f>
        <v>0</v>
      </c>
      <c r="M26" s="10">
        <f>IFERROR(ROUND(INDEX('M03-S02'!$V$18:$V$199,2*(ROWS(M$4:M26)-1)+1),3),"")</f>
        <v>0</v>
      </c>
      <c r="N26" s="37" t="str">
        <f>IFERROR(INDEX('M03-S02'!$AZ$18:$AZ$199,2*(ROWS(N$4:N26)-1)+1),"")</f>
        <v/>
      </c>
      <c r="O26" s="37" t="str">
        <f>IFERROR(INDEX('M03-S02'!$BE$18:$BE$199,2*(ROWS(O$4:O26)-1)+1),"")</f>
        <v/>
      </c>
      <c r="P26" s="37" t="str">
        <f>IFERROR(INDEX('M03-S02'!$BA$18:$BA$199,2*(ROWS(P$4:P26)-1)+1),"")</f>
        <v/>
      </c>
      <c r="Q26" s="37" t="str">
        <f>IFERROR(INDEX('M03-S02'!$BF$18:$BF$199,2*(ROWS(Q$4:Q26)-1)+1),"")</f>
        <v/>
      </c>
      <c r="R26" s="14" t="str">
        <f>IFERROR(INDEX('M03-S02'!$AR$18:$AR$199,2*(ROWS(R$4:R26)-1)+1),"")</f>
        <v/>
      </c>
      <c r="S26" s="207"/>
      <c r="T26" s="207"/>
      <c r="U26" s="207"/>
      <c r="V26" s="194"/>
      <c r="W26" s="218"/>
      <c r="X26" s="218"/>
      <c r="Y26" s="210"/>
      <c r="Z26" s="210"/>
      <c r="AA26" s="219"/>
      <c r="AB26" s="219"/>
      <c r="AC26" s="194"/>
      <c r="AD26" s="37" t="str">
        <f>IFERROR(INDEX('M03-S02'!$BB$18:$BB$199,2*(ROWS(AD$4:AD26)-1)+1),"")</f>
        <v/>
      </c>
      <c r="AE26" s="37" t="str">
        <f>IFERROR(INDEX('M03-S02'!$BC$18:$BC$199,2*(ROWS(AE$4:AE26)-1)+1),"")</f>
        <v/>
      </c>
      <c r="AF26" s="31" t="str">
        <f>IFERROR(INDEX('M03-S02'!$R$18:$R$199,2*(ROWS(AF$4:AF26)-1)+1),"")</f>
        <v/>
      </c>
      <c r="AG26" s="31" t="str">
        <f>IFERROR(INDEX('M03-S02'!$T$18:$T$199,2*(ROWS(AG$4:AG26)-1)+1),"")</f>
        <v/>
      </c>
      <c r="AH26" s="210"/>
      <c r="AI26">
        <f>IFERROR(INDEX('M03-S02'!$B$18:$B$199,2*(ROWS(AI$4:AI26)-1)+1),"")</f>
        <v>23</v>
      </c>
      <c r="AJ26" s="194"/>
      <c r="AK26">
        <f>IFERROR(INDEX('M03-S02'!$G$18:$G$199,2*(ROWS(AK$4:AK26)-1)+1),"")</f>
        <v>0</v>
      </c>
      <c r="AL26">
        <f>IFERROR(INDEX('M03-S02'!$O$18:$O$199,2*(ROWS(AL$4:AL26)-1)+1),"")</f>
        <v>0</v>
      </c>
      <c r="AM26">
        <f>IFERROR(INDEX('M03-S02'!$AC$18:$AC$199,2*(ROWS(AM$4:AM26)-1)+1),"")</f>
        <v>0</v>
      </c>
      <c r="AN26" s="207"/>
      <c r="AO26" s="207"/>
      <c r="AP26" t="str">
        <f>IFERROR(INDEX('M03-S02'!$AY$18:$AY$199,2*(ROWS(AP$4:AP26)-1)+1),"")</f>
        <v/>
      </c>
      <c r="AQ26" s="194"/>
      <c r="AR26" t="str">
        <f>IFERROR(INDEX(STDLIGHT[Reporting Methodology],MATCH(EXPORT!C26,STDLIGHT[Measure Number],0)),"")</f>
        <v/>
      </c>
      <c r="AS26" t="str">
        <f>IFERROR(INDEX(STDLIGHT[Primary Key],MATCH(C26,STDLIGHT[Measure Number],0)),"")</f>
        <v/>
      </c>
      <c r="AT26" s="14" t="str" cm="1">
        <f t="array" ref="AT26">_xlfn.LET(_xlpm.ROWS, 2*(ROWS(AT$4:AT26)-1)+1,IFERROR(INDEX('M03-S02'!$AR$18:$AR$199, _xlpm.ROWS)-INDEX('M03-S02'!$BQ$18:$BQ$199, _xlpm.ROWS),""))</f>
        <v/>
      </c>
      <c r="BL26"/>
      <c r="BP26"/>
      <c r="BQ26"/>
      <c r="BR26"/>
      <c r="CD26"/>
      <c r="CE26"/>
      <c r="CF26"/>
      <c r="CQ26"/>
      <c r="CR26"/>
      <c r="CS26"/>
      <c r="DS26"/>
      <c r="DT26"/>
      <c r="DU26"/>
    </row>
    <row r="27" spans="1:125" hidden="1">
      <c r="A27" s="15">
        <f t="shared" si="0"/>
        <v>0</v>
      </c>
      <c r="B27" t="str">
        <f t="shared" si="1"/>
        <v/>
      </c>
      <c r="C27" t="str">
        <f>IFERROR(IF(R27&gt;0,INDEX('M03-S02'!$BH$18:$BH$199,2*(ROWS($C$4:C27)-1)+1),""),"")</f>
        <v/>
      </c>
      <c r="D27" t="s">
        <v>1320</v>
      </c>
      <c r="E27" t="str">
        <f>IFERROR(INDEX('M03-S02'!$BD$18:$BD$199,2*(ROWS($E$4:E27)-1)+1),"")</f>
        <v/>
      </c>
      <c r="F27" s="31">
        <f>IFERROR(INDEX('M03-S02'!$X$18:$X$199,2*(ROWS($F$4:F27)-1)+1),"")</f>
        <v>0</v>
      </c>
      <c r="G27">
        <f>IFERROR(INDEX('M03-S02'!$AG$18:$AG$199,2*(ROWS($G$4:G27)-1)+1),"")</f>
        <v>0</v>
      </c>
      <c r="H27" s="14">
        <f>IFERROR(ROUND(INDEX('M03-S02'!$AI$18:$AI$199,2*(ROWS(H$4:H27)-1)+1),2),"")</f>
        <v>0</v>
      </c>
      <c r="I27" s="14">
        <f>IFERROR(ROUND(INDEX('M03-S02'!$AK$18:$AK$199,2*(ROWS(I$4:I27)-1)+1),2),"")</f>
        <v>0</v>
      </c>
      <c r="J27" s="14" t="str">
        <f>IFERROR(ROUND(INDEX('M03-S02'!$AX$18:$AX$199,2*(ROWS(J$4:J27)-1)+1),2),"")</f>
        <v/>
      </c>
      <c r="K27" t="s">
        <v>84</v>
      </c>
      <c r="L27" s="10">
        <f>IFERROR(ROUND(INDEX('M03-S02'!$V$18:$V$199,2*(ROWS(L$4:L27)-1)+1),3),"")</f>
        <v>0</v>
      </c>
      <c r="M27" s="10">
        <f>IFERROR(ROUND(INDEX('M03-S02'!$V$18:$V$199,2*(ROWS(M$4:M27)-1)+1),3),"")</f>
        <v>0</v>
      </c>
      <c r="N27" s="37" t="str">
        <f>IFERROR(INDEX('M03-S02'!$AZ$18:$AZ$199,2*(ROWS(N$4:N27)-1)+1),"")</f>
        <v/>
      </c>
      <c r="O27" s="37" t="str">
        <f>IFERROR(INDEX('M03-S02'!$BE$18:$BE$199,2*(ROWS(O$4:O27)-1)+1),"")</f>
        <v/>
      </c>
      <c r="P27" s="37" t="str">
        <f>IFERROR(INDEX('M03-S02'!$BA$18:$BA$199,2*(ROWS(P$4:P27)-1)+1),"")</f>
        <v/>
      </c>
      <c r="Q27" s="37" t="str">
        <f>IFERROR(INDEX('M03-S02'!$BF$18:$BF$199,2*(ROWS(Q$4:Q27)-1)+1),"")</f>
        <v/>
      </c>
      <c r="R27" s="14" t="str">
        <f>IFERROR(INDEX('M03-S02'!$AR$18:$AR$199,2*(ROWS(R$4:R27)-1)+1),"")</f>
        <v/>
      </c>
      <c r="S27" s="207"/>
      <c r="T27" s="207"/>
      <c r="U27" s="207"/>
      <c r="V27" s="194"/>
      <c r="W27" s="218"/>
      <c r="X27" s="218"/>
      <c r="Y27" s="210"/>
      <c r="Z27" s="210"/>
      <c r="AA27" s="219"/>
      <c r="AB27" s="219"/>
      <c r="AC27" s="194"/>
      <c r="AD27" s="37" t="str">
        <f>IFERROR(INDEX('M03-S02'!$BB$18:$BB$199,2*(ROWS(AD$4:AD27)-1)+1),"")</f>
        <v/>
      </c>
      <c r="AE27" s="37" t="str">
        <f>IFERROR(INDEX('M03-S02'!$BC$18:$BC$199,2*(ROWS(AE$4:AE27)-1)+1),"")</f>
        <v/>
      </c>
      <c r="AF27" s="31" t="str">
        <f>IFERROR(INDEX('M03-S02'!$R$18:$R$199,2*(ROWS(AF$4:AF27)-1)+1),"")</f>
        <v/>
      </c>
      <c r="AG27" s="31" t="str">
        <f>IFERROR(INDEX('M03-S02'!$T$18:$T$199,2*(ROWS(AG$4:AG27)-1)+1),"")</f>
        <v/>
      </c>
      <c r="AH27" s="210"/>
      <c r="AI27">
        <f>IFERROR(INDEX('M03-S02'!$B$18:$B$199,2*(ROWS(AI$4:AI27)-1)+1),"")</f>
        <v>24</v>
      </c>
      <c r="AJ27" s="194"/>
      <c r="AK27">
        <f>IFERROR(INDEX('M03-S02'!$G$18:$G$199,2*(ROWS(AK$4:AK27)-1)+1),"")</f>
        <v>0</v>
      </c>
      <c r="AL27">
        <f>IFERROR(INDEX('M03-S02'!$O$18:$O$199,2*(ROWS(AL$4:AL27)-1)+1),"")</f>
        <v>0</v>
      </c>
      <c r="AM27">
        <f>IFERROR(INDEX('M03-S02'!$AC$18:$AC$199,2*(ROWS(AM$4:AM27)-1)+1),"")</f>
        <v>0</v>
      </c>
      <c r="AN27" s="207"/>
      <c r="AO27" s="207"/>
      <c r="AP27" t="str">
        <f>IFERROR(INDEX('M03-S02'!$AY$18:$AY$199,2*(ROWS(AP$4:AP27)-1)+1),"")</f>
        <v/>
      </c>
      <c r="AQ27" s="194"/>
      <c r="AR27" t="str">
        <f>IFERROR(INDEX(STDLIGHT[Reporting Methodology],MATCH(EXPORT!C27,STDLIGHT[Measure Number],0)),"")</f>
        <v/>
      </c>
      <c r="AS27" t="str">
        <f>IFERROR(INDEX(STDLIGHT[Primary Key],MATCH(C27,STDLIGHT[Measure Number],0)),"")</f>
        <v/>
      </c>
      <c r="AT27" s="14" t="str" cm="1">
        <f t="array" ref="AT27">_xlfn.LET(_xlpm.ROWS, 2*(ROWS(AT$4:AT27)-1)+1,IFERROR(INDEX('M03-S02'!$AR$18:$AR$199, _xlpm.ROWS)-INDEX('M03-S02'!$BQ$18:$BQ$199, _xlpm.ROWS),""))</f>
        <v/>
      </c>
      <c r="BL27"/>
      <c r="BP27"/>
      <c r="BQ27"/>
      <c r="BR27"/>
      <c r="CD27"/>
      <c r="CE27"/>
      <c r="CF27"/>
      <c r="CQ27"/>
      <c r="CR27"/>
      <c r="CS27"/>
      <c r="DS27"/>
      <c r="DT27"/>
      <c r="DU27"/>
    </row>
    <row r="28" spans="1:125" hidden="1">
      <c r="A28" s="15">
        <f t="shared" si="0"/>
        <v>0</v>
      </c>
      <c r="B28" t="str">
        <f t="shared" si="1"/>
        <v/>
      </c>
      <c r="C28" t="str">
        <f>IFERROR(IF(R28&gt;0,INDEX('M03-S02'!$BH$18:$BH$199,2*(ROWS($C$4:C28)-1)+1),""),"")</f>
        <v/>
      </c>
      <c r="D28" t="s">
        <v>1320</v>
      </c>
      <c r="E28" t="str">
        <f>IFERROR(INDEX('M03-S02'!$BD$18:$BD$199,2*(ROWS($E$4:E28)-1)+1),"")</f>
        <v/>
      </c>
      <c r="F28" s="31">
        <f>IFERROR(INDEX('M03-S02'!$X$18:$X$199,2*(ROWS($F$4:F28)-1)+1),"")</f>
        <v>0</v>
      </c>
      <c r="G28">
        <f>IFERROR(INDEX('M03-S02'!$AG$18:$AG$199,2*(ROWS($G$4:G28)-1)+1),"")</f>
        <v>0</v>
      </c>
      <c r="H28" s="14">
        <f>IFERROR(ROUND(INDEX('M03-S02'!$AI$18:$AI$199,2*(ROWS(H$4:H28)-1)+1),2),"")</f>
        <v>0</v>
      </c>
      <c r="I28" s="14">
        <f>IFERROR(ROUND(INDEX('M03-S02'!$AK$18:$AK$199,2*(ROWS(I$4:I28)-1)+1),2),"")</f>
        <v>0</v>
      </c>
      <c r="J28" s="14" t="str">
        <f>IFERROR(ROUND(INDEX('M03-S02'!$AX$18:$AX$199,2*(ROWS(J$4:J28)-1)+1),2),"")</f>
        <v/>
      </c>
      <c r="K28" t="s">
        <v>84</v>
      </c>
      <c r="L28" s="10">
        <f>IFERROR(ROUND(INDEX('M03-S02'!$V$18:$V$199,2*(ROWS(L$4:L28)-1)+1),3),"")</f>
        <v>0</v>
      </c>
      <c r="M28" s="10">
        <f>IFERROR(ROUND(INDEX('M03-S02'!$V$18:$V$199,2*(ROWS(M$4:M28)-1)+1),3),"")</f>
        <v>0</v>
      </c>
      <c r="N28" s="37" t="str">
        <f>IFERROR(INDEX('M03-S02'!$AZ$18:$AZ$199,2*(ROWS(N$4:N28)-1)+1),"")</f>
        <v/>
      </c>
      <c r="O28" s="37" t="str">
        <f>IFERROR(INDEX('M03-S02'!$BE$18:$BE$199,2*(ROWS(O$4:O28)-1)+1),"")</f>
        <v/>
      </c>
      <c r="P28" s="37" t="str">
        <f>IFERROR(INDEX('M03-S02'!$BA$18:$BA$199,2*(ROWS(P$4:P28)-1)+1),"")</f>
        <v/>
      </c>
      <c r="Q28" s="37" t="str">
        <f>IFERROR(INDEX('M03-S02'!$BF$18:$BF$199,2*(ROWS(Q$4:Q28)-1)+1),"")</f>
        <v/>
      </c>
      <c r="R28" s="14" t="str">
        <f>IFERROR(INDEX('M03-S02'!$AR$18:$AR$199,2*(ROWS(R$4:R28)-1)+1),"")</f>
        <v/>
      </c>
      <c r="S28" s="207"/>
      <c r="T28" s="207"/>
      <c r="U28" s="207"/>
      <c r="V28" s="194"/>
      <c r="W28" s="218"/>
      <c r="X28" s="218"/>
      <c r="Y28" s="210"/>
      <c r="Z28" s="210"/>
      <c r="AA28" s="219"/>
      <c r="AB28" s="219"/>
      <c r="AC28" s="194"/>
      <c r="AD28" s="37" t="str">
        <f>IFERROR(INDEX('M03-S02'!$BB$18:$BB$199,2*(ROWS(AD$4:AD28)-1)+1),"")</f>
        <v/>
      </c>
      <c r="AE28" s="37" t="str">
        <f>IFERROR(INDEX('M03-S02'!$BC$18:$BC$199,2*(ROWS(AE$4:AE28)-1)+1),"")</f>
        <v/>
      </c>
      <c r="AF28" s="31" t="str">
        <f>IFERROR(INDEX('M03-S02'!$R$18:$R$199,2*(ROWS(AF$4:AF28)-1)+1),"")</f>
        <v/>
      </c>
      <c r="AG28" s="31" t="str">
        <f>IFERROR(INDEX('M03-S02'!$T$18:$T$199,2*(ROWS(AG$4:AG28)-1)+1),"")</f>
        <v/>
      </c>
      <c r="AH28" s="210"/>
      <c r="AI28">
        <f>IFERROR(INDEX('M03-S02'!$B$18:$B$199,2*(ROWS(AI$4:AI28)-1)+1),"")</f>
        <v>25</v>
      </c>
      <c r="AJ28" s="194"/>
      <c r="AK28">
        <f>IFERROR(INDEX('M03-S02'!$G$18:$G$199,2*(ROWS(AK$4:AK28)-1)+1),"")</f>
        <v>0</v>
      </c>
      <c r="AL28">
        <f>IFERROR(INDEX('M03-S02'!$O$18:$O$199,2*(ROWS(AL$4:AL28)-1)+1),"")</f>
        <v>0</v>
      </c>
      <c r="AM28">
        <f>IFERROR(INDEX('M03-S02'!$AC$18:$AC$199,2*(ROWS(AM$4:AM28)-1)+1),"")</f>
        <v>0</v>
      </c>
      <c r="AN28" s="207"/>
      <c r="AO28" s="207"/>
      <c r="AP28" t="str">
        <f>IFERROR(INDEX('M03-S02'!$AY$18:$AY$199,2*(ROWS(AP$4:AP28)-1)+1),"")</f>
        <v/>
      </c>
      <c r="AQ28" s="194"/>
      <c r="AR28" t="str">
        <f>IFERROR(INDEX(STDLIGHT[Reporting Methodology],MATCH(EXPORT!C28,STDLIGHT[Measure Number],0)),"")</f>
        <v/>
      </c>
      <c r="AS28" t="str">
        <f>IFERROR(INDEX(STDLIGHT[Primary Key],MATCH(C28,STDLIGHT[Measure Number],0)),"")</f>
        <v/>
      </c>
      <c r="AT28" s="14" t="str" cm="1">
        <f t="array" ref="AT28">_xlfn.LET(_xlpm.ROWS, 2*(ROWS(AT$4:AT28)-1)+1,IFERROR(INDEX('M03-S02'!$AR$18:$AR$199, _xlpm.ROWS)-INDEX('M03-S02'!$BQ$18:$BQ$199, _xlpm.ROWS),""))</f>
        <v/>
      </c>
      <c r="BL28"/>
      <c r="BP28"/>
      <c r="BQ28"/>
      <c r="BR28"/>
      <c r="CD28"/>
      <c r="CE28"/>
      <c r="CF28"/>
      <c r="CQ28"/>
      <c r="CR28"/>
      <c r="CS28"/>
      <c r="DS28"/>
      <c r="DT28"/>
      <c r="DU28"/>
    </row>
    <row r="29" spans="1:125" hidden="1">
      <c r="A29" s="15">
        <f t="shared" si="0"/>
        <v>0</v>
      </c>
      <c r="B29" t="str">
        <f t="shared" si="1"/>
        <v/>
      </c>
      <c r="C29" t="str">
        <f>IFERROR(IF(R29&gt;0,INDEX('M03-S02'!$BH$18:$BH$199,2*(ROWS($C$4:C29)-1)+1),""),"")</f>
        <v/>
      </c>
      <c r="D29" t="s">
        <v>1320</v>
      </c>
      <c r="E29" t="str">
        <f>IFERROR(INDEX('M03-S02'!$BD$18:$BD$199,2*(ROWS($E$4:E29)-1)+1),"")</f>
        <v/>
      </c>
      <c r="F29" s="31">
        <f>IFERROR(INDEX('M03-S02'!$X$18:$X$199,2*(ROWS($F$4:F29)-1)+1),"")</f>
        <v>0</v>
      </c>
      <c r="G29">
        <f>IFERROR(INDEX('M03-S02'!$AG$18:$AG$199,2*(ROWS($G$4:G29)-1)+1),"")</f>
        <v>0</v>
      </c>
      <c r="H29" s="14">
        <f>IFERROR(ROUND(INDEX('M03-S02'!$AI$18:$AI$199,2*(ROWS(H$4:H29)-1)+1),2),"")</f>
        <v>0</v>
      </c>
      <c r="I29" s="14">
        <f>IFERROR(ROUND(INDEX('M03-S02'!$AK$18:$AK$199,2*(ROWS(I$4:I29)-1)+1),2),"")</f>
        <v>0</v>
      </c>
      <c r="J29" s="14" t="str">
        <f>IFERROR(ROUND(INDEX('M03-S02'!$AX$18:$AX$199,2*(ROWS(J$4:J29)-1)+1),2),"")</f>
        <v/>
      </c>
      <c r="K29" t="s">
        <v>84</v>
      </c>
      <c r="L29" s="10">
        <f>IFERROR(ROUND(INDEX('M03-S02'!$V$18:$V$199,2*(ROWS(L$4:L29)-1)+1),3),"")</f>
        <v>0</v>
      </c>
      <c r="M29" s="10">
        <f>IFERROR(ROUND(INDEX('M03-S02'!$V$18:$V$199,2*(ROWS(M$4:M29)-1)+1),3),"")</f>
        <v>0</v>
      </c>
      <c r="N29" s="37" t="str">
        <f>IFERROR(INDEX('M03-S02'!$AZ$18:$AZ$199,2*(ROWS(N$4:N29)-1)+1),"")</f>
        <v/>
      </c>
      <c r="O29" s="37" t="str">
        <f>IFERROR(INDEX('M03-S02'!$BE$18:$BE$199,2*(ROWS(O$4:O29)-1)+1),"")</f>
        <v/>
      </c>
      <c r="P29" s="37" t="str">
        <f>IFERROR(INDEX('M03-S02'!$BA$18:$BA$199,2*(ROWS(P$4:P29)-1)+1),"")</f>
        <v/>
      </c>
      <c r="Q29" s="37" t="str">
        <f>IFERROR(INDEX('M03-S02'!$BF$18:$BF$199,2*(ROWS(Q$4:Q29)-1)+1),"")</f>
        <v/>
      </c>
      <c r="R29" s="14" t="str">
        <f>IFERROR(INDEX('M03-S02'!$AR$18:$AR$199,2*(ROWS(R$4:R29)-1)+1),"")</f>
        <v/>
      </c>
      <c r="S29" s="207"/>
      <c r="T29" s="207"/>
      <c r="U29" s="207"/>
      <c r="V29" s="194"/>
      <c r="W29" s="218"/>
      <c r="X29" s="218"/>
      <c r="Y29" s="210"/>
      <c r="Z29" s="210"/>
      <c r="AA29" s="219"/>
      <c r="AB29" s="219"/>
      <c r="AC29" s="194"/>
      <c r="AD29" s="37" t="str">
        <f>IFERROR(INDEX('M03-S02'!$BB$18:$BB$199,2*(ROWS(AD$4:AD29)-1)+1),"")</f>
        <v/>
      </c>
      <c r="AE29" s="37" t="str">
        <f>IFERROR(INDEX('M03-S02'!$BC$18:$BC$199,2*(ROWS(AE$4:AE29)-1)+1),"")</f>
        <v/>
      </c>
      <c r="AF29" s="31" t="str">
        <f>IFERROR(INDEX('M03-S02'!$R$18:$R$199,2*(ROWS(AF$4:AF29)-1)+1),"")</f>
        <v/>
      </c>
      <c r="AG29" s="31" t="str">
        <f>IFERROR(INDEX('M03-S02'!$T$18:$T$199,2*(ROWS(AG$4:AG29)-1)+1),"")</f>
        <v/>
      </c>
      <c r="AH29" s="210"/>
      <c r="AI29">
        <f>IFERROR(INDEX('M03-S02'!$B$18:$B$199,2*(ROWS(AI$4:AI29)-1)+1),"")</f>
        <v>26</v>
      </c>
      <c r="AJ29" s="194"/>
      <c r="AK29">
        <f>IFERROR(INDEX('M03-S02'!$G$18:$G$199,2*(ROWS(AK$4:AK29)-1)+1),"")</f>
        <v>0</v>
      </c>
      <c r="AL29">
        <f>IFERROR(INDEX('M03-S02'!$O$18:$O$199,2*(ROWS(AL$4:AL29)-1)+1),"")</f>
        <v>0</v>
      </c>
      <c r="AM29">
        <f>IFERROR(INDEX('M03-S02'!$AC$18:$AC$199,2*(ROWS(AM$4:AM29)-1)+1),"")</f>
        <v>0</v>
      </c>
      <c r="AN29" s="207"/>
      <c r="AO29" s="207"/>
      <c r="AP29" t="str">
        <f>IFERROR(INDEX('M03-S02'!$AY$18:$AY$199,2*(ROWS(AP$4:AP29)-1)+1),"")</f>
        <v/>
      </c>
      <c r="AQ29" s="194"/>
      <c r="AR29" t="str">
        <f>IFERROR(INDEX(STDLIGHT[Reporting Methodology],MATCH(EXPORT!C29,STDLIGHT[Measure Number],0)),"")</f>
        <v/>
      </c>
      <c r="AS29" t="str">
        <f>IFERROR(INDEX(STDLIGHT[Primary Key],MATCH(C29,STDLIGHT[Measure Number],0)),"")</f>
        <v/>
      </c>
      <c r="AT29" s="14" t="str" cm="1">
        <f t="array" ref="AT29">_xlfn.LET(_xlpm.ROWS, 2*(ROWS(AT$4:AT29)-1)+1,IFERROR(INDEX('M03-S02'!$AR$18:$AR$199, _xlpm.ROWS)-INDEX('M03-S02'!$BQ$18:$BQ$199, _xlpm.ROWS),""))</f>
        <v/>
      </c>
      <c r="BL29"/>
      <c r="BP29"/>
      <c r="BQ29"/>
      <c r="BR29"/>
      <c r="CD29"/>
      <c r="CE29"/>
      <c r="CF29"/>
      <c r="CQ29"/>
      <c r="CR29"/>
      <c r="CS29"/>
      <c r="DS29"/>
      <c r="DT29"/>
      <c r="DU29"/>
    </row>
    <row r="30" spans="1:125" hidden="1">
      <c r="A30" s="15">
        <f t="shared" si="0"/>
        <v>0</v>
      </c>
      <c r="B30" t="str">
        <f t="shared" si="1"/>
        <v/>
      </c>
      <c r="C30" t="str">
        <f>IFERROR(IF(R30&gt;0,INDEX('M03-S02'!$BH$18:$BH$199,2*(ROWS($C$4:C30)-1)+1),""),"")</f>
        <v/>
      </c>
      <c r="D30" t="s">
        <v>1320</v>
      </c>
      <c r="E30" t="str">
        <f>IFERROR(INDEX('M03-S02'!$BD$18:$BD$199,2*(ROWS($E$4:E30)-1)+1),"")</f>
        <v/>
      </c>
      <c r="F30" s="31">
        <f>IFERROR(INDEX('M03-S02'!$X$18:$X$199,2*(ROWS($F$4:F30)-1)+1),"")</f>
        <v>0</v>
      </c>
      <c r="G30">
        <f>IFERROR(INDEX('M03-S02'!$AG$18:$AG$199,2*(ROWS($G$4:G30)-1)+1),"")</f>
        <v>0</v>
      </c>
      <c r="H30" s="14">
        <f>IFERROR(ROUND(INDEX('M03-S02'!$AI$18:$AI$199,2*(ROWS(H$4:H30)-1)+1),2),"")</f>
        <v>0</v>
      </c>
      <c r="I30" s="14">
        <f>IFERROR(ROUND(INDEX('M03-S02'!$AK$18:$AK$199,2*(ROWS(I$4:I30)-1)+1),2),"")</f>
        <v>0</v>
      </c>
      <c r="J30" s="14" t="str">
        <f>IFERROR(ROUND(INDEX('M03-S02'!$AX$18:$AX$199,2*(ROWS(J$4:J30)-1)+1),2),"")</f>
        <v/>
      </c>
      <c r="K30" t="s">
        <v>84</v>
      </c>
      <c r="L30" s="10">
        <f>IFERROR(ROUND(INDEX('M03-S02'!$V$18:$V$199,2*(ROWS(L$4:L30)-1)+1),3),"")</f>
        <v>0</v>
      </c>
      <c r="M30" s="10">
        <f>IFERROR(ROUND(INDEX('M03-S02'!$V$18:$V$199,2*(ROWS(M$4:M30)-1)+1),3),"")</f>
        <v>0</v>
      </c>
      <c r="N30" s="37" t="str">
        <f>IFERROR(INDEX('M03-S02'!$AZ$18:$AZ$199,2*(ROWS(N$4:N30)-1)+1),"")</f>
        <v/>
      </c>
      <c r="O30" s="37" t="str">
        <f>IFERROR(INDEX('M03-S02'!$BE$18:$BE$199,2*(ROWS(O$4:O30)-1)+1),"")</f>
        <v/>
      </c>
      <c r="P30" s="37" t="str">
        <f>IFERROR(INDEX('M03-S02'!$BA$18:$BA$199,2*(ROWS(P$4:P30)-1)+1),"")</f>
        <v/>
      </c>
      <c r="Q30" s="37" t="str">
        <f>IFERROR(INDEX('M03-S02'!$BF$18:$BF$199,2*(ROWS(Q$4:Q30)-1)+1),"")</f>
        <v/>
      </c>
      <c r="R30" s="14" t="str">
        <f>IFERROR(INDEX('M03-S02'!$AR$18:$AR$199,2*(ROWS(R$4:R30)-1)+1),"")</f>
        <v/>
      </c>
      <c r="S30" s="207"/>
      <c r="T30" s="207"/>
      <c r="U30" s="207"/>
      <c r="V30" s="194"/>
      <c r="W30" s="218"/>
      <c r="X30" s="218"/>
      <c r="Y30" s="210"/>
      <c r="Z30" s="210"/>
      <c r="AA30" s="219"/>
      <c r="AB30" s="219"/>
      <c r="AC30" s="194"/>
      <c r="AD30" s="37" t="str">
        <f>IFERROR(INDEX('M03-S02'!$BB$18:$BB$199,2*(ROWS(AD$4:AD30)-1)+1),"")</f>
        <v/>
      </c>
      <c r="AE30" s="37" t="str">
        <f>IFERROR(INDEX('M03-S02'!$BC$18:$BC$199,2*(ROWS(AE$4:AE30)-1)+1),"")</f>
        <v/>
      </c>
      <c r="AF30" s="31" t="str">
        <f>IFERROR(INDEX('M03-S02'!$R$18:$R$199,2*(ROWS(AF$4:AF30)-1)+1),"")</f>
        <v/>
      </c>
      <c r="AG30" s="31" t="str">
        <f>IFERROR(INDEX('M03-S02'!$T$18:$T$199,2*(ROWS(AG$4:AG30)-1)+1),"")</f>
        <v/>
      </c>
      <c r="AH30" s="210"/>
      <c r="AI30">
        <f>IFERROR(INDEX('M03-S02'!$B$18:$B$199,2*(ROWS(AI$4:AI30)-1)+1),"")</f>
        <v>27</v>
      </c>
      <c r="AJ30" s="194"/>
      <c r="AK30">
        <f>IFERROR(INDEX('M03-S02'!$G$18:$G$199,2*(ROWS(AK$4:AK30)-1)+1),"")</f>
        <v>0</v>
      </c>
      <c r="AL30">
        <f>IFERROR(INDEX('M03-S02'!$O$18:$O$199,2*(ROWS(AL$4:AL30)-1)+1),"")</f>
        <v>0</v>
      </c>
      <c r="AM30">
        <f>IFERROR(INDEX('M03-S02'!$AC$18:$AC$199,2*(ROWS(AM$4:AM30)-1)+1),"")</f>
        <v>0</v>
      </c>
      <c r="AN30" s="207"/>
      <c r="AO30" s="207"/>
      <c r="AP30" t="str">
        <f>IFERROR(INDEX('M03-S02'!$AY$18:$AY$199,2*(ROWS(AP$4:AP30)-1)+1),"")</f>
        <v/>
      </c>
      <c r="AQ30" s="194"/>
      <c r="AR30" t="str">
        <f>IFERROR(INDEX(STDLIGHT[Reporting Methodology],MATCH(EXPORT!C30,STDLIGHT[Measure Number],0)),"")</f>
        <v/>
      </c>
      <c r="AS30" t="str">
        <f>IFERROR(INDEX(STDLIGHT[Primary Key],MATCH(C30,STDLIGHT[Measure Number],0)),"")</f>
        <v/>
      </c>
      <c r="AT30" s="14" t="str" cm="1">
        <f t="array" ref="AT30">_xlfn.LET(_xlpm.ROWS, 2*(ROWS(AT$4:AT30)-1)+1,IFERROR(INDEX('M03-S02'!$AR$18:$AR$199, _xlpm.ROWS)-INDEX('M03-S02'!$BQ$18:$BQ$199, _xlpm.ROWS),""))</f>
        <v/>
      </c>
      <c r="BL30"/>
      <c r="BP30"/>
      <c r="BQ30"/>
      <c r="BR30"/>
      <c r="CD30"/>
      <c r="CE30"/>
      <c r="CF30"/>
      <c r="CQ30"/>
      <c r="CR30"/>
      <c r="CS30"/>
      <c r="DS30"/>
      <c r="DT30"/>
      <c r="DU30"/>
    </row>
    <row r="31" spans="1:125" hidden="1">
      <c r="A31" s="15">
        <f t="shared" si="0"/>
        <v>0</v>
      </c>
      <c r="B31" t="str">
        <f t="shared" si="1"/>
        <v/>
      </c>
      <c r="C31" t="str">
        <f>IFERROR(IF(R31&gt;0,INDEX('M03-S02'!$BH$18:$BH$199,2*(ROWS($C$4:C31)-1)+1),""),"")</f>
        <v/>
      </c>
      <c r="D31" t="s">
        <v>1320</v>
      </c>
      <c r="E31" t="str">
        <f>IFERROR(INDEX('M03-S02'!$BD$18:$BD$199,2*(ROWS($E$4:E31)-1)+1),"")</f>
        <v/>
      </c>
      <c r="F31" s="31">
        <f>IFERROR(INDEX('M03-S02'!$X$18:$X$199,2*(ROWS($F$4:F31)-1)+1),"")</f>
        <v>0</v>
      </c>
      <c r="G31">
        <f>IFERROR(INDEX('M03-S02'!$AG$18:$AG$199,2*(ROWS($G$4:G31)-1)+1),"")</f>
        <v>0</v>
      </c>
      <c r="H31" s="14">
        <f>IFERROR(ROUND(INDEX('M03-S02'!$AI$18:$AI$199,2*(ROWS(H$4:H31)-1)+1),2),"")</f>
        <v>0</v>
      </c>
      <c r="I31" s="14">
        <f>IFERROR(ROUND(INDEX('M03-S02'!$AK$18:$AK$199,2*(ROWS(I$4:I31)-1)+1),2),"")</f>
        <v>0</v>
      </c>
      <c r="J31" s="14" t="str">
        <f>IFERROR(ROUND(INDEX('M03-S02'!$AX$18:$AX$199,2*(ROWS(J$4:J31)-1)+1),2),"")</f>
        <v/>
      </c>
      <c r="K31" t="s">
        <v>84</v>
      </c>
      <c r="L31" s="10">
        <f>IFERROR(ROUND(INDEX('M03-S02'!$V$18:$V$199,2*(ROWS(L$4:L31)-1)+1),3),"")</f>
        <v>0</v>
      </c>
      <c r="M31" s="10">
        <f>IFERROR(ROUND(INDEX('M03-S02'!$V$18:$V$199,2*(ROWS(M$4:M31)-1)+1),3),"")</f>
        <v>0</v>
      </c>
      <c r="N31" s="37" t="str">
        <f>IFERROR(INDEX('M03-S02'!$AZ$18:$AZ$199,2*(ROWS(N$4:N31)-1)+1),"")</f>
        <v/>
      </c>
      <c r="O31" s="37" t="str">
        <f>IFERROR(INDEX('M03-S02'!$BE$18:$BE$199,2*(ROWS(O$4:O31)-1)+1),"")</f>
        <v/>
      </c>
      <c r="P31" s="37" t="str">
        <f>IFERROR(INDEX('M03-S02'!$BA$18:$BA$199,2*(ROWS(P$4:P31)-1)+1),"")</f>
        <v/>
      </c>
      <c r="Q31" s="37" t="str">
        <f>IFERROR(INDEX('M03-S02'!$BF$18:$BF$199,2*(ROWS(Q$4:Q31)-1)+1),"")</f>
        <v/>
      </c>
      <c r="R31" s="14" t="str">
        <f>IFERROR(INDEX('M03-S02'!$AR$18:$AR$199,2*(ROWS(R$4:R31)-1)+1),"")</f>
        <v/>
      </c>
      <c r="S31" s="207"/>
      <c r="T31" s="207"/>
      <c r="U31" s="207"/>
      <c r="V31" s="194"/>
      <c r="W31" s="218"/>
      <c r="X31" s="218"/>
      <c r="Y31" s="210"/>
      <c r="Z31" s="210"/>
      <c r="AA31" s="219"/>
      <c r="AB31" s="219"/>
      <c r="AC31" s="194"/>
      <c r="AD31" s="37" t="str">
        <f>IFERROR(INDEX('M03-S02'!$BB$18:$BB$199,2*(ROWS(AD$4:AD31)-1)+1),"")</f>
        <v/>
      </c>
      <c r="AE31" s="37" t="str">
        <f>IFERROR(INDEX('M03-S02'!$BC$18:$BC$199,2*(ROWS(AE$4:AE31)-1)+1),"")</f>
        <v/>
      </c>
      <c r="AF31" s="31" t="str">
        <f>IFERROR(INDEX('M03-S02'!$R$18:$R$199,2*(ROWS(AF$4:AF31)-1)+1),"")</f>
        <v/>
      </c>
      <c r="AG31" s="31" t="str">
        <f>IFERROR(INDEX('M03-S02'!$T$18:$T$199,2*(ROWS(AG$4:AG31)-1)+1),"")</f>
        <v/>
      </c>
      <c r="AH31" s="210"/>
      <c r="AI31">
        <f>IFERROR(INDEX('M03-S02'!$B$18:$B$199,2*(ROWS(AI$4:AI31)-1)+1),"")</f>
        <v>28</v>
      </c>
      <c r="AJ31" s="194"/>
      <c r="AK31">
        <f>IFERROR(INDEX('M03-S02'!$G$18:$G$199,2*(ROWS(AK$4:AK31)-1)+1),"")</f>
        <v>0</v>
      </c>
      <c r="AL31">
        <f>IFERROR(INDEX('M03-S02'!$O$18:$O$199,2*(ROWS(AL$4:AL31)-1)+1),"")</f>
        <v>0</v>
      </c>
      <c r="AM31">
        <f>IFERROR(INDEX('M03-S02'!$AC$18:$AC$199,2*(ROWS(AM$4:AM31)-1)+1),"")</f>
        <v>0</v>
      </c>
      <c r="AN31" s="207"/>
      <c r="AO31" s="207"/>
      <c r="AP31" t="str">
        <f>IFERROR(INDEX('M03-S02'!$AY$18:$AY$199,2*(ROWS(AP$4:AP31)-1)+1),"")</f>
        <v/>
      </c>
      <c r="AQ31" s="194"/>
      <c r="AR31" t="str">
        <f>IFERROR(INDEX(STDLIGHT[Reporting Methodology],MATCH(EXPORT!C31,STDLIGHT[Measure Number],0)),"")</f>
        <v/>
      </c>
      <c r="AS31" t="str">
        <f>IFERROR(INDEX(STDLIGHT[Primary Key],MATCH(C31,STDLIGHT[Measure Number],0)),"")</f>
        <v/>
      </c>
      <c r="AT31" s="14" t="str" cm="1">
        <f t="array" ref="AT31">_xlfn.LET(_xlpm.ROWS, 2*(ROWS(AT$4:AT31)-1)+1,IFERROR(INDEX('M03-S02'!$AR$18:$AR$199, _xlpm.ROWS)-INDEX('M03-S02'!$BQ$18:$BQ$199, _xlpm.ROWS),""))</f>
        <v/>
      </c>
      <c r="BL31"/>
      <c r="BP31"/>
      <c r="BQ31"/>
      <c r="BR31"/>
      <c r="CD31"/>
      <c r="CE31"/>
      <c r="CF31"/>
      <c r="CQ31"/>
      <c r="CR31"/>
      <c r="CS31"/>
      <c r="DS31"/>
      <c r="DT31"/>
      <c r="DU31"/>
    </row>
    <row r="32" spans="1:125" hidden="1">
      <c r="A32" s="15">
        <f t="shared" si="0"/>
        <v>0</v>
      </c>
      <c r="B32" t="str">
        <f t="shared" si="1"/>
        <v/>
      </c>
      <c r="C32" t="str">
        <f>IFERROR(IF(R32&gt;0,INDEX('M03-S02'!$BH$18:$BH$199,2*(ROWS($C$4:C32)-1)+1),""),"")</f>
        <v/>
      </c>
      <c r="D32" t="s">
        <v>1320</v>
      </c>
      <c r="E32" t="str">
        <f>IFERROR(INDEX('M03-S02'!$BD$18:$BD$199,2*(ROWS($E$4:E32)-1)+1),"")</f>
        <v/>
      </c>
      <c r="F32" s="31">
        <f>IFERROR(INDEX('M03-S02'!$X$18:$X$199,2*(ROWS($F$4:F32)-1)+1),"")</f>
        <v>0</v>
      </c>
      <c r="G32">
        <f>IFERROR(INDEX('M03-S02'!$AG$18:$AG$199,2*(ROWS($G$4:G32)-1)+1),"")</f>
        <v>0</v>
      </c>
      <c r="H32" s="14">
        <f>IFERROR(ROUND(INDEX('M03-S02'!$AI$18:$AI$199,2*(ROWS(H$4:H32)-1)+1),2),"")</f>
        <v>0</v>
      </c>
      <c r="I32" s="14">
        <f>IFERROR(ROUND(INDEX('M03-S02'!$AK$18:$AK$199,2*(ROWS(I$4:I32)-1)+1),2),"")</f>
        <v>0</v>
      </c>
      <c r="J32" s="14" t="str">
        <f>IFERROR(ROUND(INDEX('M03-S02'!$AX$18:$AX$199,2*(ROWS(J$4:J32)-1)+1),2),"")</f>
        <v/>
      </c>
      <c r="K32" t="s">
        <v>84</v>
      </c>
      <c r="L32" s="10">
        <f>IFERROR(ROUND(INDEX('M03-S02'!$V$18:$V$199,2*(ROWS(L$4:L32)-1)+1),3),"")</f>
        <v>0</v>
      </c>
      <c r="M32" s="10">
        <f>IFERROR(ROUND(INDEX('M03-S02'!$V$18:$V$199,2*(ROWS(M$4:M32)-1)+1),3),"")</f>
        <v>0</v>
      </c>
      <c r="N32" s="37" t="str">
        <f>IFERROR(INDEX('M03-S02'!$AZ$18:$AZ$199,2*(ROWS(N$4:N32)-1)+1),"")</f>
        <v/>
      </c>
      <c r="O32" s="37" t="str">
        <f>IFERROR(INDEX('M03-S02'!$BE$18:$BE$199,2*(ROWS(O$4:O32)-1)+1),"")</f>
        <v/>
      </c>
      <c r="P32" s="37" t="str">
        <f>IFERROR(INDEX('M03-S02'!$BA$18:$BA$199,2*(ROWS(P$4:P32)-1)+1),"")</f>
        <v/>
      </c>
      <c r="Q32" s="37" t="str">
        <f>IFERROR(INDEX('M03-S02'!$BF$18:$BF$199,2*(ROWS(Q$4:Q32)-1)+1),"")</f>
        <v/>
      </c>
      <c r="R32" s="14" t="str">
        <f>IFERROR(INDEX('M03-S02'!$AR$18:$AR$199,2*(ROWS(R$4:R32)-1)+1),"")</f>
        <v/>
      </c>
      <c r="S32" s="207"/>
      <c r="T32" s="207"/>
      <c r="U32" s="207"/>
      <c r="V32" s="194"/>
      <c r="W32" s="218"/>
      <c r="X32" s="218"/>
      <c r="Y32" s="210"/>
      <c r="Z32" s="210"/>
      <c r="AA32" s="219"/>
      <c r="AB32" s="219"/>
      <c r="AC32" s="194"/>
      <c r="AD32" s="37" t="str">
        <f>IFERROR(INDEX('M03-S02'!$BB$18:$BB$199,2*(ROWS(AD$4:AD32)-1)+1),"")</f>
        <v/>
      </c>
      <c r="AE32" s="37" t="str">
        <f>IFERROR(INDEX('M03-S02'!$BC$18:$BC$199,2*(ROWS(AE$4:AE32)-1)+1),"")</f>
        <v/>
      </c>
      <c r="AF32" s="31" t="str">
        <f>IFERROR(INDEX('M03-S02'!$R$18:$R$199,2*(ROWS(AF$4:AF32)-1)+1),"")</f>
        <v/>
      </c>
      <c r="AG32" s="31" t="str">
        <f>IFERROR(INDEX('M03-S02'!$T$18:$T$199,2*(ROWS(AG$4:AG32)-1)+1),"")</f>
        <v/>
      </c>
      <c r="AH32" s="210"/>
      <c r="AI32">
        <f>IFERROR(INDEX('M03-S02'!$B$18:$B$199,2*(ROWS(AI$4:AI32)-1)+1),"")</f>
        <v>29</v>
      </c>
      <c r="AJ32" s="194"/>
      <c r="AK32">
        <f>IFERROR(INDEX('M03-S02'!$G$18:$G$199,2*(ROWS(AK$4:AK32)-1)+1),"")</f>
        <v>0</v>
      </c>
      <c r="AL32">
        <f>IFERROR(INDEX('M03-S02'!$O$18:$O$199,2*(ROWS(AL$4:AL32)-1)+1),"")</f>
        <v>0</v>
      </c>
      <c r="AM32">
        <f>IFERROR(INDEX('M03-S02'!$AC$18:$AC$199,2*(ROWS(AM$4:AM32)-1)+1),"")</f>
        <v>0</v>
      </c>
      <c r="AN32" s="207"/>
      <c r="AO32" s="207"/>
      <c r="AP32" t="str">
        <f>IFERROR(INDEX('M03-S02'!$AY$18:$AY$199,2*(ROWS(AP$4:AP32)-1)+1),"")</f>
        <v/>
      </c>
      <c r="AQ32" s="194"/>
      <c r="AR32" t="str">
        <f>IFERROR(INDEX(STDLIGHT[Reporting Methodology],MATCH(EXPORT!C32,STDLIGHT[Measure Number],0)),"")</f>
        <v/>
      </c>
      <c r="AS32" t="str">
        <f>IFERROR(INDEX(STDLIGHT[Primary Key],MATCH(C32,STDLIGHT[Measure Number],0)),"")</f>
        <v/>
      </c>
      <c r="AT32" s="14" t="str" cm="1">
        <f t="array" ref="AT32">_xlfn.LET(_xlpm.ROWS, 2*(ROWS(AT$4:AT32)-1)+1,IFERROR(INDEX('M03-S02'!$AR$18:$AR$199, _xlpm.ROWS)-INDEX('M03-S02'!$BQ$18:$BQ$199, _xlpm.ROWS),""))</f>
        <v/>
      </c>
      <c r="BL32"/>
      <c r="BP32"/>
      <c r="BQ32"/>
      <c r="BR32"/>
      <c r="CD32"/>
      <c r="CE32"/>
      <c r="CF32"/>
      <c r="CQ32"/>
      <c r="CR32"/>
      <c r="CS32"/>
      <c r="DS32"/>
      <c r="DT32"/>
      <c r="DU32"/>
    </row>
    <row r="33" spans="1:125" hidden="1">
      <c r="A33" s="15">
        <f t="shared" si="0"/>
        <v>0</v>
      </c>
      <c r="B33" t="str">
        <f t="shared" si="1"/>
        <v/>
      </c>
      <c r="C33" t="str">
        <f>IFERROR(IF(R33&gt;0,INDEX('M03-S02'!$BH$18:$BH$199,2*(ROWS($C$4:C33)-1)+1),""),"")</f>
        <v/>
      </c>
      <c r="D33" t="s">
        <v>1320</v>
      </c>
      <c r="E33" t="str">
        <f>IFERROR(INDEX('M03-S02'!$BD$18:$BD$199,2*(ROWS($E$4:E33)-1)+1),"")</f>
        <v/>
      </c>
      <c r="F33" s="31">
        <f>IFERROR(INDEX('M03-S02'!$X$18:$X$199,2*(ROWS($F$4:F33)-1)+1),"")</f>
        <v>0</v>
      </c>
      <c r="G33">
        <f>IFERROR(INDEX('M03-S02'!$AG$18:$AG$199,2*(ROWS($G$4:G33)-1)+1),"")</f>
        <v>0</v>
      </c>
      <c r="H33" s="14">
        <f>IFERROR(ROUND(INDEX('M03-S02'!$AI$18:$AI$199,2*(ROWS(H$4:H33)-1)+1),2),"")</f>
        <v>0</v>
      </c>
      <c r="I33" s="14">
        <f>IFERROR(ROUND(INDEX('M03-S02'!$AK$18:$AK$199,2*(ROWS(I$4:I33)-1)+1),2),"")</f>
        <v>0</v>
      </c>
      <c r="J33" s="14" t="str">
        <f>IFERROR(ROUND(INDEX('M03-S02'!$AX$18:$AX$199,2*(ROWS(J$4:J33)-1)+1),2),"")</f>
        <v/>
      </c>
      <c r="K33" t="s">
        <v>84</v>
      </c>
      <c r="L33" s="10">
        <f>IFERROR(ROUND(INDEX('M03-S02'!$V$18:$V$199,2*(ROWS(L$4:L33)-1)+1),3),"")</f>
        <v>0</v>
      </c>
      <c r="M33" s="10">
        <f>IFERROR(ROUND(INDEX('M03-S02'!$V$18:$V$199,2*(ROWS(M$4:M33)-1)+1),3),"")</f>
        <v>0</v>
      </c>
      <c r="N33" s="37" t="str">
        <f>IFERROR(INDEX('M03-S02'!$AZ$18:$AZ$199,2*(ROWS(N$4:N33)-1)+1),"")</f>
        <v/>
      </c>
      <c r="O33" s="37" t="str">
        <f>IFERROR(INDEX('M03-S02'!$BE$18:$BE$199,2*(ROWS(O$4:O33)-1)+1),"")</f>
        <v/>
      </c>
      <c r="P33" s="37" t="str">
        <f>IFERROR(INDEX('M03-S02'!$BA$18:$BA$199,2*(ROWS(P$4:P33)-1)+1),"")</f>
        <v/>
      </c>
      <c r="Q33" s="37" t="str">
        <f>IFERROR(INDEX('M03-S02'!$BF$18:$BF$199,2*(ROWS(Q$4:Q33)-1)+1),"")</f>
        <v/>
      </c>
      <c r="R33" s="14" t="str">
        <f>IFERROR(INDEX('M03-S02'!$AR$18:$AR$199,2*(ROWS(R$4:R33)-1)+1),"")</f>
        <v/>
      </c>
      <c r="S33" s="207"/>
      <c r="T33" s="207"/>
      <c r="U33" s="207"/>
      <c r="V33" s="194"/>
      <c r="W33" s="218"/>
      <c r="X33" s="218"/>
      <c r="Y33" s="210"/>
      <c r="Z33" s="210"/>
      <c r="AA33" s="219"/>
      <c r="AB33" s="219"/>
      <c r="AC33" s="194"/>
      <c r="AD33" s="37" t="str">
        <f>IFERROR(INDEX('M03-S02'!$BB$18:$BB$199,2*(ROWS(AD$4:AD33)-1)+1),"")</f>
        <v/>
      </c>
      <c r="AE33" s="37" t="str">
        <f>IFERROR(INDEX('M03-S02'!$BC$18:$BC$199,2*(ROWS(AE$4:AE33)-1)+1),"")</f>
        <v/>
      </c>
      <c r="AF33" s="31" t="str">
        <f>IFERROR(INDEX('M03-S02'!$R$18:$R$199,2*(ROWS(AF$4:AF33)-1)+1),"")</f>
        <v/>
      </c>
      <c r="AG33" s="31" t="str">
        <f>IFERROR(INDEX('M03-S02'!$T$18:$T$199,2*(ROWS(AG$4:AG33)-1)+1),"")</f>
        <v/>
      </c>
      <c r="AH33" s="210"/>
      <c r="AI33">
        <f>IFERROR(INDEX('M03-S02'!$B$18:$B$199,2*(ROWS(AI$4:AI33)-1)+1),"")</f>
        <v>30</v>
      </c>
      <c r="AJ33" s="194"/>
      <c r="AK33">
        <f>IFERROR(INDEX('M03-S02'!$G$18:$G$199,2*(ROWS(AK$4:AK33)-1)+1),"")</f>
        <v>0</v>
      </c>
      <c r="AL33">
        <f>IFERROR(INDEX('M03-S02'!$O$18:$O$199,2*(ROWS(AL$4:AL33)-1)+1),"")</f>
        <v>0</v>
      </c>
      <c r="AM33">
        <f>IFERROR(INDEX('M03-S02'!$AC$18:$AC$199,2*(ROWS(AM$4:AM33)-1)+1),"")</f>
        <v>0</v>
      </c>
      <c r="AN33" s="207"/>
      <c r="AO33" s="207"/>
      <c r="AP33" t="str">
        <f>IFERROR(INDEX('M03-S02'!$AY$18:$AY$199,2*(ROWS(AP$4:AP33)-1)+1),"")</f>
        <v/>
      </c>
      <c r="AQ33" s="194"/>
      <c r="AR33" t="str">
        <f>IFERROR(INDEX(STDLIGHT[Reporting Methodology],MATCH(EXPORT!C33,STDLIGHT[Measure Number],0)),"")</f>
        <v/>
      </c>
      <c r="AS33" t="str">
        <f>IFERROR(INDEX(STDLIGHT[Primary Key],MATCH(C33,STDLIGHT[Measure Number],0)),"")</f>
        <v/>
      </c>
      <c r="AT33" s="14" t="str" cm="1">
        <f t="array" ref="AT33">_xlfn.LET(_xlpm.ROWS, 2*(ROWS(AT$4:AT33)-1)+1,IFERROR(INDEX('M03-S02'!$AR$18:$AR$199, _xlpm.ROWS)-INDEX('M03-S02'!$BQ$18:$BQ$199, _xlpm.ROWS),""))</f>
        <v/>
      </c>
      <c r="BL33"/>
      <c r="BP33"/>
      <c r="BQ33"/>
      <c r="BR33"/>
      <c r="CD33"/>
      <c r="CE33"/>
      <c r="CF33"/>
      <c r="CQ33"/>
      <c r="CR33"/>
      <c r="CS33"/>
      <c r="DS33"/>
      <c r="DT33"/>
      <c r="DU33"/>
    </row>
    <row r="34" spans="1:125" s="195" customFormat="1">
      <c r="A34" s="225" t="str">
        <f>"Standard "&amp;M3S3</f>
        <v>Standard Lighting Controls</v>
      </c>
      <c r="F34" s="209"/>
      <c r="H34" s="205"/>
      <c r="I34" s="205"/>
      <c r="J34" s="205"/>
      <c r="L34" s="213"/>
      <c r="M34" s="213"/>
      <c r="N34" s="216"/>
      <c r="O34" s="216"/>
      <c r="P34" s="216"/>
      <c r="Q34" s="216"/>
      <c r="R34" s="205"/>
      <c r="S34" s="205"/>
      <c r="T34" s="205"/>
      <c r="U34" s="205"/>
      <c r="W34" s="213"/>
      <c r="X34" s="213"/>
      <c r="Y34" s="209"/>
      <c r="Z34" s="209"/>
      <c r="AA34" s="216"/>
      <c r="AB34" s="216"/>
      <c r="AD34" s="216"/>
      <c r="AE34" s="216"/>
      <c r="AF34" s="209"/>
      <c r="AG34" s="209"/>
      <c r="AH34" s="209"/>
      <c r="AK34" s="196"/>
      <c r="AN34" s="205"/>
      <c r="AO34" s="205"/>
      <c r="AU34" s="197"/>
      <c r="AV34" s="197"/>
      <c r="AW34" s="197"/>
      <c r="AX34" s="197"/>
      <c r="AY34" s="197"/>
      <c r="AZ34" s="197"/>
      <c r="BA34" s="197"/>
      <c r="BB34" s="197"/>
      <c r="BC34" s="197"/>
      <c r="BD34" s="197"/>
      <c r="BE34" s="197"/>
    </row>
    <row r="35" spans="1:125" hidden="1">
      <c r="A35" s="15">
        <f t="shared" ref="A35:A49" si="2">PROJID</f>
        <v>0</v>
      </c>
      <c r="B35" t="str">
        <f>IF(C35="","",CONCATENATE(ROW(),"-",C35))</f>
        <v/>
      </c>
      <c r="C35" t="str">
        <f>IFERROR(IF(R35&gt;0,INDEX('M03-S03'!$BH$18:$BH$199,2*(ROWS($C$35:C35)-1)+1),""),"")</f>
        <v/>
      </c>
      <c r="D35" t="s">
        <v>1320</v>
      </c>
      <c r="E35" t="str">
        <f>IFERROR(INDEX('M03-S03'!$BD$18:$BD$199,2*(ROWS($E$35:E35)-1)+1),"")</f>
        <v/>
      </c>
      <c r="F35" s="31">
        <f>IFERROR(INDEX('M03-S03'!$T$18:$T$199,2*(ROWS($F$35:F35)-1)+1),"")</f>
        <v>0</v>
      </c>
      <c r="G35">
        <f>IFERROR(INDEX('M03-S03'!$AF$18:$AF$199,2*(ROWS($G$35:G35)-1)+1),"")</f>
        <v>0</v>
      </c>
      <c r="H35" s="14">
        <f>IFERROR(ROUND(INDEX('M03-S03'!$AI$18:$AI$199,2*(ROWS(H$35:H35)-1)+1),2),"")</f>
        <v>0</v>
      </c>
      <c r="I35" s="14">
        <f>IFERROR(ROUND(INDEX('M03-S03'!$AK$18:$AK$199,2*(ROWS(I$35:I35)-1)+1),2),"")</f>
        <v>0</v>
      </c>
      <c r="J35" s="14" t="str">
        <f>IFERROR(ROUND(INDEX('M03-S03'!$AX$18:$AX$199,2*(ROWS(J$35:J35)-1)+1),2),"")</f>
        <v/>
      </c>
      <c r="K35" t="s">
        <v>84</v>
      </c>
      <c r="L35" s="10">
        <f>IFERROR(ROUND(INDEX('M03-S03'!$O$18:$O$199,2*(ROWS(L$35:L35)-1)+1),3),"")</f>
        <v>0</v>
      </c>
      <c r="M35" s="10">
        <f>IFERROR(ROUND(INDEX('M03-S03'!$O$18:$O$199,2*(ROWS(M$35:M35)-1)+1),3),"")</f>
        <v>0</v>
      </c>
      <c r="N35" s="37" t="str">
        <f>IFERROR(INDEX('M03-S03'!$AZ$18:$AZ$199,2*(ROWS(N$35:N35)-1)+1),"")</f>
        <v/>
      </c>
      <c r="O35" s="37" t="str">
        <f>IFERROR(INDEX('M03-S03'!$BE$18:$BE$199,2*(ROWS(O$35:O35)-1)+1),"")</f>
        <v/>
      </c>
      <c r="P35" s="37" t="str">
        <f>IFERROR(INDEX('M03-S03'!$BA$18:$BA$199,2*(ROWS(P$35:P35)-1)+1),"")</f>
        <v/>
      </c>
      <c r="Q35" s="37" t="str">
        <f>IFERROR(INDEX('M03-S03'!$BF$18:$BF$199,2*(ROWS(Q$35:Q35)-1)+1),"")</f>
        <v/>
      </c>
      <c r="R35" s="14" t="str">
        <f>IFERROR(INDEX('M03-S03'!$AR$18:$AR$199,2*(ROWS(R$35:R35)-1)+1),"")</f>
        <v/>
      </c>
      <c r="S35" s="207"/>
      <c r="T35" s="207"/>
      <c r="U35" s="207"/>
      <c r="V35" s="194"/>
      <c r="W35" s="218"/>
      <c r="X35" s="218"/>
      <c r="Y35" s="210"/>
      <c r="Z35" s="210"/>
      <c r="AA35" s="219"/>
      <c r="AB35" s="219"/>
      <c r="AC35" s="194"/>
      <c r="AD35" s="37">
        <f>IFERROR(INDEX('M03-S03'!$BB$18:$BB$199,2*(ROWS(AD$35:AD35)-1)+1),"")</f>
        <v>0</v>
      </c>
      <c r="AE35" s="37">
        <f>IFERROR(INDEX('M03-S03'!$BC$18:$BC$199,2*(ROWS(AE$35:AE35)-1)+1),"")</f>
        <v>0</v>
      </c>
      <c r="AF35" s="210"/>
      <c r="AG35" s="210"/>
      <c r="AH35" s="31">
        <f>IFERROR(INDEX('M03-S03'!$Q$18:$Q$199,2*(ROWS(AH$35:AH35)-1)+1),"")</f>
        <v>0</v>
      </c>
      <c r="AI35">
        <f>IFERROR(INDEX('M03-S03'!$B$18:$B$199,2*(ROWS(AI$35:AI35)-1)+1),"")</f>
        <v>1</v>
      </c>
      <c r="AJ35" s="194"/>
      <c r="AK35">
        <f>IFERROR(INDEX('M03-S03'!$C$18:$C$199,2*(ROWS(AK$35:AK35)-1)+1),"")</f>
        <v>0</v>
      </c>
      <c r="AL35" s="194"/>
      <c r="AM35">
        <f>IFERROR(INDEX('M03-S03'!$AB$18:$AB$199,2*(ROWS(AM$35:AM35)-1)+1),"")</f>
        <v>0</v>
      </c>
      <c r="AN35" s="207"/>
      <c r="AO35" s="207"/>
      <c r="AP35" t="str">
        <f>IFERROR(INDEX('M03-S03'!$AY$18:$AY$199,2*(ROWS(AP$35:AP35)-1)+1),"")</f>
        <v/>
      </c>
      <c r="AQ35" s="194"/>
      <c r="AR35" t="str">
        <f>IFERROR(INDEX(STDLIGHTCONT[Reporting Methodology],MATCH(EXPORT!C35,STDLIGHTCONT[Measure Number],0)),"")</f>
        <v/>
      </c>
      <c r="AS35" t="str">
        <f>IFERROR(INDEX(STDLIGHTCONT[Primary Key],MATCH(C35,STDLIGHTCONT[Measure Number],0)),"")</f>
        <v/>
      </c>
      <c r="AT35" s="14" t="str" cm="1">
        <f t="array" ref="AT35">_xlfn.LET(_xlpm.ROWS, 2*(ROWS(AT$35:AT35)-1)+1,IFERROR(INDEX('M03-S03'!$AR$18:$AR$199, _xlpm.ROWS)-INDEX('M03-S03'!$BQ$18:$BQ$199, _xlpm.ROWS),""))</f>
        <v/>
      </c>
      <c r="BL35"/>
      <c r="BP35"/>
      <c r="BQ35"/>
      <c r="BR35"/>
      <c r="CD35"/>
      <c r="CE35"/>
      <c r="CF35"/>
      <c r="CQ35"/>
      <c r="CR35"/>
      <c r="CS35"/>
      <c r="DS35"/>
      <c r="DT35"/>
      <c r="DU35"/>
    </row>
    <row r="36" spans="1:125" hidden="1">
      <c r="A36" s="15">
        <f t="shared" si="2"/>
        <v>0</v>
      </c>
      <c r="B36" t="str">
        <f t="shared" ref="B36:B49" si="3">IF(C36="","",CONCATENATE(ROW(),"-",C36))</f>
        <v/>
      </c>
      <c r="C36" t="str">
        <f>IFERROR(IF(R36&gt;0,INDEX('M03-S03'!$BH$18:$BH$199,2*(ROWS($C$35:C36)-1)+1),""),"")</f>
        <v/>
      </c>
      <c r="D36" t="s">
        <v>1320</v>
      </c>
      <c r="E36" t="str">
        <f>IFERROR(INDEX('M03-S03'!$BD$18:$BD$199,2*(ROWS($E$35:E36)-1)+1),"")</f>
        <v/>
      </c>
      <c r="F36" s="31">
        <f>IFERROR(INDEX('M03-S03'!$T$18:$T$199,2*(ROWS($F$35:F36)-1)+1),"")</f>
        <v>0</v>
      </c>
      <c r="G36">
        <f>IFERROR(INDEX('M03-S03'!$AF$18:$AF$199,2*(ROWS($G$35:G36)-1)+1),"")</f>
        <v>0</v>
      </c>
      <c r="H36" s="14">
        <f>IFERROR(ROUND(INDEX('M03-S03'!$AI$18:$AI$199,2*(ROWS(H$35:H36)-1)+1),2),"")</f>
        <v>0</v>
      </c>
      <c r="I36" s="14">
        <f>IFERROR(ROUND(INDEX('M03-S03'!$AK$18:$AK$199,2*(ROWS(I$35:I36)-1)+1),2),"")</f>
        <v>0</v>
      </c>
      <c r="J36" s="14" t="str">
        <f>IFERROR(ROUND(INDEX('M03-S03'!$AX$18:$AX$199,2*(ROWS(J$35:J36)-1)+1),2),"")</f>
        <v/>
      </c>
      <c r="K36" t="s">
        <v>84</v>
      </c>
      <c r="L36" s="10">
        <f>IFERROR(ROUND(INDEX('M03-S03'!$O$18:$O$199,2*(ROWS(L$35:L36)-1)+1),3),"")</f>
        <v>0</v>
      </c>
      <c r="M36" s="10">
        <f>IFERROR(ROUND(INDEX('M03-S03'!$O$18:$O$199,2*(ROWS(M$35:M36)-1)+1),3),"")</f>
        <v>0</v>
      </c>
      <c r="N36" s="37" t="str">
        <f>IFERROR(INDEX('M03-S03'!$AZ$18:$AZ$199,2*(ROWS(N$35:N36)-1)+1),"")</f>
        <v/>
      </c>
      <c r="O36" s="37" t="str">
        <f>IFERROR(INDEX('M03-S03'!$BE$18:$BE$199,2*(ROWS(O$35:O36)-1)+1),"")</f>
        <v/>
      </c>
      <c r="P36" s="37" t="str">
        <f>IFERROR(INDEX('M03-S03'!$BA$18:$BA$199,2*(ROWS(P$35:P36)-1)+1),"")</f>
        <v/>
      </c>
      <c r="Q36" s="37" t="str">
        <f>IFERROR(INDEX('M03-S03'!$BF$18:$BF$199,2*(ROWS(Q$35:Q36)-1)+1),"")</f>
        <v/>
      </c>
      <c r="R36" s="14" t="str">
        <f>IFERROR(INDEX('M03-S03'!$AR$18:$AR$199,2*(ROWS(R$35:R36)-1)+1),"")</f>
        <v/>
      </c>
      <c r="S36" s="207"/>
      <c r="T36" s="207"/>
      <c r="U36" s="207"/>
      <c r="V36" s="194"/>
      <c r="W36" s="218"/>
      <c r="X36" s="218"/>
      <c r="Y36" s="210"/>
      <c r="Z36" s="210"/>
      <c r="AA36" s="219"/>
      <c r="AB36" s="219"/>
      <c r="AC36" s="194"/>
      <c r="AD36" s="37">
        <f>IFERROR(INDEX('M03-S03'!$BB$18:$BB$199,2*(ROWS(AD$35:AD36)-1)+1),"")</f>
        <v>0</v>
      </c>
      <c r="AE36" s="37">
        <f>IFERROR(INDEX('M03-S03'!$BC$18:$BC$199,2*(ROWS(AE$35:AE36)-1)+1),"")</f>
        <v>0</v>
      </c>
      <c r="AF36" s="210"/>
      <c r="AG36" s="210"/>
      <c r="AH36" s="31">
        <f>IFERROR(INDEX('M03-S03'!$Q$18:$Q$199,2*(ROWS(AH$35:AH36)-1)+1),"")</f>
        <v>0</v>
      </c>
      <c r="AI36">
        <f>IFERROR(INDEX('M03-S03'!$B$18:$B$199,2*(ROWS(AI$35:AI36)-1)+1),"")</f>
        <v>2</v>
      </c>
      <c r="AJ36" s="194"/>
      <c r="AK36">
        <f>IFERROR(INDEX('M03-S03'!$C$18:$C$199,2*(ROWS(AK$35:AK36)-1)+1),"")</f>
        <v>0</v>
      </c>
      <c r="AL36" s="194"/>
      <c r="AM36">
        <f>IFERROR(INDEX('M03-S03'!$AB$18:$AB$199,2*(ROWS(AM$35:AM36)-1)+1),"")</f>
        <v>0</v>
      </c>
      <c r="AN36" s="207"/>
      <c r="AO36" s="207"/>
      <c r="AP36" t="str">
        <f>IFERROR(INDEX('M03-S03'!$AY$18:$AY$199,2*(ROWS(AP$35:AP36)-1)+1),"")</f>
        <v/>
      </c>
      <c r="AQ36" s="194"/>
      <c r="AR36" t="str">
        <f>IFERROR(INDEX(STDLIGHTCONT[Reporting Methodology],MATCH(EXPORT!C36,STDLIGHTCONT[Measure Number],0)),"")</f>
        <v/>
      </c>
      <c r="AS36" t="str">
        <f>IFERROR(INDEX(STDLIGHTCONT[Primary Key],MATCH(C36,STDLIGHTCONT[Measure Number],0)),"")</f>
        <v/>
      </c>
      <c r="AT36" s="14" t="str" cm="1">
        <f t="array" ref="AT36">_xlfn.LET(_xlpm.ROWS, 2*(ROWS(AT$35:AT36)-1)+1,IFERROR(INDEX('M03-S03'!$AR$18:$AR$199, _xlpm.ROWS)-INDEX('M03-S03'!$BQ$18:$BQ$199, _xlpm.ROWS),""))</f>
        <v/>
      </c>
      <c r="BL36"/>
      <c r="BP36"/>
      <c r="BQ36"/>
      <c r="BR36"/>
      <c r="CD36"/>
      <c r="CE36"/>
      <c r="CF36"/>
      <c r="CQ36"/>
      <c r="CR36"/>
      <c r="CS36"/>
      <c r="DS36"/>
      <c r="DT36"/>
      <c r="DU36"/>
    </row>
    <row r="37" spans="1:125" hidden="1">
      <c r="A37" s="15">
        <f t="shared" si="2"/>
        <v>0</v>
      </c>
      <c r="B37" t="str">
        <f t="shared" si="3"/>
        <v/>
      </c>
      <c r="C37" t="str">
        <f>IFERROR(IF(R37&gt;0,INDEX('M03-S03'!$BH$18:$BH$199,2*(ROWS($C$35:C37)-1)+1),""),"")</f>
        <v/>
      </c>
      <c r="D37" t="s">
        <v>1320</v>
      </c>
      <c r="E37" t="str">
        <f>IFERROR(INDEX('M03-S03'!$BD$18:$BD$199,2*(ROWS($E$35:E37)-1)+1),"")</f>
        <v/>
      </c>
      <c r="F37" s="31">
        <f>IFERROR(INDEX('M03-S03'!$T$18:$T$199,2*(ROWS($F$35:F37)-1)+1),"")</f>
        <v>0</v>
      </c>
      <c r="G37">
        <f>IFERROR(INDEX('M03-S03'!$AF$18:$AF$199,2*(ROWS($G$35:G37)-1)+1),"")</f>
        <v>0</v>
      </c>
      <c r="H37" s="14">
        <f>IFERROR(ROUND(INDEX('M03-S03'!$AI$18:$AI$199,2*(ROWS(H$35:H37)-1)+1),2),"")</f>
        <v>0</v>
      </c>
      <c r="I37" s="14">
        <f>IFERROR(ROUND(INDEX('M03-S03'!$AK$18:$AK$199,2*(ROWS(I$35:I37)-1)+1),2),"")</f>
        <v>0</v>
      </c>
      <c r="J37" s="14" t="str">
        <f>IFERROR(ROUND(INDEX('M03-S03'!$AX$18:$AX$199,2*(ROWS(J$35:J37)-1)+1),2),"")</f>
        <v/>
      </c>
      <c r="K37" t="s">
        <v>84</v>
      </c>
      <c r="L37" s="10">
        <f>IFERROR(ROUND(INDEX('M03-S03'!$O$18:$O$199,2*(ROWS(L$35:L37)-1)+1),3),"")</f>
        <v>0</v>
      </c>
      <c r="M37" s="10">
        <f>IFERROR(ROUND(INDEX('M03-S03'!$O$18:$O$199,2*(ROWS(M$35:M37)-1)+1),3),"")</f>
        <v>0</v>
      </c>
      <c r="N37" s="37" t="str">
        <f>IFERROR(INDEX('M03-S03'!$AZ$18:$AZ$199,2*(ROWS(N$35:N37)-1)+1),"")</f>
        <v/>
      </c>
      <c r="O37" s="37" t="str">
        <f>IFERROR(INDEX('M03-S03'!$BE$18:$BE$199,2*(ROWS(O$35:O37)-1)+1),"")</f>
        <v/>
      </c>
      <c r="P37" s="37" t="str">
        <f>IFERROR(INDEX('M03-S03'!$BA$18:$BA$199,2*(ROWS(P$35:P37)-1)+1),"")</f>
        <v/>
      </c>
      <c r="Q37" s="37" t="str">
        <f>IFERROR(INDEX('M03-S03'!$BF$18:$BF$199,2*(ROWS(Q$35:Q37)-1)+1),"")</f>
        <v/>
      </c>
      <c r="R37" s="14" t="str">
        <f>IFERROR(INDEX('M03-S03'!$AR$18:$AR$199,2*(ROWS(R$35:R37)-1)+1),"")</f>
        <v/>
      </c>
      <c r="S37" s="207"/>
      <c r="T37" s="207"/>
      <c r="U37" s="207"/>
      <c r="V37" s="194"/>
      <c r="W37" s="218"/>
      <c r="X37" s="218"/>
      <c r="Y37" s="210"/>
      <c r="Z37" s="210"/>
      <c r="AA37" s="219"/>
      <c r="AB37" s="219"/>
      <c r="AC37" s="194"/>
      <c r="AD37" s="37">
        <f>IFERROR(INDEX('M03-S03'!$BB$18:$BB$199,2*(ROWS(AD$35:AD37)-1)+1),"")</f>
        <v>0</v>
      </c>
      <c r="AE37" s="37">
        <f>IFERROR(INDEX('M03-S03'!$BC$18:$BC$199,2*(ROWS(AE$35:AE37)-1)+1),"")</f>
        <v>0</v>
      </c>
      <c r="AF37" s="210"/>
      <c r="AG37" s="210"/>
      <c r="AH37" s="31">
        <f>IFERROR(INDEX('M03-S03'!$Q$18:$Q$199,2*(ROWS(AH$35:AH37)-1)+1),"")</f>
        <v>0</v>
      </c>
      <c r="AI37">
        <f>IFERROR(INDEX('M03-S03'!$B$18:$B$199,2*(ROWS(AI$35:AI37)-1)+1),"")</f>
        <v>3</v>
      </c>
      <c r="AJ37" s="194"/>
      <c r="AK37">
        <f>IFERROR(INDEX('M03-S03'!$C$18:$C$199,2*(ROWS(AK$35:AK37)-1)+1),"")</f>
        <v>0</v>
      </c>
      <c r="AL37" s="194"/>
      <c r="AM37">
        <f>IFERROR(INDEX('M03-S03'!$AB$18:$AB$199,2*(ROWS(AM$35:AM37)-1)+1),"")</f>
        <v>0</v>
      </c>
      <c r="AN37" s="207"/>
      <c r="AO37" s="207"/>
      <c r="AP37" t="str">
        <f>IFERROR(INDEX('M03-S03'!$AY$18:$AY$199,2*(ROWS(AP$35:AP37)-1)+1),"")</f>
        <v/>
      </c>
      <c r="AQ37" s="194"/>
      <c r="AR37" t="str">
        <f>IFERROR(INDEX(STDLIGHTCONT[Reporting Methodology],MATCH(EXPORT!C37,STDLIGHTCONT[Measure Number],0)),"")</f>
        <v/>
      </c>
      <c r="AS37" t="str">
        <f>IFERROR(INDEX(STDLIGHTCONT[Primary Key],MATCH(C37,STDLIGHTCONT[Measure Number],0)),"")</f>
        <v/>
      </c>
      <c r="AT37" s="14" t="str" cm="1">
        <f t="array" ref="AT37">_xlfn.LET(_xlpm.ROWS, 2*(ROWS(AT$35:AT37)-1)+1,IFERROR(INDEX('M03-S03'!$AR$18:$AR$199, _xlpm.ROWS)-INDEX('M03-S03'!$BQ$18:$BQ$199, _xlpm.ROWS),""))</f>
        <v/>
      </c>
      <c r="BL37"/>
      <c r="BP37"/>
      <c r="BQ37"/>
      <c r="BR37"/>
      <c r="CD37"/>
      <c r="CE37"/>
      <c r="CF37"/>
      <c r="CQ37"/>
      <c r="CR37"/>
      <c r="CS37"/>
      <c r="DS37"/>
      <c r="DT37"/>
      <c r="DU37"/>
    </row>
    <row r="38" spans="1:125" hidden="1">
      <c r="A38" s="15">
        <f t="shared" si="2"/>
        <v>0</v>
      </c>
      <c r="B38" t="str">
        <f t="shared" si="3"/>
        <v/>
      </c>
      <c r="C38" t="str">
        <f>IFERROR(IF(R38&gt;0,INDEX('M03-S03'!$BH$18:$BH$199,2*(ROWS($C$35:C38)-1)+1),""),"")</f>
        <v/>
      </c>
      <c r="D38" t="s">
        <v>1320</v>
      </c>
      <c r="E38" t="str">
        <f>IFERROR(INDEX('M03-S03'!$BD$18:$BD$199,2*(ROWS($E$35:E38)-1)+1),"")</f>
        <v/>
      </c>
      <c r="F38" s="31">
        <f>IFERROR(INDEX('M03-S03'!$T$18:$T$199,2*(ROWS($F$35:F38)-1)+1),"")</f>
        <v>0</v>
      </c>
      <c r="G38">
        <f>IFERROR(INDEX('M03-S03'!$AF$18:$AF$199,2*(ROWS($G$35:G38)-1)+1),"")</f>
        <v>0</v>
      </c>
      <c r="H38" s="14">
        <f>IFERROR(ROUND(INDEX('M03-S03'!$AI$18:$AI$199,2*(ROWS(H$35:H38)-1)+1),2),"")</f>
        <v>0</v>
      </c>
      <c r="I38" s="14">
        <f>IFERROR(ROUND(INDEX('M03-S03'!$AK$18:$AK$199,2*(ROWS(I$35:I38)-1)+1),2),"")</f>
        <v>0</v>
      </c>
      <c r="J38" s="14" t="str">
        <f>IFERROR(ROUND(INDEX('M03-S03'!$AX$18:$AX$199,2*(ROWS(J$35:J38)-1)+1),2),"")</f>
        <v/>
      </c>
      <c r="K38" t="s">
        <v>84</v>
      </c>
      <c r="L38" s="10">
        <f>IFERROR(ROUND(INDEX('M03-S03'!$O$18:$O$199,2*(ROWS(L$35:L38)-1)+1),3),"")</f>
        <v>0</v>
      </c>
      <c r="M38" s="10">
        <f>IFERROR(ROUND(INDEX('M03-S03'!$O$18:$O$199,2*(ROWS(M$35:M38)-1)+1),3),"")</f>
        <v>0</v>
      </c>
      <c r="N38" s="37" t="str">
        <f>IFERROR(INDEX('M03-S03'!$AZ$18:$AZ$199,2*(ROWS(N$35:N38)-1)+1),"")</f>
        <v/>
      </c>
      <c r="O38" s="37" t="str">
        <f>IFERROR(INDEX('M03-S03'!$BE$18:$BE$199,2*(ROWS(O$35:O38)-1)+1),"")</f>
        <v/>
      </c>
      <c r="P38" s="37" t="str">
        <f>IFERROR(INDEX('M03-S03'!$BA$18:$BA$199,2*(ROWS(P$35:P38)-1)+1),"")</f>
        <v/>
      </c>
      <c r="Q38" s="37" t="str">
        <f>IFERROR(INDEX('M03-S03'!$BF$18:$BF$199,2*(ROWS(Q$35:Q38)-1)+1),"")</f>
        <v/>
      </c>
      <c r="R38" s="14" t="str">
        <f>IFERROR(INDEX('M03-S03'!$AR$18:$AR$199,2*(ROWS(R$35:R38)-1)+1),"")</f>
        <v/>
      </c>
      <c r="S38" s="207"/>
      <c r="T38" s="207"/>
      <c r="U38" s="207"/>
      <c r="V38" s="194"/>
      <c r="W38" s="218"/>
      <c r="X38" s="218"/>
      <c r="Y38" s="210"/>
      <c r="Z38" s="210"/>
      <c r="AA38" s="219"/>
      <c r="AB38" s="219"/>
      <c r="AC38" s="194"/>
      <c r="AD38" s="37">
        <f>IFERROR(INDEX('M03-S03'!$BB$18:$BB$199,2*(ROWS(AD$35:AD38)-1)+1),"")</f>
        <v>0</v>
      </c>
      <c r="AE38" s="37">
        <f>IFERROR(INDEX('M03-S03'!$BC$18:$BC$199,2*(ROWS(AE$35:AE38)-1)+1),"")</f>
        <v>0</v>
      </c>
      <c r="AF38" s="210"/>
      <c r="AG38" s="210"/>
      <c r="AH38" s="31">
        <f>IFERROR(INDEX('M03-S03'!$Q$18:$Q$199,2*(ROWS(AH$35:AH38)-1)+1),"")</f>
        <v>0</v>
      </c>
      <c r="AI38">
        <f>IFERROR(INDEX('M03-S03'!$B$18:$B$199,2*(ROWS(AI$35:AI38)-1)+1),"")</f>
        <v>4</v>
      </c>
      <c r="AJ38" s="194"/>
      <c r="AK38">
        <f>IFERROR(INDEX('M03-S03'!$C$18:$C$199,2*(ROWS(AK$35:AK38)-1)+1),"")</f>
        <v>0</v>
      </c>
      <c r="AL38" s="194"/>
      <c r="AM38">
        <f>IFERROR(INDEX('M03-S03'!$AB$18:$AB$199,2*(ROWS(AM$35:AM38)-1)+1),"")</f>
        <v>0</v>
      </c>
      <c r="AN38" s="207"/>
      <c r="AO38" s="207"/>
      <c r="AP38" t="str">
        <f>IFERROR(INDEX('M03-S03'!$AY$18:$AY$199,2*(ROWS(AP$35:AP38)-1)+1),"")</f>
        <v/>
      </c>
      <c r="AQ38" s="194"/>
      <c r="AR38" t="str">
        <f>IFERROR(INDEX(STDLIGHTCONT[Reporting Methodology],MATCH(EXPORT!C38,STDLIGHTCONT[Measure Number],0)),"")</f>
        <v/>
      </c>
      <c r="AS38" t="str">
        <f>IFERROR(INDEX(STDLIGHTCONT[Primary Key],MATCH(C38,STDLIGHTCONT[Measure Number],0)),"")</f>
        <v/>
      </c>
      <c r="AT38" s="14" t="str" cm="1">
        <f t="array" ref="AT38">_xlfn.LET(_xlpm.ROWS, 2*(ROWS(AT$35:AT38)-1)+1,IFERROR(INDEX('M03-S03'!$AR$18:$AR$199, _xlpm.ROWS)-INDEX('M03-S03'!$BQ$18:$BQ$199, _xlpm.ROWS),""))</f>
        <v/>
      </c>
      <c r="BL38"/>
      <c r="BP38"/>
      <c r="BQ38"/>
      <c r="BR38"/>
      <c r="CD38"/>
      <c r="CE38"/>
      <c r="CF38"/>
      <c r="CQ38"/>
      <c r="CR38"/>
      <c r="CS38"/>
      <c r="DS38"/>
      <c r="DT38"/>
      <c r="DU38"/>
    </row>
    <row r="39" spans="1:125" hidden="1">
      <c r="A39" s="15">
        <f t="shared" si="2"/>
        <v>0</v>
      </c>
      <c r="B39" t="str">
        <f t="shared" si="3"/>
        <v/>
      </c>
      <c r="C39" t="str">
        <f>IFERROR(IF(R39&gt;0,INDEX('M03-S03'!$BH$18:$BH$199,2*(ROWS($C$35:C39)-1)+1),""),"")</f>
        <v/>
      </c>
      <c r="D39" t="s">
        <v>1320</v>
      </c>
      <c r="E39" t="str">
        <f>IFERROR(INDEX('M03-S03'!$BD$18:$BD$199,2*(ROWS($E$35:E39)-1)+1),"")</f>
        <v/>
      </c>
      <c r="F39" s="31">
        <f>IFERROR(INDEX('M03-S03'!$T$18:$T$199,2*(ROWS($F$35:F39)-1)+1),"")</f>
        <v>0</v>
      </c>
      <c r="G39">
        <f>IFERROR(INDEX('M03-S03'!$AF$18:$AF$199,2*(ROWS($G$35:G39)-1)+1),"")</f>
        <v>0</v>
      </c>
      <c r="H39" s="14">
        <f>IFERROR(ROUND(INDEX('M03-S03'!$AI$18:$AI$199,2*(ROWS(H$35:H39)-1)+1),2),"")</f>
        <v>0</v>
      </c>
      <c r="I39" s="14">
        <f>IFERROR(ROUND(INDEX('M03-S03'!$AK$18:$AK$199,2*(ROWS(I$35:I39)-1)+1),2),"")</f>
        <v>0</v>
      </c>
      <c r="J39" s="14" t="str">
        <f>IFERROR(ROUND(INDEX('M03-S03'!$AX$18:$AX$199,2*(ROWS(J$35:J39)-1)+1),2),"")</f>
        <v/>
      </c>
      <c r="K39" t="s">
        <v>84</v>
      </c>
      <c r="L39" s="10">
        <f>IFERROR(ROUND(INDEX('M03-S03'!$O$18:$O$199,2*(ROWS(L$35:L39)-1)+1),3),"")</f>
        <v>0</v>
      </c>
      <c r="M39" s="10">
        <f>IFERROR(ROUND(INDEX('M03-S03'!$O$18:$O$199,2*(ROWS(M$35:M39)-1)+1),3),"")</f>
        <v>0</v>
      </c>
      <c r="N39" s="37" t="str">
        <f>IFERROR(INDEX('M03-S03'!$AZ$18:$AZ$199,2*(ROWS(N$35:N39)-1)+1),"")</f>
        <v/>
      </c>
      <c r="O39" s="37" t="str">
        <f>IFERROR(INDEX('M03-S03'!$BE$18:$BE$199,2*(ROWS(O$35:O39)-1)+1),"")</f>
        <v/>
      </c>
      <c r="P39" s="37" t="str">
        <f>IFERROR(INDEX('M03-S03'!$BA$18:$BA$199,2*(ROWS(P$35:P39)-1)+1),"")</f>
        <v/>
      </c>
      <c r="Q39" s="37" t="str">
        <f>IFERROR(INDEX('M03-S03'!$BF$18:$BF$199,2*(ROWS(Q$35:Q39)-1)+1),"")</f>
        <v/>
      </c>
      <c r="R39" s="14" t="str">
        <f>IFERROR(INDEX('M03-S03'!$AR$18:$AR$199,2*(ROWS(R$35:R39)-1)+1),"")</f>
        <v/>
      </c>
      <c r="S39" s="207"/>
      <c r="T39" s="207"/>
      <c r="U39" s="207"/>
      <c r="V39" s="194"/>
      <c r="W39" s="218"/>
      <c r="X39" s="218"/>
      <c r="Y39" s="210"/>
      <c r="Z39" s="210"/>
      <c r="AA39" s="219"/>
      <c r="AB39" s="219"/>
      <c r="AC39" s="194"/>
      <c r="AD39" s="37">
        <f>IFERROR(INDEX('M03-S03'!$BB$18:$BB$199,2*(ROWS(AD$35:AD39)-1)+1),"")</f>
        <v>0</v>
      </c>
      <c r="AE39" s="37">
        <f>IFERROR(INDEX('M03-S03'!$BC$18:$BC$199,2*(ROWS(AE$35:AE39)-1)+1),"")</f>
        <v>0</v>
      </c>
      <c r="AF39" s="210"/>
      <c r="AG39" s="210"/>
      <c r="AH39" s="31">
        <f>IFERROR(INDEX('M03-S03'!$Q$18:$Q$199,2*(ROWS(AH$35:AH39)-1)+1),"")</f>
        <v>0</v>
      </c>
      <c r="AI39">
        <f>IFERROR(INDEX('M03-S03'!$B$18:$B$199,2*(ROWS(AI$35:AI39)-1)+1),"")</f>
        <v>5</v>
      </c>
      <c r="AJ39" s="194"/>
      <c r="AK39">
        <f>IFERROR(INDEX('M03-S03'!$C$18:$C$199,2*(ROWS(AK$35:AK39)-1)+1),"")</f>
        <v>0</v>
      </c>
      <c r="AL39" s="194"/>
      <c r="AM39">
        <f>IFERROR(INDEX('M03-S03'!$AB$18:$AB$199,2*(ROWS(AM$35:AM39)-1)+1),"")</f>
        <v>0</v>
      </c>
      <c r="AN39" s="207"/>
      <c r="AO39" s="207"/>
      <c r="AP39" t="str">
        <f>IFERROR(INDEX('M03-S03'!$AY$18:$AY$199,2*(ROWS(AP$35:AP39)-1)+1),"")</f>
        <v/>
      </c>
      <c r="AQ39" s="194"/>
      <c r="AR39" t="str">
        <f>IFERROR(INDEX(STDLIGHTCONT[Reporting Methodology],MATCH(EXPORT!C39,STDLIGHTCONT[Measure Number],0)),"")</f>
        <v/>
      </c>
      <c r="AS39" t="str">
        <f>IFERROR(INDEX(STDLIGHTCONT[Primary Key],MATCH(C39,STDLIGHTCONT[Measure Number],0)),"")</f>
        <v/>
      </c>
      <c r="AT39" s="14" t="str" cm="1">
        <f t="array" ref="AT39">_xlfn.LET(_xlpm.ROWS, 2*(ROWS(AT$35:AT39)-1)+1,IFERROR(INDEX('M03-S03'!$AR$18:$AR$199, _xlpm.ROWS)-INDEX('M03-S03'!$BQ$18:$BQ$199, _xlpm.ROWS),""))</f>
        <v/>
      </c>
      <c r="BL39"/>
      <c r="BP39"/>
      <c r="BQ39"/>
      <c r="BR39"/>
      <c r="CD39"/>
      <c r="CE39"/>
      <c r="CF39"/>
      <c r="CQ39"/>
      <c r="CR39"/>
      <c r="CS39"/>
      <c r="DS39"/>
      <c r="DT39"/>
      <c r="DU39"/>
    </row>
    <row r="40" spans="1:125" hidden="1">
      <c r="A40" s="15">
        <f t="shared" si="2"/>
        <v>0</v>
      </c>
      <c r="B40" t="str">
        <f t="shared" si="3"/>
        <v/>
      </c>
      <c r="C40" t="str">
        <f>IFERROR(IF(R40&gt;0,INDEX('M03-S03'!$BH$18:$BH$199,2*(ROWS($C$35:C40)-1)+1),""),"")</f>
        <v/>
      </c>
      <c r="D40" t="s">
        <v>1320</v>
      </c>
      <c r="E40" t="str">
        <f>IFERROR(INDEX('M03-S03'!$BD$18:$BD$199,2*(ROWS($E$35:E40)-1)+1),"")</f>
        <v/>
      </c>
      <c r="F40" s="31">
        <f>IFERROR(INDEX('M03-S03'!$T$18:$T$199,2*(ROWS($F$35:F40)-1)+1),"")</f>
        <v>0</v>
      </c>
      <c r="G40">
        <f>IFERROR(INDEX('M03-S03'!$AF$18:$AF$199,2*(ROWS($G$35:G40)-1)+1),"")</f>
        <v>0</v>
      </c>
      <c r="H40" s="14">
        <f>IFERROR(ROUND(INDEX('M03-S03'!$AI$18:$AI$199,2*(ROWS(H$35:H40)-1)+1),2),"")</f>
        <v>0</v>
      </c>
      <c r="I40" s="14">
        <f>IFERROR(ROUND(INDEX('M03-S03'!$AK$18:$AK$199,2*(ROWS(I$35:I40)-1)+1),2),"")</f>
        <v>0</v>
      </c>
      <c r="J40" s="14" t="str">
        <f>IFERROR(ROUND(INDEX('M03-S03'!$AX$18:$AX$199,2*(ROWS(J$35:J40)-1)+1),2),"")</f>
        <v/>
      </c>
      <c r="K40" t="s">
        <v>84</v>
      </c>
      <c r="L40" s="10">
        <f>IFERROR(ROUND(INDEX('M03-S03'!$O$18:$O$199,2*(ROWS(L$35:L40)-1)+1),3),"")</f>
        <v>0</v>
      </c>
      <c r="M40" s="10">
        <f>IFERROR(ROUND(INDEX('M03-S03'!$O$18:$O$199,2*(ROWS(M$35:M40)-1)+1),3),"")</f>
        <v>0</v>
      </c>
      <c r="N40" s="37" t="str">
        <f>IFERROR(INDEX('M03-S03'!$AZ$18:$AZ$199,2*(ROWS(N$35:N40)-1)+1),"")</f>
        <v/>
      </c>
      <c r="O40" s="37" t="str">
        <f>IFERROR(INDEX('M03-S03'!$BE$18:$BE$199,2*(ROWS(O$35:O40)-1)+1),"")</f>
        <v/>
      </c>
      <c r="P40" s="37" t="str">
        <f>IFERROR(INDEX('M03-S03'!$BA$18:$BA$199,2*(ROWS(P$35:P40)-1)+1),"")</f>
        <v/>
      </c>
      <c r="Q40" s="37" t="str">
        <f>IFERROR(INDEX('M03-S03'!$BF$18:$BF$199,2*(ROWS(Q$35:Q40)-1)+1),"")</f>
        <v/>
      </c>
      <c r="R40" s="14" t="str">
        <f>IFERROR(INDEX('M03-S03'!$AR$18:$AR$199,2*(ROWS(R$35:R40)-1)+1),"")</f>
        <v/>
      </c>
      <c r="S40" s="207"/>
      <c r="T40" s="207"/>
      <c r="U40" s="207"/>
      <c r="V40" s="194"/>
      <c r="W40" s="218"/>
      <c r="X40" s="218"/>
      <c r="Y40" s="210"/>
      <c r="Z40" s="210"/>
      <c r="AA40" s="219"/>
      <c r="AB40" s="219"/>
      <c r="AC40" s="194"/>
      <c r="AD40" s="37">
        <f>IFERROR(INDEX('M03-S03'!$BB$18:$BB$199,2*(ROWS(AD$35:AD40)-1)+1),"")</f>
        <v>0</v>
      </c>
      <c r="AE40" s="37">
        <f>IFERROR(INDEX('M03-S03'!$BC$18:$BC$199,2*(ROWS(AE$35:AE40)-1)+1),"")</f>
        <v>0</v>
      </c>
      <c r="AF40" s="210"/>
      <c r="AG40" s="210"/>
      <c r="AH40" s="31">
        <f>IFERROR(INDEX('M03-S03'!$Q$18:$Q$199,2*(ROWS(AH$35:AH40)-1)+1),"")</f>
        <v>0</v>
      </c>
      <c r="AI40">
        <f>IFERROR(INDEX('M03-S03'!$B$18:$B$199,2*(ROWS(AI$35:AI40)-1)+1),"")</f>
        <v>6</v>
      </c>
      <c r="AJ40" s="194"/>
      <c r="AK40">
        <f>IFERROR(INDEX('M03-S03'!$C$18:$C$199,2*(ROWS(AK$35:AK40)-1)+1),"")</f>
        <v>0</v>
      </c>
      <c r="AL40" s="194"/>
      <c r="AM40">
        <f>IFERROR(INDEX('M03-S03'!$AB$18:$AB$199,2*(ROWS(AM$35:AM40)-1)+1),"")</f>
        <v>0</v>
      </c>
      <c r="AN40" s="207"/>
      <c r="AO40" s="207"/>
      <c r="AP40" t="str">
        <f>IFERROR(INDEX('M03-S03'!$AY$18:$AY$199,2*(ROWS(AP$35:AP40)-1)+1),"")</f>
        <v/>
      </c>
      <c r="AQ40" s="194"/>
      <c r="AR40" t="str">
        <f>IFERROR(INDEX(STDLIGHTCONT[Reporting Methodology],MATCH(EXPORT!C40,STDLIGHTCONT[Measure Number],0)),"")</f>
        <v/>
      </c>
      <c r="AS40" t="str">
        <f>IFERROR(INDEX(STDLIGHTCONT[Primary Key],MATCH(C40,STDLIGHTCONT[Measure Number],0)),"")</f>
        <v/>
      </c>
      <c r="AT40" s="14" t="str" cm="1">
        <f t="array" ref="AT40">_xlfn.LET(_xlpm.ROWS, 2*(ROWS(AT$35:AT40)-1)+1,IFERROR(INDEX('M03-S03'!$AR$18:$AR$199, _xlpm.ROWS)-INDEX('M03-S03'!$BQ$18:$BQ$199, _xlpm.ROWS),""))</f>
        <v/>
      </c>
      <c r="BL40"/>
      <c r="BP40"/>
      <c r="BQ40"/>
      <c r="BR40"/>
      <c r="CD40"/>
      <c r="CE40"/>
      <c r="CF40"/>
      <c r="CQ40"/>
      <c r="CR40"/>
      <c r="CS40"/>
      <c r="DS40"/>
      <c r="DT40"/>
      <c r="DU40"/>
    </row>
    <row r="41" spans="1:125" hidden="1">
      <c r="A41" s="15">
        <f t="shared" si="2"/>
        <v>0</v>
      </c>
      <c r="B41" t="str">
        <f t="shared" si="3"/>
        <v/>
      </c>
      <c r="C41" t="str">
        <f>IFERROR(IF(R41&gt;0,INDEX('M03-S03'!$BH$18:$BH$199,2*(ROWS($C$35:C41)-1)+1),""),"")</f>
        <v/>
      </c>
      <c r="D41" t="s">
        <v>1320</v>
      </c>
      <c r="E41" t="str">
        <f>IFERROR(INDEX('M03-S03'!$BD$18:$BD$199,2*(ROWS($E$35:E41)-1)+1),"")</f>
        <v/>
      </c>
      <c r="F41" s="31">
        <f>IFERROR(INDEX('M03-S03'!$T$18:$T$199,2*(ROWS($F$35:F41)-1)+1),"")</f>
        <v>0</v>
      </c>
      <c r="G41">
        <f>IFERROR(INDEX('M03-S03'!$AF$18:$AF$199,2*(ROWS($G$35:G41)-1)+1),"")</f>
        <v>0</v>
      </c>
      <c r="H41" s="14">
        <f>IFERROR(ROUND(INDEX('M03-S03'!$AI$18:$AI$199,2*(ROWS(H$35:H41)-1)+1),2),"")</f>
        <v>0</v>
      </c>
      <c r="I41" s="14">
        <f>IFERROR(ROUND(INDEX('M03-S03'!$AK$18:$AK$199,2*(ROWS(I$35:I41)-1)+1),2),"")</f>
        <v>0</v>
      </c>
      <c r="J41" s="14" t="str">
        <f>IFERROR(ROUND(INDEX('M03-S03'!$AX$18:$AX$199,2*(ROWS(J$35:J41)-1)+1),2),"")</f>
        <v/>
      </c>
      <c r="K41" t="s">
        <v>84</v>
      </c>
      <c r="L41" s="10">
        <f>IFERROR(ROUND(INDEX('M03-S03'!$O$18:$O$199,2*(ROWS(L$35:L41)-1)+1),3),"")</f>
        <v>0</v>
      </c>
      <c r="M41" s="10">
        <f>IFERROR(ROUND(INDEX('M03-S03'!$O$18:$O$199,2*(ROWS(M$35:M41)-1)+1),3),"")</f>
        <v>0</v>
      </c>
      <c r="N41" s="37" t="str">
        <f>IFERROR(INDEX('M03-S03'!$AZ$18:$AZ$199,2*(ROWS(N$35:N41)-1)+1),"")</f>
        <v/>
      </c>
      <c r="O41" s="37" t="str">
        <f>IFERROR(INDEX('M03-S03'!$BE$18:$BE$199,2*(ROWS(O$35:O41)-1)+1),"")</f>
        <v/>
      </c>
      <c r="P41" s="37" t="str">
        <f>IFERROR(INDEX('M03-S03'!$BA$18:$BA$199,2*(ROWS(P$35:P41)-1)+1),"")</f>
        <v/>
      </c>
      <c r="Q41" s="37" t="str">
        <f>IFERROR(INDEX('M03-S03'!$BF$18:$BF$199,2*(ROWS(Q$35:Q41)-1)+1),"")</f>
        <v/>
      </c>
      <c r="R41" s="14" t="str">
        <f>IFERROR(INDEX('M03-S03'!$AR$18:$AR$199,2*(ROWS(R$35:R41)-1)+1),"")</f>
        <v/>
      </c>
      <c r="S41" s="207"/>
      <c r="T41" s="207"/>
      <c r="U41" s="207"/>
      <c r="V41" s="194"/>
      <c r="W41" s="218"/>
      <c r="X41" s="218"/>
      <c r="Y41" s="210"/>
      <c r="Z41" s="210"/>
      <c r="AA41" s="219"/>
      <c r="AB41" s="219"/>
      <c r="AC41" s="194"/>
      <c r="AD41" s="37">
        <f>IFERROR(INDEX('M03-S03'!$BB$18:$BB$199,2*(ROWS(AD$35:AD41)-1)+1),"")</f>
        <v>0</v>
      </c>
      <c r="AE41" s="37">
        <f>IFERROR(INDEX('M03-S03'!$BC$18:$BC$199,2*(ROWS(AE$35:AE41)-1)+1),"")</f>
        <v>0</v>
      </c>
      <c r="AF41" s="210"/>
      <c r="AG41" s="210"/>
      <c r="AH41" s="31">
        <f>IFERROR(INDEX('M03-S03'!$Q$18:$Q$199,2*(ROWS(AH$35:AH41)-1)+1),"")</f>
        <v>0</v>
      </c>
      <c r="AI41">
        <f>IFERROR(INDEX('M03-S03'!$B$18:$B$199,2*(ROWS(AI$35:AI41)-1)+1),"")</f>
        <v>7</v>
      </c>
      <c r="AJ41" s="194"/>
      <c r="AK41">
        <f>IFERROR(INDEX('M03-S03'!$C$18:$C$199,2*(ROWS(AK$35:AK41)-1)+1),"")</f>
        <v>0</v>
      </c>
      <c r="AL41" s="194"/>
      <c r="AM41">
        <f>IFERROR(INDEX('M03-S03'!$AB$18:$AB$199,2*(ROWS(AM$35:AM41)-1)+1),"")</f>
        <v>0</v>
      </c>
      <c r="AN41" s="207"/>
      <c r="AO41" s="207"/>
      <c r="AP41" t="str">
        <f>IFERROR(INDEX('M03-S03'!$AY$18:$AY$199,2*(ROWS(AP$35:AP41)-1)+1),"")</f>
        <v/>
      </c>
      <c r="AQ41" s="194"/>
      <c r="AR41" t="str">
        <f>IFERROR(INDEX(STDLIGHTCONT[Reporting Methodology],MATCH(EXPORT!C41,STDLIGHTCONT[Measure Number],0)),"")</f>
        <v/>
      </c>
      <c r="AS41" t="str">
        <f>IFERROR(INDEX(STDLIGHTCONT[Primary Key],MATCH(C41,STDLIGHTCONT[Measure Number],0)),"")</f>
        <v/>
      </c>
      <c r="AT41" s="14" t="str" cm="1">
        <f t="array" ref="AT41">_xlfn.LET(_xlpm.ROWS, 2*(ROWS(AT$35:AT41)-1)+1,IFERROR(INDEX('M03-S03'!$AR$18:$AR$199, _xlpm.ROWS)-INDEX('M03-S03'!$BQ$18:$BQ$199, _xlpm.ROWS),""))</f>
        <v/>
      </c>
      <c r="BL41"/>
      <c r="BP41"/>
      <c r="BQ41"/>
      <c r="BR41"/>
      <c r="CD41"/>
      <c r="CE41"/>
      <c r="CF41"/>
      <c r="CQ41"/>
      <c r="CR41"/>
      <c r="CS41"/>
      <c r="DS41"/>
      <c r="DT41"/>
      <c r="DU41"/>
    </row>
    <row r="42" spans="1:125" hidden="1">
      <c r="A42" s="15">
        <f t="shared" si="2"/>
        <v>0</v>
      </c>
      <c r="B42" t="str">
        <f t="shared" si="3"/>
        <v/>
      </c>
      <c r="C42" t="str">
        <f>IFERROR(IF(R42&gt;0,INDEX('M03-S03'!$BH$18:$BH$199,2*(ROWS($C$35:C42)-1)+1),""),"")</f>
        <v/>
      </c>
      <c r="D42" t="s">
        <v>1320</v>
      </c>
      <c r="E42" t="str">
        <f>IFERROR(INDEX('M03-S03'!$BD$18:$BD$199,2*(ROWS($E$35:E42)-1)+1),"")</f>
        <v/>
      </c>
      <c r="F42" s="31">
        <f>IFERROR(INDEX('M03-S03'!$T$18:$T$199,2*(ROWS($F$35:F42)-1)+1),"")</f>
        <v>0</v>
      </c>
      <c r="G42">
        <f>IFERROR(INDEX('M03-S03'!$AF$18:$AF$199,2*(ROWS($G$35:G42)-1)+1),"")</f>
        <v>0</v>
      </c>
      <c r="H42" s="14">
        <f>IFERROR(ROUND(INDEX('M03-S03'!$AI$18:$AI$199,2*(ROWS(H$35:H42)-1)+1),2),"")</f>
        <v>0</v>
      </c>
      <c r="I42" s="14">
        <f>IFERROR(ROUND(INDEX('M03-S03'!$AK$18:$AK$199,2*(ROWS(I$35:I42)-1)+1),2),"")</f>
        <v>0</v>
      </c>
      <c r="J42" s="14" t="str">
        <f>IFERROR(ROUND(INDEX('M03-S03'!$AX$18:$AX$199,2*(ROWS(J$35:J42)-1)+1),2),"")</f>
        <v/>
      </c>
      <c r="K42" t="s">
        <v>84</v>
      </c>
      <c r="L42" s="10">
        <f>IFERROR(ROUND(INDEX('M03-S03'!$O$18:$O$199,2*(ROWS(L$35:L42)-1)+1),3),"")</f>
        <v>0</v>
      </c>
      <c r="M42" s="10">
        <f>IFERROR(ROUND(INDEX('M03-S03'!$O$18:$O$199,2*(ROWS(M$35:M42)-1)+1),3),"")</f>
        <v>0</v>
      </c>
      <c r="N42" s="37" t="str">
        <f>IFERROR(INDEX('M03-S03'!$AZ$18:$AZ$199,2*(ROWS(N$35:N42)-1)+1),"")</f>
        <v/>
      </c>
      <c r="O42" s="37" t="str">
        <f>IFERROR(INDEX('M03-S03'!$BE$18:$BE$199,2*(ROWS(O$35:O42)-1)+1),"")</f>
        <v/>
      </c>
      <c r="P42" s="37" t="str">
        <f>IFERROR(INDEX('M03-S03'!$BA$18:$BA$199,2*(ROWS(P$35:P42)-1)+1),"")</f>
        <v/>
      </c>
      <c r="Q42" s="37" t="str">
        <f>IFERROR(INDEX('M03-S03'!$BF$18:$BF$199,2*(ROWS(Q$35:Q42)-1)+1),"")</f>
        <v/>
      </c>
      <c r="R42" s="14" t="str">
        <f>IFERROR(INDEX('M03-S03'!$AR$18:$AR$199,2*(ROWS(R$35:R42)-1)+1),"")</f>
        <v/>
      </c>
      <c r="S42" s="207"/>
      <c r="T42" s="207"/>
      <c r="U42" s="207"/>
      <c r="V42" s="194"/>
      <c r="W42" s="218"/>
      <c r="X42" s="218"/>
      <c r="Y42" s="210"/>
      <c r="Z42" s="210"/>
      <c r="AA42" s="219"/>
      <c r="AB42" s="219"/>
      <c r="AC42" s="194"/>
      <c r="AD42" s="37">
        <f>IFERROR(INDEX('M03-S03'!$BB$18:$BB$199,2*(ROWS(AD$35:AD42)-1)+1),"")</f>
        <v>0</v>
      </c>
      <c r="AE42" s="37">
        <f>IFERROR(INDEX('M03-S03'!$BC$18:$BC$199,2*(ROWS(AE$35:AE42)-1)+1),"")</f>
        <v>0</v>
      </c>
      <c r="AF42" s="210"/>
      <c r="AG42" s="210"/>
      <c r="AH42" s="31">
        <f>IFERROR(INDEX('M03-S03'!$Q$18:$Q$199,2*(ROWS(AH$35:AH42)-1)+1),"")</f>
        <v>0</v>
      </c>
      <c r="AI42">
        <f>IFERROR(INDEX('M03-S03'!$B$18:$B$199,2*(ROWS(AI$35:AI42)-1)+1),"")</f>
        <v>8</v>
      </c>
      <c r="AJ42" s="194"/>
      <c r="AK42">
        <f>IFERROR(INDEX('M03-S03'!$C$18:$C$199,2*(ROWS(AK$35:AK42)-1)+1),"")</f>
        <v>0</v>
      </c>
      <c r="AL42" s="194"/>
      <c r="AM42">
        <f>IFERROR(INDEX('M03-S03'!$AB$18:$AB$199,2*(ROWS(AM$35:AM42)-1)+1),"")</f>
        <v>0</v>
      </c>
      <c r="AN42" s="207"/>
      <c r="AO42" s="207"/>
      <c r="AP42" t="str">
        <f>IFERROR(INDEX('M03-S03'!$AY$18:$AY$199,2*(ROWS(AP$35:AP42)-1)+1),"")</f>
        <v/>
      </c>
      <c r="AQ42" s="194"/>
      <c r="AR42" t="str">
        <f>IFERROR(INDEX(STDLIGHTCONT[Reporting Methodology],MATCH(EXPORT!C42,STDLIGHTCONT[Measure Number],0)),"")</f>
        <v/>
      </c>
      <c r="AS42" t="str">
        <f>IFERROR(INDEX(STDLIGHTCONT[Primary Key],MATCH(C42,STDLIGHTCONT[Measure Number],0)),"")</f>
        <v/>
      </c>
      <c r="AT42" s="14" t="str" cm="1">
        <f t="array" ref="AT42">_xlfn.LET(_xlpm.ROWS, 2*(ROWS(AT$35:AT42)-1)+1,IFERROR(INDEX('M03-S03'!$AR$18:$AR$199, _xlpm.ROWS)-INDEX('M03-S03'!$BQ$18:$BQ$199, _xlpm.ROWS),""))</f>
        <v/>
      </c>
      <c r="BL42"/>
      <c r="BP42"/>
      <c r="BQ42"/>
      <c r="BR42"/>
      <c r="CD42"/>
      <c r="CE42"/>
      <c r="CF42"/>
      <c r="CQ42"/>
      <c r="CR42"/>
      <c r="CS42"/>
      <c r="DS42"/>
      <c r="DT42"/>
      <c r="DU42"/>
    </row>
    <row r="43" spans="1:125" hidden="1">
      <c r="A43" s="15">
        <f t="shared" si="2"/>
        <v>0</v>
      </c>
      <c r="B43" t="str">
        <f t="shared" si="3"/>
        <v/>
      </c>
      <c r="C43" t="str">
        <f>IFERROR(IF(R43&gt;0,INDEX('M03-S03'!$BH$18:$BH$199,2*(ROWS($C$35:C43)-1)+1),""),"")</f>
        <v/>
      </c>
      <c r="D43" t="s">
        <v>1320</v>
      </c>
      <c r="E43" t="str">
        <f>IFERROR(INDEX('M03-S03'!$BD$18:$BD$199,2*(ROWS($E$35:E43)-1)+1),"")</f>
        <v/>
      </c>
      <c r="F43" s="31">
        <f>IFERROR(INDEX('M03-S03'!$T$18:$T$199,2*(ROWS($F$35:F43)-1)+1),"")</f>
        <v>0</v>
      </c>
      <c r="G43">
        <f>IFERROR(INDEX('M03-S03'!$AF$18:$AF$199,2*(ROWS($G$35:G43)-1)+1),"")</f>
        <v>0</v>
      </c>
      <c r="H43" s="14">
        <f>IFERROR(ROUND(INDEX('M03-S03'!$AI$18:$AI$199,2*(ROWS(H$35:H43)-1)+1),2),"")</f>
        <v>0</v>
      </c>
      <c r="I43" s="14">
        <f>IFERROR(ROUND(INDEX('M03-S03'!$AK$18:$AK$199,2*(ROWS(I$35:I43)-1)+1),2),"")</f>
        <v>0</v>
      </c>
      <c r="J43" s="14" t="str">
        <f>IFERROR(ROUND(INDEX('M03-S03'!$AX$18:$AX$199,2*(ROWS(J$35:J43)-1)+1),2),"")</f>
        <v/>
      </c>
      <c r="K43" t="s">
        <v>84</v>
      </c>
      <c r="L43" s="10">
        <f>IFERROR(ROUND(INDEX('M03-S03'!$O$18:$O$199,2*(ROWS(L$35:L43)-1)+1),3),"")</f>
        <v>0</v>
      </c>
      <c r="M43" s="10">
        <f>IFERROR(ROUND(INDEX('M03-S03'!$O$18:$O$199,2*(ROWS(M$35:M43)-1)+1),3),"")</f>
        <v>0</v>
      </c>
      <c r="N43" s="37" t="str">
        <f>IFERROR(INDEX('M03-S03'!$AZ$18:$AZ$199,2*(ROWS(N$35:N43)-1)+1),"")</f>
        <v/>
      </c>
      <c r="O43" s="37" t="str">
        <f>IFERROR(INDEX('M03-S03'!$BE$18:$BE$199,2*(ROWS(O$35:O43)-1)+1),"")</f>
        <v/>
      </c>
      <c r="P43" s="37" t="str">
        <f>IFERROR(INDEX('M03-S03'!$BA$18:$BA$199,2*(ROWS(P$35:P43)-1)+1),"")</f>
        <v/>
      </c>
      <c r="Q43" s="37" t="str">
        <f>IFERROR(INDEX('M03-S03'!$BF$18:$BF$199,2*(ROWS(Q$35:Q43)-1)+1),"")</f>
        <v/>
      </c>
      <c r="R43" s="14" t="str">
        <f>IFERROR(INDEX('M03-S03'!$AR$18:$AR$199,2*(ROWS(R$35:R43)-1)+1),"")</f>
        <v/>
      </c>
      <c r="S43" s="207"/>
      <c r="T43" s="207"/>
      <c r="U43" s="207"/>
      <c r="V43" s="194"/>
      <c r="W43" s="218"/>
      <c r="X43" s="218"/>
      <c r="Y43" s="210"/>
      <c r="Z43" s="210"/>
      <c r="AA43" s="219"/>
      <c r="AB43" s="219"/>
      <c r="AC43" s="194"/>
      <c r="AD43" s="37">
        <f>IFERROR(INDEX('M03-S03'!$BB$18:$BB$199,2*(ROWS(AD$35:AD43)-1)+1),"")</f>
        <v>0</v>
      </c>
      <c r="AE43" s="37">
        <f>IFERROR(INDEX('M03-S03'!$BC$18:$BC$199,2*(ROWS(AE$35:AE43)-1)+1),"")</f>
        <v>0</v>
      </c>
      <c r="AF43" s="210"/>
      <c r="AG43" s="210"/>
      <c r="AH43" s="31">
        <f>IFERROR(INDEX('M03-S03'!$Q$18:$Q$199,2*(ROWS(AH$35:AH43)-1)+1),"")</f>
        <v>0</v>
      </c>
      <c r="AI43">
        <f>IFERROR(INDEX('M03-S03'!$B$18:$B$199,2*(ROWS(AI$35:AI43)-1)+1),"")</f>
        <v>9</v>
      </c>
      <c r="AJ43" s="194"/>
      <c r="AK43">
        <f>IFERROR(INDEX('M03-S03'!$C$18:$C$199,2*(ROWS(AK$35:AK43)-1)+1),"")</f>
        <v>0</v>
      </c>
      <c r="AL43" s="194"/>
      <c r="AM43">
        <f>IFERROR(INDEX('M03-S03'!$AB$18:$AB$199,2*(ROWS(AM$35:AM43)-1)+1),"")</f>
        <v>0</v>
      </c>
      <c r="AN43" s="207"/>
      <c r="AO43" s="207"/>
      <c r="AP43" t="str">
        <f>IFERROR(INDEX('M03-S03'!$AY$18:$AY$199,2*(ROWS(AP$35:AP43)-1)+1),"")</f>
        <v/>
      </c>
      <c r="AQ43" s="194"/>
      <c r="AR43" t="str">
        <f>IFERROR(INDEX(STDLIGHTCONT[Reporting Methodology],MATCH(EXPORT!C43,STDLIGHTCONT[Measure Number],0)),"")</f>
        <v/>
      </c>
      <c r="AS43" t="str">
        <f>IFERROR(INDEX(STDLIGHTCONT[Primary Key],MATCH(C43,STDLIGHTCONT[Measure Number],0)),"")</f>
        <v/>
      </c>
      <c r="AT43" s="14" t="str" cm="1">
        <f t="array" ref="AT43">_xlfn.LET(_xlpm.ROWS, 2*(ROWS(AT$35:AT43)-1)+1,IFERROR(INDEX('M03-S03'!$AR$18:$AR$199, _xlpm.ROWS)-INDEX('M03-S03'!$BQ$18:$BQ$199, _xlpm.ROWS),""))</f>
        <v/>
      </c>
      <c r="BL43"/>
      <c r="BP43"/>
      <c r="BQ43"/>
      <c r="BR43"/>
      <c r="CD43"/>
      <c r="CE43"/>
      <c r="CF43"/>
      <c r="CQ43"/>
      <c r="CR43"/>
      <c r="CS43"/>
      <c r="DS43"/>
      <c r="DT43"/>
      <c r="DU43"/>
    </row>
    <row r="44" spans="1:125" hidden="1">
      <c r="A44" s="15">
        <f t="shared" si="2"/>
        <v>0</v>
      </c>
      <c r="B44" t="str">
        <f t="shared" si="3"/>
        <v/>
      </c>
      <c r="C44" t="str">
        <f>IFERROR(IF(R44&gt;0,INDEX('M03-S03'!$BH$18:$BH$199,2*(ROWS($C$35:C44)-1)+1),""),"")</f>
        <v/>
      </c>
      <c r="D44" t="s">
        <v>1320</v>
      </c>
      <c r="E44" t="str">
        <f>IFERROR(INDEX('M03-S03'!$BD$18:$BD$199,2*(ROWS($E$35:E44)-1)+1),"")</f>
        <v/>
      </c>
      <c r="F44" s="31">
        <f>IFERROR(INDEX('M03-S03'!$T$18:$T$199,2*(ROWS($F$35:F44)-1)+1),"")</f>
        <v>0</v>
      </c>
      <c r="G44">
        <f>IFERROR(INDEX('M03-S03'!$AF$18:$AF$199,2*(ROWS($G$35:G44)-1)+1),"")</f>
        <v>0</v>
      </c>
      <c r="H44" s="14">
        <f>IFERROR(ROUND(INDEX('M03-S03'!$AI$18:$AI$199,2*(ROWS(H$35:H44)-1)+1),2),"")</f>
        <v>0</v>
      </c>
      <c r="I44" s="14">
        <f>IFERROR(ROUND(INDEX('M03-S03'!$AK$18:$AK$199,2*(ROWS(I$35:I44)-1)+1),2),"")</f>
        <v>0</v>
      </c>
      <c r="J44" s="14" t="str">
        <f>IFERROR(ROUND(INDEX('M03-S03'!$AX$18:$AX$199,2*(ROWS(J$35:J44)-1)+1),2),"")</f>
        <v/>
      </c>
      <c r="K44" t="s">
        <v>84</v>
      </c>
      <c r="L44" s="10">
        <f>IFERROR(ROUND(INDEX('M03-S03'!$O$18:$O$199,2*(ROWS(L$35:L44)-1)+1),3),"")</f>
        <v>0</v>
      </c>
      <c r="M44" s="10">
        <f>IFERROR(ROUND(INDEX('M03-S03'!$O$18:$O$199,2*(ROWS(M$35:M44)-1)+1),3),"")</f>
        <v>0</v>
      </c>
      <c r="N44" s="37" t="str">
        <f>IFERROR(INDEX('M03-S03'!$AZ$18:$AZ$199,2*(ROWS(N$35:N44)-1)+1),"")</f>
        <v/>
      </c>
      <c r="O44" s="37" t="str">
        <f>IFERROR(INDEX('M03-S03'!$BE$18:$BE$199,2*(ROWS(O$35:O44)-1)+1),"")</f>
        <v/>
      </c>
      <c r="P44" s="37" t="str">
        <f>IFERROR(INDEX('M03-S03'!$BA$18:$BA$199,2*(ROWS(P$35:P44)-1)+1),"")</f>
        <v/>
      </c>
      <c r="Q44" s="37" t="str">
        <f>IFERROR(INDEX('M03-S03'!$BF$18:$BF$199,2*(ROWS(Q$35:Q44)-1)+1),"")</f>
        <v/>
      </c>
      <c r="R44" s="14" t="str">
        <f>IFERROR(INDEX('M03-S03'!$AR$18:$AR$199,2*(ROWS(R$35:R44)-1)+1),"")</f>
        <v/>
      </c>
      <c r="S44" s="207"/>
      <c r="T44" s="207"/>
      <c r="U44" s="207"/>
      <c r="V44" s="194"/>
      <c r="W44" s="218"/>
      <c r="X44" s="218"/>
      <c r="Y44" s="210"/>
      <c r="Z44" s="210"/>
      <c r="AA44" s="219"/>
      <c r="AB44" s="219"/>
      <c r="AC44" s="194"/>
      <c r="AD44" s="37">
        <f>IFERROR(INDEX('M03-S03'!$BB$18:$BB$199,2*(ROWS(AD$35:AD44)-1)+1),"")</f>
        <v>0</v>
      </c>
      <c r="AE44" s="37">
        <f>IFERROR(INDEX('M03-S03'!$BC$18:$BC$199,2*(ROWS(AE$35:AE44)-1)+1),"")</f>
        <v>0</v>
      </c>
      <c r="AF44" s="210"/>
      <c r="AG44" s="210"/>
      <c r="AH44" s="31">
        <f>IFERROR(INDEX('M03-S03'!$Q$18:$Q$199,2*(ROWS(AH$35:AH44)-1)+1),"")</f>
        <v>0</v>
      </c>
      <c r="AI44">
        <f>IFERROR(INDEX('M03-S03'!$B$18:$B$199,2*(ROWS(AI$35:AI44)-1)+1),"")</f>
        <v>10</v>
      </c>
      <c r="AJ44" s="194"/>
      <c r="AK44">
        <f>IFERROR(INDEX('M03-S03'!$C$18:$C$199,2*(ROWS(AK$35:AK44)-1)+1),"")</f>
        <v>0</v>
      </c>
      <c r="AL44" s="194"/>
      <c r="AM44">
        <f>IFERROR(INDEX('M03-S03'!$AB$18:$AB$199,2*(ROWS(AM$35:AM44)-1)+1),"")</f>
        <v>0</v>
      </c>
      <c r="AN44" s="207"/>
      <c r="AO44" s="207"/>
      <c r="AP44" t="str">
        <f>IFERROR(INDEX('M03-S03'!$AY$18:$AY$199,2*(ROWS(AP$35:AP44)-1)+1),"")</f>
        <v/>
      </c>
      <c r="AQ44" s="194"/>
      <c r="AR44" t="str">
        <f>IFERROR(INDEX(STDLIGHTCONT[Reporting Methodology],MATCH(EXPORT!C44,STDLIGHTCONT[Measure Number],0)),"")</f>
        <v/>
      </c>
      <c r="AS44" t="str">
        <f>IFERROR(INDEX(STDLIGHTCONT[Primary Key],MATCH(C44,STDLIGHTCONT[Measure Number],0)),"")</f>
        <v/>
      </c>
      <c r="AT44" s="14" t="str" cm="1">
        <f t="array" ref="AT44">_xlfn.LET(_xlpm.ROWS, 2*(ROWS(AT$35:AT44)-1)+1,IFERROR(INDEX('M03-S03'!$AR$18:$AR$199, _xlpm.ROWS)-INDEX('M03-S03'!$BQ$18:$BQ$199, _xlpm.ROWS),""))</f>
        <v/>
      </c>
      <c r="BL44"/>
      <c r="BP44"/>
      <c r="BQ44"/>
      <c r="BR44"/>
      <c r="CD44"/>
      <c r="CE44"/>
      <c r="CF44"/>
      <c r="CQ44"/>
      <c r="CR44"/>
      <c r="CS44"/>
      <c r="DS44"/>
      <c r="DT44"/>
      <c r="DU44"/>
    </row>
    <row r="45" spans="1:125" hidden="1">
      <c r="A45" s="15">
        <f t="shared" si="2"/>
        <v>0</v>
      </c>
      <c r="B45" t="str">
        <f t="shared" si="3"/>
        <v/>
      </c>
      <c r="C45" t="str">
        <f>IFERROR(IF(R45&gt;0,INDEX('M03-S03'!$BH$18:$BH$199,2*(ROWS($C$35:C45)-1)+1),""),"")</f>
        <v/>
      </c>
      <c r="D45" t="s">
        <v>1320</v>
      </c>
      <c r="E45">
        <f>IFERROR(INDEX('M03-S03'!$BD$18:$BD$199,2*(ROWS($E$35:E45)-1)+1),"")</f>
        <v>0</v>
      </c>
      <c r="F45" s="31">
        <f>IFERROR(INDEX('M03-S03'!$T$18:$T$199,2*(ROWS($F$35:F45)-1)+1),"")</f>
        <v>0</v>
      </c>
      <c r="G45">
        <f>IFERROR(INDEX('M03-S03'!$AF$18:$AF$199,2*(ROWS($G$35:G45)-1)+1),"")</f>
        <v>0</v>
      </c>
      <c r="H45" s="14">
        <f>IFERROR(ROUND(INDEX('M03-S03'!$AI$18:$AI$199,2*(ROWS(H$35:H45)-1)+1),2),"")</f>
        <v>0</v>
      </c>
      <c r="I45" s="14">
        <f>IFERROR(ROUND(INDEX('M03-S03'!$AK$18:$AK$199,2*(ROWS(I$35:I45)-1)+1),2),"")</f>
        <v>0</v>
      </c>
      <c r="J45" s="14">
        <f>IFERROR(ROUND(INDEX('M03-S03'!$AX$18:$AX$199,2*(ROWS(J$35:J45)-1)+1),2),"")</f>
        <v>0</v>
      </c>
      <c r="K45" t="s">
        <v>84</v>
      </c>
      <c r="L45" s="10">
        <f>IFERROR(ROUND(INDEX('M03-S03'!$O$18:$O$199,2*(ROWS(L$35:L45)-1)+1),3),"")</f>
        <v>0</v>
      </c>
      <c r="M45" s="10">
        <f>IFERROR(ROUND(INDEX('M03-S03'!$O$18:$O$199,2*(ROWS(M$35:M45)-1)+1),3),"")</f>
        <v>0</v>
      </c>
      <c r="N45" s="37">
        <f>IFERROR(INDEX('M03-S03'!$AZ$18:$AZ$199,2*(ROWS(N$35:N45)-1)+1),"")</f>
        <v>0</v>
      </c>
      <c r="O45" s="37">
        <f>IFERROR(INDEX('M03-S03'!$BE$18:$BE$199,2*(ROWS(O$35:O45)-1)+1),"")</f>
        <v>0</v>
      </c>
      <c r="P45" s="37">
        <f>IFERROR(INDEX('M03-S03'!$BA$18:$BA$199,2*(ROWS(P$35:P45)-1)+1),"")</f>
        <v>0</v>
      </c>
      <c r="Q45" s="37">
        <f>IFERROR(INDEX('M03-S03'!$BF$18:$BF$199,2*(ROWS(Q$35:Q45)-1)+1),"")</f>
        <v>0</v>
      </c>
      <c r="R45" s="14">
        <f>IFERROR(INDEX('M03-S03'!$AR$18:$AR$199,2*(ROWS(R$35:R45)-1)+1),"")</f>
        <v>0</v>
      </c>
      <c r="S45" s="207"/>
      <c r="T45" s="207"/>
      <c r="U45" s="207"/>
      <c r="V45" s="194"/>
      <c r="W45" s="218"/>
      <c r="X45" s="218"/>
      <c r="Y45" s="210"/>
      <c r="Z45" s="210"/>
      <c r="AA45" s="219"/>
      <c r="AB45" s="219"/>
      <c r="AC45" s="194"/>
      <c r="AD45" s="37">
        <f>IFERROR(INDEX('M03-S03'!$BB$18:$BB$199,2*(ROWS(AD$35:AD45)-1)+1),"")</f>
        <v>0</v>
      </c>
      <c r="AE45" s="37">
        <f>IFERROR(INDEX('M03-S03'!$BC$18:$BC$199,2*(ROWS(AE$35:AE45)-1)+1),"")</f>
        <v>0</v>
      </c>
      <c r="AF45" s="210"/>
      <c r="AG45" s="210"/>
      <c r="AH45" s="31">
        <f>IFERROR(INDEX('M03-S03'!$Q$18:$Q$199,2*(ROWS(AH$35:AH45)-1)+1),"")</f>
        <v>0</v>
      </c>
      <c r="AI45">
        <f>IFERROR(INDEX('M03-S03'!$B$18:$B$199,2*(ROWS(AI$35:AI45)-1)+1),"")</f>
        <v>0</v>
      </c>
      <c r="AJ45" s="194"/>
      <c r="AK45">
        <f>IFERROR(INDEX('M03-S03'!$C$18:$C$199,2*(ROWS(AK$35:AK45)-1)+1),"")</f>
        <v>0</v>
      </c>
      <c r="AL45" s="194"/>
      <c r="AM45">
        <f>IFERROR(INDEX('M03-S03'!$AB$18:$AB$199,2*(ROWS(AM$35:AM45)-1)+1),"")</f>
        <v>0</v>
      </c>
      <c r="AN45" s="207"/>
      <c r="AO45" s="207"/>
      <c r="AP45">
        <f>IFERROR(INDEX('M03-S03'!$AY$18:$AY$199,2*(ROWS(AP$35:AP45)-1)+1),"")</f>
        <v>0</v>
      </c>
      <c r="AQ45" s="194"/>
      <c r="AR45" t="str">
        <f>IFERROR(INDEX(STDLIGHTCONT[Reporting Methodology],MATCH(EXPORT!C45,STDLIGHTCONT[Measure Number],0)),"")</f>
        <v/>
      </c>
      <c r="AS45" t="str">
        <f>IFERROR(INDEX(STDLIGHTCONT[Primary Key],MATCH(C45,STDLIGHTCONT[Measure Number],0)),"")</f>
        <v/>
      </c>
      <c r="AT45" s="14" cm="1">
        <f t="array" ref="AT45">_xlfn.LET(_xlpm.ROWS, 2*(ROWS(AT$35:AT45)-1)+1,IFERROR(INDEX('M03-S03'!$AR$18:$AR$199, _xlpm.ROWS)-INDEX('M03-S03'!$BQ$18:$BQ$199, _xlpm.ROWS),""))</f>
        <v>0</v>
      </c>
      <c r="BL45"/>
      <c r="BP45"/>
      <c r="BQ45"/>
      <c r="BR45"/>
      <c r="CD45"/>
      <c r="CE45"/>
      <c r="CF45"/>
      <c r="CQ45"/>
      <c r="CR45"/>
      <c r="CS45"/>
      <c r="DS45"/>
      <c r="DT45"/>
      <c r="DU45"/>
    </row>
    <row r="46" spans="1:125" hidden="1">
      <c r="A46" s="15">
        <f t="shared" si="2"/>
        <v>0</v>
      </c>
      <c r="B46" t="str">
        <f t="shared" si="3"/>
        <v/>
      </c>
      <c r="C46" t="str">
        <f>IFERROR(IF(R46&gt;0,INDEX('M03-S03'!$BH$18:$BH$199,2*(ROWS($C$35:C46)-1)+1),""),"")</f>
        <v/>
      </c>
      <c r="D46" t="s">
        <v>1320</v>
      </c>
      <c r="E46">
        <f>IFERROR(INDEX('M03-S03'!$BD$18:$BD$199,2*(ROWS($E$35:E46)-1)+1),"")</f>
        <v>0</v>
      </c>
      <c r="F46" s="31">
        <f>IFERROR(INDEX('M03-S03'!$T$18:$T$199,2*(ROWS($F$35:F46)-1)+1),"")</f>
        <v>0</v>
      </c>
      <c r="G46">
        <f>IFERROR(INDEX('M03-S03'!$AF$18:$AF$199,2*(ROWS($G$35:G46)-1)+1),"")</f>
        <v>0</v>
      </c>
      <c r="H46" s="14">
        <f>IFERROR(ROUND(INDEX('M03-S03'!$AI$18:$AI$199,2*(ROWS(H$35:H46)-1)+1),2),"")</f>
        <v>0</v>
      </c>
      <c r="I46" s="14">
        <f>IFERROR(ROUND(INDEX('M03-S03'!$AK$18:$AK$199,2*(ROWS(I$35:I46)-1)+1),2),"")</f>
        <v>0</v>
      </c>
      <c r="J46" s="14">
        <f>IFERROR(ROUND(INDEX('M03-S03'!$AX$18:$AX$199,2*(ROWS(J$35:J46)-1)+1),2),"")</f>
        <v>0</v>
      </c>
      <c r="K46" t="s">
        <v>84</v>
      </c>
      <c r="L46" s="10">
        <f>IFERROR(ROUND(INDEX('M03-S03'!$O$18:$O$199,2*(ROWS(L$35:L46)-1)+1),3),"")</f>
        <v>0</v>
      </c>
      <c r="M46" s="10">
        <f>IFERROR(ROUND(INDEX('M03-S03'!$O$18:$O$199,2*(ROWS(M$35:M46)-1)+1),3),"")</f>
        <v>0</v>
      </c>
      <c r="N46" s="37">
        <f>IFERROR(INDEX('M03-S03'!$AZ$18:$AZ$199,2*(ROWS(N$35:N46)-1)+1),"")</f>
        <v>0</v>
      </c>
      <c r="O46" s="37">
        <f>IFERROR(INDEX('M03-S03'!$BE$18:$BE$199,2*(ROWS(O$35:O46)-1)+1),"")</f>
        <v>0</v>
      </c>
      <c r="P46" s="37">
        <f>IFERROR(INDEX('M03-S03'!$BA$18:$BA$199,2*(ROWS(P$35:P46)-1)+1),"")</f>
        <v>0</v>
      </c>
      <c r="Q46" s="37">
        <f>IFERROR(INDEX('M03-S03'!$BF$18:$BF$199,2*(ROWS(Q$35:Q46)-1)+1),"")</f>
        <v>0</v>
      </c>
      <c r="R46" s="14">
        <f>IFERROR(INDEX('M03-S03'!$AR$18:$AR$199,2*(ROWS(R$35:R46)-1)+1),"")</f>
        <v>0</v>
      </c>
      <c r="S46" s="207"/>
      <c r="T46" s="207"/>
      <c r="U46" s="207"/>
      <c r="V46" s="194"/>
      <c r="W46" s="218"/>
      <c r="X46" s="218"/>
      <c r="Y46" s="210"/>
      <c r="Z46" s="210"/>
      <c r="AA46" s="219"/>
      <c r="AB46" s="219"/>
      <c r="AC46" s="194"/>
      <c r="AD46" s="37">
        <f>IFERROR(INDEX('M03-S03'!$BB$18:$BB$199,2*(ROWS(AD$35:AD46)-1)+1),"")</f>
        <v>0</v>
      </c>
      <c r="AE46" s="37">
        <f>IFERROR(INDEX('M03-S03'!$BC$18:$BC$199,2*(ROWS(AE$35:AE46)-1)+1),"")</f>
        <v>0</v>
      </c>
      <c r="AF46" s="210"/>
      <c r="AG46" s="210"/>
      <c r="AH46" s="31">
        <f>IFERROR(INDEX('M03-S03'!$Q$18:$Q$199,2*(ROWS(AH$35:AH46)-1)+1),"")</f>
        <v>0</v>
      </c>
      <c r="AI46">
        <f>IFERROR(INDEX('M03-S03'!$B$18:$B$199,2*(ROWS(AI$35:AI46)-1)+1),"")</f>
        <v>0</v>
      </c>
      <c r="AJ46" s="194"/>
      <c r="AK46">
        <f>IFERROR(INDEX('M03-S03'!$C$18:$C$199,2*(ROWS(AK$35:AK46)-1)+1),"")</f>
        <v>0</v>
      </c>
      <c r="AL46" s="194"/>
      <c r="AM46">
        <f>IFERROR(INDEX('M03-S03'!$AB$18:$AB$199,2*(ROWS(AM$35:AM46)-1)+1),"")</f>
        <v>0</v>
      </c>
      <c r="AN46" s="207"/>
      <c r="AO46" s="207"/>
      <c r="AP46">
        <f>IFERROR(INDEX('M03-S03'!$AY$18:$AY$199,2*(ROWS(AP$35:AP46)-1)+1),"")</f>
        <v>0</v>
      </c>
      <c r="AQ46" s="194"/>
      <c r="AR46" t="str">
        <f>IFERROR(INDEX(STDLIGHTCONT[Reporting Methodology],MATCH(EXPORT!C46,STDLIGHTCONT[Measure Number],0)),"")</f>
        <v/>
      </c>
      <c r="AS46" t="str">
        <f>IFERROR(INDEX(STDLIGHTCONT[Primary Key],MATCH(C46,STDLIGHTCONT[Measure Number],0)),"")</f>
        <v/>
      </c>
      <c r="AT46" s="14" cm="1">
        <f t="array" ref="AT46">_xlfn.LET(_xlpm.ROWS, 2*(ROWS(AT$35:AT46)-1)+1,IFERROR(INDEX('M03-S03'!$AR$18:$AR$199, _xlpm.ROWS)-INDEX('M03-S03'!$BQ$18:$BQ$199, _xlpm.ROWS),""))</f>
        <v>0</v>
      </c>
      <c r="BL46"/>
      <c r="BP46"/>
      <c r="BQ46"/>
      <c r="BR46"/>
      <c r="CD46"/>
      <c r="CE46"/>
      <c r="CF46"/>
      <c r="CQ46"/>
      <c r="CR46"/>
      <c r="CS46"/>
      <c r="DS46"/>
      <c r="DT46"/>
      <c r="DU46"/>
    </row>
    <row r="47" spans="1:125" hidden="1">
      <c r="A47" s="15">
        <f t="shared" si="2"/>
        <v>0</v>
      </c>
      <c r="B47" t="str">
        <f t="shared" si="3"/>
        <v/>
      </c>
      <c r="C47" t="str">
        <f>IFERROR(IF(R47&gt;0,INDEX('M03-S03'!$BH$18:$BH$199,2*(ROWS($C$35:C47)-1)+1),""),"")</f>
        <v/>
      </c>
      <c r="D47" t="s">
        <v>1320</v>
      </c>
      <c r="E47">
        <f>IFERROR(INDEX('M03-S03'!$BD$18:$BD$199,2*(ROWS($E$35:E47)-1)+1),"")</f>
        <v>0</v>
      </c>
      <c r="F47" s="31">
        <f>IFERROR(INDEX('M03-S03'!$T$18:$T$199,2*(ROWS($F$35:F47)-1)+1),"")</f>
        <v>0</v>
      </c>
      <c r="G47">
        <f>IFERROR(INDEX('M03-S03'!$AF$18:$AF$199,2*(ROWS($G$35:G47)-1)+1),"")</f>
        <v>0</v>
      </c>
      <c r="H47" s="14">
        <f>IFERROR(ROUND(INDEX('M03-S03'!$AI$18:$AI$199,2*(ROWS(H$35:H47)-1)+1),2),"")</f>
        <v>0</v>
      </c>
      <c r="I47" s="14">
        <f>IFERROR(ROUND(INDEX('M03-S03'!$AK$18:$AK$199,2*(ROWS(I$35:I47)-1)+1),2),"")</f>
        <v>0</v>
      </c>
      <c r="J47" s="14">
        <f>IFERROR(ROUND(INDEX('M03-S03'!$AX$18:$AX$199,2*(ROWS(J$35:J47)-1)+1),2),"")</f>
        <v>0</v>
      </c>
      <c r="K47" t="s">
        <v>84</v>
      </c>
      <c r="L47" s="10">
        <f>IFERROR(ROUND(INDEX('M03-S03'!$O$18:$O$199,2*(ROWS(L$35:L47)-1)+1),3),"")</f>
        <v>0</v>
      </c>
      <c r="M47" s="10">
        <f>IFERROR(ROUND(INDEX('M03-S03'!$O$18:$O$199,2*(ROWS(M$35:M47)-1)+1),3),"")</f>
        <v>0</v>
      </c>
      <c r="N47" s="37">
        <f>IFERROR(INDEX('M03-S03'!$AZ$18:$AZ$199,2*(ROWS(N$35:N47)-1)+1),"")</f>
        <v>0</v>
      </c>
      <c r="O47" s="37">
        <f>IFERROR(INDEX('M03-S03'!$BE$18:$BE$199,2*(ROWS(O$35:O47)-1)+1),"")</f>
        <v>0</v>
      </c>
      <c r="P47" s="37">
        <f>IFERROR(INDEX('M03-S03'!$BA$18:$BA$199,2*(ROWS(P$35:P47)-1)+1),"")</f>
        <v>0</v>
      </c>
      <c r="Q47" s="37">
        <f>IFERROR(INDEX('M03-S03'!$BF$18:$BF$199,2*(ROWS(Q$35:Q47)-1)+1),"")</f>
        <v>0</v>
      </c>
      <c r="R47" s="14">
        <f>IFERROR(INDEX('M03-S03'!$AR$18:$AR$199,2*(ROWS(R$35:R47)-1)+1),"")</f>
        <v>0</v>
      </c>
      <c r="S47" s="207"/>
      <c r="T47" s="207"/>
      <c r="U47" s="207"/>
      <c r="V47" s="194"/>
      <c r="W47" s="218"/>
      <c r="X47" s="218"/>
      <c r="Y47" s="210"/>
      <c r="Z47" s="210"/>
      <c r="AA47" s="219"/>
      <c r="AB47" s="219"/>
      <c r="AC47" s="194"/>
      <c r="AD47" s="37">
        <f>IFERROR(INDEX('M03-S03'!$BB$18:$BB$199,2*(ROWS(AD$35:AD47)-1)+1),"")</f>
        <v>0</v>
      </c>
      <c r="AE47" s="37">
        <f>IFERROR(INDEX('M03-S03'!$BC$18:$BC$199,2*(ROWS(AE$35:AE47)-1)+1),"")</f>
        <v>0</v>
      </c>
      <c r="AF47" s="210"/>
      <c r="AG47" s="210"/>
      <c r="AH47" s="31">
        <f>IFERROR(INDEX('M03-S03'!$Q$18:$Q$199,2*(ROWS(AH$35:AH47)-1)+1),"")</f>
        <v>0</v>
      </c>
      <c r="AI47">
        <f>IFERROR(INDEX('M03-S03'!$B$18:$B$199,2*(ROWS(AI$35:AI47)-1)+1),"")</f>
        <v>0</v>
      </c>
      <c r="AJ47" s="194"/>
      <c r="AK47">
        <f>IFERROR(INDEX('M03-S03'!$C$18:$C$199,2*(ROWS(AK$35:AK47)-1)+1),"")</f>
        <v>0</v>
      </c>
      <c r="AL47" s="194"/>
      <c r="AM47">
        <f>IFERROR(INDEX('M03-S03'!$AB$18:$AB$199,2*(ROWS(AM$35:AM47)-1)+1),"")</f>
        <v>0</v>
      </c>
      <c r="AN47" s="207"/>
      <c r="AO47" s="207"/>
      <c r="AP47">
        <f>IFERROR(INDEX('M03-S03'!$AY$18:$AY$199,2*(ROWS(AP$35:AP47)-1)+1),"")</f>
        <v>0</v>
      </c>
      <c r="AQ47" s="194"/>
      <c r="AR47" t="str">
        <f>IFERROR(INDEX(STDLIGHTCONT[Reporting Methodology],MATCH(EXPORT!C47,STDLIGHTCONT[Measure Number],0)),"")</f>
        <v/>
      </c>
      <c r="AS47" t="str">
        <f>IFERROR(INDEX(STDLIGHTCONT[Primary Key],MATCH(C47,STDLIGHTCONT[Measure Number],0)),"")</f>
        <v/>
      </c>
      <c r="AT47" s="14" cm="1">
        <f t="array" ref="AT47">_xlfn.LET(_xlpm.ROWS, 2*(ROWS(AT$35:AT47)-1)+1,IFERROR(INDEX('M03-S03'!$AR$18:$AR$199, _xlpm.ROWS)-INDEX('M03-S03'!$BQ$18:$BQ$199, _xlpm.ROWS),""))</f>
        <v>0</v>
      </c>
      <c r="BL47"/>
      <c r="BP47"/>
      <c r="BQ47"/>
      <c r="BR47"/>
      <c r="CD47"/>
      <c r="CE47"/>
      <c r="CF47"/>
      <c r="CQ47"/>
      <c r="CR47"/>
      <c r="CS47"/>
      <c r="DS47"/>
      <c r="DT47"/>
      <c r="DU47"/>
    </row>
    <row r="48" spans="1:125" hidden="1">
      <c r="A48" s="15">
        <f t="shared" si="2"/>
        <v>0</v>
      </c>
      <c r="B48" t="str">
        <f t="shared" si="3"/>
        <v/>
      </c>
      <c r="C48" t="str">
        <f>IFERROR(IF(R48&gt;0,INDEX('M03-S03'!$BH$18:$BH$199,2*(ROWS($C$35:C48)-1)+1),""),"")</f>
        <v/>
      </c>
      <c r="D48" t="s">
        <v>1320</v>
      </c>
      <c r="E48">
        <f>IFERROR(INDEX('M03-S03'!$BD$18:$BD$199,2*(ROWS($E$35:E48)-1)+1),"")</f>
        <v>0</v>
      </c>
      <c r="F48" s="31">
        <f>IFERROR(INDEX('M03-S03'!$T$18:$T$199,2*(ROWS($F$35:F48)-1)+1),"")</f>
        <v>0</v>
      </c>
      <c r="G48">
        <f>IFERROR(INDEX('M03-S03'!$AF$18:$AF$199,2*(ROWS($G$35:G48)-1)+1),"")</f>
        <v>0</v>
      </c>
      <c r="H48" s="14">
        <f>IFERROR(ROUND(INDEX('M03-S03'!$AI$18:$AI$199,2*(ROWS(H$35:H48)-1)+1),2),"")</f>
        <v>0</v>
      </c>
      <c r="I48" s="14">
        <f>IFERROR(ROUND(INDEX('M03-S03'!$AK$18:$AK$199,2*(ROWS(I$35:I48)-1)+1),2),"")</f>
        <v>0</v>
      </c>
      <c r="J48" s="14">
        <f>IFERROR(ROUND(INDEX('M03-S03'!$AX$18:$AX$199,2*(ROWS(J$35:J48)-1)+1),2),"")</f>
        <v>0</v>
      </c>
      <c r="K48" t="s">
        <v>84</v>
      </c>
      <c r="L48" s="10">
        <f>IFERROR(ROUND(INDEX('M03-S03'!$O$18:$O$199,2*(ROWS(L$35:L48)-1)+1),3),"")</f>
        <v>0</v>
      </c>
      <c r="M48" s="10">
        <f>IFERROR(ROUND(INDEX('M03-S03'!$O$18:$O$199,2*(ROWS(M$35:M48)-1)+1),3),"")</f>
        <v>0</v>
      </c>
      <c r="N48" s="37">
        <f>IFERROR(INDEX('M03-S03'!$AZ$18:$AZ$199,2*(ROWS(N$35:N48)-1)+1),"")</f>
        <v>0</v>
      </c>
      <c r="O48" s="37">
        <f>IFERROR(INDEX('M03-S03'!$BE$18:$BE$199,2*(ROWS(O$35:O48)-1)+1),"")</f>
        <v>0</v>
      </c>
      <c r="P48" s="37">
        <f>IFERROR(INDEX('M03-S03'!$BA$18:$BA$199,2*(ROWS(P$35:P48)-1)+1),"")</f>
        <v>0</v>
      </c>
      <c r="Q48" s="37">
        <f>IFERROR(INDEX('M03-S03'!$BF$18:$BF$199,2*(ROWS(Q$35:Q48)-1)+1),"")</f>
        <v>0</v>
      </c>
      <c r="R48" s="14">
        <f>IFERROR(INDEX('M03-S03'!$AR$18:$AR$199,2*(ROWS(R$35:R48)-1)+1),"")</f>
        <v>0</v>
      </c>
      <c r="S48" s="207"/>
      <c r="T48" s="207"/>
      <c r="U48" s="207"/>
      <c r="V48" s="194"/>
      <c r="W48" s="218"/>
      <c r="X48" s="218"/>
      <c r="Y48" s="210"/>
      <c r="Z48" s="210"/>
      <c r="AA48" s="219"/>
      <c r="AB48" s="219"/>
      <c r="AC48" s="194"/>
      <c r="AD48" s="37">
        <f>IFERROR(INDEX('M03-S03'!$BB$18:$BB$199,2*(ROWS(AD$35:AD48)-1)+1),"")</f>
        <v>0</v>
      </c>
      <c r="AE48" s="37">
        <f>IFERROR(INDEX('M03-S03'!$BC$18:$BC$199,2*(ROWS(AE$35:AE48)-1)+1),"")</f>
        <v>0</v>
      </c>
      <c r="AF48" s="210"/>
      <c r="AG48" s="210"/>
      <c r="AH48" s="31">
        <f>IFERROR(INDEX('M03-S03'!$Q$18:$Q$199,2*(ROWS(AH$35:AH48)-1)+1),"")</f>
        <v>0</v>
      </c>
      <c r="AI48">
        <f>IFERROR(INDEX('M03-S03'!$B$18:$B$199,2*(ROWS(AI$35:AI48)-1)+1),"")</f>
        <v>0</v>
      </c>
      <c r="AJ48" s="194"/>
      <c r="AK48">
        <f>IFERROR(INDEX('M03-S03'!$C$18:$C$199,2*(ROWS(AK$35:AK48)-1)+1),"")</f>
        <v>0</v>
      </c>
      <c r="AL48" s="194"/>
      <c r="AM48">
        <f>IFERROR(INDEX('M03-S03'!$AB$18:$AB$199,2*(ROWS(AM$35:AM48)-1)+1),"")</f>
        <v>0</v>
      </c>
      <c r="AN48" s="207"/>
      <c r="AO48" s="207"/>
      <c r="AP48">
        <f>IFERROR(INDEX('M03-S03'!$AY$18:$AY$199,2*(ROWS(AP$35:AP48)-1)+1),"")</f>
        <v>0</v>
      </c>
      <c r="AQ48" s="194"/>
      <c r="AR48" t="str">
        <f>IFERROR(INDEX(STDLIGHTCONT[Reporting Methodology],MATCH(EXPORT!C48,STDLIGHTCONT[Measure Number],0)),"")</f>
        <v/>
      </c>
      <c r="AS48" t="str">
        <f>IFERROR(INDEX(STDLIGHTCONT[Primary Key],MATCH(C48,STDLIGHTCONT[Measure Number],0)),"")</f>
        <v/>
      </c>
      <c r="AT48" s="14" cm="1">
        <f t="array" ref="AT48">_xlfn.LET(_xlpm.ROWS, 2*(ROWS(AT$35:AT48)-1)+1,IFERROR(INDEX('M03-S03'!$AR$18:$AR$199, _xlpm.ROWS)-INDEX('M03-S03'!$BQ$18:$BQ$199, _xlpm.ROWS),""))</f>
        <v>0</v>
      </c>
      <c r="BL48"/>
      <c r="BP48"/>
      <c r="BQ48"/>
      <c r="BR48"/>
      <c r="CD48"/>
      <c r="CE48"/>
      <c r="CF48"/>
      <c r="CQ48"/>
      <c r="CR48"/>
      <c r="CS48"/>
      <c r="DS48"/>
      <c r="DT48"/>
      <c r="DU48"/>
    </row>
    <row r="49" spans="1:125" hidden="1">
      <c r="A49" s="15">
        <f t="shared" si="2"/>
        <v>0</v>
      </c>
      <c r="B49" t="str">
        <f t="shared" si="3"/>
        <v/>
      </c>
      <c r="C49" t="str">
        <f>IFERROR(IF(R49&gt;0,INDEX('M03-S03'!$BH$18:$BH$199,2*(ROWS($C$35:C49)-1)+1),""),"")</f>
        <v/>
      </c>
      <c r="D49" t="s">
        <v>1320</v>
      </c>
      <c r="E49">
        <f>IFERROR(INDEX('M03-S03'!$BD$18:$BD$199,2*(ROWS($E$35:E49)-1)+1),"")</f>
        <v>0</v>
      </c>
      <c r="F49" s="31">
        <f>IFERROR(INDEX('M03-S03'!$T$18:$T$199,2*(ROWS($F$35:F49)-1)+1),"")</f>
        <v>0</v>
      </c>
      <c r="G49">
        <f>IFERROR(INDEX('M03-S03'!$AF$18:$AF$199,2*(ROWS($G$35:G49)-1)+1),"")</f>
        <v>0</v>
      </c>
      <c r="H49" s="14">
        <f>IFERROR(ROUND(INDEX('M03-S03'!$AI$18:$AI$199,2*(ROWS(H$35:H49)-1)+1),2),"")</f>
        <v>0</v>
      </c>
      <c r="I49" s="14">
        <f>IFERROR(ROUND(INDEX('M03-S03'!$AK$18:$AK$199,2*(ROWS(I$35:I49)-1)+1),2),"")</f>
        <v>0</v>
      </c>
      <c r="J49" s="14">
        <f>IFERROR(ROUND(INDEX('M03-S03'!$AX$18:$AX$199,2*(ROWS(J$35:J49)-1)+1),2),"")</f>
        <v>0</v>
      </c>
      <c r="K49" t="s">
        <v>84</v>
      </c>
      <c r="L49" s="10">
        <f>IFERROR(ROUND(INDEX('M03-S03'!$O$18:$O$199,2*(ROWS(L$35:L49)-1)+1),3),"")</f>
        <v>0</v>
      </c>
      <c r="M49" s="10">
        <f>IFERROR(ROUND(INDEX('M03-S03'!$O$18:$O$199,2*(ROWS(M$35:M49)-1)+1),3),"")</f>
        <v>0</v>
      </c>
      <c r="N49" s="37">
        <f>IFERROR(INDEX('M03-S03'!$AZ$18:$AZ$199,2*(ROWS(N$35:N49)-1)+1),"")</f>
        <v>0</v>
      </c>
      <c r="O49" s="37">
        <f>IFERROR(INDEX('M03-S03'!$BE$18:$BE$199,2*(ROWS(O$35:O49)-1)+1),"")</f>
        <v>0</v>
      </c>
      <c r="P49" s="37">
        <f>IFERROR(INDEX('M03-S03'!$BA$18:$BA$199,2*(ROWS(P$35:P49)-1)+1),"")</f>
        <v>0</v>
      </c>
      <c r="Q49" s="37">
        <f>IFERROR(INDEX('M03-S03'!$BF$18:$BF$199,2*(ROWS(Q$35:Q49)-1)+1),"")</f>
        <v>0</v>
      </c>
      <c r="R49" s="14">
        <f>IFERROR(INDEX('M03-S03'!$AR$18:$AR$199,2*(ROWS(R$35:R49)-1)+1),"")</f>
        <v>0</v>
      </c>
      <c r="S49" s="207"/>
      <c r="T49" s="207"/>
      <c r="U49" s="207"/>
      <c r="V49" s="194"/>
      <c r="W49" s="218"/>
      <c r="X49" s="218"/>
      <c r="Y49" s="210"/>
      <c r="Z49" s="210"/>
      <c r="AA49" s="219"/>
      <c r="AB49" s="219"/>
      <c r="AC49" s="194"/>
      <c r="AD49" s="37">
        <f>IFERROR(INDEX('M03-S03'!$BB$18:$BB$199,2*(ROWS(AD$35:AD49)-1)+1),"")</f>
        <v>0</v>
      </c>
      <c r="AE49" s="37">
        <f>IFERROR(INDEX('M03-S03'!$BC$18:$BC$199,2*(ROWS(AE$35:AE49)-1)+1),"")</f>
        <v>0</v>
      </c>
      <c r="AF49" s="210"/>
      <c r="AG49" s="210"/>
      <c r="AH49" s="31">
        <f>IFERROR(INDEX('M03-S03'!$Q$18:$Q$199,2*(ROWS(AH$35:AH49)-1)+1),"")</f>
        <v>0</v>
      </c>
      <c r="AI49">
        <f>IFERROR(INDEX('M03-S03'!$B$18:$B$199,2*(ROWS(AI$35:AI49)-1)+1),"")</f>
        <v>0</v>
      </c>
      <c r="AJ49" s="194"/>
      <c r="AK49">
        <f>IFERROR(INDEX('M03-S03'!$C$18:$C$199,2*(ROWS(AK$35:AK49)-1)+1),"")</f>
        <v>0</v>
      </c>
      <c r="AL49" s="194"/>
      <c r="AM49">
        <f>IFERROR(INDEX('M03-S03'!$AB$18:$AB$199,2*(ROWS(AM$35:AM49)-1)+1),"")</f>
        <v>0</v>
      </c>
      <c r="AN49" s="207"/>
      <c r="AO49" s="207"/>
      <c r="AP49">
        <f>IFERROR(INDEX('M03-S03'!$AY$18:$AY$199,2*(ROWS(AP$35:AP49)-1)+1),"")</f>
        <v>0</v>
      </c>
      <c r="AQ49" s="194"/>
      <c r="AR49" t="str">
        <f>IFERROR(INDEX(STDLIGHTCONT[Reporting Methodology],MATCH(EXPORT!C49,STDLIGHTCONT[Measure Number],0)),"")</f>
        <v/>
      </c>
      <c r="AS49" t="str">
        <f>IFERROR(INDEX(STDLIGHTCONT[Primary Key],MATCH(C49,STDLIGHTCONT[Measure Number],0)),"")</f>
        <v/>
      </c>
      <c r="AT49" s="14" cm="1">
        <f t="array" ref="AT49">_xlfn.LET(_xlpm.ROWS, 2*(ROWS(AT$35:AT49)-1)+1,IFERROR(INDEX('M03-S03'!$AR$18:$AR$199, _xlpm.ROWS)-INDEX('M03-S03'!$BQ$18:$BQ$199, _xlpm.ROWS),""))</f>
        <v>0</v>
      </c>
      <c r="BL49"/>
      <c r="BP49"/>
      <c r="BQ49"/>
      <c r="BR49"/>
      <c r="CD49"/>
      <c r="CE49"/>
      <c r="CF49"/>
      <c r="CQ49"/>
      <c r="CR49"/>
      <c r="CS49"/>
      <c r="DS49"/>
      <c r="DT49"/>
      <c r="DU49"/>
    </row>
    <row r="50" spans="1:125" s="195" customFormat="1">
      <c r="A50" s="224" t="str">
        <f>"Standard "&amp;M3S4</f>
        <v>Standard Refrigeration</v>
      </c>
      <c r="F50" s="209"/>
      <c r="H50" s="205"/>
      <c r="I50" s="205"/>
      <c r="J50" s="205"/>
      <c r="L50" s="213"/>
      <c r="M50" s="213"/>
      <c r="N50" s="216"/>
      <c r="O50" s="216"/>
      <c r="P50" s="216"/>
      <c r="Q50" s="216"/>
      <c r="R50" s="205"/>
      <c r="S50" s="205"/>
      <c r="T50" s="205"/>
      <c r="U50" s="205"/>
      <c r="W50" s="213"/>
      <c r="X50" s="213"/>
      <c r="Y50" s="209"/>
      <c r="Z50" s="209"/>
      <c r="AA50" s="216"/>
      <c r="AB50" s="216"/>
      <c r="AD50" s="216"/>
      <c r="AE50" s="216"/>
      <c r="AF50" s="209"/>
      <c r="AG50" s="209"/>
      <c r="AH50" s="209"/>
      <c r="AK50" s="196"/>
      <c r="AN50" s="205"/>
      <c r="AO50" s="205"/>
      <c r="AU50" s="197"/>
      <c r="AV50" s="197"/>
      <c r="AW50" s="197"/>
      <c r="AX50" s="197"/>
      <c r="AY50" s="197"/>
      <c r="AZ50" s="197"/>
      <c r="BA50" s="197"/>
      <c r="BB50" s="197"/>
      <c r="BC50" s="197"/>
      <c r="BD50" s="197"/>
      <c r="BE50" s="197"/>
    </row>
    <row r="51" spans="1:125" hidden="1">
      <c r="A51" s="15">
        <f t="shared" ref="A51:A65" si="4">PROJID</f>
        <v>0</v>
      </c>
      <c r="B51" t="str">
        <f>IF(C51="","",CONCATENATE(ROW(),"-",C51))</f>
        <v/>
      </c>
      <c r="C51" t="str">
        <f>IFERROR(IF(R51&gt;0,INDEX('M03-S04'!$BH$18:$BH$199,2*(ROWS($C$51:C51)-1)+1),""),"")</f>
        <v/>
      </c>
      <c r="D51" t="s">
        <v>1320</v>
      </c>
      <c r="E51" t="str">
        <f>IFERROR(INDEX('M03-S04'!$BD$18:$BD$199,2*(ROWS($E$51:E51)-1)+1),"")</f>
        <v/>
      </c>
      <c r="F51" s="210"/>
      <c r="G51">
        <f>IFERROR(INDEX('M03-S04'!$AE$18:$AE$199,2*(ROWS($G$51:G51)-1)+1),"")</f>
        <v>0</v>
      </c>
      <c r="H51" s="14">
        <f>IFERROR(ROUND(INDEX('M03-S04'!$AI$18:$AI$199,2*(ROWS(H$51:H51)-1)+1),2),"")</f>
        <v>0</v>
      </c>
      <c r="I51" s="14">
        <f>IFERROR(ROUND(INDEX('M03-S04'!$AK$18:$AK$199,2*(ROWS(I$51:I51)-1)+1),2),"")</f>
        <v>0</v>
      </c>
      <c r="J51" s="14" t="str">
        <f>IFERROR(ROUND(INDEX('M03-S04'!$AX$18:$AX$199,2*(ROWS(J$51:J51)-1)+1),2),"")</f>
        <v/>
      </c>
      <c r="K51" t="s">
        <v>84</v>
      </c>
      <c r="L51" s="10">
        <f>IFERROR(ROUND(INDEX('M03-S04'!$U$18:$U$199,2*(ROWS(L$51:L51)-1)+1),3),"")</f>
        <v>0</v>
      </c>
      <c r="M51" s="10">
        <f>IFERROR(ROUND(INDEX('M03-S04'!$U$18:$U$199,2*(ROWS(M$51:M51)-1)+1),3),"")</f>
        <v>0</v>
      </c>
      <c r="N51" s="37" t="str">
        <f>IFERROR(INDEX('M03-S04'!$AZ$18:$AZ$199,2*(ROWS(N$51:N51)-1)+1),"")</f>
        <v/>
      </c>
      <c r="O51" s="37">
        <f>IFERROR(INDEX('M03-S04'!$BE$18:$BE$199,2*(ROWS(O$51:O51)-1)+1),"")</f>
        <v>0</v>
      </c>
      <c r="P51" s="37" t="str">
        <f>IFERROR(INDEX('M03-S04'!$BA$18:$BA$199,2*(ROWS(P$51:P51)-1)+1),"")</f>
        <v/>
      </c>
      <c r="Q51" s="37">
        <f>IFERROR(INDEX('M03-S04'!$BF$18:$BF$199,2*(ROWS(Q$51:Q51)-1)+1),"")</f>
        <v>0</v>
      </c>
      <c r="R51" s="14" t="str">
        <f>IFERROR(INDEX('M03-S04'!$AR$18:$AR$199,2*(ROWS(R$51:R51)-1)+1),"")</f>
        <v/>
      </c>
      <c r="S51" s="207"/>
      <c r="T51" s="207"/>
      <c r="U51" s="207"/>
      <c r="V51" s="194"/>
      <c r="W51" s="218"/>
      <c r="X51" s="218"/>
      <c r="Y51" s="210"/>
      <c r="Z51" s="210"/>
      <c r="AA51" s="219"/>
      <c r="AB51" s="219"/>
      <c r="AC51" s="194"/>
      <c r="AD51" s="37">
        <f>IFERROR(INDEX('M03-S04'!$BB$18:$BB$199,2*(ROWS(AD$51:AD51)-1)+1),"")</f>
        <v>0</v>
      </c>
      <c r="AE51" s="37">
        <f>IFERROR(INDEX('M03-S04'!$BC$18:$BC$199,2*(ROWS(AE$51:AE51)-1)+1),"")</f>
        <v>0</v>
      </c>
      <c r="AF51" s="210"/>
      <c r="AG51" s="210"/>
      <c r="AH51" s="210"/>
      <c r="AI51">
        <f>IFERROR(INDEX('M03-S04'!$B$18:$B$199,2*(ROWS(AI$51:AI51)-1)+1),"")</f>
        <v>1</v>
      </c>
      <c r="AJ51" s="194"/>
      <c r="AK51">
        <f>IFERROR(INDEX('M03-S04'!$C$18:$C$199,2*(ROWS(AK$51:AK51)-1)+1),"")</f>
        <v>0</v>
      </c>
      <c r="AL51" s="194"/>
      <c r="AM51">
        <f>IFERROR(INDEX('M03-S04'!$AA$18:$AA$199,2*(ROWS(AM$51:AM51)-1)+1),"")</f>
        <v>0</v>
      </c>
      <c r="AN51" s="207"/>
      <c r="AO51" s="207"/>
      <c r="AP51" t="str">
        <f>IFERROR(INDEX('M03-S04'!$AY$18:$AY$199,2*(ROWS(AP$51:AP51)-1)+1),"")</f>
        <v/>
      </c>
      <c r="AQ51" s="194"/>
      <c r="AR51" t="str">
        <f>IFERROR(INDEX(STDREFRIG[Reporting Methodology],MATCH(EXPORT!C51,STDREFRIG[Measure Number],0)),"")</f>
        <v/>
      </c>
      <c r="AS51" t="str">
        <f>IFERROR(INDEX(STDREFRIG[Primary Key],MATCH(C51,STDREFRIG[Measure Number],0)),"")</f>
        <v/>
      </c>
      <c r="AT51" s="14" t="str" cm="1">
        <f t="array" ref="AT51">_xlfn.LET(_xlpm.ROWS, 2*(ROWS(AT$51:AT51)-1)+1,IFERROR(INDEX('M03-S04'!$AR$18:$AR$199, _xlpm.ROWS)-INDEX('M03-S04'!$BQ$18:$BQ$199, _xlpm.ROWS),""))</f>
        <v/>
      </c>
      <c r="BL51"/>
      <c r="BP51"/>
      <c r="BQ51"/>
      <c r="BR51"/>
      <c r="CD51"/>
      <c r="CE51"/>
      <c r="CF51"/>
      <c r="CQ51"/>
      <c r="CR51"/>
      <c r="CS51"/>
      <c r="DS51"/>
      <c r="DT51"/>
      <c r="DU51"/>
    </row>
    <row r="52" spans="1:125" hidden="1">
      <c r="A52" s="15">
        <f t="shared" si="4"/>
        <v>0</v>
      </c>
      <c r="B52" t="str">
        <f t="shared" ref="B52:B65" si="5">IF(C52="","",CONCATENATE(ROW(),"-",C52))</f>
        <v/>
      </c>
      <c r="C52" t="str">
        <f>IFERROR(IF(R52&gt;0,INDEX('M03-S04'!$BH$18:$BH$199,2*(ROWS($C$51:C52)-1)+1),""),"")</f>
        <v/>
      </c>
      <c r="D52" t="s">
        <v>1320</v>
      </c>
      <c r="E52" t="str">
        <f>IFERROR(INDEX('M03-S04'!$BD$18:$BD$199,2*(ROWS($E$51:E52)-1)+1),"")</f>
        <v/>
      </c>
      <c r="F52" s="210"/>
      <c r="G52">
        <f>IFERROR(INDEX('M03-S04'!$AE$18:$AE$199,2*(ROWS($G$51:G52)-1)+1),"")</f>
        <v>0</v>
      </c>
      <c r="H52" s="14">
        <f>IFERROR(ROUND(INDEX('M03-S04'!$AI$18:$AI$199,2*(ROWS(H$51:H52)-1)+1),2),"")</f>
        <v>0</v>
      </c>
      <c r="I52" s="14">
        <f>IFERROR(ROUND(INDEX('M03-S04'!$AK$18:$AK$199,2*(ROWS(I$51:I52)-1)+1),2),"")</f>
        <v>0</v>
      </c>
      <c r="J52" s="14" t="str">
        <f>IFERROR(ROUND(INDEX('M03-S04'!$AX$18:$AX$199,2*(ROWS(J$51:J52)-1)+1),2),"")</f>
        <v/>
      </c>
      <c r="K52" t="s">
        <v>84</v>
      </c>
      <c r="L52" s="10">
        <f>IFERROR(ROUND(INDEX('M03-S04'!$U$18:$U$199,2*(ROWS(L$51:L52)-1)+1),3),"")</f>
        <v>0</v>
      </c>
      <c r="M52" s="10">
        <f>IFERROR(ROUND(INDEX('M03-S04'!$U$18:$U$199,2*(ROWS(M$51:M52)-1)+1),3),"")</f>
        <v>0</v>
      </c>
      <c r="N52" s="37" t="str">
        <f>IFERROR(INDEX('M03-S04'!$AZ$18:$AZ$199,2*(ROWS(N$51:N52)-1)+1),"")</f>
        <v/>
      </c>
      <c r="O52" s="37">
        <f>IFERROR(INDEX('M03-S04'!$BE$18:$BE$199,2*(ROWS(O$51:O52)-1)+1),"")</f>
        <v>0</v>
      </c>
      <c r="P52" s="37" t="str">
        <f>IFERROR(INDEX('M03-S04'!$BA$18:$BA$199,2*(ROWS(P$51:P52)-1)+1),"")</f>
        <v/>
      </c>
      <c r="Q52" s="37">
        <f>IFERROR(INDEX('M03-S04'!$BF$18:$BF$199,2*(ROWS(Q$51:Q52)-1)+1),"")</f>
        <v>0</v>
      </c>
      <c r="R52" s="14" t="str">
        <f>IFERROR(INDEX('M03-S04'!$AR$18:$AR$199,2*(ROWS(R$51:R52)-1)+1),"")</f>
        <v/>
      </c>
      <c r="S52" s="207"/>
      <c r="T52" s="207"/>
      <c r="U52" s="207"/>
      <c r="V52" s="194"/>
      <c r="W52" s="218"/>
      <c r="X52" s="218"/>
      <c r="Y52" s="210"/>
      <c r="Z52" s="210"/>
      <c r="AA52" s="219"/>
      <c r="AB52" s="219"/>
      <c r="AC52" s="194"/>
      <c r="AD52" s="37">
        <f>IFERROR(INDEX('M03-S04'!$BB$18:$BB$199,2*(ROWS(AD$51:AD52)-1)+1),"")</f>
        <v>0</v>
      </c>
      <c r="AE52" s="37">
        <f>IFERROR(INDEX('M03-S04'!$BC$18:$BC$199,2*(ROWS(AE$51:AE52)-1)+1),"")</f>
        <v>0</v>
      </c>
      <c r="AF52" s="210"/>
      <c r="AG52" s="210"/>
      <c r="AH52" s="210"/>
      <c r="AI52">
        <f>IFERROR(INDEX('M03-S04'!$B$18:$B$199,2*(ROWS(AI$51:AI52)-1)+1),"")</f>
        <v>2</v>
      </c>
      <c r="AJ52" s="194"/>
      <c r="AK52">
        <f>IFERROR(INDEX('M03-S04'!$C$18:$C$199,2*(ROWS(AK$51:AK52)-1)+1),"")</f>
        <v>0</v>
      </c>
      <c r="AL52" s="194"/>
      <c r="AM52">
        <f>IFERROR(INDEX('M03-S04'!$AA$18:$AA$199,2*(ROWS(AM$51:AM52)-1)+1),"")</f>
        <v>0</v>
      </c>
      <c r="AN52" s="207"/>
      <c r="AO52" s="207"/>
      <c r="AP52" t="str">
        <f>IFERROR(INDEX('M03-S04'!$AY$18:$AY$199,2*(ROWS(AP$51:AP52)-1)+1),"")</f>
        <v/>
      </c>
      <c r="AQ52" s="194"/>
      <c r="AR52" t="str">
        <f>IFERROR(INDEX(STDREFRIG[Reporting Methodology],MATCH(EXPORT!C52,STDREFRIG[Measure Number],0)),"")</f>
        <v/>
      </c>
      <c r="AS52" t="str">
        <f>IFERROR(INDEX(STDREFRIG[Primary Key],MATCH(C52,STDREFRIG[Measure Number],0)),"")</f>
        <v/>
      </c>
      <c r="AT52" s="14" t="str" cm="1">
        <f t="array" ref="AT52">_xlfn.LET(_xlpm.ROWS, 2*(ROWS(AT$51:AT52)-1)+1,IFERROR(INDEX('M03-S04'!$AR$18:$AR$199, _xlpm.ROWS)-INDEX('M03-S04'!$BQ$18:$BQ$199, _xlpm.ROWS),""))</f>
        <v/>
      </c>
      <c r="BL52"/>
      <c r="BP52"/>
      <c r="BQ52"/>
      <c r="BR52"/>
      <c r="CD52"/>
      <c r="CE52"/>
      <c r="CF52"/>
      <c r="CQ52"/>
      <c r="CR52"/>
      <c r="CS52"/>
      <c r="DS52"/>
      <c r="DT52"/>
      <c r="DU52"/>
    </row>
    <row r="53" spans="1:125" hidden="1">
      <c r="A53" s="15">
        <f t="shared" si="4"/>
        <v>0</v>
      </c>
      <c r="B53" t="str">
        <f t="shared" si="5"/>
        <v/>
      </c>
      <c r="C53" t="str">
        <f>IFERROR(IF(R53&gt;0,INDEX('M03-S04'!$BH$18:$BH$199,2*(ROWS($C$51:C53)-1)+1),""),"")</f>
        <v/>
      </c>
      <c r="D53" t="s">
        <v>1320</v>
      </c>
      <c r="E53" t="str">
        <f>IFERROR(INDEX('M03-S04'!$BD$18:$BD$199,2*(ROWS($E$51:E53)-1)+1),"")</f>
        <v/>
      </c>
      <c r="F53" s="210"/>
      <c r="G53">
        <f>IFERROR(INDEX('M03-S04'!$AE$18:$AE$199,2*(ROWS($G$51:G53)-1)+1),"")</f>
        <v>0</v>
      </c>
      <c r="H53" s="14">
        <f>IFERROR(ROUND(INDEX('M03-S04'!$AI$18:$AI$199,2*(ROWS(H$51:H53)-1)+1),2),"")</f>
        <v>0</v>
      </c>
      <c r="I53" s="14">
        <f>IFERROR(ROUND(INDEX('M03-S04'!$AK$18:$AK$199,2*(ROWS(I$51:I53)-1)+1),2),"")</f>
        <v>0</v>
      </c>
      <c r="J53" s="14" t="str">
        <f>IFERROR(ROUND(INDEX('M03-S04'!$AX$18:$AX$199,2*(ROWS(J$51:J53)-1)+1),2),"")</f>
        <v/>
      </c>
      <c r="K53" t="s">
        <v>84</v>
      </c>
      <c r="L53" s="10">
        <f>IFERROR(ROUND(INDEX('M03-S04'!$U$18:$U$199,2*(ROWS(L$51:L53)-1)+1),3),"")</f>
        <v>0</v>
      </c>
      <c r="M53" s="10">
        <f>IFERROR(ROUND(INDEX('M03-S04'!$U$18:$U$199,2*(ROWS(M$51:M53)-1)+1),3),"")</f>
        <v>0</v>
      </c>
      <c r="N53" s="37" t="str">
        <f>IFERROR(INDEX('M03-S04'!$AZ$18:$AZ$199,2*(ROWS(N$51:N53)-1)+1),"")</f>
        <v/>
      </c>
      <c r="O53" s="37">
        <f>IFERROR(INDEX('M03-S04'!$BE$18:$BE$199,2*(ROWS(O$51:O53)-1)+1),"")</f>
        <v>0</v>
      </c>
      <c r="P53" s="37" t="str">
        <f>IFERROR(INDEX('M03-S04'!$BA$18:$BA$199,2*(ROWS(P$51:P53)-1)+1),"")</f>
        <v/>
      </c>
      <c r="Q53" s="37">
        <f>IFERROR(INDEX('M03-S04'!$BF$18:$BF$199,2*(ROWS(Q$51:Q53)-1)+1),"")</f>
        <v>0</v>
      </c>
      <c r="R53" s="14" t="str">
        <f>IFERROR(INDEX('M03-S04'!$AR$18:$AR$199,2*(ROWS(R$51:R53)-1)+1),"")</f>
        <v/>
      </c>
      <c r="S53" s="207"/>
      <c r="T53" s="207"/>
      <c r="U53" s="207"/>
      <c r="V53" s="194"/>
      <c r="W53" s="218"/>
      <c r="X53" s="218"/>
      <c r="Y53" s="210"/>
      <c r="Z53" s="210"/>
      <c r="AA53" s="219"/>
      <c r="AB53" s="219"/>
      <c r="AC53" s="194"/>
      <c r="AD53" s="37">
        <f>IFERROR(INDEX('M03-S04'!$BB$18:$BB$199,2*(ROWS(AD$51:AD53)-1)+1),"")</f>
        <v>0</v>
      </c>
      <c r="AE53" s="37">
        <f>IFERROR(INDEX('M03-S04'!$BC$18:$BC$199,2*(ROWS(AE$51:AE53)-1)+1),"")</f>
        <v>0</v>
      </c>
      <c r="AF53" s="210"/>
      <c r="AG53" s="210"/>
      <c r="AH53" s="210"/>
      <c r="AI53">
        <f>IFERROR(INDEX('M03-S04'!$B$18:$B$199,2*(ROWS(AI$51:AI53)-1)+1),"")</f>
        <v>3</v>
      </c>
      <c r="AJ53" s="194"/>
      <c r="AK53">
        <f>IFERROR(INDEX('M03-S04'!$C$18:$C$199,2*(ROWS(AK$51:AK53)-1)+1),"")</f>
        <v>0</v>
      </c>
      <c r="AL53" s="194"/>
      <c r="AM53">
        <f>IFERROR(INDEX('M03-S04'!$AA$18:$AA$199,2*(ROWS(AM$51:AM53)-1)+1),"")</f>
        <v>0</v>
      </c>
      <c r="AN53" s="207"/>
      <c r="AO53" s="207"/>
      <c r="AP53" t="str">
        <f>IFERROR(INDEX('M03-S04'!$AY$18:$AY$199,2*(ROWS(AP$51:AP53)-1)+1),"")</f>
        <v/>
      </c>
      <c r="AQ53" s="194"/>
      <c r="AR53" t="str">
        <f>IFERROR(INDEX(STDREFRIG[Reporting Methodology],MATCH(EXPORT!C53,STDREFRIG[Measure Number],0)),"")</f>
        <v/>
      </c>
      <c r="AS53" t="str">
        <f>IFERROR(INDEX(STDREFRIG[Primary Key],MATCH(C53,STDREFRIG[Measure Number],0)),"")</f>
        <v/>
      </c>
      <c r="AT53" s="14" t="str" cm="1">
        <f t="array" ref="AT53">_xlfn.LET(_xlpm.ROWS, 2*(ROWS(AT$51:AT53)-1)+1,IFERROR(INDEX('M03-S04'!$AR$18:$AR$199, _xlpm.ROWS)-INDEX('M03-S04'!$BQ$18:$BQ$199, _xlpm.ROWS),""))</f>
        <v/>
      </c>
      <c r="BL53"/>
      <c r="BP53"/>
      <c r="BQ53"/>
      <c r="BR53"/>
      <c r="CD53"/>
      <c r="CE53"/>
      <c r="CF53"/>
      <c r="CQ53"/>
      <c r="CR53"/>
      <c r="CS53"/>
      <c r="DS53"/>
      <c r="DT53"/>
      <c r="DU53"/>
    </row>
    <row r="54" spans="1:125" hidden="1">
      <c r="A54" s="15">
        <f t="shared" si="4"/>
        <v>0</v>
      </c>
      <c r="B54" t="str">
        <f t="shared" si="5"/>
        <v/>
      </c>
      <c r="C54" t="str">
        <f>IFERROR(IF(R54&gt;0,INDEX('M03-S04'!$BH$18:$BH$199,2*(ROWS($C$51:C54)-1)+1),""),"")</f>
        <v/>
      </c>
      <c r="D54" t="s">
        <v>1320</v>
      </c>
      <c r="E54" t="str">
        <f>IFERROR(INDEX('M03-S04'!$BD$18:$BD$199,2*(ROWS($E$51:E54)-1)+1),"")</f>
        <v/>
      </c>
      <c r="F54" s="210"/>
      <c r="G54">
        <f>IFERROR(INDEX('M03-S04'!$AE$18:$AE$199,2*(ROWS($G$51:G54)-1)+1),"")</f>
        <v>0</v>
      </c>
      <c r="H54" s="14">
        <f>IFERROR(ROUND(INDEX('M03-S04'!$AI$18:$AI$199,2*(ROWS(H$51:H54)-1)+1),2),"")</f>
        <v>0</v>
      </c>
      <c r="I54" s="14">
        <f>IFERROR(ROUND(INDEX('M03-S04'!$AK$18:$AK$199,2*(ROWS(I$51:I54)-1)+1),2),"")</f>
        <v>0</v>
      </c>
      <c r="J54" s="14" t="str">
        <f>IFERROR(ROUND(INDEX('M03-S04'!$AX$18:$AX$199,2*(ROWS(J$51:J54)-1)+1),2),"")</f>
        <v/>
      </c>
      <c r="K54" t="s">
        <v>84</v>
      </c>
      <c r="L54" s="10">
        <f>IFERROR(ROUND(INDEX('M03-S04'!$U$18:$U$199,2*(ROWS(L$51:L54)-1)+1),3),"")</f>
        <v>0</v>
      </c>
      <c r="M54" s="10">
        <f>IFERROR(ROUND(INDEX('M03-S04'!$U$18:$U$199,2*(ROWS(M$51:M54)-1)+1),3),"")</f>
        <v>0</v>
      </c>
      <c r="N54" s="37" t="str">
        <f>IFERROR(INDEX('M03-S04'!$AZ$18:$AZ$199,2*(ROWS(N$51:N54)-1)+1),"")</f>
        <v/>
      </c>
      <c r="O54" s="37">
        <f>IFERROR(INDEX('M03-S04'!$BE$18:$BE$199,2*(ROWS(O$51:O54)-1)+1),"")</f>
        <v>0</v>
      </c>
      <c r="P54" s="37" t="str">
        <f>IFERROR(INDEX('M03-S04'!$BA$18:$BA$199,2*(ROWS(P$51:P54)-1)+1),"")</f>
        <v/>
      </c>
      <c r="Q54" s="37">
        <f>IFERROR(INDEX('M03-S04'!$BF$18:$BF$199,2*(ROWS(Q$51:Q54)-1)+1),"")</f>
        <v>0</v>
      </c>
      <c r="R54" s="14" t="str">
        <f>IFERROR(INDEX('M03-S04'!$AR$18:$AR$199,2*(ROWS(R$51:R54)-1)+1),"")</f>
        <v/>
      </c>
      <c r="S54" s="207"/>
      <c r="T54" s="207"/>
      <c r="U54" s="207"/>
      <c r="V54" s="194"/>
      <c r="W54" s="218"/>
      <c r="X54" s="218"/>
      <c r="Y54" s="210"/>
      <c r="Z54" s="210"/>
      <c r="AA54" s="219"/>
      <c r="AB54" s="219"/>
      <c r="AC54" s="194"/>
      <c r="AD54" s="37">
        <f>IFERROR(INDEX('M03-S04'!$BB$18:$BB$199,2*(ROWS(AD$51:AD54)-1)+1),"")</f>
        <v>0</v>
      </c>
      <c r="AE54" s="37">
        <f>IFERROR(INDEX('M03-S04'!$BC$18:$BC$199,2*(ROWS(AE$51:AE54)-1)+1),"")</f>
        <v>0</v>
      </c>
      <c r="AF54" s="210"/>
      <c r="AG54" s="210"/>
      <c r="AH54" s="210"/>
      <c r="AI54">
        <f>IFERROR(INDEX('M03-S04'!$B$18:$B$199,2*(ROWS(AI$51:AI54)-1)+1),"")</f>
        <v>4</v>
      </c>
      <c r="AJ54" s="194"/>
      <c r="AK54">
        <f>IFERROR(INDEX('M03-S04'!$C$18:$C$199,2*(ROWS(AK$51:AK54)-1)+1),"")</f>
        <v>0</v>
      </c>
      <c r="AL54" s="194"/>
      <c r="AM54">
        <f>IFERROR(INDEX('M03-S04'!$AA$18:$AA$199,2*(ROWS(AM$51:AM54)-1)+1),"")</f>
        <v>0</v>
      </c>
      <c r="AN54" s="207"/>
      <c r="AO54" s="207"/>
      <c r="AP54" t="str">
        <f>IFERROR(INDEX('M03-S04'!$AY$18:$AY$199,2*(ROWS(AP$51:AP54)-1)+1),"")</f>
        <v/>
      </c>
      <c r="AQ54" s="194"/>
      <c r="AR54" t="str">
        <f>IFERROR(INDEX(STDREFRIG[Reporting Methodology],MATCH(EXPORT!C54,STDREFRIG[Measure Number],0)),"")</f>
        <v/>
      </c>
      <c r="AS54" t="str">
        <f>IFERROR(INDEX(STDREFRIG[Primary Key],MATCH(C54,STDREFRIG[Measure Number],0)),"")</f>
        <v/>
      </c>
      <c r="AT54" s="14" t="str" cm="1">
        <f t="array" ref="AT54">_xlfn.LET(_xlpm.ROWS, 2*(ROWS(AT$51:AT54)-1)+1,IFERROR(INDEX('M03-S04'!$AR$18:$AR$199, _xlpm.ROWS)-INDEX('M03-S04'!$BQ$18:$BQ$199, _xlpm.ROWS),""))</f>
        <v/>
      </c>
      <c r="BL54"/>
      <c r="BP54"/>
      <c r="BQ54"/>
      <c r="BR54"/>
      <c r="CD54"/>
      <c r="CE54"/>
      <c r="CF54"/>
      <c r="CQ54"/>
      <c r="CR54"/>
      <c r="CS54"/>
      <c r="DS54"/>
      <c r="DT54"/>
      <c r="DU54"/>
    </row>
    <row r="55" spans="1:125" hidden="1">
      <c r="A55" s="15">
        <f t="shared" si="4"/>
        <v>0</v>
      </c>
      <c r="B55" t="str">
        <f t="shared" si="5"/>
        <v/>
      </c>
      <c r="C55" t="str">
        <f>IFERROR(IF(R55&gt;0,INDEX('M03-S04'!$BH$18:$BH$199,2*(ROWS($C$51:C55)-1)+1),""),"")</f>
        <v/>
      </c>
      <c r="D55" t="s">
        <v>1320</v>
      </c>
      <c r="E55" t="str">
        <f>IFERROR(INDEX('M03-S04'!$BD$18:$BD$199,2*(ROWS($E$51:E55)-1)+1),"")</f>
        <v/>
      </c>
      <c r="F55" s="210"/>
      <c r="G55">
        <f>IFERROR(INDEX('M03-S04'!$AE$18:$AE$199,2*(ROWS($G$51:G55)-1)+1),"")</f>
        <v>0</v>
      </c>
      <c r="H55" s="14">
        <f>IFERROR(ROUND(INDEX('M03-S04'!$AI$18:$AI$199,2*(ROWS(H$51:H55)-1)+1),2),"")</f>
        <v>0</v>
      </c>
      <c r="I55" s="14">
        <f>IFERROR(ROUND(INDEX('M03-S04'!$AK$18:$AK$199,2*(ROWS(I$51:I55)-1)+1),2),"")</f>
        <v>0</v>
      </c>
      <c r="J55" s="14" t="str">
        <f>IFERROR(ROUND(INDEX('M03-S04'!$AX$18:$AX$199,2*(ROWS(J$51:J55)-1)+1),2),"")</f>
        <v/>
      </c>
      <c r="K55" t="s">
        <v>84</v>
      </c>
      <c r="L55" s="10">
        <f>IFERROR(ROUND(INDEX('M03-S04'!$U$18:$U$199,2*(ROWS(L$51:L55)-1)+1),3),"")</f>
        <v>0</v>
      </c>
      <c r="M55" s="10">
        <f>IFERROR(ROUND(INDEX('M03-S04'!$U$18:$U$199,2*(ROWS(M$51:M55)-1)+1),3),"")</f>
        <v>0</v>
      </c>
      <c r="N55" s="37" t="str">
        <f>IFERROR(INDEX('M03-S04'!$AZ$18:$AZ$199,2*(ROWS(N$51:N55)-1)+1),"")</f>
        <v/>
      </c>
      <c r="O55" s="37">
        <f>IFERROR(INDEX('M03-S04'!$BE$18:$BE$199,2*(ROWS(O$51:O55)-1)+1),"")</f>
        <v>0</v>
      </c>
      <c r="P55" s="37" t="str">
        <f>IFERROR(INDEX('M03-S04'!$BA$18:$BA$199,2*(ROWS(P$51:P55)-1)+1),"")</f>
        <v/>
      </c>
      <c r="Q55" s="37">
        <f>IFERROR(INDEX('M03-S04'!$BF$18:$BF$199,2*(ROWS(Q$51:Q55)-1)+1),"")</f>
        <v>0</v>
      </c>
      <c r="R55" s="14" t="str">
        <f>IFERROR(INDEX('M03-S04'!$AR$18:$AR$199,2*(ROWS(R$51:R55)-1)+1),"")</f>
        <v/>
      </c>
      <c r="S55" s="207"/>
      <c r="T55" s="207"/>
      <c r="U55" s="207"/>
      <c r="V55" s="194"/>
      <c r="W55" s="218"/>
      <c r="X55" s="218"/>
      <c r="Y55" s="210"/>
      <c r="Z55" s="210"/>
      <c r="AA55" s="219"/>
      <c r="AB55" s="219"/>
      <c r="AC55" s="194"/>
      <c r="AD55" s="37">
        <f>IFERROR(INDEX('M03-S04'!$BB$18:$BB$199,2*(ROWS(AD$51:AD55)-1)+1),"")</f>
        <v>0</v>
      </c>
      <c r="AE55" s="37">
        <f>IFERROR(INDEX('M03-S04'!$BC$18:$BC$199,2*(ROWS(AE$51:AE55)-1)+1),"")</f>
        <v>0</v>
      </c>
      <c r="AF55" s="210"/>
      <c r="AG55" s="210"/>
      <c r="AH55" s="210"/>
      <c r="AI55">
        <f>IFERROR(INDEX('M03-S04'!$B$18:$B$199,2*(ROWS(AI$51:AI55)-1)+1),"")</f>
        <v>5</v>
      </c>
      <c r="AJ55" s="194"/>
      <c r="AK55">
        <f>IFERROR(INDEX('M03-S04'!$C$18:$C$199,2*(ROWS(AK$51:AK55)-1)+1),"")</f>
        <v>0</v>
      </c>
      <c r="AL55" s="194"/>
      <c r="AM55">
        <f>IFERROR(INDEX('M03-S04'!$AA$18:$AA$199,2*(ROWS(AM$51:AM55)-1)+1),"")</f>
        <v>0</v>
      </c>
      <c r="AN55" s="207"/>
      <c r="AO55" s="207"/>
      <c r="AP55" t="str">
        <f>IFERROR(INDEX('M03-S04'!$AY$18:$AY$199,2*(ROWS(AP$51:AP55)-1)+1),"")</f>
        <v/>
      </c>
      <c r="AQ55" s="194"/>
      <c r="AR55" t="str">
        <f>IFERROR(INDEX(STDREFRIG[Reporting Methodology],MATCH(EXPORT!C55,STDREFRIG[Measure Number],0)),"")</f>
        <v/>
      </c>
      <c r="AS55" t="str">
        <f>IFERROR(INDEX(STDREFRIG[Primary Key],MATCH(C55,STDREFRIG[Measure Number],0)),"")</f>
        <v/>
      </c>
      <c r="AT55" s="14" t="str" cm="1">
        <f t="array" ref="AT55">_xlfn.LET(_xlpm.ROWS, 2*(ROWS(AT$51:AT55)-1)+1,IFERROR(INDEX('M03-S04'!$AR$18:$AR$199, _xlpm.ROWS)-INDEX('M03-S04'!$BQ$18:$BQ$199, _xlpm.ROWS),""))</f>
        <v/>
      </c>
      <c r="BL55"/>
      <c r="BP55"/>
      <c r="BQ55"/>
      <c r="BR55"/>
      <c r="CD55"/>
      <c r="CE55"/>
      <c r="CF55"/>
      <c r="CQ55"/>
      <c r="CR55"/>
      <c r="CS55"/>
      <c r="DS55"/>
      <c r="DT55"/>
      <c r="DU55"/>
    </row>
    <row r="56" spans="1:125" hidden="1">
      <c r="A56" s="15">
        <f t="shared" si="4"/>
        <v>0</v>
      </c>
      <c r="B56" t="str">
        <f t="shared" si="5"/>
        <v/>
      </c>
      <c r="C56" t="str">
        <f>IFERROR(IF(R56&gt;0,INDEX('M03-S04'!$BH$18:$BH$199,2*(ROWS($C$51:C56)-1)+1),""),"")</f>
        <v/>
      </c>
      <c r="D56" t="s">
        <v>1320</v>
      </c>
      <c r="E56" t="str">
        <f>IFERROR(INDEX('M03-S04'!$BD$18:$BD$199,2*(ROWS($E$51:E56)-1)+1),"")</f>
        <v/>
      </c>
      <c r="F56" s="210"/>
      <c r="G56">
        <f>IFERROR(INDEX('M03-S04'!$AE$18:$AE$199,2*(ROWS($G$51:G56)-1)+1),"")</f>
        <v>0</v>
      </c>
      <c r="H56" s="14">
        <f>IFERROR(ROUND(INDEX('M03-S04'!$AI$18:$AI$199,2*(ROWS(H$51:H56)-1)+1),2),"")</f>
        <v>0</v>
      </c>
      <c r="I56" s="14">
        <f>IFERROR(ROUND(INDEX('M03-S04'!$AK$18:$AK$199,2*(ROWS(I$51:I56)-1)+1),2),"")</f>
        <v>0</v>
      </c>
      <c r="J56" s="14" t="str">
        <f>IFERROR(ROUND(INDEX('M03-S04'!$AX$18:$AX$199,2*(ROWS(J$51:J56)-1)+1),2),"")</f>
        <v/>
      </c>
      <c r="K56" t="s">
        <v>84</v>
      </c>
      <c r="L56" s="10">
        <f>IFERROR(ROUND(INDEX('M03-S04'!$U$18:$U$199,2*(ROWS(L$51:L56)-1)+1),3),"")</f>
        <v>0</v>
      </c>
      <c r="M56" s="10">
        <f>IFERROR(ROUND(INDEX('M03-S04'!$U$18:$U$199,2*(ROWS(M$51:M56)-1)+1),3),"")</f>
        <v>0</v>
      </c>
      <c r="N56" s="37" t="str">
        <f>IFERROR(INDEX('M03-S04'!$AZ$18:$AZ$199,2*(ROWS(N$51:N56)-1)+1),"")</f>
        <v/>
      </c>
      <c r="O56" s="37">
        <f>IFERROR(INDEX('M03-S04'!$BE$18:$BE$199,2*(ROWS(O$51:O56)-1)+1),"")</f>
        <v>0</v>
      </c>
      <c r="P56" s="37" t="str">
        <f>IFERROR(INDEX('M03-S04'!$BA$18:$BA$199,2*(ROWS(P$51:P56)-1)+1),"")</f>
        <v/>
      </c>
      <c r="Q56" s="37">
        <f>IFERROR(INDEX('M03-S04'!$BF$18:$BF$199,2*(ROWS(Q$51:Q56)-1)+1),"")</f>
        <v>0</v>
      </c>
      <c r="R56" s="14" t="str">
        <f>IFERROR(INDEX('M03-S04'!$AR$18:$AR$199,2*(ROWS(R$51:R56)-1)+1),"")</f>
        <v/>
      </c>
      <c r="S56" s="207"/>
      <c r="T56" s="207"/>
      <c r="U56" s="207"/>
      <c r="V56" s="194"/>
      <c r="W56" s="218"/>
      <c r="X56" s="218"/>
      <c r="Y56" s="210"/>
      <c r="Z56" s="210"/>
      <c r="AA56" s="219"/>
      <c r="AB56" s="219"/>
      <c r="AC56" s="194"/>
      <c r="AD56" s="37">
        <f>IFERROR(INDEX('M03-S04'!$BB$18:$BB$199,2*(ROWS(AD$51:AD56)-1)+1),"")</f>
        <v>0</v>
      </c>
      <c r="AE56" s="37">
        <f>IFERROR(INDEX('M03-S04'!$BC$18:$BC$199,2*(ROWS(AE$51:AE56)-1)+1),"")</f>
        <v>0</v>
      </c>
      <c r="AF56" s="210"/>
      <c r="AG56" s="210"/>
      <c r="AH56" s="210"/>
      <c r="AI56">
        <f>IFERROR(INDEX('M03-S04'!$B$18:$B$199,2*(ROWS(AI$51:AI56)-1)+1),"")</f>
        <v>6</v>
      </c>
      <c r="AJ56" s="194"/>
      <c r="AK56">
        <f>IFERROR(INDEX('M03-S04'!$C$18:$C$199,2*(ROWS(AK$51:AK56)-1)+1),"")</f>
        <v>0</v>
      </c>
      <c r="AL56" s="194"/>
      <c r="AM56">
        <f>IFERROR(INDEX('M03-S04'!$AA$18:$AA$199,2*(ROWS(AM$51:AM56)-1)+1),"")</f>
        <v>0</v>
      </c>
      <c r="AN56" s="207"/>
      <c r="AO56" s="207"/>
      <c r="AP56" t="str">
        <f>IFERROR(INDEX('M03-S04'!$AY$18:$AY$199,2*(ROWS(AP$51:AP56)-1)+1),"")</f>
        <v/>
      </c>
      <c r="AQ56" s="194"/>
      <c r="AR56" t="str">
        <f>IFERROR(INDEX(STDREFRIG[Reporting Methodology],MATCH(EXPORT!C56,STDREFRIG[Measure Number],0)),"")</f>
        <v/>
      </c>
      <c r="AS56" t="str">
        <f>IFERROR(INDEX(STDREFRIG[Primary Key],MATCH(C56,STDREFRIG[Measure Number],0)),"")</f>
        <v/>
      </c>
      <c r="AT56" s="14" t="str" cm="1">
        <f t="array" ref="AT56">_xlfn.LET(_xlpm.ROWS, 2*(ROWS(AT$51:AT56)-1)+1,IFERROR(INDEX('M03-S04'!$AR$18:$AR$199, _xlpm.ROWS)-INDEX('M03-S04'!$BQ$18:$BQ$199, _xlpm.ROWS),""))</f>
        <v/>
      </c>
      <c r="BL56"/>
      <c r="BP56"/>
      <c r="BQ56"/>
      <c r="BR56"/>
      <c r="CD56"/>
      <c r="CE56"/>
      <c r="CF56"/>
      <c r="CQ56"/>
      <c r="CR56"/>
      <c r="CS56"/>
      <c r="DS56"/>
      <c r="DT56"/>
      <c r="DU56"/>
    </row>
    <row r="57" spans="1:125" hidden="1">
      <c r="A57" s="15">
        <f t="shared" si="4"/>
        <v>0</v>
      </c>
      <c r="B57" t="str">
        <f t="shared" si="5"/>
        <v/>
      </c>
      <c r="C57" t="str">
        <f>IFERROR(IF(R57&gt;0,INDEX('M03-S04'!$BH$18:$BH$199,2*(ROWS($C$51:C57)-1)+1),""),"")</f>
        <v/>
      </c>
      <c r="D57" t="s">
        <v>1320</v>
      </c>
      <c r="E57" t="str">
        <f>IFERROR(INDEX('M03-S04'!$BD$18:$BD$199,2*(ROWS($E$51:E57)-1)+1),"")</f>
        <v/>
      </c>
      <c r="F57" s="210"/>
      <c r="G57">
        <f>IFERROR(INDEX('M03-S04'!$AE$18:$AE$199,2*(ROWS($G$51:G57)-1)+1),"")</f>
        <v>0</v>
      </c>
      <c r="H57" s="14">
        <f>IFERROR(ROUND(INDEX('M03-S04'!$AI$18:$AI$199,2*(ROWS(H$51:H57)-1)+1),2),"")</f>
        <v>0</v>
      </c>
      <c r="I57" s="14">
        <f>IFERROR(ROUND(INDEX('M03-S04'!$AK$18:$AK$199,2*(ROWS(I$51:I57)-1)+1),2),"")</f>
        <v>0</v>
      </c>
      <c r="J57" s="14" t="str">
        <f>IFERROR(ROUND(INDEX('M03-S04'!$AX$18:$AX$199,2*(ROWS(J$51:J57)-1)+1),2),"")</f>
        <v/>
      </c>
      <c r="K57" t="s">
        <v>84</v>
      </c>
      <c r="L57" s="10">
        <f>IFERROR(ROUND(INDEX('M03-S04'!$U$18:$U$199,2*(ROWS(L$51:L57)-1)+1),3),"")</f>
        <v>0</v>
      </c>
      <c r="M57" s="10">
        <f>IFERROR(ROUND(INDEX('M03-S04'!$U$18:$U$199,2*(ROWS(M$51:M57)-1)+1),3),"")</f>
        <v>0</v>
      </c>
      <c r="N57" s="37" t="str">
        <f>IFERROR(INDEX('M03-S04'!$AZ$18:$AZ$199,2*(ROWS(N$51:N57)-1)+1),"")</f>
        <v/>
      </c>
      <c r="O57" s="37">
        <f>IFERROR(INDEX('M03-S04'!$BE$18:$BE$199,2*(ROWS(O$51:O57)-1)+1),"")</f>
        <v>0</v>
      </c>
      <c r="P57" s="37" t="str">
        <f>IFERROR(INDEX('M03-S04'!$BA$18:$BA$199,2*(ROWS(P$51:P57)-1)+1),"")</f>
        <v/>
      </c>
      <c r="Q57" s="37">
        <f>IFERROR(INDEX('M03-S04'!$BF$18:$BF$199,2*(ROWS(Q$51:Q57)-1)+1),"")</f>
        <v>0</v>
      </c>
      <c r="R57" s="14" t="str">
        <f>IFERROR(INDEX('M03-S04'!$AR$18:$AR$199,2*(ROWS(R$51:R57)-1)+1),"")</f>
        <v/>
      </c>
      <c r="S57" s="207"/>
      <c r="T57" s="207"/>
      <c r="U57" s="207"/>
      <c r="V57" s="194"/>
      <c r="W57" s="218"/>
      <c r="X57" s="218"/>
      <c r="Y57" s="210"/>
      <c r="Z57" s="210"/>
      <c r="AA57" s="219"/>
      <c r="AB57" s="219"/>
      <c r="AC57" s="194"/>
      <c r="AD57" s="37">
        <f>IFERROR(INDEX('M03-S04'!$BB$18:$BB$199,2*(ROWS(AD$51:AD57)-1)+1),"")</f>
        <v>0</v>
      </c>
      <c r="AE57" s="37">
        <f>IFERROR(INDEX('M03-S04'!$BC$18:$BC$199,2*(ROWS(AE$51:AE57)-1)+1),"")</f>
        <v>0</v>
      </c>
      <c r="AF57" s="210"/>
      <c r="AG57" s="210"/>
      <c r="AH57" s="210"/>
      <c r="AI57">
        <f>IFERROR(INDEX('M03-S04'!$B$18:$B$199,2*(ROWS(AI$51:AI57)-1)+1),"")</f>
        <v>7</v>
      </c>
      <c r="AJ57" s="194"/>
      <c r="AK57">
        <f>IFERROR(INDEX('M03-S04'!$C$18:$C$199,2*(ROWS(AK$51:AK57)-1)+1),"")</f>
        <v>0</v>
      </c>
      <c r="AL57" s="194"/>
      <c r="AM57">
        <f>IFERROR(INDEX('M03-S04'!$AA$18:$AA$199,2*(ROWS(AM$51:AM57)-1)+1),"")</f>
        <v>0</v>
      </c>
      <c r="AN57" s="207"/>
      <c r="AO57" s="207"/>
      <c r="AP57" t="str">
        <f>IFERROR(INDEX('M03-S04'!$AY$18:$AY$199,2*(ROWS(AP$51:AP57)-1)+1),"")</f>
        <v/>
      </c>
      <c r="AQ57" s="194"/>
      <c r="AR57" t="str">
        <f>IFERROR(INDEX(STDREFRIG[Reporting Methodology],MATCH(EXPORT!C57,STDREFRIG[Measure Number],0)),"")</f>
        <v/>
      </c>
      <c r="AS57" t="str">
        <f>IFERROR(INDEX(STDREFRIG[Primary Key],MATCH(C57,STDREFRIG[Measure Number],0)),"")</f>
        <v/>
      </c>
      <c r="AT57" s="14" t="str" cm="1">
        <f t="array" ref="AT57">_xlfn.LET(_xlpm.ROWS, 2*(ROWS(AT$51:AT57)-1)+1,IFERROR(INDEX('M03-S04'!$AR$18:$AR$199, _xlpm.ROWS)-INDEX('M03-S04'!$BQ$18:$BQ$199, _xlpm.ROWS),""))</f>
        <v/>
      </c>
      <c r="BL57"/>
      <c r="BP57"/>
      <c r="BQ57"/>
      <c r="BR57"/>
      <c r="CD57"/>
      <c r="CE57"/>
      <c r="CF57"/>
      <c r="CQ57"/>
      <c r="CR57"/>
      <c r="CS57"/>
      <c r="DS57"/>
      <c r="DT57"/>
      <c r="DU57"/>
    </row>
    <row r="58" spans="1:125" hidden="1">
      <c r="A58" s="15">
        <f t="shared" si="4"/>
        <v>0</v>
      </c>
      <c r="B58" t="str">
        <f t="shared" si="5"/>
        <v/>
      </c>
      <c r="C58" t="str">
        <f>IFERROR(IF(R58&gt;0,INDEX('M03-S04'!$BH$18:$BH$199,2*(ROWS($C$51:C58)-1)+1),""),"")</f>
        <v/>
      </c>
      <c r="D58" t="s">
        <v>1320</v>
      </c>
      <c r="E58" t="str">
        <f>IFERROR(INDEX('M03-S04'!$BD$18:$BD$199,2*(ROWS($E$51:E58)-1)+1),"")</f>
        <v/>
      </c>
      <c r="F58" s="210"/>
      <c r="G58">
        <f>IFERROR(INDEX('M03-S04'!$AE$18:$AE$199,2*(ROWS($G$51:G58)-1)+1),"")</f>
        <v>0</v>
      </c>
      <c r="H58" s="14">
        <f>IFERROR(ROUND(INDEX('M03-S04'!$AI$18:$AI$199,2*(ROWS(H$51:H58)-1)+1),2),"")</f>
        <v>0</v>
      </c>
      <c r="I58" s="14">
        <f>IFERROR(ROUND(INDEX('M03-S04'!$AK$18:$AK$199,2*(ROWS(I$51:I58)-1)+1),2),"")</f>
        <v>0</v>
      </c>
      <c r="J58" s="14" t="str">
        <f>IFERROR(ROUND(INDEX('M03-S04'!$AX$18:$AX$199,2*(ROWS(J$51:J58)-1)+1),2),"")</f>
        <v/>
      </c>
      <c r="K58" t="s">
        <v>84</v>
      </c>
      <c r="L58" s="10">
        <f>IFERROR(ROUND(INDEX('M03-S04'!$U$18:$U$199,2*(ROWS(L$51:L58)-1)+1),3),"")</f>
        <v>0</v>
      </c>
      <c r="M58" s="10">
        <f>IFERROR(ROUND(INDEX('M03-S04'!$U$18:$U$199,2*(ROWS(M$51:M58)-1)+1),3),"")</f>
        <v>0</v>
      </c>
      <c r="N58" s="37" t="str">
        <f>IFERROR(INDEX('M03-S04'!$AZ$18:$AZ$199,2*(ROWS(N$51:N58)-1)+1),"")</f>
        <v/>
      </c>
      <c r="O58" s="37">
        <f>IFERROR(INDEX('M03-S04'!$BE$18:$BE$199,2*(ROWS(O$51:O58)-1)+1),"")</f>
        <v>0</v>
      </c>
      <c r="P58" s="37" t="str">
        <f>IFERROR(INDEX('M03-S04'!$BA$18:$BA$199,2*(ROWS(P$51:P58)-1)+1),"")</f>
        <v/>
      </c>
      <c r="Q58" s="37">
        <f>IFERROR(INDEX('M03-S04'!$BF$18:$BF$199,2*(ROWS(Q$51:Q58)-1)+1),"")</f>
        <v>0</v>
      </c>
      <c r="R58" s="14" t="str">
        <f>IFERROR(INDEX('M03-S04'!$AR$18:$AR$199,2*(ROWS(R$51:R58)-1)+1),"")</f>
        <v/>
      </c>
      <c r="S58" s="207"/>
      <c r="T58" s="207"/>
      <c r="U58" s="207"/>
      <c r="V58" s="194"/>
      <c r="W58" s="218"/>
      <c r="X58" s="218"/>
      <c r="Y58" s="210"/>
      <c r="Z58" s="210"/>
      <c r="AA58" s="219"/>
      <c r="AB58" s="219"/>
      <c r="AC58" s="194"/>
      <c r="AD58" s="37">
        <f>IFERROR(INDEX('M03-S04'!$BB$18:$BB$199,2*(ROWS(AD$51:AD58)-1)+1),"")</f>
        <v>0</v>
      </c>
      <c r="AE58" s="37">
        <f>IFERROR(INDEX('M03-S04'!$BC$18:$BC$199,2*(ROWS(AE$51:AE58)-1)+1),"")</f>
        <v>0</v>
      </c>
      <c r="AF58" s="210"/>
      <c r="AG58" s="210"/>
      <c r="AH58" s="210"/>
      <c r="AI58">
        <f>IFERROR(INDEX('M03-S04'!$B$18:$B$199,2*(ROWS(AI$51:AI58)-1)+1),"")</f>
        <v>8</v>
      </c>
      <c r="AJ58" s="194"/>
      <c r="AK58">
        <f>IFERROR(INDEX('M03-S04'!$C$18:$C$199,2*(ROWS(AK$51:AK58)-1)+1),"")</f>
        <v>0</v>
      </c>
      <c r="AL58" s="194"/>
      <c r="AM58">
        <f>IFERROR(INDEX('M03-S04'!$AA$18:$AA$199,2*(ROWS(AM$51:AM58)-1)+1),"")</f>
        <v>0</v>
      </c>
      <c r="AN58" s="207"/>
      <c r="AO58" s="207"/>
      <c r="AP58" t="str">
        <f>IFERROR(INDEX('M03-S04'!$AY$18:$AY$199,2*(ROWS(AP$51:AP58)-1)+1),"")</f>
        <v/>
      </c>
      <c r="AQ58" s="194"/>
      <c r="AR58" t="str">
        <f>IFERROR(INDEX(STDREFRIG[Reporting Methodology],MATCH(EXPORT!C58,STDREFRIG[Measure Number],0)),"")</f>
        <v/>
      </c>
      <c r="AS58" t="str">
        <f>IFERROR(INDEX(STDREFRIG[Primary Key],MATCH(C58,STDREFRIG[Measure Number],0)),"")</f>
        <v/>
      </c>
      <c r="AT58" s="14" t="str" cm="1">
        <f t="array" ref="AT58">_xlfn.LET(_xlpm.ROWS, 2*(ROWS(AT$51:AT58)-1)+1,IFERROR(INDEX('M03-S04'!$AR$18:$AR$199, _xlpm.ROWS)-INDEX('M03-S04'!$BQ$18:$BQ$199, _xlpm.ROWS),""))</f>
        <v/>
      </c>
      <c r="BL58"/>
      <c r="BP58"/>
      <c r="BQ58"/>
      <c r="BR58"/>
      <c r="CD58"/>
      <c r="CE58"/>
      <c r="CF58"/>
      <c r="CQ58"/>
      <c r="CR58"/>
      <c r="CS58"/>
      <c r="DS58"/>
      <c r="DT58"/>
      <c r="DU58"/>
    </row>
    <row r="59" spans="1:125" hidden="1">
      <c r="A59" s="15">
        <f t="shared" si="4"/>
        <v>0</v>
      </c>
      <c r="B59" t="str">
        <f t="shared" si="5"/>
        <v/>
      </c>
      <c r="C59" t="str">
        <f>IFERROR(IF(R59&gt;0,INDEX('M03-S04'!$BH$18:$BH$199,2*(ROWS($C$51:C59)-1)+1),""),"")</f>
        <v/>
      </c>
      <c r="D59" t="s">
        <v>1320</v>
      </c>
      <c r="E59" t="str">
        <f>IFERROR(INDEX('M03-S04'!$BD$18:$BD$199,2*(ROWS($E$51:E59)-1)+1),"")</f>
        <v/>
      </c>
      <c r="F59" s="210"/>
      <c r="G59">
        <f>IFERROR(INDEX('M03-S04'!$AE$18:$AE$199,2*(ROWS($G$51:G59)-1)+1),"")</f>
        <v>0</v>
      </c>
      <c r="H59" s="14">
        <f>IFERROR(ROUND(INDEX('M03-S04'!$AI$18:$AI$199,2*(ROWS(H$51:H59)-1)+1),2),"")</f>
        <v>0</v>
      </c>
      <c r="I59" s="14">
        <f>IFERROR(ROUND(INDEX('M03-S04'!$AK$18:$AK$199,2*(ROWS(I$51:I59)-1)+1),2),"")</f>
        <v>0</v>
      </c>
      <c r="J59" s="14" t="str">
        <f>IFERROR(ROUND(INDEX('M03-S04'!$AX$18:$AX$199,2*(ROWS(J$51:J59)-1)+1),2),"")</f>
        <v/>
      </c>
      <c r="K59" t="s">
        <v>84</v>
      </c>
      <c r="L59" s="10">
        <f>IFERROR(ROUND(INDEX('M03-S04'!$U$18:$U$199,2*(ROWS(L$51:L59)-1)+1),3),"")</f>
        <v>0</v>
      </c>
      <c r="M59" s="10">
        <f>IFERROR(ROUND(INDEX('M03-S04'!$U$18:$U$199,2*(ROWS(M$51:M59)-1)+1),3),"")</f>
        <v>0</v>
      </c>
      <c r="N59" s="37" t="str">
        <f>IFERROR(INDEX('M03-S04'!$AZ$18:$AZ$199,2*(ROWS(N$51:N59)-1)+1),"")</f>
        <v/>
      </c>
      <c r="O59" s="37">
        <f>IFERROR(INDEX('M03-S04'!$BE$18:$BE$199,2*(ROWS(O$51:O59)-1)+1),"")</f>
        <v>0</v>
      </c>
      <c r="P59" s="37" t="str">
        <f>IFERROR(INDEX('M03-S04'!$BA$18:$BA$199,2*(ROWS(P$51:P59)-1)+1),"")</f>
        <v/>
      </c>
      <c r="Q59" s="37">
        <f>IFERROR(INDEX('M03-S04'!$BF$18:$BF$199,2*(ROWS(Q$51:Q59)-1)+1),"")</f>
        <v>0</v>
      </c>
      <c r="R59" s="14" t="str">
        <f>IFERROR(INDEX('M03-S04'!$AR$18:$AR$199,2*(ROWS(R$51:R59)-1)+1),"")</f>
        <v/>
      </c>
      <c r="S59" s="207"/>
      <c r="T59" s="207"/>
      <c r="U59" s="207"/>
      <c r="V59" s="194"/>
      <c r="W59" s="218"/>
      <c r="X59" s="218"/>
      <c r="Y59" s="210"/>
      <c r="Z59" s="210"/>
      <c r="AA59" s="219"/>
      <c r="AB59" s="219"/>
      <c r="AC59" s="194"/>
      <c r="AD59" s="37">
        <f>IFERROR(INDEX('M03-S04'!$BB$18:$BB$199,2*(ROWS(AD$51:AD59)-1)+1),"")</f>
        <v>0</v>
      </c>
      <c r="AE59" s="37">
        <f>IFERROR(INDEX('M03-S04'!$BC$18:$BC$199,2*(ROWS(AE$51:AE59)-1)+1),"")</f>
        <v>0</v>
      </c>
      <c r="AF59" s="210"/>
      <c r="AG59" s="210"/>
      <c r="AH59" s="210"/>
      <c r="AI59">
        <f>IFERROR(INDEX('M03-S04'!$B$18:$B$199,2*(ROWS(AI$51:AI59)-1)+1),"")</f>
        <v>9</v>
      </c>
      <c r="AJ59" s="194"/>
      <c r="AK59">
        <f>IFERROR(INDEX('M03-S04'!$C$18:$C$199,2*(ROWS(AK$51:AK59)-1)+1),"")</f>
        <v>0</v>
      </c>
      <c r="AL59" s="194"/>
      <c r="AM59">
        <f>IFERROR(INDEX('M03-S04'!$AA$18:$AA$199,2*(ROWS(AM$51:AM59)-1)+1),"")</f>
        <v>0</v>
      </c>
      <c r="AN59" s="207"/>
      <c r="AO59" s="207"/>
      <c r="AP59" t="str">
        <f>IFERROR(INDEX('M03-S04'!$AY$18:$AY$199,2*(ROWS(AP$51:AP59)-1)+1),"")</f>
        <v/>
      </c>
      <c r="AQ59" s="194"/>
      <c r="AR59" t="str">
        <f>IFERROR(INDEX(STDREFRIG[Reporting Methodology],MATCH(EXPORT!C59,STDREFRIG[Measure Number],0)),"")</f>
        <v/>
      </c>
      <c r="AS59" t="str">
        <f>IFERROR(INDEX(STDREFRIG[Primary Key],MATCH(C59,STDREFRIG[Measure Number],0)),"")</f>
        <v/>
      </c>
      <c r="AT59" s="14" t="str" cm="1">
        <f t="array" ref="AT59">_xlfn.LET(_xlpm.ROWS, 2*(ROWS(AT$51:AT59)-1)+1,IFERROR(INDEX('M03-S04'!$AR$18:$AR$199, _xlpm.ROWS)-INDEX('M03-S04'!$BQ$18:$BQ$199, _xlpm.ROWS),""))</f>
        <v/>
      </c>
      <c r="BL59"/>
      <c r="BP59"/>
      <c r="BQ59"/>
      <c r="BR59"/>
      <c r="CD59"/>
      <c r="CE59"/>
      <c r="CF59"/>
      <c r="CQ59"/>
      <c r="CR59"/>
      <c r="CS59"/>
      <c r="DS59"/>
      <c r="DT59"/>
      <c r="DU59"/>
    </row>
    <row r="60" spans="1:125" hidden="1">
      <c r="A60" s="15">
        <f t="shared" si="4"/>
        <v>0</v>
      </c>
      <c r="B60" t="str">
        <f t="shared" si="5"/>
        <v/>
      </c>
      <c r="C60" t="str">
        <f>IFERROR(IF(R60&gt;0,INDEX('M03-S04'!$BH$18:$BH$199,2*(ROWS($C$51:C60)-1)+1),""),"")</f>
        <v/>
      </c>
      <c r="D60" t="s">
        <v>1320</v>
      </c>
      <c r="E60" t="str">
        <f>IFERROR(INDEX('M03-S04'!$BD$18:$BD$199,2*(ROWS($E$51:E60)-1)+1),"")</f>
        <v/>
      </c>
      <c r="F60" s="210"/>
      <c r="G60">
        <f>IFERROR(INDEX('M03-S04'!$AE$18:$AE$199,2*(ROWS($G$51:G60)-1)+1),"")</f>
        <v>0</v>
      </c>
      <c r="H60" s="14">
        <f>IFERROR(ROUND(INDEX('M03-S04'!$AI$18:$AI$199,2*(ROWS(H$51:H60)-1)+1),2),"")</f>
        <v>0</v>
      </c>
      <c r="I60" s="14">
        <f>IFERROR(ROUND(INDEX('M03-S04'!$AK$18:$AK$199,2*(ROWS(I$51:I60)-1)+1),2),"")</f>
        <v>0</v>
      </c>
      <c r="J60" s="14" t="str">
        <f>IFERROR(ROUND(INDEX('M03-S04'!$AX$18:$AX$199,2*(ROWS(J$51:J60)-1)+1),2),"")</f>
        <v/>
      </c>
      <c r="K60" t="s">
        <v>84</v>
      </c>
      <c r="L60" s="10">
        <f>IFERROR(ROUND(INDEX('M03-S04'!$U$18:$U$199,2*(ROWS(L$51:L60)-1)+1),3),"")</f>
        <v>0</v>
      </c>
      <c r="M60" s="10">
        <f>IFERROR(ROUND(INDEX('M03-S04'!$U$18:$U$199,2*(ROWS(M$51:M60)-1)+1),3),"")</f>
        <v>0</v>
      </c>
      <c r="N60" s="37" t="str">
        <f>IFERROR(INDEX('M03-S04'!$AZ$18:$AZ$199,2*(ROWS(N$51:N60)-1)+1),"")</f>
        <v/>
      </c>
      <c r="O60" s="37">
        <f>IFERROR(INDEX('M03-S04'!$BE$18:$BE$199,2*(ROWS(O$51:O60)-1)+1),"")</f>
        <v>0</v>
      </c>
      <c r="P60" s="37" t="str">
        <f>IFERROR(INDEX('M03-S04'!$BA$18:$BA$199,2*(ROWS(P$51:P60)-1)+1),"")</f>
        <v/>
      </c>
      <c r="Q60" s="37">
        <f>IFERROR(INDEX('M03-S04'!$BF$18:$BF$199,2*(ROWS(Q$51:Q60)-1)+1),"")</f>
        <v>0</v>
      </c>
      <c r="R60" s="14" t="str">
        <f>IFERROR(INDEX('M03-S04'!$AR$18:$AR$199,2*(ROWS(R$51:R60)-1)+1),"")</f>
        <v/>
      </c>
      <c r="S60" s="207"/>
      <c r="T60" s="207"/>
      <c r="U60" s="207"/>
      <c r="V60" s="194"/>
      <c r="W60" s="218"/>
      <c r="X60" s="218"/>
      <c r="Y60" s="210"/>
      <c r="Z60" s="210"/>
      <c r="AA60" s="219"/>
      <c r="AB60" s="219"/>
      <c r="AC60" s="194"/>
      <c r="AD60" s="37">
        <f>IFERROR(INDEX('M03-S04'!$BB$18:$BB$199,2*(ROWS(AD$51:AD60)-1)+1),"")</f>
        <v>0</v>
      </c>
      <c r="AE60" s="37">
        <f>IFERROR(INDEX('M03-S04'!$BC$18:$BC$199,2*(ROWS(AE$51:AE60)-1)+1),"")</f>
        <v>0</v>
      </c>
      <c r="AF60" s="210"/>
      <c r="AG60" s="210"/>
      <c r="AH60" s="210"/>
      <c r="AI60">
        <f>IFERROR(INDEX('M03-S04'!$B$18:$B$199,2*(ROWS(AI$51:AI60)-1)+1),"")</f>
        <v>10</v>
      </c>
      <c r="AJ60" s="194"/>
      <c r="AK60">
        <f>IFERROR(INDEX('M03-S04'!$C$18:$C$199,2*(ROWS(AK$51:AK60)-1)+1),"")</f>
        <v>0</v>
      </c>
      <c r="AL60" s="194"/>
      <c r="AM60">
        <f>IFERROR(INDEX('M03-S04'!$AA$18:$AA$199,2*(ROWS(AM$51:AM60)-1)+1),"")</f>
        <v>0</v>
      </c>
      <c r="AN60" s="207"/>
      <c r="AO60" s="207"/>
      <c r="AP60" t="str">
        <f>IFERROR(INDEX('M03-S04'!$AY$18:$AY$199,2*(ROWS(AP$51:AP60)-1)+1),"")</f>
        <v/>
      </c>
      <c r="AQ60" s="194"/>
      <c r="AR60" t="str">
        <f>IFERROR(INDEX(STDREFRIG[Reporting Methodology],MATCH(EXPORT!C60,STDREFRIG[Measure Number],0)),"")</f>
        <v/>
      </c>
      <c r="AS60" t="str">
        <f>IFERROR(INDEX(STDREFRIG[Primary Key],MATCH(C60,STDREFRIG[Measure Number],0)),"")</f>
        <v/>
      </c>
      <c r="AT60" s="14" t="str" cm="1">
        <f t="array" ref="AT60">_xlfn.LET(_xlpm.ROWS, 2*(ROWS(AT$51:AT60)-1)+1,IFERROR(INDEX('M03-S04'!$AR$18:$AR$199, _xlpm.ROWS)-INDEX('M03-S04'!$BQ$18:$BQ$199, _xlpm.ROWS),""))</f>
        <v/>
      </c>
      <c r="BL60"/>
      <c r="BP60"/>
      <c r="BQ60"/>
      <c r="BR60"/>
      <c r="CD60"/>
      <c r="CE60"/>
      <c r="CF60"/>
      <c r="CQ60"/>
      <c r="CR60"/>
      <c r="CS60"/>
      <c r="DS60"/>
      <c r="DT60"/>
      <c r="DU60"/>
    </row>
    <row r="61" spans="1:125" hidden="1">
      <c r="A61" s="15">
        <f t="shared" si="4"/>
        <v>0</v>
      </c>
      <c r="B61" t="str">
        <f t="shared" si="5"/>
        <v/>
      </c>
      <c r="C61" t="str">
        <f>IFERROR(IF(R61&gt;0,INDEX('M03-S04'!$BH$18:$BH$199,2*(ROWS($C$51:C61)-1)+1),""),"")</f>
        <v/>
      </c>
      <c r="D61" t="s">
        <v>1320</v>
      </c>
      <c r="E61">
        <f>IFERROR(INDEX('M03-S04'!$BD$18:$BD$199,2*(ROWS($E$51:E61)-1)+1),"")</f>
        <v>0</v>
      </c>
      <c r="F61" s="210"/>
      <c r="G61">
        <f>IFERROR(INDEX('M03-S04'!$AE$18:$AE$199,2*(ROWS($G$51:G61)-1)+1),"")</f>
        <v>0</v>
      </c>
      <c r="H61" s="14">
        <f>IFERROR(ROUND(INDEX('M03-S04'!$AI$18:$AI$199,2*(ROWS(H$51:H61)-1)+1),2),"")</f>
        <v>0</v>
      </c>
      <c r="I61" s="14">
        <f>IFERROR(ROUND(INDEX('M03-S04'!$AK$18:$AK$199,2*(ROWS(I$51:I61)-1)+1),2),"")</f>
        <v>0</v>
      </c>
      <c r="J61" s="14">
        <f>IFERROR(ROUND(INDEX('M03-S04'!$AX$18:$AX$199,2*(ROWS(J$51:J61)-1)+1),2),"")</f>
        <v>0</v>
      </c>
      <c r="K61" t="s">
        <v>84</v>
      </c>
      <c r="L61" s="10">
        <f>IFERROR(ROUND(INDEX('M03-S04'!$U$18:$U$199,2*(ROWS(L$51:L61)-1)+1),3),"")</f>
        <v>0</v>
      </c>
      <c r="M61" s="10">
        <f>IFERROR(ROUND(INDEX('M03-S04'!$U$18:$U$199,2*(ROWS(M$51:M61)-1)+1),3),"")</f>
        <v>0</v>
      </c>
      <c r="N61" s="37">
        <f>IFERROR(INDEX('M03-S04'!$AZ$18:$AZ$199,2*(ROWS(N$51:N61)-1)+1),"")</f>
        <v>0</v>
      </c>
      <c r="O61" s="37">
        <f>IFERROR(INDEX('M03-S04'!$BE$18:$BE$199,2*(ROWS(O$51:O61)-1)+1),"")</f>
        <v>0</v>
      </c>
      <c r="P61" s="37">
        <f>IFERROR(INDEX('M03-S04'!$BA$18:$BA$199,2*(ROWS(P$51:P61)-1)+1),"")</f>
        <v>0</v>
      </c>
      <c r="Q61" s="37">
        <f>IFERROR(INDEX('M03-S04'!$BF$18:$BF$199,2*(ROWS(Q$51:Q61)-1)+1),"")</f>
        <v>0</v>
      </c>
      <c r="R61" s="14">
        <f>IFERROR(INDEX('M03-S04'!$AR$18:$AR$199,2*(ROWS(R$51:R61)-1)+1),"")</f>
        <v>0</v>
      </c>
      <c r="S61" s="207"/>
      <c r="T61" s="207"/>
      <c r="U61" s="207"/>
      <c r="V61" s="194"/>
      <c r="W61" s="218"/>
      <c r="X61" s="218"/>
      <c r="Y61" s="210"/>
      <c r="Z61" s="210"/>
      <c r="AA61" s="219"/>
      <c r="AB61" s="219"/>
      <c r="AC61" s="194"/>
      <c r="AD61" s="37">
        <f>IFERROR(INDEX('M03-S04'!$BB$18:$BB$199,2*(ROWS(AD$51:AD61)-1)+1),"")</f>
        <v>0</v>
      </c>
      <c r="AE61" s="37">
        <f>IFERROR(INDEX('M03-S04'!$BC$18:$BC$199,2*(ROWS(AE$51:AE61)-1)+1),"")</f>
        <v>0</v>
      </c>
      <c r="AF61" s="210"/>
      <c r="AG61" s="210"/>
      <c r="AH61" s="210"/>
      <c r="AI61">
        <f>IFERROR(INDEX('M03-S04'!$B$18:$B$199,2*(ROWS(AI$51:AI61)-1)+1),"")</f>
        <v>0</v>
      </c>
      <c r="AJ61" s="194"/>
      <c r="AK61">
        <f>IFERROR(INDEX('M03-S04'!$C$18:$C$199,2*(ROWS(AK$51:AK61)-1)+1),"")</f>
        <v>0</v>
      </c>
      <c r="AL61" s="194"/>
      <c r="AM61">
        <f>IFERROR(INDEX('M03-S04'!$AA$18:$AA$199,2*(ROWS(AM$51:AM61)-1)+1),"")</f>
        <v>0</v>
      </c>
      <c r="AN61" s="207"/>
      <c r="AO61" s="207"/>
      <c r="AP61">
        <f>IFERROR(INDEX('M03-S04'!$AY$18:$AY$199,2*(ROWS(AP$51:AP61)-1)+1),"")</f>
        <v>0</v>
      </c>
      <c r="AQ61" s="194"/>
      <c r="AR61" t="str">
        <f>IFERROR(INDEX(STDREFRIG[Reporting Methodology],MATCH(EXPORT!C61,STDREFRIG[Measure Number],0)),"")</f>
        <v/>
      </c>
      <c r="AS61" t="str">
        <f>IFERROR(INDEX(STDREFRIG[Primary Key],MATCH(C61,STDREFRIG[Measure Number],0)),"")</f>
        <v/>
      </c>
      <c r="AT61" s="14" cm="1">
        <f t="array" ref="AT61">_xlfn.LET(_xlpm.ROWS, 2*(ROWS(AT$51:AT61)-1)+1,IFERROR(INDEX('M03-S04'!$AR$18:$AR$199, _xlpm.ROWS)-INDEX('M03-S04'!$BQ$18:$BQ$199, _xlpm.ROWS),""))</f>
        <v>0</v>
      </c>
      <c r="BL61"/>
      <c r="BP61"/>
      <c r="BQ61"/>
      <c r="BR61"/>
      <c r="CD61"/>
      <c r="CE61"/>
      <c r="CF61"/>
      <c r="CQ61"/>
      <c r="CR61"/>
      <c r="CS61"/>
      <c r="DS61"/>
      <c r="DT61"/>
      <c r="DU61"/>
    </row>
    <row r="62" spans="1:125" hidden="1">
      <c r="A62" s="15">
        <f t="shared" si="4"/>
        <v>0</v>
      </c>
      <c r="B62" t="str">
        <f t="shared" si="5"/>
        <v/>
      </c>
      <c r="C62" t="str">
        <f>IFERROR(IF(R62&gt;0,INDEX('M03-S04'!$BH$18:$BH$199,2*(ROWS($C$51:C62)-1)+1),""),"")</f>
        <v/>
      </c>
      <c r="D62" t="s">
        <v>1320</v>
      </c>
      <c r="E62">
        <f>IFERROR(INDEX('M03-S04'!$BD$18:$BD$199,2*(ROWS($E$51:E62)-1)+1),"")</f>
        <v>0</v>
      </c>
      <c r="F62" s="210"/>
      <c r="G62">
        <f>IFERROR(INDEX('M03-S04'!$AE$18:$AE$199,2*(ROWS($G$51:G62)-1)+1),"")</f>
        <v>0</v>
      </c>
      <c r="H62" s="14">
        <f>IFERROR(ROUND(INDEX('M03-S04'!$AI$18:$AI$199,2*(ROWS(H$51:H62)-1)+1),2),"")</f>
        <v>0</v>
      </c>
      <c r="I62" s="14">
        <f>IFERROR(ROUND(INDEX('M03-S04'!$AK$18:$AK$199,2*(ROWS(I$51:I62)-1)+1),2),"")</f>
        <v>0</v>
      </c>
      <c r="J62" s="14">
        <f>IFERROR(ROUND(INDEX('M03-S04'!$AX$18:$AX$199,2*(ROWS(J$51:J62)-1)+1),2),"")</f>
        <v>0</v>
      </c>
      <c r="K62" t="s">
        <v>84</v>
      </c>
      <c r="L62" s="10">
        <f>IFERROR(ROUND(INDEX('M03-S04'!$U$18:$U$199,2*(ROWS(L$51:L62)-1)+1),3),"")</f>
        <v>0</v>
      </c>
      <c r="M62" s="10">
        <f>IFERROR(ROUND(INDEX('M03-S04'!$U$18:$U$199,2*(ROWS(M$51:M62)-1)+1),3),"")</f>
        <v>0</v>
      </c>
      <c r="N62" s="37">
        <f>IFERROR(INDEX('M03-S04'!$AZ$18:$AZ$199,2*(ROWS(N$51:N62)-1)+1),"")</f>
        <v>0</v>
      </c>
      <c r="O62" s="37">
        <f>IFERROR(INDEX('M03-S04'!$BE$18:$BE$199,2*(ROWS(O$51:O62)-1)+1),"")</f>
        <v>0</v>
      </c>
      <c r="P62" s="37">
        <f>IFERROR(INDEX('M03-S04'!$BA$18:$BA$199,2*(ROWS(P$51:P62)-1)+1),"")</f>
        <v>0</v>
      </c>
      <c r="Q62" s="37">
        <f>IFERROR(INDEX('M03-S04'!$BF$18:$BF$199,2*(ROWS(Q$51:Q62)-1)+1),"")</f>
        <v>0</v>
      </c>
      <c r="R62" s="14">
        <f>IFERROR(INDEX('M03-S04'!$AR$18:$AR$199,2*(ROWS(R$51:R62)-1)+1),"")</f>
        <v>0</v>
      </c>
      <c r="S62" s="207"/>
      <c r="T62" s="207"/>
      <c r="U62" s="207"/>
      <c r="V62" s="194"/>
      <c r="W62" s="218"/>
      <c r="X62" s="218"/>
      <c r="Y62" s="210"/>
      <c r="Z62" s="210"/>
      <c r="AA62" s="219"/>
      <c r="AB62" s="219"/>
      <c r="AC62" s="194"/>
      <c r="AD62" s="37">
        <f>IFERROR(INDEX('M03-S04'!$BB$18:$BB$199,2*(ROWS(AD$51:AD62)-1)+1),"")</f>
        <v>0</v>
      </c>
      <c r="AE62" s="37">
        <f>IFERROR(INDEX('M03-S04'!$BC$18:$BC$199,2*(ROWS(AE$51:AE62)-1)+1),"")</f>
        <v>0</v>
      </c>
      <c r="AF62" s="210"/>
      <c r="AG62" s="210"/>
      <c r="AH62" s="210"/>
      <c r="AI62">
        <f>IFERROR(INDEX('M03-S04'!$B$18:$B$199,2*(ROWS(AI$51:AI62)-1)+1),"")</f>
        <v>0</v>
      </c>
      <c r="AJ62" s="194"/>
      <c r="AK62">
        <f>IFERROR(INDEX('M03-S04'!$C$18:$C$199,2*(ROWS(AK$51:AK62)-1)+1),"")</f>
        <v>0</v>
      </c>
      <c r="AL62" s="194"/>
      <c r="AM62">
        <f>IFERROR(INDEX('M03-S04'!$AA$18:$AA$199,2*(ROWS(AM$51:AM62)-1)+1),"")</f>
        <v>0</v>
      </c>
      <c r="AN62" s="207"/>
      <c r="AO62" s="207"/>
      <c r="AP62">
        <f>IFERROR(INDEX('M03-S04'!$AY$18:$AY$199,2*(ROWS(AP$51:AP62)-1)+1),"")</f>
        <v>0</v>
      </c>
      <c r="AQ62" s="194"/>
      <c r="AR62" t="str">
        <f>IFERROR(INDEX(STDREFRIG[Reporting Methodology],MATCH(EXPORT!C62,STDREFRIG[Measure Number],0)),"")</f>
        <v/>
      </c>
      <c r="AS62" t="str">
        <f>IFERROR(INDEX(STDREFRIG[Primary Key],MATCH(C62,STDREFRIG[Measure Number],0)),"")</f>
        <v/>
      </c>
      <c r="AT62" s="14" cm="1">
        <f t="array" ref="AT62">_xlfn.LET(_xlpm.ROWS, 2*(ROWS(AT$51:AT62)-1)+1,IFERROR(INDEX('M03-S04'!$AR$18:$AR$199, _xlpm.ROWS)-INDEX('M03-S04'!$BQ$18:$BQ$199, _xlpm.ROWS),""))</f>
        <v>0</v>
      </c>
      <c r="BL62"/>
      <c r="BP62"/>
      <c r="BQ62"/>
      <c r="BR62"/>
      <c r="CD62"/>
      <c r="CE62"/>
      <c r="CF62"/>
      <c r="CQ62"/>
      <c r="CR62"/>
      <c r="CS62"/>
      <c r="DS62"/>
      <c r="DT62"/>
      <c r="DU62"/>
    </row>
    <row r="63" spans="1:125" hidden="1">
      <c r="A63" s="15">
        <f t="shared" si="4"/>
        <v>0</v>
      </c>
      <c r="B63" t="str">
        <f t="shared" si="5"/>
        <v/>
      </c>
      <c r="C63" t="str">
        <f>IFERROR(IF(R63&gt;0,INDEX('M03-S04'!$BH$18:$BH$199,2*(ROWS($C$51:C63)-1)+1),""),"")</f>
        <v/>
      </c>
      <c r="D63" t="s">
        <v>1320</v>
      </c>
      <c r="E63">
        <f>IFERROR(INDEX('M03-S04'!$BD$18:$BD$199,2*(ROWS($E$51:E63)-1)+1),"")</f>
        <v>0</v>
      </c>
      <c r="F63" s="210"/>
      <c r="G63">
        <f>IFERROR(INDEX('M03-S04'!$AE$18:$AE$199,2*(ROWS($G$51:G63)-1)+1),"")</f>
        <v>0</v>
      </c>
      <c r="H63" s="14">
        <f>IFERROR(ROUND(INDEX('M03-S04'!$AI$18:$AI$199,2*(ROWS(H$51:H63)-1)+1),2),"")</f>
        <v>0</v>
      </c>
      <c r="I63" s="14">
        <f>IFERROR(ROUND(INDEX('M03-S04'!$AK$18:$AK$199,2*(ROWS(I$51:I63)-1)+1),2),"")</f>
        <v>0</v>
      </c>
      <c r="J63" s="14">
        <f>IFERROR(ROUND(INDEX('M03-S04'!$AX$18:$AX$199,2*(ROWS(J$51:J63)-1)+1),2),"")</f>
        <v>0</v>
      </c>
      <c r="K63" t="s">
        <v>84</v>
      </c>
      <c r="L63" s="10">
        <f>IFERROR(ROUND(INDEX('M03-S04'!$U$18:$U$199,2*(ROWS(L$51:L63)-1)+1),3),"")</f>
        <v>0</v>
      </c>
      <c r="M63" s="10">
        <f>IFERROR(ROUND(INDEX('M03-S04'!$U$18:$U$199,2*(ROWS(M$51:M63)-1)+1),3),"")</f>
        <v>0</v>
      </c>
      <c r="N63" s="37">
        <f>IFERROR(INDEX('M03-S04'!$AZ$18:$AZ$199,2*(ROWS(N$51:N63)-1)+1),"")</f>
        <v>0</v>
      </c>
      <c r="O63" s="37">
        <f>IFERROR(INDEX('M03-S04'!$BE$18:$BE$199,2*(ROWS(O$51:O63)-1)+1),"")</f>
        <v>0</v>
      </c>
      <c r="P63" s="37">
        <f>IFERROR(INDEX('M03-S04'!$BA$18:$BA$199,2*(ROWS(P$51:P63)-1)+1),"")</f>
        <v>0</v>
      </c>
      <c r="Q63" s="37">
        <f>IFERROR(INDEX('M03-S04'!$BF$18:$BF$199,2*(ROWS(Q$51:Q63)-1)+1),"")</f>
        <v>0</v>
      </c>
      <c r="R63" s="14">
        <f>IFERROR(INDEX('M03-S04'!$AR$18:$AR$199,2*(ROWS(R$51:R63)-1)+1),"")</f>
        <v>0</v>
      </c>
      <c r="S63" s="207"/>
      <c r="T63" s="207"/>
      <c r="U63" s="207"/>
      <c r="V63" s="194"/>
      <c r="W63" s="218"/>
      <c r="X63" s="218"/>
      <c r="Y63" s="210"/>
      <c r="Z63" s="210"/>
      <c r="AA63" s="219"/>
      <c r="AB63" s="219"/>
      <c r="AC63" s="194"/>
      <c r="AD63" s="37">
        <f>IFERROR(INDEX('M03-S04'!$BB$18:$BB$199,2*(ROWS(AD$51:AD63)-1)+1),"")</f>
        <v>0</v>
      </c>
      <c r="AE63" s="37">
        <f>IFERROR(INDEX('M03-S04'!$BC$18:$BC$199,2*(ROWS(AE$51:AE63)-1)+1),"")</f>
        <v>0</v>
      </c>
      <c r="AF63" s="210"/>
      <c r="AG63" s="210"/>
      <c r="AH63" s="210"/>
      <c r="AI63">
        <f>IFERROR(INDEX('M03-S04'!$B$18:$B$199,2*(ROWS(AI$51:AI63)-1)+1),"")</f>
        <v>0</v>
      </c>
      <c r="AJ63" s="194"/>
      <c r="AK63">
        <f>IFERROR(INDEX('M03-S04'!$C$18:$C$199,2*(ROWS(AK$51:AK63)-1)+1),"")</f>
        <v>0</v>
      </c>
      <c r="AL63" s="194"/>
      <c r="AM63">
        <f>IFERROR(INDEX('M03-S04'!$AA$18:$AA$199,2*(ROWS(AM$51:AM63)-1)+1),"")</f>
        <v>0</v>
      </c>
      <c r="AN63" s="207"/>
      <c r="AO63" s="207"/>
      <c r="AP63">
        <f>IFERROR(INDEX('M03-S04'!$AY$18:$AY$199,2*(ROWS(AP$51:AP63)-1)+1),"")</f>
        <v>0</v>
      </c>
      <c r="AQ63" s="194"/>
      <c r="AR63" t="str">
        <f>IFERROR(INDEX(STDREFRIG[Reporting Methodology],MATCH(EXPORT!C63,STDREFRIG[Measure Number],0)),"")</f>
        <v/>
      </c>
      <c r="AS63" t="str">
        <f>IFERROR(INDEX(STDREFRIG[Primary Key],MATCH(C63,STDREFRIG[Measure Number],0)),"")</f>
        <v/>
      </c>
      <c r="AT63" s="14" cm="1">
        <f t="array" ref="AT63">_xlfn.LET(_xlpm.ROWS, 2*(ROWS(AT$51:AT63)-1)+1,IFERROR(INDEX('M03-S04'!$AR$18:$AR$199, _xlpm.ROWS)-INDEX('M03-S04'!$BQ$18:$BQ$199, _xlpm.ROWS),""))</f>
        <v>0</v>
      </c>
      <c r="BL63"/>
      <c r="BP63"/>
      <c r="BQ63"/>
      <c r="BR63"/>
      <c r="CD63"/>
      <c r="CE63"/>
      <c r="CF63"/>
      <c r="CQ63"/>
      <c r="CR63"/>
      <c r="CS63"/>
      <c r="DS63"/>
      <c r="DT63"/>
      <c r="DU63"/>
    </row>
    <row r="64" spans="1:125" ht="17.25" hidden="1" customHeight="1">
      <c r="A64" s="15">
        <f t="shared" si="4"/>
        <v>0</v>
      </c>
      <c r="B64" t="str">
        <f t="shared" si="5"/>
        <v/>
      </c>
      <c r="C64" t="str">
        <f>IFERROR(IF(R64&gt;0,INDEX('M03-S04'!$BH$18:$BH$199,2*(ROWS($C$51:C64)-1)+1),""),"")</f>
        <v/>
      </c>
      <c r="D64" t="s">
        <v>1320</v>
      </c>
      <c r="E64">
        <f>IFERROR(INDEX('M03-S04'!$BD$18:$BD$199,2*(ROWS($E$51:E64)-1)+1),"")</f>
        <v>0</v>
      </c>
      <c r="F64" s="210"/>
      <c r="G64">
        <f>IFERROR(INDEX('M03-S04'!$AE$18:$AE$199,2*(ROWS($G$51:G64)-1)+1),"")</f>
        <v>0</v>
      </c>
      <c r="H64" s="14">
        <f>IFERROR(ROUND(INDEX('M03-S04'!$AI$18:$AI$199,2*(ROWS(H$51:H64)-1)+1),2),"")</f>
        <v>0</v>
      </c>
      <c r="I64" s="14">
        <f>IFERROR(ROUND(INDEX('M03-S04'!$AK$18:$AK$199,2*(ROWS(I$51:I64)-1)+1),2),"")</f>
        <v>0</v>
      </c>
      <c r="J64" s="14">
        <f>IFERROR(ROUND(INDEX('M03-S04'!$AX$18:$AX$199,2*(ROWS(J$51:J64)-1)+1),2),"")</f>
        <v>0</v>
      </c>
      <c r="K64" t="s">
        <v>84</v>
      </c>
      <c r="L64" s="10">
        <f>IFERROR(ROUND(INDEX('M03-S04'!$U$18:$U$199,2*(ROWS(L$51:L64)-1)+1),3),"")</f>
        <v>0</v>
      </c>
      <c r="M64" s="10">
        <f>IFERROR(ROUND(INDEX('M03-S04'!$U$18:$U$199,2*(ROWS(M$51:M64)-1)+1),3),"")</f>
        <v>0</v>
      </c>
      <c r="N64" s="37">
        <f>IFERROR(INDEX('M03-S04'!$AZ$18:$AZ$199,2*(ROWS(N$51:N64)-1)+1),"")</f>
        <v>0</v>
      </c>
      <c r="O64" s="37">
        <f>IFERROR(INDEX('M03-S04'!$BE$18:$BE$199,2*(ROWS(O$51:O64)-1)+1),"")</f>
        <v>0</v>
      </c>
      <c r="P64" s="37">
        <f>IFERROR(INDEX('M03-S04'!$BA$18:$BA$199,2*(ROWS(P$51:P64)-1)+1),"")</f>
        <v>0</v>
      </c>
      <c r="Q64" s="37">
        <f>IFERROR(INDEX('M03-S04'!$BF$18:$BF$199,2*(ROWS(Q$51:Q64)-1)+1),"")</f>
        <v>0</v>
      </c>
      <c r="R64" s="14">
        <f>IFERROR(INDEX('M03-S04'!$AR$18:$AR$199,2*(ROWS(R$51:R64)-1)+1),"")</f>
        <v>0</v>
      </c>
      <c r="S64" s="207"/>
      <c r="T64" s="207"/>
      <c r="U64" s="207"/>
      <c r="V64" s="194"/>
      <c r="W64" s="218"/>
      <c r="X64" s="218"/>
      <c r="Y64" s="210"/>
      <c r="Z64" s="210"/>
      <c r="AA64" s="219"/>
      <c r="AB64" s="219"/>
      <c r="AC64" s="194"/>
      <c r="AD64" s="37">
        <f>IFERROR(INDEX('M03-S04'!$BB$18:$BB$199,2*(ROWS(AD$51:AD64)-1)+1),"")</f>
        <v>0</v>
      </c>
      <c r="AE64" s="37">
        <f>IFERROR(INDEX('M03-S04'!$BC$18:$BC$199,2*(ROWS(AE$51:AE64)-1)+1),"")</f>
        <v>0</v>
      </c>
      <c r="AF64" s="210"/>
      <c r="AG64" s="210"/>
      <c r="AH64" s="210"/>
      <c r="AI64">
        <f>IFERROR(INDEX('M03-S04'!$B$18:$B$199,2*(ROWS(AI$51:AI64)-1)+1),"")</f>
        <v>0</v>
      </c>
      <c r="AJ64" s="194"/>
      <c r="AK64">
        <f>IFERROR(INDEX('M03-S04'!$C$18:$C$199,2*(ROWS(AK$51:AK64)-1)+1),"")</f>
        <v>0</v>
      </c>
      <c r="AL64" s="194"/>
      <c r="AM64">
        <f>IFERROR(INDEX('M03-S04'!$AA$18:$AA$199,2*(ROWS(AM$51:AM64)-1)+1),"")</f>
        <v>0</v>
      </c>
      <c r="AN64" s="207"/>
      <c r="AO64" s="207"/>
      <c r="AP64">
        <f>IFERROR(INDEX('M03-S04'!$AY$18:$AY$199,2*(ROWS(AP$51:AP64)-1)+1),"")</f>
        <v>0</v>
      </c>
      <c r="AQ64" s="194"/>
      <c r="AR64" t="str">
        <f>IFERROR(INDEX(STDREFRIG[Reporting Methodology],MATCH(EXPORT!C64,STDREFRIG[Measure Number],0)),"")</f>
        <v/>
      </c>
      <c r="AS64" t="str">
        <f>IFERROR(INDEX(STDREFRIG[Primary Key],MATCH(C64,STDREFRIG[Measure Number],0)),"")</f>
        <v/>
      </c>
      <c r="AT64" s="14" cm="1">
        <f t="array" ref="AT64">_xlfn.LET(_xlpm.ROWS, 2*(ROWS(AT$51:AT64)-1)+1,IFERROR(INDEX('M03-S04'!$AR$18:$AR$199, _xlpm.ROWS)-INDEX('M03-S04'!$BQ$18:$BQ$199, _xlpm.ROWS),""))</f>
        <v>0</v>
      </c>
      <c r="BL64"/>
      <c r="BP64"/>
      <c r="BQ64"/>
      <c r="BR64"/>
      <c r="CD64"/>
      <c r="CE64"/>
      <c r="CF64"/>
      <c r="CQ64"/>
      <c r="CR64"/>
      <c r="CS64"/>
      <c r="DS64"/>
      <c r="DT64"/>
      <c r="DU64"/>
    </row>
    <row r="65" spans="1:125" hidden="1">
      <c r="A65" s="15">
        <f t="shared" si="4"/>
        <v>0</v>
      </c>
      <c r="B65" t="str">
        <f t="shared" si="5"/>
        <v/>
      </c>
      <c r="C65" t="str">
        <f>IFERROR(IF(R65&gt;0,INDEX('M03-S04'!$BH$18:$BH$199,2*(ROWS($C$51:C65)-1)+1),""),"")</f>
        <v/>
      </c>
      <c r="D65" t="s">
        <v>1320</v>
      </c>
      <c r="E65">
        <f>IFERROR(INDEX('M03-S04'!$BD$18:$BD$199,2*(ROWS($E$51:E65)-1)+1),"")</f>
        <v>0</v>
      </c>
      <c r="F65" s="210"/>
      <c r="G65">
        <f>IFERROR(INDEX('M03-S04'!$AE$18:$AE$199,2*(ROWS($G$51:G65)-1)+1),"")</f>
        <v>0</v>
      </c>
      <c r="H65" s="14">
        <f>IFERROR(ROUND(INDEX('M03-S04'!$AI$18:$AI$199,2*(ROWS(H$51:H65)-1)+1),2),"")</f>
        <v>0</v>
      </c>
      <c r="I65" s="14">
        <f>IFERROR(ROUND(INDEX('M03-S04'!$AK$18:$AK$199,2*(ROWS(I$51:I65)-1)+1),2),"")</f>
        <v>0</v>
      </c>
      <c r="J65" s="14">
        <f>IFERROR(ROUND(INDEX('M03-S04'!$AX$18:$AX$199,2*(ROWS(J$51:J65)-1)+1),2),"")</f>
        <v>0</v>
      </c>
      <c r="K65" t="s">
        <v>84</v>
      </c>
      <c r="L65" s="10">
        <f>IFERROR(ROUND(INDEX('M03-S04'!$U$18:$U$199,2*(ROWS(L$51:L65)-1)+1),3),"")</f>
        <v>0</v>
      </c>
      <c r="M65" s="10">
        <f>IFERROR(ROUND(INDEX('M03-S04'!$U$18:$U$199,2*(ROWS(M$51:M65)-1)+1),3),"")</f>
        <v>0</v>
      </c>
      <c r="N65" s="37">
        <f>IFERROR(INDEX('M03-S04'!$AZ$18:$AZ$199,2*(ROWS(N$51:N65)-1)+1),"")</f>
        <v>0</v>
      </c>
      <c r="O65" s="37">
        <f>IFERROR(INDEX('M03-S04'!$BE$18:$BE$199,2*(ROWS(O$51:O65)-1)+1),"")</f>
        <v>0</v>
      </c>
      <c r="P65" s="37">
        <f>IFERROR(INDEX('M03-S04'!$BA$18:$BA$199,2*(ROWS(P$51:P65)-1)+1),"")</f>
        <v>0</v>
      </c>
      <c r="Q65" s="37">
        <f>IFERROR(INDEX('M03-S04'!$BF$18:$BF$199,2*(ROWS(Q$51:Q65)-1)+1),"")</f>
        <v>0</v>
      </c>
      <c r="R65" s="14">
        <f>IFERROR(INDEX('M03-S04'!$AR$18:$AR$199,2*(ROWS(R$51:R65)-1)+1),"")</f>
        <v>0</v>
      </c>
      <c r="S65" s="207"/>
      <c r="T65" s="207"/>
      <c r="U65" s="207"/>
      <c r="V65" s="194"/>
      <c r="W65" s="218"/>
      <c r="X65" s="218"/>
      <c r="Y65" s="210"/>
      <c r="Z65" s="210"/>
      <c r="AA65" s="219"/>
      <c r="AB65" s="219"/>
      <c r="AC65" s="194"/>
      <c r="AD65" s="37">
        <f>IFERROR(INDEX('M03-S04'!$BB$18:$BB$199,2*(ROWS(AD$51:AD65)-1)+1),"")</f>
        <v>0</v>
      </c>
      <c r="AE65" s="37">
        <f>IFERROR(INDEX('M03-S04'!$BC$18:$BC$199,2*(ROWS(AE$51:AE65)-1)+1),"")</f>
        <v>0</v>
      </c>
      <c r="AF65" s="210"/>
      <c r="AG65" s="210"/>
      <c r="AH65" s="210"/>
      <c r="AI65">
        <f>IFERROR(INDEX('M03-S04'!$B$18:$B$199,2*(ROWS(AI$51:AI65)-1)+1),"")</f>
        <v>0</v>
      </c>
      <c r="AJ65" s="194"/>
      <c r="AK65">
        <f>IFERROR(INDEX('M03-S04'!$C$18:$C$199,2*(ROWS(AK$51:AK65)-1)+1),"")</f>
        <v>0</v>
      </c>
      <c r="AL65" s="194"/>
      <c r="AM65">
        <f>IFERROR(INDEX('M03-S04'!$AA$18:$AA$199,2*(ROWS(AM$51:AM65)-1)+1),"")</f>
        <v>0</v>
      </c>
      <c r="AN65" s="207"/>
      <c r="AO65" s="207"/>
      <c r="AP65">
        <f>IFERROR(INDEX('M03-S04'!$AY$18:$AY$199,2*(ROWS(AP$51:AP65)-1)+1),"")</f>
        <v>0</v>
      </c>
      <c r="AQ65" s="194"/>
      <c r="AR65" t="str">
        <f>IFERROR(INDEX(STDREFRIG[Reporting Methodology],MATCH(EXPORT!C65,STDREFRIG[Measure Number],0)),"")</f>
        <v/>
      </c>
      <c r="AS65" t="str">
        <f>IFERROR(INDEX(STDREFRIG[Primary Key],MATCH(C65,STDREFRIG[Measure Number],0)),"")</f>
        <v/>
      </c>
      <c r="AT65" s="14" cm="1">
        <f t="array" ref="AT65">_xlfn.LET(_xlpm.ROWS, 2*(ROWS(AT$51:AT65)-1)+1,IFERROR(INDEX('M03-S04'!$AR$18:$AR$199, _xlpm.ROWS)-INDEX('M03-S04'!$BQ$18:$BQ$199, _xlpm.ROWS),""))</f>
        <v>0</v>
      </c>
      <c r="BL65"/>
      <c r="BP65"/>
      <c r="BQ65"/>
      <c r="BR65"/>
      <c r="CD65"/>
      <c r="CE65"/>
      <c r="CF65"/>
      <c r="CQ65"/>
      <c r="CR65"/>
      <c r="CS65"/>
      <c r="DS65"/>
      <c r="DT65"/>
      <c r="DU65"/>
    </row>
    <row r="66" spans="1:125" s="195" customFormat="1">
      <c r="A66" s="224" t="str">
        <f>"Standard "&amp;M3S5</f>
        <v>Standard HVAC</v>
      </c>
      <c r="F66" s="209"/>
      <c r="H66" s="205"/>
      <c r="I66" s="205"/>
      <c r="J66" s="205"/>
      <c r="L66" s="213"/>
      <c r="M66" s="213"/>
      <c r="N66" s="216"/>
      <c r="O66" s="216"/>
      <c r="P66" s="216"/>
      <c r="Q66" s="216"/>
      <c r="R66" s="205"/>
      <c r="S66" s="205"/>
      <c r="T66" s="205"/>
      <c r="U66" s="205"/>
      <c r="W66" s="213"/>
      <c r="X66" s="213"/>
      <c r="Y66" s="209"/>
      <c r="Z66" s="209"/>
      <c r="AA66" s="216"/>
      <c r="AB66" s="216"/>
      <c r="AD66" s="216"/>
      <c r="AE66" s="216"/>
      <c r="AF66" s="209"/>
      <c r="AG66" s="209"/>
      <c r="AH66" s="209"/>
      <c r="AK66" s="196"/>
      <c r="AL66" s="195" t="s">
        <v>3034</v>
      </c>
      <c r="AM66" s="195" t="s">
        <v>3035</v>
      </c>
      <c r="AN66" s="205"/>
      <c r="AO66" s="205"/>
      <c r="AU66" s="197"/>
      <c r="AV66" s="197"/>
      <c r="AW66" s="197"/>
      <c r="AX66" s="197"/>
      <c r="AY66" s="197"/>
      <c r="AZ66" s="197"/>
      <c r="BA66" s="197"/>
      <c r="BB66" s="197"/>
      <c r="BC66" s="197"/>
      <c r="BD66" s="197"/>
      <c r="BE66" s="197"/>
    </row>
    <row r="67" spans="1:125">
      <c r="A67" s="15">
        <f t="shared" ref="A67:A101" si="6">PROJID</f>
        <v>0</v>
      </c>
      <c r="B67" t="str">
        <f>IF(C67="","",CONCATENATE(ROW(),"-",C67))</f>
        <v/>
      </c>
      <c r="C67" t="str">
        <f>IFERROR(IF(R67&gt;0,INDEX('M03-S05'!$BH$18:$BH$199,2*(ROWS($C$67:C67)-1)+1),""),"")</f>
        <v/>
      </c>
      <c r="D67" t="s">
        <v>1320</v>
      </c>
      <c r="E67" t="str">
        <f>IFERROR(INDEX('M03-S05'!$BD$18:$BD$199,2*(ROWS($E$67:E67)-1)+1),"")</f>
        <v/>
      </c>
      <c r="F67" s="210"/>
      <c r="G67" s="210"/>
      <c r="H67" s="14">
        <f>IFERROR(ROUND(INDEX('M03-S05'!$AE$18:$AE$199,2*(ROWS(H$67:H67)-1)+1),2),"")</f>
        <v>0</v>
      </c>
      <c r="I67" s="14">
        <f>IFERROR(ROUND(INDEX('M03-S05'!$AG$18:$AG$199,2*(ROWS(I$67:I67)-1)+1),2),"")</f>
        <v>0</v>
      </c>
      <c r="J67" s="14" t="str">
        <f>IFERROR(ROUND(INDEX('M03-S05'!$AX$18:$AX$199,2*(ROWS(J$67:J67)-1)+1),2),"")</f>
        <v/>
      </c>
      <c r="K67" t="s">
        <v>84</v>
      </c>
      <c r="L67" s="10">
        <f>IFERROR(ROUND(INDEX('M03-S05'!$V$18:$V$199,2*(ROWS(L$67:L67)-1)+1),3),"")</f>
        <v>0</v>
      </c>
      <c r="M67" s="10">
        <f>IFERROR(ROUND(INDEX('M03-S05'!$V$18:$V$199,2*(ROWS(M$67:M67)-1)+1),3),"")</f>
        <v>0</v>
      </c>
      <c r="N67" s="37" t="str">
        <f>IFERROR(INDEX('M03-S05'!$AZ$18:$AZ$199,2*(ROWS(N$67:N67)-1)+1),"")</f>
        <v/>
      </c>
      <c r="O67" s="37" t="str">
        <f>IFERROR(INDEX('M03-S05'!$BE$18:$BE$199,2*(ROWS(O$67:O67)-1)+1),"")</f>
        <v/>
      </c>
      <c r="P67" s="37" t="str">
        <f>IFERROR(INDEX('M03-S05'!$BA$18:$BA$199,2*(ROWS(P$67:P67)-1)+1),"")</f>
        <v/>
      </c>
      <c r="Q67" s="37" t="str">
        <f>IFERROR(INDEX('M03-S05'!$BF$18:$BF$199,2*(ROWS(Q$67:Q67)-1)+1),"")</f>
        <v/>
      </c>
      <c r="R67" s="14" t="str">
        <f>IFERROR(INDEX('M03-S05'!$AR$18:$AR$199,2*(ROWS(R$67:R67)-1)+1),"")</f>
        <v/>
      </c>
      <c r="S67" s="207"/>
      <c r="T67" s="207"/>
      <c r="U67" s="207"/>
      <c r="V67" s="194"/>
      <c r="W67" s="218"/>
      <c r="X67" s="218"/>
      <c r="Y67" s="210"/>
      <c r="Z67" s="210"/>
      <c r="AA67" s="219"/>
      <c r="AB67" s="219"/>
      <c r="AC67" s="194"/>
      <c r="AD67" s="37">
        <f>IFERROR(INDEX('M03-S05'!$BB$18:$BB$199,2*(ROWS(AD$67:AD67)-1)+1),"")</f>
        <v>0</v>
      </c>
      <c r="AE67" s="37">
        <f>IFERROR(INDEX('M03-S05'!$BC$18:$BC$199,2*(ROWS(AE$67:AE67)-1)+1),"")</f>
        <v>0</v>
      </c>
      <c r="AF67" s="210"/>
      <c r="AG67" s="210"/>
      <c r="AH67" s="210"/>
      <c r="AI67">
        <f>IFERROR(INDEX('M03-S05'!$B$18:$B$199,2*(ROWS(AI$67:AI67)-1)+1),"")</f>
        <v>1</v>
      </c>
      <c r="AJ67" s="194"/>
      <c r="AK67">
        <f>IFERROR(INDEX('M03-S05'!$C$18:$C$199,2*(ROWS(AK$67:AK67)-1)+1),"")</f>
        <v>0</v>
      </c>
      <c r="AL67" t="str" cm="1">
        <f t="array" aca="1" ref="AL67" ca="1">_xlfn.LET( _xlpm.Rows, 2*(ROWS(AM$67:AM67)-1)+1,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MATCH(AS67,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67" t="str" cm="1">
        <f t="array" aca="1" ref="AM67" ca="1">_xlfn.LET( _xlpm.Rows, 2*(ROWS(AM$67:AM67)-1)+1,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MATCH(AS67,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67" s="207"/>
      <c r="AO67" s="207"/>
      <c r="AP67" t="str">
        <f>IFERROR(INDEX('M03-S05'!$AY$18:$AY$199,2*(ROWS(AP$67:AP67)-1)+1),"")</f>
        <v/>
      </c>
      <c r="AQ67" s="194"/>
      <c r="AR67" t="str">
        <f>IFERROR(INDEX(STDHVAC[Reporting Methodology],MATCH(EXPORT!C67,STDHVAC[Measure Number],0)),"")</f>
        <v/>
      </c>
      <c r="AS67" t="str">
        <f>IFERROR(INDEX(STDHVAC[Primary Key],MATCH(C67,STDHVAC[Measure Number],0)),"")</f>
        <v/>
      </c>
      <c r="AT67" s="14" t="str" cm="1">
        <f t="array" ref="AT67">_xlfn.LET(_xlpm.ROWS, 2*(ROWS(AT$67:AT67)-1)+1,IFERROR(INDEX('M03-S05'!$AR$18:$AR$199, _xlpm.ROWS)-INDEX('M03-S05'!$BT$18:$BT$199, _xlpm.ROWS),""))</f>
        <v/>
      </c>
      <c r="BL67"/>
      <c r="BP67"/>
      <c r="BQ67"/>
      <c r="BR67"/>
      <c r="CD67"/>
      <c r="CE67"/>
      <c r="CF67"/>
      <c r="CQ67"/>
      <c r="CR67"/>
      <c r="CS67"/>
      <c r="DS67"/>
      <c r="DT67"/>
      <c r="DU67"/>
    </row>
    <row r="68" spans="1:125" hidden="1">
      <c r="A68" s="15">
        <f t="shared" si="6"/>
        <v>0</v>
      </c>
      <c r="B68" t="str">
        <f t="shared" ref="B68:B101" si="7">IF(C68="","",CONCATENATE(ROW(),"-",C68))</f>
        <v/>
      </c>
      <c r="C68" t="str">
        <f>IFERROR(IF(R68&gt;0,INDEX('M03-S05'!$BH$18:$BH$199,2*(ROWS($C$67:C68)-1)+1),""),"")</f>
        <v/>
      </c>
      <c r="D68" t="s">
        <v>1320</v>
      </c>
      <c r="E68" t="str">
        <f>IFERROR(INDEX('M03-S05'!$BD$18:$BD$199,2*(ROWS($E$67:E68)-1)+1),"")</f>
        <v/>
      </c>
      <c r="F68" s="210"/>
      <c r="G68" s="210"/>
      <c r="H68" s="14">
        <f>IFERROR(ROUND(INDEX('M03-S05'!$AE$18:$AE$199,2*(ROWS(H$67:H68)-1)+1),2),"")</f>
        <v>0</v>
      </c>
      <c r="I68" s="14">
        <f>IFERROR(ROUND(INDEX('M03-S05'!$AG$18:$AG$199,2*(ROWS(I$67:I68)-1)+1),2),"")</f>
        <v>0</v>
      </c>
      <c r="J68" s="14" t="str">
        <f>IFERROR(ROUND(INDEX('M03-S05'!$AX$18:$AX$199,2*(ROWS(J$67:J68)-1)+1),2),"")</f>
        <v/>
      </c>
      <c r="K68" t="s">
        <v>84</v>
      </c>
      <c r="L68" s="10">
        <f>IFERROR(ROUND(INDEX('M03-S05'!$V$18:$V$199,2*(ROWS(L$67:L68)-1)+1),3),"")</f>
        <v>0</v>
      </c>
      <c r="M68" s="10">
        <f>IFERROR(ROUND(INDEX('M03-S05'!$V$18:$V$199,2*(ROWS(M$67:M68)-1)+1),3),"")</f>
        <v>0</v>
      </c>
      <c r="N68" s="37" t="str">
        <f>IFERROR(INDEX('M03-S05'!$AZ$18:$AZ$199,2*(ROWS(N$67:N68)-1)+1),"")</f>
        <v/>
      </c>
      <c r="O68" s="37" t="str">
        <f>IFERROR(INDEX('M03-S05'!$BE$18:$BE$199,2*(ROWS(O$67:O68)-1)+1),"")</f>
        <v/>
      </c>
      <c r="P68" s="37" t="str">
        <f>IFERROR(INDEX('M03-S05'!$BA$18:$BA$199,2*(ROWS(P$67:P68)-1)+1),"")</f>
        <v/>
      </c>
      <c r="Q68" s="37" t="str">
        <f>IFERROR(INDEX('M03-S05'!$BF$18:$BF$199,2*(ROWS(Q$67:Q68)-1)+1),"")</f>
        <v/>
      </c>
      <c r="R68" s="14" t="str">
        <f>IFERROR(INDEX('M03-S05'!$AR$18:$AR$199,2*(ROWS(R$67:R68)-1)+1),"")</f>
        <v/>
      </c>
      <c r="S68" s="207"/>
      <c r="T68" s="207"/>
      <c r="U68" s="207"/>
      <c r="V68" s="194"/>
      <c r="W68" s="218"/>
      <c r="X68" s="218"/>
      <c r="Y68" s="210"/>
      <c r="Z68" s="210"/>
      <c r="AA68" s="219"/>
      <c r="AB68" s="219"/>
      <c r="AC68" s="194"/>
      <c r="AD68" s="37">
        <f>IFERROR(INDEX('M03-S05'!$BB$18:$BB$199,2*(ROWS(AD$67:AD68)-1)+1),"")</f>
        <v>0</v>
      </c>
      <c r="AE68" s="37">
        <f>IFERROR(INDEX('M03-S05'!$BC$18:$BC$199,2*(ROWS(AE$67:AE68)-1)+1),"")</f>
        <v>0</v>
      </c>
      <c r="AF68" s="210"/>
      <c r="AG68" s="210"/>
      <c r="AH68" s="210"/>
      <c r="AI68">
        <f>IFERROR(INDEX('M03-S05'!$B$18:$B$199,2*(ROWS(AI$67:AI68)-1)+1),"")</f>
        <v>2</v>
      </c>
      <c r="AJ68" s="194"/>
      <c r="AK68">
        <f>IFERROR(INDEX('M03-S05'!$C$18:$C$199,2*(ROWS(AK$67:AK68)-1)+1),"")</f>
        <v>0</v>
      </c>
      <c r="AL68" t="str" cm="1">
        <f t="array" aca="1" ref="AL68" ca="1">_xlfn.LET( _xlpm.Rows, 2*(ROWS(AM$67:AM68)-1)+1,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MATCH(AS68,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68" t="str" cm="1">
        <f t="array" aca="1" ref="AM68" ca="1">_xlfn.LET( _xlpm.Rows, 2*(ROWS(AM$67:AM68)-1)+1,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MATCH(AS68,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68" s="207"/>
      <c r="AO68" s="207"/>
      <c r="AP68" t="str">
        <f>IFERROR(INDEX('M03-S05'!$AY$18:$AY$199,2*(ROWS(AP$67:AP68)-1)+1),"")</f>
        <v/>
      </c>
      <c r="AQ68" s="194"/>
      <c r="AR68" t="str">
        <f>IFERROR(INDEX(STDHVAC[Reporting Methodology],MATCH(EXPORT!C68,STDHVAC[Measure Number],0)),"")</f>
        <v/>
      </c>
      <c r="AS68" t="str">
        <f>IFERROR(INDEX(STDHVAC[Primary Key],MATCH(C68,STDHVAC[Measure Number],0)),"")</f>
        <v/>
      </c>
      <c r="AT68" s="14" t="str" cm="1">
        <f t="array" ref="AT68">_xlfn.LET(_xlpm.ROWS, 2*(ROWS(AT$67:AT68)-1)+1,IFERROR(INDEX('M03-S05'!$AR$18:$AR$199, _xlpm.ROWS)-INDEX('M03-S05'!$BT$18:$BT$199, _xlpm.ROWS),""))</f>
        <v/>
      </c>
      <c r="BL68"/>
      <c r="BP68"/>
      <c r="BQ68"/>
      <c r="BR68"/>
      <c r="CD68"/>
      <c r="CE68"/>
      <c r="CF68"/>
      <c r="CQ68"/>
      <c r="CR68"/>
      <c r="CS68"/>
      <c r="DS68"/>
      <c r="DT68"/>
      <c r="DU68"/>
    </row>
    <row r="69" spans="1:125" hidden="1">
      <c r="A69" s="15">
        <f t="shared" si="6"/>
        <v>0</v>
      </c>
      <c r="B69" t="str">
        <f t="shared" si="7"/>
        <v/>
      </c>
      <c r="C69" t="str">
        <f>IFERROR(IF(R69&gt;0,INDEX('M03-S05'!$BH$18:$BH$199,2*(ROWS($C$67:C69)-1)+1),""),"")</f>
        <v/>
      </c>
      <c r="D69" t="s">
        <v>1320</v>
      </c>
      <c r="E69" t="str">
        <f>IFERROR(INDEX('M03-S05'!$BD$18:$BD$199,2*(ROWS($E$67:E69)-1)+1),"")</f>
        <v/>
      </c>
      <c r="F69" s="210"/>
      <c r="G69" s="210"/>
      <c r="H69" s="14">
        <f>IFERROR(ROUND(INDEX('M03-S05'!$AE$18:$AE$199,2*(ROWS(H$67:H69)-1)+1),2),"")</f>
        <v>0</v>
      </c>
      <c r="I69" s="14">
        <f>IFERROR(ROUND(INDEX('M03-S05'!$AG$18:$AG$199,2*(ROWS(I$67:I69)-1)+1),2),"")</f>
        <v>0</v>
      </c>
      <c r="J69" s="14" t="str">
        <f>IFERROR(ROUND(INDEX('M03-S05'!$AX$18:$AX$199,2*(ROWS(J$67:J69)-1)+1),2),"")</f>
        <v/>
      </c>
      <c r="K69" t="s">
        <v>84</v>
      </c>
      <c r="L69" s="10">
        <f>IFERROR(ROUND(INDEX('M03-S05'!$V$18:$V$199,2*(ROWS(L$67:L69)-1)+1),3),"")</f>
        <v>0</v>
      </c>
      <c r="M69" s="10">
        <f>IFERROR(ROUND(INDEX('M03-S05'!$V$18:$V$199,2*(ROWS(M$67:M69)-1)+1),3),"")</f>
        <v>0</v>
      </c>
      <c r="N69" s="37" t="str">
        <f>IFERROR(INDEX('M03-S05'!$AZ$18:$AZ$199,2*(ROWS(N$67:N69)-1)+1),"")</f>
        <v/>
      </c>
      <c r="O69" s="37" t="str">
        <f>IFERROR(INDEX('M03-S05'!$BE$18:$BE$199,2*(ROWS(O$67:O69)-1)+1),"")</f>
        <v/>
      </c>
      <c r="P69" s="37" t="str">
        <f>IFERROR(INDEX('M03-S05'!$BA$18:$BA$199,2*(ROWS(P$67:P69)-1)+1),"")</f>
        <v/>
      </c>
      <c r="Q69" s="37" t="str">
        <f>IFERROR(INDEX('M03-S05'!$BF$18:$BF$199,2*(ROWS(Q$67:Q69)-1)+1),"")</f>
        <v/>
      </c>
      <c r="R69" s="14" t="str">
        <f>IFERROR(INDEX('M03-S05'!$AR$18:$AR$199,2*(ROWS(R$67:R69)-1)+1),"")</f>
        <v/>
      </c>
      <c r="S69" s="207"/>
      <c r="T69" s="207"/>
      <c r="U69" s="207"/>
      <c r="V69" s="194"/>
      <c r="W69" s="218"/>
      <c r="X69" s="218"/>
      <c r="Y69" s="210"/>
      <c r="Z69" s="210"/>
      <c r="AA69" s="219"/>
      <c r="AB69" s="219"/>
      <c r="AC69" s="194"/>
      <c r="AD69" s="37">
        <f>IFERROR(INDEX('M03-S05'!$BB$18:$BB$199,2*(ROWS(AD$67:AD69)-1)+1),"")</f>
        <v>0</v>
      </c>
      <c r="AE69" s="37">
        <f>IFERROR(INDEX('M03-S05'!$BC$18:$BC$199,2*(ROWS(AE$67:AE69)-1)+1),"")</f>
        <v>0</v>
      </c>
      <c r="AF69" s="210"/>
      <c r="AG69" s="210"/>
      <c r="AH69" s="210"/>
      <c r="AI69">
        <f>IFERROR(INDEX('M03-S05'!$B$18:$B$199,2*(ROWS(AI$67:AI69)-1)+1),"")</f>
        <v>3</v>
      </c>
      <c r="AJ69" s="194"/>
      <c r="AK69">
        <f>IFERROR(INDEX('M03-S05'!$C$18:$C$199,2*(ROWS(AK$67:AK69)-1)+1),"")</f>
        <v>0</v>
      </c>
      <c r="AL69" t="str" cm="1">
        <f t="array" aca="1" ref="AL69" ca="1">_xlfn.LET( _xlpm.Rows, 2*(ROWS(AM$67:AM69)-1)+1,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MATCH(AS69,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69" t="str" cm="1">
        <f t="array" aca="1" ref="AM69" ca="1">_xlfn.LET( _xlpm.Rows, 2*(ROWS(AM$67:AM69)-1)+1,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MATCH(AS69,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69" s="207"/>
      <c r="AO69" s="207"/>
      <c r="AP69" t="str">
        <f>IFERROR(INDEX('M03-S05'!$AY$18:$AY$199,2*(ROWS(AP$67:AP69)-1)+1),"")</f>
        <v/>
      </c>
      <c r="AQ69" s="194"/>
      <c r="AR69" t="str">
        <f>IFERROR(INDEX(STDHVAC[Reporting Methodology],MATCH(EXPORT!C69,STDHVAC[Measure Number],0)),"")</f>
        <v/>
      </c>
      <c r="AS69" t="str">
        <f>IFERROR(INDEX(STDHVAC[Primary Key],MATCH(C69,STDHVAC[Measure Number],0)),"")</f>
        <v/>
      </c>
      <c r="AT69" s="14" t="str" cm="1">
        <f t="array" ref="AT69">_xlfn.LET(_xlpm.ROWS, 2*(ROWS(AT$67:AT69)-1)+1,IFERROR(INDEX('M03-S05'!$AR$18:$AR$199, _xlpm.ROWS)-INDEX('M03-S05'!$BT$18:$BT$199, _xlpm.ROWS),""))</f>
        <v/>
      </c>
      <c r="BL69"/>
      <c r="BP69"/>
      <c r="BQ69"/>
      <c r="BR69"/>
      <c r="CD69"/>
      <c r="CE69"/>
      <c r="CF69"/>
      <c r="CQ69"/>
      <c r="CR69"/>
      <c r="CS69"/>
      <c r="DS69"/>
      <c r="DT69"/>
      <c r="DU69"/>
    </row>
    <row r="70" spans="1:125" hidden="1">
      <c r="A70" s="15">
        <f t="shared" si="6"/>
        <v>0</v>
      </c>
      <c r="B70" t="str">
        <f t="shared" si="7"/>
        <v/>
      </c>
      <c r="C70" t="str">
        <f>IFERROR(IF(R70&gt;0,INDEX('M03-S05'!$BH$18:$BH$199,2*(ROWS($C$67:C70)-1)+1),""),"")</f>
        <v/>
      </c>
      <c r="D70" t="s">
        <v>1320</v>
      </c>
      <c r="E70" t="str">
        <f>IFERROR(INDEX('M03-S05'!$BD$18:$BD$199,2*(ROWS($E$67:E70)-1)+1),"")</f>
        <v/>
      </c>
      <c r="F70" s="210"/>
      <c r="G70" s="210"/>
      <c r="H70" s="14">
        <f>IFERROR(ROUND(INDEX('M03-S05'!$AE$18:$AE$199,2*(ROWS(H$67:H70)-1)+1),2),"")</f>
        <v>0</v>
      </c>
      <c r="I70" s="14">
        <f>IFERROR(ROUND(INDEX('M03-S05'!$AG$18:$AG$199,2*(ROWS(I$67:I70)-1)+1),2),"")</f>
        <v>0</v>
      </c>
      <c r="J70" s="14" t="str">
        <f>IFERROR(ROUND(INDEX('M03-S05'!$AX$18:$AX$199,2*(ROWS(J$67:J70)-1)+1),2),"")</f>
        <v/>
      </c>
      <c r="K70" t="s">
        <v>84</v>
      </c>
      <c r="L70" s="10">
        <f>IFERROR(ROUND(INDEX('M03-S05'!$V$18:$V$199,2*(ROWS(L$67:L70)-1)+1),3),"")</f>
        <v>0</v>
      </c>
      <c r="M70" s="10">
        <f>IFERROR(ROUND(INDEX('M03-S05'!$V$18:$V$199,2*(ROWS(M$67:M70)-1)+1),3),"")</f>
        <v>0</v>
      </c>
      <c r="N70" s="37" t="str">
        <f>IFERROR(INDEX('M03-S05'!$AZ$18:$AZ$199,2*(ROWS(N$67:N70)-1)+1),"")</f>
        <v/>
      </c>
      <c r="O70" s="37" t="str">
        <f>IFERROR(INDEX('M03-S05'!$BE$18:$BE$199,2*(ROWS(O$67:O70)-1)+1),"")</f>
        <v/>
      </c>
      <c r="P70" s="37" t="str">
        <f>IFERROR(INDEX('M03-S05'!$BA$18:$BA$199,2*(ROWS(P$67:P70)-1)+1),"")</f>
        <v/>
      </c>
      <c r="Q70" s="37" t="str">
        <f>IFERROR(INDEX('M03-S05'!$BF$18:$BF$199,2*(ROWS(Q$67:Q70)-1)+1),"")</f>
        <v/>
      </c>
      <c r="R70" s="14" t="str">
        <f>IFERROR(INDEX('M03-S05'!$AR$18:$AR$199,2*(ROWS(R$67:R70)-1)+1),"")</f>
        <v/>
      </c>
      <c r="S70" s="207"/>
      <c r="T70" s="207"/>
      <c r="U70" s="207"/>
      <c r="V70" s="194"/>
      <c r="W70" s="218"/>
      <c r="X70" s="218"/>
      <c r="Y70" s="210"/>
      <c r="Z70" s="210"/>
      <c r="AA70" s="219"/>
      <c r="AB70" s="219"/>
      <c r="AC70" s="194"/>
      <c r="AD70" s="37">
        <f>IFERROR(INDEX('M03-S05'!$BB$18:$BB$199,2*(ROWS(AD$67:AD70)-1)+1),"")</f>
        <v>0</v>
      </c>
      <c r="AE70" s="37">
        <f>IFERROR(INDEX('M03-S05'!$BC$18:$BC$199,2*(ROWS(AE$67:AE70)-1)+1),"")</f>
        <v>0</v>
      </c>
      <c r="AF70" s="210"/>
      <c r="AG70" s="210"/>
      <c r="AH70" s="210"/>
      <c r="AI70">
        <f>IFERROR(INDEX('M03-S05'!$B$18:$B$199,2*(ROWS(AI$67:AI70)-1)+1),"")</f>
        <v>4</v>
      </c>
      <c r="AJ70" s="194"/>
      <c r="AK70">
        <f>IFERROR(INDEX('M03-S05'!$C$18:$C$199,2*(ROWS(AK$67:AK70)-1)+1),"")</f>
        <v>0</v>
      </c>
      <c r="AL70" t="str" cm="1">
        <f t="array" aca="1" ref="AL70" ca="1">_xlfn.LET( _xlpm.Rows, 2*(ROWS(AM$67:AM70)-1)+1,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0" t="str" cm="1">
        <f t="array" aca="1" ref="AM70" ca="1">_xlfn.LET( _xlpm.Rows, 2*(ROWS(AM$67:AM70)-1)+1,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0" s="207"/>
      <c r="AO70" s="207"/>
      <c r="AP70" t="str">
        <f>IFERROR(INDEX('M03-S05'!$AY$18:$AY$199,2*(ROWS(AP$67:AP70)-1)+1),"")</f>
        <v/>
      </c>
      <c r="AQ70" s="194"/>
      <c r="AR70" t="str">
        <f>IFERROR(INDEX(STDHVAC[Reporting Methodology],MATCH(EXPORT!C70,STDHVAC[Measure Number],0)),"")</f>
        <v/>
      </c>
      <c r="AS70" t="str">
        <f>IFERROR(INDEX(STDHVAC[Primary Key],MATCH(C70,STDHVAC[Measure Number],0)),"")</f>
        <v/>
      </c>
      <c r="AT70" s="14" t="str" cm="1">
        <f t="array" ref="AT70">_xlfn.LET(_xlpm.ROWS, 2*(ROWS(AT$67:AT70)-1)+1,IFERROR(INDEX('M03-S05'!$AR$18:$AR$199, _xlpm.ROWS)-INDEX('M03-S05'!$BT$18:$BT$199, _xlpm.ROWS),""))</f>
        <v/>
      </c>
      <c r="BL70"/>
      <c r="BP70"/>
      <c r="BQ70"/>
      <c r="BR70"/>
      <c r="CD70"/>
      <c r="CE70"/>
      <c r="CF70"/>
      <c r="CQ70"/>
      <c r="CR70"/>
      <c r="CS70"/>
      <c r="DS70"/>
      <c r="DT70"/>
      <c r="DU70"/>
    </row>
    <row r="71" spans="1:125" hidden="1">
      <c r="A71" s="15">
        <f t="shared" si="6"/>
        <v>0</v>
      </c>
      <c r="B71" t="str">
        <f t="shared" si="7"/>
        <v/>
      </c>
      <c r="C71" t="str">
        <f>IFERROR(IF(R71&gt;0,INDEX('M03-S05'!$BH$18:$BH$199,2*(ROWS($C$67:C71)-1)+1),""),"")</f>
        <v/>
      </c>
      <c r="D71" t="s">
        <v>1320</v>
      </c>
      <c r="E71" t="str">
        <f>IFERROR(INDEX('M03-S05'!$BD$18:$BD$199,2*(ROWS($E$67:E71)-1)+1),"")</f>
        <v/>
      </c>
      <c r="F71" s="210"/>
      <c r="G71" s="210"/>
      <c r="H71" s="14">
        <f>IFERROR(ROUND(INDEX('M03-S05'!$AE$18:$AE$199,2*(ROWS(H$67:H71)-1)+1),2),"")</f>
        <v>0</v>
      </c>
      <c r="I71" s="14">
        <f>IFERROR(ROUND(INDEX('M03-S05'!$AG$18:$AG$199,2*(ROWS(I$67:I71)-1)+1),2),"")</f>
        <v>0</v>
      </c>
      <c r="J71" s="14" t="str">
        <f>IFERROR(ROUND(INDEX('M03-S05'!$AX$18:$AX$199,2*(ROWS(J$67:J71)-1)+1),2),"")</f>
        <v/>
      </c>
      <c r="K71" t="s">
        <v>84</v>
      </c>
      <c r="L71" s="10">
        <f>IFERROR(ROUND(INDEX('M03-S05'!$V$18:$V$199,2*(ROWS(L$67:L71)-1)+1),3),"")</f>
        <v>0</v>
      </c>
      <c r="M71" s="10">
        <f>IFERROR(ROUND(INDEX('M03-S05'!$V$18:$V$199,2*(ROWS(M$67:M71)-1)+1),3),"")</f>
        <v>0</v>
      </c>
      <c r="N71" s="37" t="str">
        <f>IFERROR(INDEX('M03-S05'!$AZ$18:$AZ$199,2*(ROWS(N$67:N71)-1)+1),"")</f>
        <v/>
      </c>
      <c r="O71" s="37" t="str">
        <f>IFERROR(INDEX('M03-S05'!$BE$18:$BE$199,2*(ROWS(O$67:O71)-1)+1),"")</f>
        <v/>
      </c>
      <c r="P71" s="37" t="str">
        <f>IFERROR(INDEX('M03-S05'!$BA$18:$BA$199,2*(ROWS(P$67:P71)-1)+1),"")</f>
        <v/>
      </c>
      <c r="Q71" s="37" t="str">
        <f>IFERROR(INDEX('M03-S05'!$BF$18:$BF$199,2*(ROWS(Q$67:Q71)-1)+1),"")</f>
        <v/>
      </c>
      <c r="R71" s="14" t="str">
        <f>IFERROR(INDEX('M03-S05'!$AR$18:$AR$199,2*(ROWS(R$67:R71)-1)+1),"")</f>
        <v/>
      </c>
      <c r="S71" s="207"/>
      <c r="T71" s="207"/>
      <c r="U71" s="207"/>
      <c r="V71" s="194"/>
      <c r="W71" s="218"/>
      <c r="X71" s="218"/>
      <c r="Y71" s="210"/>
      <c r="Z71" s="210"/>
      <c r="AA71" s="219"/>
      <c r="AB71" s="219"/>
      <c r="AC71" s="194"/>
      <c r="AD71" s="37">
        <f>IFERROR(INDEX('M03-S05'!$BB$18:$BB$199,2*(ROWS(AD$67:AD71)-1)+1),"")</f>
        <v>0</v>
      </c>
      <c r="AE71" s="37">
        <f>IFERROR(INDEX('M03-S05'!$BC$18:$BC$199,2*(ROWS(AE$67:AE71)-1)+1),"")</f>
        <v>0</v>
      </c>
      <c r="AF71" s="210"/>
      <c r="AG71" s="210"/>
      <c r="AH71" s="210"/>
      <c r="AI71">
        <f>IFERROR(INDEX('M03-S05'!$B$18:$B$199,2*(ROWS(AI$67:AI71)-1)+1),"")</f>
        <v>5</v>
      </c>
      <c r="AJ71" s="194"/>
      <c r="AK71">
        <f>IFERROR(INDEX('M03-S05'!$C$18:$C$199,2*(ROWS(AK$67:AK71)-1)+1),"")</f>
        <v>0</v>
      </c>
      <c r="AL71" t="str" cm="1">
        <f t="array" aca="1" ref="AL71" ca="1">_xlfn.LET( _xlpm.Rows, 2*(ROWS(AM$67:AM71)-1)+1,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1" t="str" cm="1">
        <f t="array" aca="1" ref="AM71" ca="1">_xlfn.LET( _xlpm.Rows, 2*(ROWS(AM$67:AM71)-1)+1,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1" s="207"/>
      <c r="AO71" s="207"/>
      <c r="AP71" t="str">
        <f>IFERROR(INDEX('M03-S05'!$AY$18:$AY$199,2*(ROWS(AP$67:AP71)-1)+1),"")</f>
        <v/>
      </c>
      <c r="AQ71" s="194"/>
      <c r="AR71" t="str">
        <f>IFERROR(INDEX(STDHVAC[Reporting Methodology],MATCH(EXPORT!C71,STDHVAC[Measure Number],0)),"")</f>
        <v/>
      </c>
      <c r="AS71" t="str">
        <f>IFERROR(INDEX(STDHVAC[Primary Key],MATCH(C71,STDHVAC[Measure Number],0)),"")</f>
        <v/>
      </c>
      <c r="AT71" s="14" t="str" cm="1">
        <f t="array" ref="AT71">_xlfn.LET(_xlpm.ROWS, 2*(ROWS(AT$67:AT71)-1)+1,IFERROR(INDEX('M03-S05'!$AR$18:$AR$199, _xlpm.ROWS)-INDEX('M03-S05'!$BT$18:$BT$199, _xlpm.ROWS),""))</f>
        <v/>
      </c>
      <c r="BL71"/>
      <c r="BP71"/>
      <c r="BQ71"/>
      <c r="BR71"/>
      <c r="CD71"/>
      <c r="CE71"/>
      <c r="CF71"/>
      <c r="CQ71"/>
      <c r="CR71"/>
      <c r="CS71"/>
      <c r="DS71"/>
      <c r="DT71"/>
      <c r="DU71"/>
    </row>
    <row r="72" spans="1:125" hidden="1">
      <c r="A72" s="15">
        <f t="shared" si="6"/>
        <v>0</v>
      </c>
      <c r="B72" t="str">
        <f t="shared" si="7"/>
        <v/>
      </c>
      <c r="C72" t="str">
        <f>IFERROR(IF(R72&gt;0,INDEX('M03-S05'!$BH$18:$BH$199,2*(ROWS($C$67:C72)-1)+1),""),"")</f>
        <v/>
      </c>
      <c r="D72" t="s">
        <v>1320</v>
      </c>
      <c r="E72" t="str">
        <f>IFERROR(INDEX('M03-S05'!$BD$18:$BD$199,2*(ROWS($E$67:E72)-1)+1),"")</f>
        <v/>
      </c>
      <c r="F72" s="210"/>
      <c r="G72" s="210"/>
      <c r="H72" s="14">
        <f>IFERROR(ROUND(INDEX('M03-S05'!$AE$18:$AE$199,2*(ROWS(H$67:H72)-1)+1),2),"")</f>
        <v>0</v>
      </c>
      <c r="I72" s="14">
        <f>IFERROR(ROUND(INDEX('M03-S05'!$AG$18:$AG$199,2*(ROWS(I$67:I72)-1)+1),2),"")</f>
        <v>0</v>
      </c>
      <c r="J72" s="14" t="str">
        <f>IFERROR(ROUND(INDEX('M03-S05'!$AX$18:$AX$199,2*(ROWS(J$67:J72)-1)+1),2),"")</f>
        <v/>
      </c>
      <c r="K72" t="s">
        <v>84</v>
      </c>
      <c r="L72" s="10">
        <f>IFERROR(ROUND(INDEX('M03-S05'!$V$18:$V$199,2*(ROWS(L$67:L72)-1)+1),3),"")</f>
        <v>0</v>
      </c>
      <c r="M72" s="10">
        <f>IFERROR(ROUND(INDEX('M03-S05'!$V$18:$V$199,2*(ROWS(M$67:M72)-1)+1),3),"")</f>
        <v>0</v>
      </c>
      <c r="N72" s="37" t="str">
        <f>IFERROR(INDEX('M03-S05'!$AZ$18:$AZ$199,2*(ROWS(N$67:N72)-1)+1),"")</f>
        <v/>
      </c>
      <c r="O72" s="37" t="str">
        <f>IFERROR(INDEX('M03-S05'!$BE$18:$BE$199,2*(ROWS(O$67:O72)-1)+1),"")</f>
        <v/>
      </c>
      <c r="P72" s="37" t="str">
        <f>IFERROR(INDEX('M03-S05'!$BA$18:$BA$199,2*(ROWS(P$67:P72)-1)+1),"")</f>
        <v/>
      </c>
      <c r="Q72" s="37" t="str">
        <f>IFERROR(INDEX('M03-S05'!$BF$18:$BF$199,2*(ROWS(Q$67:Q72)-1)+1),"")</f>
        <v/>
      </c>
      <c r="R72" s="14" t="str">
        <f>IFERROR(INDEX('M03-S05'!$AR$18:$AR$199,2*(ROWS(R$67:R72)-1)+1),"")</f>
        <v/>
      </c>
      <c r="S72" s="207"/>
      <c r="T72" s="207"/>
      <c r="U72" s="207"/>
      <c r="V72" s="194"/>
      <c r="W72" s="218"/>
      <c r="X72" s="218"/>
      <c r="Y72" s="210"/>
      <c r="Z72" s="210"/>
      <c r="AA72" s="219"/>
      <c r="AB72" s="219"/>
      <c r="AC72" s="194"/>
      <c r="AD72" s="37">
        <f>IFERROR(INDEX('M03-S05'!$BB$18:$BB$199,2*(ROWS(AD$67:AD72)-1)+1),"")</f>
        <v>0</v>
      </c>
      <c r="AE72" s="37">
        <f>IFERROR(INDEX('M03-S05'!$BC$18:$BC$199,2*(ROWS(AE$67:AE72)-1)+1),"")</f>
        <v>0</v>
      </c>
      <c r="AF72" s="210"/>
      <c r="AG72" s="210"/>
      <c r="AH72" s="210"/>
      <c r="AI72">
        <f>IFERROR(INDEX('M03-S05'!$B$18:$B$199,2*(ROWS(AI$67:AI72)-1)+1),"")</f>
        <v>6</v>
      </c>
      <c r="AJ72" s="194"/>
      <c r="AK72">
        <f>IFERROR(INDEX('M03-S05'!$C$18:$C$199,2*(ROWS(AK$67:AK72)-1)+1),"")</f>
        <v>0</v>
      </c>
      <c r="AL72" t="str" cm="1">
        <f t="array" aca="1" ref="AL72" ca="1">_xlfn.LET( _xlpm.Rows, 2*(ROWS(AM$67:AM72)-1)+1,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MATCH(AS72,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2" t="str" cm="1">
        <f t="array" aca="1" ref="AM72" ca="1">_xlfn.LET( _xlpm.Rows, 2*(ROWS(AM$67:AM72)-1)+1,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MATCH(AS72,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2" s="207"/>
      <c r="AO72" s="207"/>
      <c r="AP72" t="str">
        <f>IFERROR(INDEX('M03-S05'!$AY$18:$AY$199,2*(ROWS(AP$67:AP72)-1)+1),"")</f>
        <v/>
      </c>
      <c r="AQ72" s="194"/>
      <c r="AR72" t="str">
        <f>IFERROR(INDEX(STDHVAC[Reporting Methodology],MATCH(EXPORT!C72,STDHVAC[Measure Number],0)),"")</f>
        <v/>
      </c>
      <c r="AS72" t="str">
        <f>IFERROR(INDEX(STDHVAC[Primary Key],MATCH(C72,STDHVAC[Measure Number],0)),"")</f>
        <v/>
      </c>
      <c r="AT72" s="14" t="str" cm="1">
        <f t="array" ref="AT72">_xlfn.LET(_xlpm.ROWS, 2*(ROWS(AT$67:AT72)-1)+1,IFERROR(INDEX('M03-S05'!$AR$18:$AR$199, _xlpm.ROWS)-INDEX('M03-S05'!$BT$18:$BT$199, _xlpm.ROWS),""))</f>
        <v/>
      </c>
      <c r="BL72"/>
      <c r="BP72"/>
      <c r="BQ72"/>
      <c r="BR72"/>
      <c r="CD72"/>
      <c r="CE72"/>
      <c r="CF72"/>
      <c r="CQ72"/>
      <c r="CR72"/>
      <c r="CS72"/>
      <c r="DS72"/>
      <c r="DT72"/>
      <c r="DU72"/>
    </row>
    <row r="73" spans="1:125" hidden="1">
      <c r="A73" s="15">
        <f t="shared" si="6"/>
        <v>0</v>
      </c>
      <c r="B73" t="str">
        <f t="shared" si="7"/>
        <v/>
      </c>
      <c r="C73" t="str">
        <f>IFERROR(IF(R73&gt;0,INDEX('M03-S05'!$BH$18:$BH$199,2*(ROWS($C$67:C73)-1)+1),""),"")</f>
        <v/>
      </c>
      <c r="D73" t="s">
        <v>1320</v>
      </c>
      <c r="E73" t="str">
        <f>IFERROR(INDEX('M03-S05'!$BD$18:$BD$199,2*(ROWS($E$67:E73)-1)+1),"")</f>
        <v/>
      </c>
      <c r="F73" s="210"/>
      <c r="G73" s="210"/>
      <c r="H73" s="14">
        <f>IFERROR(ROUND(INDEX('M03-S05'!$AE$18:$AE$199,2*(ROWS(H$67:H73)-1)+1),2),"")</f>
        <v>0</v>
      </c>
      <c r="I73" s="14">
        <f>IFERROR(ROUND(INDEX('M03-S05'!$AG$18:$AG$199,2*(ROWS(I$67:I73)-1)+1),2),"")</f>
        <v>0</v>
      </c>
      <c r="J73" s="14" t="str">
        <f>IFERROR(ROUND(INDEX('M03-S05'!$AX$18:$AX$199,2*(ROWS(J$67:J73)-1)+1),2),"")</f>
        <v/>
      </c>
      <c r="K73" t="s">
        <v>84</v>
      </c>
      <c r="L73" s="10">
        <f>IFERROR(ROUND(INDEX('M03-S05'!$V$18:$V$199,2*(ROWS(L$67:L73)-1)+1),3),"")</f>
        <v>0</v>
      </c>
      <c r="M73" s="10">
        <f>IFERROR(ROUND(INDEX('M03-S05'!$V$18:$V$199,2*(ROWS(M$67:M73)-1)+1),3),"")</f>
        <v>0</v>
      </c>
      <c r="N73" s="37" t="str">
        <f>IFERROR(INDEX('M03-S05'!$AZ$18:$AZ$199,2*(ROWS(N$67:N73)-1)+1),"")</f>
        <v/>
      </c>
      <c r="O73" s="37" t="str">
        <f>IFERROR(INDEX('M03-S05'!$BE$18:$BE$199,2*(ROWS(O$67:O73)-1)+1),"")</f>
        <v/>
      </c>
      <c r="P73" s="37" t="str">
        <f>IFERROR(INDEX('M03-S05'!$BA$18:$BA$199,2*(ROWS(P$67:P73)-1)+1),"")</f>
        <v/>
      </c>
      <c r="Q73" s="37" t="str">
        <f>IFERROR(INDEX('M03-S05'!$BF$18:$BF$199,2*(ROWS(Q$67:Q73)-1)+1),"")</f>
        <v/>
      </c>
      <c r="R73" s="14" t="str">
        <f>IFERROR(INDEX('M03-S05'!$AR$18:$AR$199,2*(ROWS(R$67:R73)-1)+1),"")</f>
        <v/>
      </c>
      <c r="S73" s="207"/>
      <c r="T73" s="207"/>
      <c r="U73" s="207"/>
      <c r="V73" s="194"/>
      <c r="W73" s="218"/>
      <c r="X73" s="218"/>
      <c r="Y73" s="210"/>
      <c r="Z73" s="210"/>
      <c r="AA73" s="219"/>
      <c r="AB73" s="219"/>
      <c r="AC73" s="194"/>
      <c r="AD73" s="37">
        <f>IFERROR(INDEX('M03-S05'!$BB$18:$BB$199,2*(ROWS(AD$67:AD73)-1)+1),"")</f>
        <v>0</v>
      </c>
      <c r="AE73" s="37">
        <f>IFERROR(INDEX('M03-S05'!$BC$18:$BC$199,2*(ROWS(AE$67:AE73)-1)+1),"")</f>
        <v>0</v>
      </c>
      <c r="AF73" s="210"/>
      <c r="AG73" s="210"/>
      <c r="AH73" s="210"/>
      <c r="AI73">
        <f>IFERROR(INDEX('M03-S05'!$B$18:$B$199,2*(ROWS(AI$67:AI73)-1)+1),"")</f>
        <v>7</v>
      </c>
      <c r="AJ73" s="194"/>
      <c r="AK73">
        <f>IFERROR(INDEX('M03-S05'!$C$18:$C$199,2*(ROWS(AK$67:AK73)-1)+1),"")</f>
        <v>0</v>
      </c>
      <c r="AL73" t="str" cm="1">
        <f t="array" aca="1" ref="AL73" ca="1">_xlfn.LET( _xlpm.Rows, 2*(ROWS(AM$67:AM73)-1)+1,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MATCH(AS73,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3" t="str" cm="1">
        <f t="array" aca="1" ref="AM73" ca="1">_xlfn.LET( _xlpm.Rows, 2*(ROWS(AM$67:AM73)-1)+1,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MATCH(AS73,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3" s="207"/>
      <c r="AO73" s="207"/>
      <c r="AP73" t="str">
        <f>IFERROR(INDEX('M03-S05'!$AY$18:$AY$199,2*(ROWS(AP$67:AP73)-1)+1),"")</f>
        <v/>
      </c>
      <c r="AQ73" s="194"/>
      <c r="AR73" t="str">
        <f>IFERROR(INDEX(STDHVAC[Reporting Methodology],MATCH(EXPORT!C73,STDHVAC[Measure Number],0)),"")</f>
        <v/>
      </c>
      <c r="AS73" t="str">
        <f>IFERROR(INDEX(STDHVAC[Primary Key],MATCH(C73,STDHVAC[Measure Number],0)),"")</f>
        <v/>
      </c>
      <c r="AT73" s="14" t="str" cm="1">
        <f t="array" ref="AT73">_xlfn.LET(_xlpm.ROWS, 2*(ROWS(AT$67:AT73)-1)+1,IFERROR(INDEX('M03-S05'!$AR$18:$AR$199, _xlpm.ROWS)-INDEX('M03-S05'!$BT$18:$BT$199, _xlpm.ROWS),""))</f>
        <v/>
      </c>
      <c r="BL73"/>
      <c r="BP73"/>
      <c r="BQ73"/>
      <c r="BR73"/>
      <c r="CD73"/>
      <c r="CE73"/>
      <c r="CF73"/>
      <c r="CQ73"/>
      <c r="CR73"/>
      <c r="CS73"/>
      <c r="DS73"/>
      <c r="DT73"/>
      <c r="DU73"/>
    </row>
    <row r="74" spans="1:125" hidden="1">
      <c r="A74" s="15">
        <f t="shared" si="6"/>
        <v>0</v>
      </c>
      <c r="B74" t="str">
        <f t="shared" si="7"/>
        <v/>
      </c>
      <c r="C74" t="str">
        <f>IFERROR(IF(R74&gt;0,INDEX('M03-S05'!$BH$18:$BH$199,2*(ROWS($C$67:C74)-1)+1),""),"")</f>
        <v/>
      </c>
      <c r="D74" t="s">
        <v>1320</v>
      </c>
      <c r="E74" t="str">
        <f>IFERROR(INDEX('M03-S05'!$BD$18:$BD$199,2*(ROWS($E$67:E74)-1)+1),"")</f>
        <v/>
      </c>
      <c r="F74" s="210"/>
      <c r="G74" s="210"/>
      <c r="H74" s="14">
        <f>IFERROR(ROUND(INDEX('M03-S05'!$AE$18:$AE$199,2*(ROWS(H$67:H74)-1)+1),2),"")</f>
        <v>0</v>
      </c>
      <c r="I74" s="14">
        <f>IFERROR(ROUND(INDEX('M03-S05'!$AG$18:$AG$199,2*(ROWS(I$67:I74)-1)+1),2),"")</f>
        <v>0</v>
      </c>
      <c r="J74" s="14" t="str">
        <f>IFERROR(ROUND(INDEX('M03-S05'!$AX$18:$AX$199,2*(ROWS(J$67:J74)-1)+1),2),"")</f>
        <v/>
      </c>
      <c r="K74" t="s">
        <v>84</v>
      </c>
      <c r="L74" s="10">
        <f>IFERROR(ROUND(INDEX('M03-S05'!$V$18:$V$199,2*(ROWS(L$67:L74)-1)+1),3),"")</f>
        <v>0</v>
      </c>
      <c r="M74" s="10">
        <f>IFERROR(ROUND(INDEX('M03-S05'!$V$18:$V$199,2*(ROWS(M$67:M74)-1)+1),3),"")</f>
        <v>0</v>
      </c>
      <c r="N74" s="37" t="str">
        <f>IFERROR(INDEX('M03-S05'!$AZ$18:$AZ$199,2*(ROWS(N$67:N74)-1)+1),"")</f>
        <v/>
      </c>
      <c r="O74" s="37" t="str">
        <f>IFERROR(INDEX('M03-S05'!$BE$18:$BE$199,2*(ROWS(O$67:O74)-1)+1),"")</f>
        <v/>
      </c>
      <c r="P74" s="37" t="str">
        <f>IFERROR(INDEX('M03-S05'!$BA$18:$BA$199,2*(ROWS(P$67:P74)-1)+1),"")</f>
        <v/>
      </c>
      <c r="Q74" s="37" t="str">
        <f>IFERROR(INDEX('M03-S05'!$BF$18:$BF$199,2*(ROWS(Q$67:Q74)-1)+1),"")</f>
        <v/>
      </c>
      <c r="R74" s="14" t="str">
        <f>IFERROR(INDEX('M03-S05'!$AR$18:$AR$199,2*(ROWS(R$67:R74)-1)+1),"")</f>
        <v/>
      </c>
      <c r="S74" s="207"/>
      <c r="T74" s="207"/>
      <c r="U74" s="207"/>
      <c r="V74" s="194"/>
      <c r="W74" s="218"/>
      <c r="X74" s="218"/>
      <c r="Y74" s="210"/>
      <c r="Z74" s="210"/>
      <c r="AA74" s="219"/>
      <c r="AB74" s="219"/>
      <c r="AC74" s="194"/>
      <c r="AD74" s="37">
        <f>IFERROR(INDEX('M03-S05'!$BB$18:$BB$199,2*(ROWS(AD$67:AD74)-1)+1),"")</f>
        <v>0</v>
      </c>
      <c r="AE74" s="37">
        <f>IFERROR(INDEX('M03-S05'!$BC$18:$BC$199,2*(ROWS(AE$67:AE74)-1)+1),"")</f>
        <v>0</v>
      </c>
      <c r="AF74" s="210"/>
      <c r="AG74" s="210"/>
      <c r="AH74" s="210"/>
      <c r="AI74">
        <f>IFERROR(INDEX('M03-S05'!$B$18:$B$199,2*(ROWS(AI$67:AI74)-1)+1),"")</f>
        <v>8</v>
      </c>
      <c r="AJ74" s="194"/>
      <c r="AK74">
        <f>IFERROR(INDEX('M03-S05'!$C$18:$C$199,2*(ROWS(AK$67:AK74)-1)+1),"")</f>
        <v>0</v>
      </c>
      <c r="AL74" t="str" cm="1">
        <f t="array" aca="1" ref="AL74" ca="1">_xlfn.LET( _xlpm.Rows, 2*(ROWS(AM$67:AM74)-1)+1,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MATCH(AS74,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4" t="str" cm="1">
        <f t="array" aca="1" ref="AM74" ca="1">_xlfn.LET( _xlpm.Rows, 2*(ROWS(AM$67:AM74)-1)+1,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MATCH(AS74,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4" s="207"/>
      <c r="AO74" s="207"/>
      <c r="AP74" t="str">
        <f>IFERROR(INDEX('M03-S05'!$AY$18:$AY$199,2*(ROWS(AP$67:AP74)-1)+1),"")</f>
        <v/>
      </c>
      <c r="AQ74" s="194"/>
      <c r="AR74" t="str">
        <f>IFERROR(INDEX(STDHVAC[Reporting Methodology],MATCH(EXPORT!C74,STDHVAC[Measure Number],0)),"")</f>
        <v/>
      </c>
      <c r="AS74" t="str">
        <f>IFERROR(INDEX(STDHVAC[Primary Key],MATCH(C74,STDHVAC[Measure Number],0)),"")</f>
        <v/>
      </c>
      <c r="AT74" s="14" t="str" cm="1">
        <f t="array" ref="AT74">_xlfn.LET(_xlpm.ROWS, 2*(ROWS(AT$67:AT74)-1)+1,IFERROR(INDEX('M03-S05'!$AR$18:$AR$199, _xlpm.ROWS)-INDEX('M03-S05'!$BT$18:$BT$199, _xlpm.ROWS),""))</f>
        <v/>
      </c>
      <c r="BL74"/>
      <c r="BP74"/>
      <c r="BQ74"/>
      <c r="BR74"/>
      <c r="CD74"/>
      <c r="CE74"/>
      <c r="CF74"/>
      <c r="CQ74"/>
      <c r="CR74"/>
      <c r="CS74"/>
      <c r="DS74"/>
      <c r="DT74"/>
      <c r="DU74"/>
    </row>
    <row r="75" spans="1:125" hidden="1">
      <c r="A75" s="15">
        <f t="shared" si="6"/>
        <v>0</v>
      </c>
      <c r="B75" t="str">
        <f t="shared" si="7"/>
        <v/>
      </c>
      <c r="C75" t="str">
        <f>IFERROR(IF(R75&gt;0,INDEX('M03-S05'!$BH$18:$BH$199,2*(ROWS($C$67:C75)-1)+1),""),"")</f>
        <v/>
      </c>
      <c r="D75" t="s">
        <v>1320</v>
      </c>
      <c r="E75" t="str">
        <f>IFERROR(INDEX('M03-S05'!$BD$18:$BD$199,2*(ROWS($E$67:E75)-1)+1),"")</f>
        <v/>
      </c>
      <c r="F75" s="210"/>
      <c r="G75" s="210"/>
      <c r="H75" s="14">
        <f>IFERROR(ROUND(INDEX('M03-S05'!$AE$18:$AE$199,2*(ROWS(H$67:H75)-1)+1),2),"")</f>
        <v>0</v>
      </c>
      <c r="I75" s="14">
        <f>IFERROR(ROUND(INDEX('M03-S05'!$AG$18:$AG$199,2*(ROWS(I$67:I75)-1)+1),2),"")</f>
        <v>0</v>
      </c>
      <c r="J75" s="14" t="str">
        <f>IFERROR(ROUND(INDEX('M03-S05'!$AX$18:$AX$199,2*(ROWS(J$67:J75)-1)+1),2),"")</f>
        <v/>
      </c>
      <c r="K75" t="s">
        <v>84</v>
      </c>
      <c r="L75" s="10">
        <f>IFERROR(ROUND(INDEX('M03-S05'!$V$18:$V$199,2*(ROWS(L$67:L75)-1)+1),3),"")</f>
        <v>0</v>
      </c>
      <c r="M75" s="10">
        <f>IFERROR(ROUND(INDEX('M03-S05'!$V$18:$V$199,2*(ROWS(M$67:M75)-1)+1),3),"")</f>
        <v>0</v>
      </c>
      <c r="N75" s="37" t="str">
        <f>IFERROR(INDEX('M03-S05'!$AZ$18:$AZ$199,2*(ROWS(N$67:N75)-1)+1),"")</f>
        <v/>
      </c>
      <c r="O75" s="37" t="str">
        <f>IFERROR(INDEX('M03-S05'!$BE$18:$BE$199,2*(ROWS(O$67:O75)-1)+1),"")</f>
        <v/>
      </c>
      <c r="P75" s="37" t="str">
        <f>IFERROR(INDEX('M03-S05'!$BA$18:$BA$199,2*(ROWS(P$67:P75)-1)+1),"")</f>
        <v/>
      </c>
      <c r="Q75" s="37" t="str">
        <f>IFERROR(INDEX('M03-S05'!$BF$18:$BF$199,2*(ROWS(Q$67:Q75)-1)+1),"")</f>
        <v/>
      </c>
      <c r="R75" s="14" t="str">
        <f>IFERROR(INDEX('M03-S05'!$AR$18:$AR$199,2*(ROWS(R$67:R75)-1)+1),"")</f>
        <v/>
      </c>
      <c r="S75" s="207"/>
      <c r="T75" s="207"/>
      <c r="U75" s="207"/>
      <c r="V75" s="194"/>
      <c r="W75" s="218"/>
      <c r="X75" s="218"/>
      <c r="Y75" s="210"/>
      <c r="Z75" s="210"/>
      <c r="AA75" s="219"/>
      <c r="AB75" s="219"/>
      <c r="AC75" s="194"/>
      <c r="AD75" s="37">
        <f>IFERROR(INDEX('M03-S05'!$BB$18:$BB$199,2*(ROWS(AD$67:AD75)-1)+1),"")</f>
        <v>0</v>
      </c>
      <c r="AE75" s="37">
        <f>IFERROR(INDEX('M03-S05'!$BC$18:$BC$199,2*(ROWS(AE$67:AE75)-1)+1),"")</f>
        <v>0</v>
      </c>
      <c r="AF75" s="210"/>
      <c r="AG75" s="210"/>
      <c r="AH75" s="210"/>
      <c r="AI75">
        <f>IFERROR(INDEX('M03-S05'!$B$18:$B$199,2*(ROWS(AI$67:AI75)-1)+1),"")</f>
        <v>9</v>
      </c>
      <c r="AJ75" s="194"/>
      <c r="AK75">
        <f>IFERROR(INDEX('M03-S05'!$C$18:$C$199,2*(ROWS(AK$67:AK75)-1)+1),"")</f>
        <v>0</v>
      </c>
      <c r="AL75" t="str" cm="1">
        <f t="array" aca="1" ref="AL75" ca="1">_xlfn.LET( _xlpm.Rows, 2*(ROWS(AM$67:AM75)-1)+1,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MATCH(AS75,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5" t="str" cm="1">
        <f t="array" aca="1" ref="AM75" ca="1">_xlfn.LET( _xlpm.Rows, 2*(ROWS(AM$67:AM75)-1)+1,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MATCH(AS75,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5" s="207"/>
      <c r="AO75" s="207"/>
      <c r="AP75" t="str">
        <f>IFERROR(INDEX('M03-S05'!$AY$18:$AY$199,2*(ROWS(AP$67:AP75)-1)+1),"")</f>
        <v/>
      </c>
      <c r="AQ75" s="194"/>
      <c r="AR75" t="str">
        <f>IFERROR(INDEX(STDHVAC[Reporting Methodology],MATCH(EXPORT!C75,STDHVAC[Measure Number],0)),"")</f>
        <v/>
      </c>
      <c r="AS75" t="str">
        <f>IFERROR(INDEX(STDHVAC[Primary Key],MATCH(C75,STDHVAC[Measure Number],0)),"")</f>
        <v/>
      </c>
      <c r="AT75" s="14" t="str" cm="1">
        <f t="array" ref="AT75">_xlfn.LET(_xlpm.ROWS, 2*(ROWS(AT$67:AT75)-1)+1,IFERROR(INDEX('M03-S05'!$AR$18:$AR$199, _xlpm.ROWS)-INDEX('M03-S05'!$BT$18:$BT$199, _xlpm.ROWS),""))</f>
        <v/>
      </c>
      <c r="BL75"/>
      <c r="BP75"/>
      <c r="BQ75"/>
      <c r="BR75"/>
      <c r="CD75"/>
      <c r="CE75"/>
      <c r="CF75"/>
      <c r="CQ75"/>
      <c r="CR75"/>
      <c r="CS75"/>
      <c r="DS75"/>
      <c r="DT75"/>
      <c r="DU75"/>
    </row>
    <row r="76" spans="1:125" hidden="1">
      <c r="A76" s="15">
        <f t="shared" si="6"/>
        <v>0</v>
      </c>
      <c r="B76" t="str">
        <f t="shared" si="7"/>
        <v/>
      </c>
      <c r="C76" t="str">
        <f>IFERROR(IF(R76&gt;0,INDEX('M03-S05'!$BH$18:$BH$199,2*(ROWS($C$67:C76)-1)+1),""),"")</f>
        <v/>
      </c>
      <c r="D76" t="s">
        <v>1320</v>
      </c>
      <c r="E76" t="str">
        <f>IFERROR(INDEX('M03-S05'!$BD$18:$BD$199,2*(ROWS($E$67:E76)-1)+1),"")</f>
        <v/>
      </c>
      <c r="F76" s="210"/>
      <c r="G76" s="210"/>
      <c r="H76" s="14">
        <f>IFERROR(ROUND(INDEX('M03-S05'!$AE$18:$AE$199,2*(ROWS(H$67:H76)-1)+1),2),"")</f>
        <v>0</v>
      </c>
      <c r="I76" s="14">
        <f>IFERROR(ROUND(INDEX('M03-S05'!$AG$18:$AG$199,2*(ROWS(I$67:I76)-1)+1),2),"")</f>
        <v>0</v>
      </c>
      <c r="J76" s="14" t="str">
        <f>IFERROR(ROUND(INDEX('M03-S05'!$AX$18:$AX$199,2*(ROWS(J$67:J76)-1)+1),2),"")</f>
        <v/>
      </c>
      <c r="K76" t="s">
        <v>84</v>
      </c>
      <c r="L76" s="10">
        <f>IFERROR(ROUND(INDEX('M03-S05'!$V$18:$V$199,2*(ROWS(L$67:L76)-1)+1),3),"")</f>
        <v>0</v>
      </c>
      <c r="M76" s="10">
        <f>IFERROR(ROUND(INDEX('M03-S05'!$V$18:$V$199,2*(ROWS(M$67:M76)-1)+1),3),"")</f>
        <v>0</v>
      </c>
      <c r="N76" s="37" t="str">
        <f>IFERROR(INDEX('M03-S05'!$AZ$18:$AZ$199,2*(ROWS(N$67:N76)-1)+1),"")</f>
        <v/>
      </c>
      <c r="O76" s="37" t="str">
        <f>IFERROR(INDEX('M03-S05'!$BE$18:$BE$199,2*(ROWS(O$67:O76)-1)+1),"")</f>
        <v/>
      </c>
      <c r="P76" s="37" t="str">
        <f>IFERROR(INDEX('M03-S05'!$BA$18:$BA$199,2*(ROWS(P$67:P76)-1)+1),"")</f>
        <v/>
      </c>
      <c r="Q76" s="37" t="str">
        <f>IFERROR(INDEX('M03-S05'!$BF$18:$BF$199,2*(ROWS(Q$67:Q76)-1)+1),"")</f>
        <v/>
      </c>
      <c r="R76" s="14" t="str">
        <f>IFERROR(INDEX('M03-S05'!$AR$18:$AR$199,2*(ROWS(R$67:R76)-1)+1),"")</f>
        <v/>
      </c>
      <c r="S76" s="207"/>
      <c r="T76" s="207"/>
      <c r="U76" s="207"/>
      <c r="V76" s="194"/>
      <c r="W76" s="218"/>
      <c r="X76" s="218"/>
      <c r="Y76" s="210"/>
      <c r="Z76" s="210"/>
      <c r="AA76" s="219"/>
      <c r="AB76" s="219"/>
      <c r="AC76" s="194"/>
      <c r="AD76" s="37">
        <f>IFERROR(INDEX('M03-S05'!$BB$18:$BB$199,2*(ROWS(AD$67:AD76)-1)+1),"")</f>
        <v>0</v>
      </c>
      <c r="AE76" s="37">
        <f>IFERROR(INDEX('M03-S05'!$BC$18:$BC$199,2*(ROWS(AE$67:AE76)-1)+1),"")</f>
        <v>0</v>
      </c>
      <c r="AF76" s="210"/>
      <c r="AG76" s="210"/>
      <c r="AH76" s="210"/>
      <c r="AI76">
        <f>IFERROR(INDEX('M03-S05'!$B$18:$B$199,2*(ROWS(AI$67:AI76)-1)+1),"")</f>
        <v>10</v>
      </c>
      <c r="AJ76" s="194"/>
      <c r="AK76">
        <f>IFERROR(INDEX('M03-S05'!$C$18:$C$199,2*(ROWS(AK$67:AK76)-1)+1),"")</f>
        <v>0</v>
      </c>
      <c r="AL76" t="str" cm="1">
        <f t="array" aca="1" ref="AL76" ca="1">_xlfn.LET( _xlpm.Rows, 2*(ROWS(AM$67:AM76)-1)+1,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MATCH(AS76,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6" t="str" cm="1">
        <f t="array" aca="1" ref="AM76" ca="1">_xlfn.LET( _xlpm.Rows, 2*(ROWS(AM$67:AM76)-1)+1,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MATCH(AS76,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6" s="207"/>
      <c r="AO76" s="207"/>
      <c r="AP76" t="str">
        <f>IFERROR(INDEX('M03-S05'!$AY$18:$AY$199,2*(ROWS(AP$67:AP76)-1)+1),"")</f>
        <v/>
      </c>
      <c r="AQ76" s="194"/>
      <c r="AR76" t="str">
        <f>IFERROR(INDEX(STDHVAC[Reporting Methodology],MATCH(EXPORT!C76,STDHVAC[Measure Number],0)),"")</f>
        <v/>
      </c>
      <c r="AS76" t="str">
        <f>IFERROR(INDEX(STDHVAC[Primary Key],MATCH(C76,STDHVAC[Measure Number],0)),"")</f>
        <v/>
      </c>
      <c r="AT76" s="14" t="str" cm="1">
        <f t="array" ref="AT76">_xlfn.LET(_xlpm.ROWS, 2*(ROWS(AT$67:AT76)-1)+1,IFERROR(INDEX('M03-S05'!$AR$18:$AR$199, _xlpm.ROWS)-INDEX('M03-S05'!$BT$18:$BT$199, _xlpm.ROWS),""))</f>
        <v/>
      </c>
      <c r="BL76"/>
      <c r="BP76"/>
      <c r="BQ76"/>
      <c r="BR76"/>
      <c r="CD76"/>
      <c r="CE76"/>
      <c r="CF76"/>
      <c r="CQ76"/>
      <c r="CR76"/>
      <c r="CS76"/>
      <c r="DS76"/>
      <c r="DT76"/>
      <c r="DU76"/>
    </row>
    <row r="77" spans="1:125" hidden="1">
      <c r="A77" s="15">
        <f t="shared" si="6"/>
        <v>0</v>
      </c>
      <c r="B77" t="str">
        <f t="shared" si="7"/>
        <v/>
      </c>
      <c r="C77" t="str">
        <f>IFERROR(IF(R77&gt;0,INDEX('M03-S05'!$BH$18:$BH$199,2*(ROWS($C$67:C77)-1)+1),""),"")</f>
        <v/>
      </c>
      <c r="D77" t="s">
        <v>1320</v>
      </c>
      <c r="E77" t="str">
        <f>IFERROR(INDEX('M03-S05'!$BD$18:$BD$199,2*(ROWS($E$67:E77)-1)+1),"")</f>
        <v/>
      </c>
      <c r="F77" s="210"/>
      <c r="G77" s="210"/>
      <c r="H77" s="14">
        <f>IFERROR(ROUND(INDEX('M03-S05'!$AE$18:$AE$199,2*(ROWS(H$67:H77)-1)+1),2),"")</f>
        <v>0</v>
      </c>
      <c r="I77" s="14">
        <f>IFERROR(ROUND(INDEX('M03-S05'!$AG$18:$AG$199,2*(ROWS(I$67:I77)-1)+1),2),"")</f>
        <v>0</v>
      </c>
      <c r="J77" s="14" t="str">
        <f>IFERROR(ROUND(INDEX('M03-S05'!$AX$18:$AX$199,2*(ROWS(J$67:J77)-1)+1),2),"")</f>
        <v/>
      </c>
      <c r="K77" t="s">
        <v>84</v>
      </c>
      <c r="L77" s="10">
        <f>IFERROR(ROUND(INDEX('M03-S05'!$V$18:$V$199,2*(ROWS(L$67:L77)-1)+1),3),"")</f>
        <v>0</v>
      </c>
      <c r="M77" s="10">
        <f>IFERROR(ROUND(INDEX('M03-S05'!$V$18:$V$199,2*(ROWS(M$67:M77)-1)+1),3),"")</f>
        <v>0</v>
      </c>
      <c r="N77" s="37" t="str">
        <f>IFERROR(INDEX('M03-S05'!$AZ$18:$AZ$199,2*(ROWS(N$67:N77)-1)+1),"")</f>
        <v/>
      </c>
      <c r="O77" s="37" t="str">
        <f>IFERROR(INDEX('M03-S05'!$BE$18:$BE$199,2*(ROWS(O$67:O77)-1)+1),"")</f>
        <v/>
      </c>
      <c r="P77" s="37" t="str">
        <f>IFERROR(INDEX('M03-S05'!$BA$18:$BA$199,2*(ROWS(P$67:P77)-1)+1),"")</f>
        <v/>
      </c>
      <c r="Q77" s="37" t="str">
        <f>IFERROR(INDEX('M03-S05'!$BF$18:$BF$199,2*(ROWS(Q$67:Q77)-1)+1),"")</f>
        <v/>
      </c>
      <c r="R77" s="14" t="str">
        <f>IFERROR(INDEX('M03-S05'!$AR$18:$AR$199,2*(ROWS(R$67:R77)-1)+1),"")</f>
        <v/>
      </c>
      <c r="S77" s="207"/>
      <c r="T77" s="207"/>
      <c r="U77" s="207"/>
      <c r="V77" s="194"/>
      <c r="W77" s="218"/>
      <c r="X77" s="218"/>
      <c r="Y77" s="210"/>
      <c r="Z77" s="210"/>
      <c r="AA77" s="219"/>
      <c r="AB77" s="219"/>
      <c r="AC77" s="194"/>
      <c r="AD77" s="37">
        <f>IFERROR(INDEX('M03-S05'!$BB$18:$BB$199,2*(ROWS(AD$67:AD77)-1)+1),"")</f>
        <v>0</v>
      </c>
      <c r="AE77" s="37">
        <f>IFERROR(INDEX('M03-S05'!$BC$18:$BC$199,2*(ROWS(AE$67:AE77)-1)+1),"")</f>
        <v>0</v>
      </c>
      <c r="AF77" s="210"/>
      <c r="AG77" s="210"/>
      <c r="AH77" s="210"/>
      <c r="AI77">
        <f>IFERROR(INDEX('M03-S05'!$B$18:$B$199,2*(ROWS(AI$67:AI77)-1)+1),"")</f>
        <v>11</v>
      </c>
      <c r="AJ77" s="194"/>
      <c r="AK77">
        <f>IFERROR(INDEX('M03-S05'!$C$18:$C$199,2*(ROWS(AK$67:AK77)-1)+1),"")</f>
        <v>0</v>
      </c>
      <c r="AL77" t="str" cm="1">
        <f t="array" aca="1" ref="AL77" ca="1">_xlfn.LET( _xlpm.Rows, 2*(ROWS(AM$67:AM77)-1)+1,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7" t="str" cm="1">
        <f t="array" aca="1" ref="AM77" ca="1">_xlfn.LET( _xlpm.Rows, 2*(ROWS(AM$67:AM77)-1)+1,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7" s="207"/>
      <c r="AO77" s="207"/>
      <c r="AP77" t="str">
        <f>IFERROR(INDEX('M03-S05'!$AY$18:$AY$199,2*(ROWS(AP$67:AP77)-1)+1),"")</f>
        <v/>
      </c>
      <c r="AQ77" s="194"/>
      <c r="AR77" t="str">
        <f>IFERROR(INDEX(STDHVAC[Reporting Methodology],MATCH(EXPORT!C77,STDHVAC[Measure Number],0)),"")</f>
        <v/>
      </c>
      <c r="AS77" t="str">
        <f>IFERROR(INDEX(STDHVAC[Primary Key],MATCH(C77,STDHVAC[Measure Number],0)),"")</f>
        <v/>
      </c>
      <c r="AT77" s="14" t="str" cm="1">
        <f t="array" ref="AT77">_xlfn.LET(_xlpm.ROWS, 2*(ROWS(AT$67:AT77)-1)+1,IFERROR(INDEX('M03-S05'!$AR$18:$AR$199, _xlpm.ROWS)-INDEX('M03-S05'!$BT$18:$BT$199, _xlpm.ROWS),""))</f>
        <v/>
      </c>
      <c r="BL77"/>
      <c r="BP77"/>
      <c r="BQ77"/>
      <c r="BR77"/>
      <c r="CD77"/>
      <c r="CE77"/>
      <c r="CF77"/>
      <c r="CQ77"/>
      <c r="CR77"/>
      <c r="CS77"/>
      <c r="DS77"/>
      <c r="DT77"/>
      <c r="DU77"/>
    </row>
    <row r="78" spans="1:125" hidden="1">
      <c r="A78" s="15">
        <f t="shared" si="6"/>
        <v>0</v>
      </c>
      <c r="B78" t="str">
        <f t="shared" si="7"/>
        <v/>
      </c>
      <c r="C78" t="str">
        <f>IFERROR(IF(R78&gt;0,INDEX('M03-S05'!$BH$18:$BH$199,2*(ROWS($C$67:C78)-1)+1),""),"")</f>
        <v/>
      </c>
      <c r="D78" t="s">
        <v>1320</v>
      </c>
      <c r="E78" t="str">
        <f>IFERROR(INDEX('M03-S05'!$BD$18:$BD$199,2*(ROWS($E$67:E78)-1)+1),"")</f>
        <v/>
      </c>
      <c r="F78" s="210"/>
      <c r="G78" s="210"/>
      <c r="H78" s="14">
        <f>IFERROR(ROUND(INDEX('M03-S05'!$AE$18:$AE$199,2*(ROWS(H$67:H78)-1)+1),2),"")</f>
        <v>0</v>
      </c>
      <c r="I78" s="14">
        <f>IFERROR(ROUND(INDEX('M03-S05'!$AG$18:$AG$199,2*(ROWS(I$67:I78)-1)+1),2),"")</f>
        <v>0</v>
      </c>
      <c r="J78" s="14" t="str">
        <f>IFERROR(ROUND(INDEX('M03-S05'!$AX$18:$AX$199,2*(ROWS(J$67:J78)-1)+1),2),"")</f>
        <v/>
      </c>
      <c r="K78" t="s">
        <v>84</v>
      </c>
      <c r="L78" s="10">
        <f>IFERROR(ROUND(INDEX('M03-S05'!$V$18:$V$199,2*(ROWS(L$67:L78)-1)+1),3),"")</f>
        <v>0</v>
      </c>
      <c r="M78" s="10">
        <f>IFERROR(ROUND(INDEX('M03-S05'!$V$18:$V$199,2*(ROWS(M$67:M78)-1)+1),3),"")</f>
        <v>0</v>
      </c>
      <c r="N78" s="37" t="str">
        <f>IFERROR(INDEX('M03-S05'!$AZ$18:$AZ$199,2*(ROWS(N$67:N78)-1)+1),"")</f>
        <v/>
      </c>
      <c r="O78" s="37" t="str">
        <f>IFERROR(INDEX('M03-S05'!$BE$18:$BE$199,2*(ROWS(O$67:O78)-1)+1),"")</f>
        <v/>
      </c>
      <c r="P78" s="37" t="str">
        <f>IFERROR(INDEX('M03-S05'!$BA$18:$BA$199,2*(ROWS(P$67:P78)-1)+1),"")</f>
        <v/>
      </c>
      <c r="Q78" s="37" t="str">
        <f>IFERROR(INDEX('M03-S05'!$BF$18:$BF$199,2*(ROWS(Q$67:Q78)-1)+1),"")</f>
        <v/>
      </c>
      <c r="R78" s="14" t="str">
        <f>IFERROR(INDEX('M03-S05'!$AR$18:$AR$199,2*(ROWS(R$67:R78)-1)+1),"")</f>
        <v/>
      </c>
      <c r="S78" s="207"/>
      <c r="T78" s="207"/>
      <c r="U78" s="207"/>
      <c r="V78" s="194"/>
      <c r="W78" s="218"/>
      <c r="X78" s="218"/>
      <c r="Y78" s="210"/>
      <c r="Z78" s="210"/>
      <c r="AA78" s="219"/>
      <c r="AB78" s="219"/>
      <c r="AC78" s="194"/>
      <c r="AD78" s="37">
        <f>IFERROR(INDEX('M03-S05'!$BB$18:$BB$199,2*(ROWS(AD$67:AD78)-1)+1),"")</f>
        <v>0</v>
      </c>
      <c r="AE78" s="37">
        <f>IFERROR(INDEX('M03-S05'!$BC$18:$BC$199,2*(ROWS(AE$67:AE78)-1)+1),"")</f>
        <v>0</v>
      </c>
      <c r="AF78" s="210"/>
      <c r="AG78" s="210"/>
      <c r="AH78" s="210"/>
      <c r="AI78">
        <f>IFERROR(INDEX('M03-S05'!$B$18:$B$199,2*(ROWS(AI$67:AI78)-1)+1),"")</f>
        <v>12</v>
      </c>
      <c r="AJ78" s="194"/>
      <c r="AK78">
        <f>IFERROR(INDEX('M03-S05'!$C$18:$C$199,2*(ROWS(AK$67:AK78)-1)+1),"")</f>
        <v>0</v>
      </c>
      <c r="AL78" t="str" cm="1">
        <f t="array" aca="1" ref="AL78" ca="1">_xlfn.LET( _xlpm.Rows, 2*(ROWS(AM$67:AM78)-1)+1,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8" t="str" cm="1">
        <f t="array" aca="1" ref="AM78" ca="1">_xlfn.LET( _xlpm.Rows, 2*(ROWS(AM$67:AM78)-1)+1,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8" s="207"/>
      <c r="AO78" s="207"/>
      <c r="AP78" t="str">
        <f>IFERROR(INDEX('M03-S05'!$AY$18:$AY$199,2*(ROWS(AP$67:AP78)-1)+1),"")</f>
        <v/>
      </c>
      <c r="AQ78" s="194"/>
      <c r="AR78" t="str">
        <f>IFERROR(INDEX(STDHVAC[Reporting Methodology],MATCH(EXPORT!C78,STDHVAC[Measure Number],0)),"")</f>
        <v/>
      </c>
      <c r="AS78" t="str">
        <f>IFERROR(INDEX(STDHVAC[Primary Key],MATCH(C78,STDHVAC[Measure Number],0)),"")</f>
        <v/>
      </c>
      <c r="AT78" s="14" t="str" cm="1">
        <f t="array" ref="AT78">_xlfn.LET(_xlpm.ROWS, 2*(ROWS(AT$67:AT78)-1)+1,IFERROR(INDEX('M03-S05'!$AR$18:$AR$199, _xlpm.ROWS)-INDEX('M03-S05'!$BT$18:$BT$199, _xlpm.ROWS),""))</f>
        <v/>
      </c>
      <c r="BL78"/>
      <c r="BP78"/>
      <c r="BQ78"/>
      <c r="BR78"/>
      <c r="CD78"/>
      <c r="CE78"/>
      <c r="CF78"/>
      <c r="CQ78"/>
      <c r="CR78"/>
      <c r="CS78"/>
      <c r="DS78"/>
      <c r="DT78"/>
      <c r="DU78"/>
    </row>
    <row r="79" spans="1:125" hidden="1">
      <c r="A79" s="15">
        <f t="shared" si="6"/>
        <v>0</v>
      </c>
      <c r="B79" t="str">
        <f t="shared" si="7"/>
        <v/>
      </c>
      <c r="C79" t="str">
        <f>IFERROR(IF(R79&gt;0,INDEX('M03-S05'!$BH$18:$BH$199,2*(ROWS($C$67:C79)-1)+1),""),"")</f>
        <v/>
      </c>
      <c r="D79" t="s">
        <v>1320</v>
      </c>
      <c r="E79" t="str">
        <f>IFERROR(INDEX('M03-S05'!$BD$18:$BD$199,2*(ROWS($E$67:E79)-1)+1),"")</f>
        <v/>
      </c>
      <c r="F79" s="210"/>
      <c r="G79" s="210"/>
      <c r="H79" s="14">
        <f>IFERROR(ROUND(INDEX('M03-S05'!$AE$18:$AE$199,2*(ROWS(H$67:H79)-1)+1),2),"")</f>
        <v>0</v>
      </c>
      <c r="I79" s="14">
        <f>IFERROR(ROUND(INDEX('M03-S05'!$AG$18:$AG$199,2*(ROWS(I$67:I79)-1)+1),2),"")</f>
        <v>0</v>
      </c>
      <c r="J79" s="14" t="str">
        <f>IFERROR(ROUND(INDEX('M03-S05'!$AX$18:$AX$199,2*(ROWS(J$67:J79)-1)+1),2),"")</f>
        <v/>
      </c>
      <c r="K79" t="s">
        <v>84</v>
      </c>
      <c r="L79" s="10">
        <f>IFERROR(ROUND(INDEX('M03-S05'!$V$18:$V$199,2*(ROWS(L$67:L79)-1)+1),3),"")</f>
        <v>0</v>
      </c>
      <c r="M79" s="10">
        <f>IFERROR(ROUND(INDEX('M03-S05'!$V$18:$V$199,2*(ROWS(M$67:M79)-1)+1),3),"")</f>
        <v>0</v>
      </c>
      <c r="N79" s="37" t="str">
        <f>IFERROR(INDEX('M03-S05'!$AZ$18:$AZ$199,2*(ROWS(N$67:N79)-1)+1),"")</f>
        <v/>
      </c>
      <c r="O79" s="37" t="str">
        <f>IFERROR(INDEX('M03-S05'!$BE$18:$BE$199,2*(ROWS(O$67:O79)-1)+1),"")</f>
        <v/>
      </c>
      <c r="P79" s="37" t="str">
        <f>IFERROR(INDEX('M03-S05'!$BA$18:$BA$199,2*(ROWS(P$67:P79)-1)+1),"")</f>
        <v/>
      </c>
      <c r="Q79" s="37" t="str">
        <f>IFERROR(INDEX('M03-S05'!$BF$18:$BF$199,2*(ROWS(Q$67:Q79)-1)+1),"")</f>
        <v/>
      </c>
      <c r="R79" s="14" t="str">
        <f>IFERROR(INDEX('M03-S05'!$AR$18:$AR$199,2*(ROWS(R$67:R79)-1)+1),"")</f>
        <v/>
      </c>
      <c r="S79" s="207"/>
      <c r="T79" s="207"/>
      <c r="U79" s="207"/>
      <c r="V79" s="194"/>
      <c r="W79" s="218"/>
      <c r="X79" s="218"/>
      <c r="Y79" s="210"/>
      <c r="Z79" s="210"/>
      <c r="AA79" s="219"/>
      <c r="AB79" s="219"/>
      <c r="AC79" s="194"/>
      <c r="AD79" s="37">
        <f>IFERROR(INDEX('M03-S05'!$BB$18:$BB$199,2*(ROWS(AD$67:AD79)-1)+1),"")</f>
        <v>0</v>
      </c>
      <c r="AE79" s="37">
        <f>IFERROR(INDEX('M03-S05'!$BC$18:$BC$199,2*(ROWS(AE$67:AE79)-1)+1),"")</f>
        <v>0</v>
      </c>
      <c r="AF79" s="210"/>
      <c r="AG79" s="210"/>
      <c r="AH79" s="210"/>
      <c r="AI79">
        <f>IFERROR(INDEX('M03-S05'!$B$18:$B$199,2*(ROWS(AI$67:AI79)-1)+1),"")</f>
        <v>13</v>
      </c>
      <c r="AJ79" s="194"/>
      <c r="AK79">
        <f>IFERROR(INDEX('M03-S05'!$C$18:$C$199,2*(ROWS(AK$67:AK79)-1)+1),"")</f>
        <v>0</v>
      </c>
      <c r="AL79" t="str" cm="1">
        <f t="array" aca="1" ref="AL79" ca="1">_xlfn.LET( _xlpm.Rows, 2*(ROWS(AM$67:AM79)-1)+1,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9" t="str" cm="1">
        <f t="array" aca="1" ref="AM79" ca="1">_xlfn.LET( _xlpm.Rows, 2*(ROWS(AM$67:AM79)-1)+1,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9" s="207"/>
      <c r="AO79" s="207"/>
      <c r="AP79" t="str">
        <f>IFERROR(INDEX('M03-S05'!$AY$18:$AY$199,2*(ROWS(AP$67:AP79)-1)+1),"")</f>
        <v/>
      </c>
      <c r="AQ79" s="194"/>
      <c r="AR79" t="str">
        <f>IFERROR(INDEX(STDHVAC[Reporting Methodology],MATCH(EXPORT!C79,STDHVAC[Measure Number],0)),"")</f>
        <v/>
      </c>
      <c r="AS79" t="str">
        <f>IFERROR(INDEX(STDHVAC[Primary Key],MATCH(C79,STDHVAC[Measure Number],0)),"")</f>
        <v/>
      </c>
      <c r="AT79" s="14" t="str" cm="1">
        <f t="array" ref="AT79">_xlfn.LET(_xlpm.ROWS, 2*(ROWS(AT$67:AT79)-1)+1,IFERROR(INDEX('M03-S05'!$AR$18:$AR$199, _xlpm.ROWS)-INDEX('M03-S05'!$BT$18:$BT$199, _xlpm.ROWS),""))</f>
        <v/>
      </c>
      <c r="BL79"/>
      <c r="BP79"/>
      <c r="BQ79"/>
      <c r="BR79"/>
      <c r="CD79"/>
      <c r="CE79"/>
      <c r="CF79"/>
      <c r="CQ79"/>
      <c r="CR79"/>
      <c r="CS79"/>
      <c r="DS79"/>
      <c r="DT79"/>
      <c r="DU79"/>
    </row>
    <row r="80" spans="1:125" hidden="1">
      <c r="A80" s="15">
        <f t="shared" si="6"/>
        <v>0</v>
      </c>
      <c r="B80" t="str">
        <f t="shared" si="7"/>
        <v/>
      </c>
      <c r="C80" t="str">
        <f>IFERROR(IF(R80&gt;0,INDEX('M03-S05'!$BH$18:$BH$199,2*(ROWS($C$67:C80)-1)+1),""),"")</f>
        <v/>
      </c>
      <c r="D80" t="s">
        <v>1320</v>
      </c>
      <c r="E80" t="str">
        <f>IFERROR(INDEX('M03-S05'!$BD$18:$BD$199,2*(ROWS($E$67:E80)-1)+1),"")</f>
        <v/>
      </c>
      <c r="F80" s="210"/>
      <c r="G80" s="210"/>
      <c r="H80" s="14">
        <f>IFERROR(ROUND(INDEX('M03-S05'!$AE$18:$AE$199,2*(ROWS(H$67:H80)-1)+1),2),"")</f>
        <v>0</v>
      </c>
      <c r="I80" s="14">
        <f>IFERROR(ROUND(INDEX('M03-S05'!$AG$18:$AG$199,2*(ROWS(I$67:I80)-1)+1),2),"")</f>
        <v>0</v>
      </c>
      <c r="J80" s="14" t="str">
        <f>IFERROR(ROUND(INDEX('M03-S05'!$AX$18:$AX$199,2*(ROWS(J$67:J80)-1)+1),2),"")</f>
        <v/>
      </c>
      <c r="K80" t="s">
        <v>84</v>
      </c>
      <c r="L80" s="10">
        <f>IFERROR(ROUND(INDEX('M03-S05'!$V$18:$V$199,2*(ROWS(L$67:L80)-1)+1),3),"")</f>
        <v>0</v>
      </c>
      <c r="M80" s="10">
        <f>IFERROR(ROUND(INDEX('M03-S05'!$V$18:$V$199,2*(ROWS(M$67:M80)-1)+1),3),"")</f>
        <v>0</v>
      </c>
      <c r="N80" s="37" t="str">
        <f>IFERROR(INDEX('M03-S05'!$AZ$18:$AZ$199,2*(ROWS(N$67:N80)-1)+1),"")</f>
        <v/>
      </c>
      <c r="O80" s="37" t="str">
        <f>IFERROR(INDEX('M03-S05'!$BE$18:$BE$199,2*(ROWS(O$67:O80)-1)+1),"")</f>
        <v/>
      </c>
      <c r="P80" s="37" t="str">
        <f>IFERROR(INDEX('M03-S05'!$BA$18:$BA$199,2*(ROWS(P$67:P80)-1)+1),"")</f>
        <v/>
      </c>
      <c r="Q80" s="37" t="str">
        <f>IFERROR(INDEX('M03-S05'!$BF$18:$BF$199,2*(ROWS(Q$67:Q80)-1)+1),"")</f>
        <v/>
      </c>
      <c r="R80" s="14" t="str">
        <f>IFERROR(INDEX('M03-S05'!$AR$18:$AR$199,2*(ROWS(R$67:R80)-1)+1),"")</f>
        <v/>
      </c>
      <c r="S80" s="207"/>
      <c r="T80" s="207"/>
      <c r="U80" s="207"/>
      <c r="V80" s="194"/>
      <c r="W80" s="218"/>
      <c r="X80" s="218"/>
      <c r="Y80" s="210"/>
      <c r="Z80" s="210"/>
      <c r="AA80" s="219"/>
      <c r="AB80" s="219"/>
      <c r="AC80" s="194"/>
      <c r="AD80" s="37">
        <f>IFERROR(INDEX('M03-S05'!$BB$18:$BB$199,2*(ROWS(AD$67:AD80)-1)+1),"")</f>
        <v>0</v>
      </c>
      <c r="AE80" s="37">
        <f>IFERROR(INDEX('M03-S05'!$BC$18:$BC$199,2*(ROWS(AE$67:AE80)-1)+1),"")</f>
        <v>0</v>
      </c>
      <c r="AF80" s="210"/>
      <c r="AG80" s="210"/>
      <c r="AH80" s="210"/>
      <c r="AI80">
        <f>IFERROR(INDEX('M03-S05'!$B$18:$B$199,2*(ROWS(AI$67:AI80)-1)+1),"")</f>
        <v>14</v>
      </c>
      <c r="AJ80" s="194"/>
      <c r="AK80">
        <f>IFERROR(INDEX('M03-S05'!$C$18:$C$199,2*(ROWS(AK$67:AK80)-1)+1),"")</f>
        <v>0</v>
      </c>
      <c r="AL80" t="str" cm="1">
        <f t="array" aca="1" ref="AL80" ca="1">_xlfn.LET( _xlpm.Rows, 2*(ROWS(AM$67:AM80)-1)+1,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0" t="str" cm="1">
        <f t="array" aca="1" ref="AM80" ca="1">_xlfn.LET( _xlpm.Rows, 2*(ROWS(AM$67:AM80)-1)+1,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0" s="207"/>
      <c r="AO80" s="207"/>
      <c r="AP80" t="str">
        <f>IFERROR(INDEX('M03-S05'!$AY$18:$AY$199,2*(ROWS(AP$67:AP80)-1)+1),"")</f>
        <v/>
      </c>
      <c r="AQ80" s="194"/>
      <c r="AR80" t="str">
        <f>IFERROR(INDEX(STDHVAC[Reporting Methodology],MATCH(EXPORT!C80,STDHVAC[Measure Number],0)),"")</f>
        <v/>
      </c>
      <c r="AS80" t="str">
        <f>IFERROR(INDEX(STDHVAC[Primary Key],MATCH(C80,STDHVAC[Measure Number],0)),"")</f>
        <v/>
      </c>
      <c r="AT80" s="14" t="str" cm="1">
        <f t="array" ref="AT80">_xlfn.LET(_xlpm.ROWS, 2*(ROWS(AT$67:AT80)-1)+1,IFERROR(INDEX('M03-S05'!$AR$18:$AR$199, _xlpm.ROWS)-INDEX('M03-S05'!$BT$18:$BT$199, _xlpm.ROWS),""))</f>
        <v/>
      </c>
      <c r="BL80"/>
      <c r="BP80"/>
      <c r="BQ80"/>
      <c r="BR80"/>
      <c r="CD80"/>
      <c r="CE80"/>
      <c r="CF80"/>
      <c r="CQ80"/>
      <c r="CR80"/>
      <c r="CS80"/>
      <c r="DS80"/>
      <c r="DT80"/>
      <c r="DU80"/>
    </row>
    <row r="81" spans="1:125" hidden="1">
      <c r="A81" s="15">
        <f t="shared" si="6"/>
        <v>0</v>
      </c>
      <c r="B81" t="str">
        <f t="shared" si="7"/>
        <v/>
      </c>
      <c r="C81" t="str">
        <f>IFERROR(IF(R81&gt;0,INDEX('M03-S05'!$BH$18:$BH$199,2*(ROWS($C$67:C81)-1)+1),""),"")</f>
        <v/>
      </c>
      <c r="D81" t="s">
        <v>1320</v>
      </c>
      <c r="E81" t="str">
        <f>IFERROR(INDEX('M03-S05'!$BD$18:$BD$199,2*(ROWS($E$67:E81)-1)+1),"")</f>
        <v/>
      </c>
      <c r="F81" s="210"/>
      <c r="G81" s="210"/>
      <c r="H81" s="14">
        <f>IFERROR(ROUND(INDEX('M03-S05'!$AE$18:$AE$199,2*(ROWS(H$67:H81)-1)+1),2),"")</f>
        <v>0</v>
      </c>
      <c r="I81" s="14">
        <f>IFERROR(ROUND(INDEX('M03-S05'!$AG$18:$AG$199,2*(ROWS(I$67:I81)-1)+1),2),"")</f>
        <v>0</v>
      </c>
      <c r="J81" s="14" t="str">
        <f>IFERROR(ROUND(INDEX('M03-S05'!$AX$18:$AX$199,2*(ROWS(J$67:J81)-1)+1),2),"")</f>
        <v/>
      </c>
      <c r="K81" t="s">
        <v>84</v>
      </c>
      <c r="L81" s="10">
        <f>IFERROR(ROUND(INDEX('M03-S05'!$V$18:$V$199,2*(ROWS(L$67:L81)-1)+1),3),"")</f>
        <v>0</v>
      </c>
      <c r="M81" s="10">
        <f>IFERROR(ROUND(INDEX('M03-S05'!$V$18:$V$199,2*(ROWS(M$67:M81)-1)+1),3),"")</f>
        <v>0</v>
      </c>
      <c r="N81" s="37" t="str">
        <f>IFERROR(INDEX('M03-S05'!$AZ$18:$AZ$199,2*(ROWS(N$67:N81)-1)+1),"")</f>
        <v/>
      </c>
      <c r="O81" s="37" t="str">
        <f>IFERROR(INDEX('M03-S05'!$BE$18:$BE$199,2*(ROWS(O$67:O81)-1)+1),"")</f>
        <v/>
      </c>
      <c r="P81" s="37" t="str">
        <f>IFERROR(INDEX('M03-S05'!$BA$18:$BA$199,2*(ROWS(P$67:P81)-1)+1),"")</f>
        <v/>
      </c>
      <c r="Q81" s="37" t="str">
        <f>IFERROR(INDEX('M03-S05'!$BF$18:$BF$199,2*(ROWS(Q$67:Q81)-1)+1),"")</f>
        <v/>
      </c>
      <c r="R81" s="14" t="str">
        <f>IFERROR(INDEX('M03-S05'!$AR$18:$AR$199,2*(ROWS(R$67:R81)-1)+1),"")</f>
        <v/>
      </c>
      <c r="S81" s="207"/>
      <c r="T81" s="207"/>
      <c r="U81" s="207"/>
      <c r="V81" s="194"/>
      <c r="W81" s="218"/>
      <c r="X81" s="218"/>
      <c r="Y81" s="210"/>
      <c r="Z81" s="210"/>
      <c r="AA81" s="219"/>
      <c r="AB81" s="219"/>
      <c r="AC81" s="194"/>
      <c r="AD81" s="37">
        <f>IFERROR(INDEX('M03-S05'!$BB$18:$BB$199,2*(ROWS(AD$67:AD81)-1)+1),"")</f>
        <v>0</v>
      </c>
      <c r="AE81" s="37">
        <f>IFERROR(INDEX('M03-S05'!$BC$18:$BC$199,2*(ROWS(AE$67:AE81)-1)+1),"")</f>
        <v>0</v>
      </c>
      <c r="AF81" s="210"/>
      <c r="AG81" s="210"/>
      <c r="AH81" s="210"/>
      <c r="AI81">
        <f>IFERROR(INDEX('M03-S05'!$B$18:$B$199,2*(ROWS(AI$67:AI81)-1)+1),"")</f>
        <v>15</v>
      </c>
      <c r="AJ81" s="194"/>
      <c r="AK81">
        <f>IFERROR(INDEX('M03-S05'!$C$18:$C$199,2*(ROWS(AK$67:AK81)-1)+1),"")</f>
        <v>0</v>
      </c>
      <c r="AL81" t="str" cm="1">
        <f t="array" aca="1" ref="AL81" ca="1">_xlfn.LET( _xlpm.Rows, 2*(ROWS(AM$67:AM81)-1)+1,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1" t="str" cm="1">
        <f t="array" aca="1" ref="AM81" ca="1">_xlfn.LET( _xlpm.Rows, 2*(ROWS(AM$67:AM81)-1)+1,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1" s="207"/>
      <c r="AO81" s="207"/>
      <c r="AP81" t="str">
        <f>IFERROR(INDEX('M03-S05'!$AY$18:$AY$199,2*(ROWS(AP$67:AP81)-1)+1),"")</f>
        <v/>
      </c>
      <c r="AQ81" s="194"/>
      <c r="AR81" t="str">
        <f>IFERROR(INDEX(STDHVAC[Reporting Methodology],MATCH(EXPORT!C81,STDHVAC[Measure Number],0)),"")</f>
        <v/>
      </c>
      <c r="AS81" t="str">
        <f>IFERROR(INDEX(STDHVAC[Primary Key],MATCH(C81,STDHVAC[Measure Number],0)),"")</f>
        <v/>
      </c>
      <c r="AT81" s="14" t="str" cm="1">
        <f t="array" ref="AT81">_xlfn.LET(_xlpm.ROWS, 2*(ROWS(AT$67:AT81)-1)+1,IFERROR(INDEX('M03-S05'!$AR$18:$AR$199, _xlpm.ROWS)-INDEX('M03-S05'!$BT$18:$BT$199, _xlpm.ROWS),""))</f>
        <v/>
      </c>
      <c r="BL81"/>
      <c r="BP81"/>
      <c r="BQ81"/>
      <c r="BR81"/>
      <c r="CD81"/>
      <c r="CE81"/>
      <c r="CF81"/>
      <c r="CQ81"/>
      <c r="CR81"/>
      <c r="CS81"/>
      <c r="DS81"/>
      <c r="DT81"/>
      <c r="DU81"/>
    </row>
    <row r="82" spans="1:125" hidden="1">
      <c r="A82" s="15">
        <f t="shared" si="6"/>
        <v>0</v>
      </c>
      <c r="B82" t="str">
        <f t="shared" si="7"/>
        <v/>
      </c>
      <c r="C82" t="str">
        <f>IFERROR(IF(R82&gt;0,INDEX('M03-S05'!$BH$18:$BH$199,2*(ROWS($C$67:C82)-1)+1),""),"")</f>
        <v/>
      </c>
      <c r="D82" t="s">
        <v>1320</v>
      </c>
      <c r="E82" t="str">
        <f>IFERROR(INDEX('M03-S05'!$BD$18:$BD$199,2*(ROWS($E$67:E82)-1)+1),"")</f>
        <v/>
      </c>
      <c r="F82" s="210"/>
      <c r="G82" s="210"/>
      <c r="H82" s="14">
        <f>IFERROR(ROUND(INDEX('M03-S05'!$AE$18:$AE$199,2*(ROWS(H$67:H82)-1)+1),2),"")</f>
        <v>0</v>
      </c>
      <c r="I82" s="14">
        <f>IFERROR(ROUND(INDEX('M03-S05'!$AG$18:$AG$199,2*(ROWS(I$67:I82)-1)+1),2),"")</f>
        <v>0</v>
      </c>
      <c r="J82" s="14" t="str">
        <f>IFERROR(ROUND(INDEX('M03-S05'!$AX$18:$AX$199,2*(ROWS(J$67:J82)-1)+1),2),"")</f>
        <v/>
      </c>
      <c r="K82" t="s">
        <v>84</v>
      </c>
      <c r="L82" s="10">
        <f>IFERROR(ROUND(INDEX('M03-S05'!$V$18:$V$199,2*(ROWS(L$67:L82)-1)+1),3),"")</f>
        <v>0</v>
      </c>
      <c r="M82" s="10">
        <f>IFERROR(ROUND(INDEX('M03-S05'!$V$18:$V$199,2*(ROWS(M$67:M82)-1)+1),3),"")</f>
        <v>0</v>
      </c>
      <c r="N82" s="37" t="str">
        <f>IFERROR(INDEX('M03-S05'!$AZ$18:$AZ$199,2*(ROWS(N$67:N82)-1)+1),"")</f>
        <v/>
      </c>
      <c r="O82" s="37" t="str">
        <f>IFERROR(INDEX('M03-S05'!$BE$18:$BE$199,2*(ROWS(O$67:O82)-1)+1),"")</f>
        <v/>
      </c>
      <c r="P82" s="37" t="str">
        <f>IFERROR(INDEX('M03-S05'!$BA$18:$BA$199,2*(ROWS(P$67:P82)-1)+1),"")</f>
        <v/>
      </c>
      <c r="Q82" s="37" t="str">
        <f>IFERROR(INDEX('M03-S05'!$BF$18:$BF$199,2*(ROWS(Q$67:Q82)-1)+1),"")</f>
        <v/>
      </c>
      <c r="R82" s="14" t="str">
        <f>IFERROR(INDEX('M03-S05'!$AR$18:$AR$199,2*(ROWS(R$67:R82)-1)+1),"")</f>
        <v/>
      </c>
      <c r="S82" s="207"/>
      <c r="T82" s="207"/>
      <c r="U82" s="207"/>
      <c r="V82" s="194"/>
      <c r="W82" s="218"/>
      <c r="X82" s="218"/>
      <c r="Y82" s="210"/>
      <c r="Z82" s="210"/>
      <c r="AA82" s="219"/>
      <c r="AB82" s="219"/>
      <c r="AC82" s="194"/>
      <c r="AD82" s="37">
        <f>IFERROR(INDEX('M03-S05'!$BB$18:$BB$199,2*(ROWS(AD$67:AD82)-1)+1),"")</f>
        <v>0</v>
      </c>
      <c r="AE82" s="37">
        <f>IFERROR(INDEX('M03-S05'!$BC$18:$BC$199,2*(ROWS(AE$67:AE82)-1)+1),"")</f>
        <v>0</v>
      </c>
      <c r="AF82" s="210"/>
      <c r="AG82" s="210"/>
      <c r="AH82" s="210"/>
      <c r="AI82">
        <f>IFERROR(INDEX('M03-S05'!$B$18:$B$199,2*(ROWS(AI$67:AI82)-1)+1),"")</f>
        <v>16</v>
      </c>
      <c r="AJ82" s="194"/>
      <c r="AK82">
        <f>IFERROR(INDEX('M03-S05'!$C$18:$C$199,2*(ROWS(AK$67:AK82)-1)+1),"")</f>
        <v>0</v>
      </c>
      <c r="AL82" t="str" cm="1">
        <f t="array" aca="1" ref="AL82" ca="1">_xlfn.LET( _xlpm.Rows, 2*(ROWS(AM$67:AM82)-1)+1,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MATCH(AS82,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2" t="str" cm="1">
        <f t="array" aca="1" ref="AM82" ca="1">_xlfn.LET( _xlpm.Rows, 2*(ROWS(AM$67:AM82)-1)+1,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MATCH(AS82,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2" s="207"/>
      <c r="AO82" s="207"/>
      <c r="AP82" t="str">
        <f>IFERROR(INDEX('M03-S05'!$AY$18:$AY$199,2*(ROWS(AP$67:AP82)-1)+1),"")</f>
        <v/>
      </c>
      <c r="AQ82" s="194"/>
      <c r="AR82" t="str">
        <f>IFERROR(INDEX(STDHVAC[Reporting Methodology],MATCH(EXPORT!C82,STDHVAC[Measure Number],0)),"")</f>
        <v/>
      </c>
      <c r="AS82" t="str">
        <f>IFERROR(INDEX(STDHVAC[Primary Key],MATCH(C82,STDHVAC[Measure Number],0)),"")</f>
        <v/>
      </c>
      <c r="AT82" s="14" t="str" cm="1">
        <f t="array" ref="AT82">_xlfn.LET(_xlpm.ROWS, 2*(ROWS(AT$67:AT82)-1)+1,IFERROR(INDEX('M03-S05'!$AR$18:$AR$199, _xlpm.ROWS)-INDEX('M03-S05'!$BT$18:$BT$199, _xlpm.ROWS),""))</f>
        <v/>
      </c>
      <c r="BL82"/>
      <c r="BP82"/>
      <c r="BQ82"/>
      <c r="BR82"/>
      <c r="CD82"/>
      <c r="CE82"/>
      <c r="CF82"/>
      <c r="CQ82"/>
      <c r="CR82"/>
      <c r="CS82"/>
      <c r="DS82"/>
      <c r="DT82"/>
      <c r="DU82"/>
    </row>
    <row r="83" spans="1:125" hidden="1">
      <c r="A83" s="15">
        <f t="shared" si="6"/>
        <v>0</v>
      </c>
      <c r="B83" t="str">
        <f t="shared" si="7"/>
        <v/>
      </c>
      <c r="C83" t="str">
        <f>IFERROR(IF(R83&gt;0,INDEX('M03-S05'!$BH$18:$BH$199,2*(ROWS($C$67:C83)-1)+1),""),"")</f>
        <v/>
      </c>
      <c r="D83" t="s">
        <v>1320</v>
      </c>
      <c r="E83" t="str">
        <f>IFERROR(INDEX('M03-S05'!$BD$18:$BD$199,2*(ROWS($E$67:E83)-1)+1),"")</f>
        <v/>
      </c>
      <c r="F83" s="210"/>
      <c r="G83" s="210"/>
      <c r="H83" s="14">
        <f>IFERROR(ROUND(INDEX('M03-S05'!$AE$18:$AE$199,2*(ROWS(H$67:H83)-1)+1),2),"")</f>
        <v>0</v>
      </c>
      <c r="I83" s="14">
        <f>IFERROR(ROUND(INDEX('M03-S05'!$AG$18:$AG$199,2*(ROWS(I$67:I83)-1)+1),2),"")</f>
        <v>0</v>
      </c>
      <c r="J83" s="14" t="str">
        <f>IFERROR(ROUND(INDEX('M03-S05'!$AX$18:$AX$199,2*(ROWS(J$67:J83)-1)+1),2),"")</f>
        <v/>
      </c>
      <c r="K83" t="s">
        <v>84</v>
      </c>
      <c r="L83" s="10">
        <f>IFERROR(ROUND(INDEX('M03-S05'!$V$18:$V$199,2*(ROWS(L$67:L83)-1)+1),3),"")</f>
        <v>0</v>
      </c>
      <c r="M83" s="10">
        <f>IFERROR(ROUND(INDEX('M03-S05'!$V$18:$V$199,2*(ROWS(M$67:M83)-1)+1),3),"")</f>
        <v>0</v>
      </c>
      <c r="N83" s="37" t="str">
        <f>IFERROR(INDEX('M03-S05'!$AZ$18:$AZ$199,2*(ROWS(N$67:N83)-1)+1),"")</f>
        <v/>
      </c>
      <c r="O83" s="37" t="str">
        <f>IFERROR(INDEX('M03-S05'!$BE$18:$BE$199,2*(ROWS(O$67:O83)-1)+1),"")</f>
        <v/>
      </c>
      <c r="P83" s="37" t="str">
        <f>IFERROR(INDEX('M03-S05'!$BA$18:$BA$199,2*(ROWS(P$67:P83)-1)+1),"")</f>
        <v/>
      </c>
      <c r="Q83" s="37" t="str">
        <f>IFERROR(INDEX('M03-S05'!$BF$18:$BF$199,2*(ROWS(Q$67:Q83)-1)+1),"")</f>
        <v/>
      </c>
      <c r="R83" s="14" t="str">
        <f>IFERROR(INDEX('M03-S05'!$AR$18:$AR$199,2*(ROWS(R$67:R83)-1)+1),"")</f>
        <v/>
      </c>
      <c r="S83" s="207"/>
      <c r="T83" s="207"/>
      <c r="U83" s="207"/>
      <c r="V83" s="194"/>
      <c r="W83" s="218"/>
      <c r="X83" s="218"/>
      <c r="Y83" s="210"/>
      <c r="Z83" s="210"/>
      <c r="AA83" s="219"/>
      <c r="AB83" s="219"/>
      <c r="AC83" s="194"/>
      <c r="AD83" s="37">
        <f>IFERROR(INDEX('M03-S05'!$BB$18:$BB$199,2*(ROWS(AD$67:AD83)-1)+1),"")</f>
        <v>0</v>
      </c>
      <c r="AE83" s="37">
        <f>IFERROR(INDEX('M03-S05'!$BC$18:$BC$199,2*(ROWS(AE$67:AE83)-1)+1),"")</f>
        <v>0</v>
      </c>
      <c r="AF83" s="210"/>
      <c r="AG83" s="210"/>
      <c r="AH83" s="210"/>
      <c r="AI83">
        <f>IFERROR(INDEX('M03-S05'!$B$18:$B$199,2*(ROWS(AI$67:AI83)-1)+1),"")</f>
        <v>17</v>
      </c>
      <c r="AJ83" s="194"/>
      <c r="AK83">
        <f>IFERROR(INDEX('M03-S05'!$C$18:$C$199,2*(ROWS(AK$67:AK83)-1)+1),"")</f>
        <v>0</v>
      </c>
      <c r="AL83" t="str" cm="1">
        <f t="array" aca="1" ref="AL83" ca="1">_xlfn.LET( _xlpm.Rows, 2*(ROWS(AM$67:AM83)-1)+1,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MATCH(AS83,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3" t="str" cm="1">
        <f t="array" aca="1" ref="AM83" ca="1">_xlfn.LET( _xlpm.Rows, 2*(ROWS(AM$67:AM83)-1)+1,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MATCH(AS83,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3" s="207"/>
      <c r="AO83" s="207"/>
      <c r="AP83" t="str">
        <f>IFERROR(INDEX('M03-S05'!$AY$18:$AY$199,2*(ROWS(AP$67:AP83)-1)+1),"")</f>
        <v/>
      </c>
      <c r="AQ83" s="194"/>
      <c r="AR83" t="str">
        <f>IFERROR(INDEX(STDHVAC[Reporting Methodology],MATCH(EXPORT!C83,STDHVAC[Measure Number],0)),"")</f>
        <v/>
      </c>
      <c r="AS83" t="str">
        <f>IFERROR(INDEX(STDHVAC[Primary Key],MATCH(C83,STDHVAC[Measure Number],0)),"")</f>
        <v/>
      </c>
      <c r="AT83" s="14" t="str" cm="1">
        <f t="array" ref="AT83">_xlfn.LET(_xlpm.ROWS, 2*(ROWS(AT$67:AT83)-1)+1,IFERROR(INDEX('M03-S05'!$AR$18:$AR$199, _xlpm.ROWS)-INDEX('M03-S05'!$BT$18:$BT$199, _xlpm.ROWS),""))</f>
        <v/>
      </c>
      <c r="BL83"/>
      <c r="BP83"/>
      <c r="BQ83"/>
      <c r="BR83"/>
      <c r="CD83"/>
      <c r="CE83"/>
      <c r="CF83"/>
      <c r="CQ83"/>
      <c r="CR83"/>
      <c r="CS83"/>
      <c r="DS83"/>
      <c r="DT83"/>
      <c r="DU83"/>
    </row>
    <row r="84" spans="1:125" hidden="1">
      <c r="A84" s="15">
        <f t="shared" si="6"/>
        <v>0</v>
      </c>
      <c r="B84" t="str">
        <f t="shared" si="7"/>
        <v/>
      </c>
      <c r="C84" t="str">
        <f>IFERROR(IF(R84&gt;0,INDEX('M03-S05'!$BH$18:$BH$199,2*(ROWS($C$67:C84)-1)+1),""),"")</f>
        <v/>
      </c>
      <c r="D84" t="s">
        <v>1320</v>
      </c>
      <c r="E84" t="str">
        <f>IFERROR(INDEX('M03-S05'!$BD$18:$BD$199,2*(ROWS($E$67:E84)-1)+1),"")</f>
        <v/>
      </c>
      <c r="F84" s="210"/>
      <c r="G84" s="210"/>
      <c r="H84" s="14">
        <f>IFERROR(ROUND(INDEX('M03-S05'!$AE$18:$AE$199,2*(ROWS(H$67:H84)-1)+1),2),"")</f>
        <v>0</v>
      </c>
      <c r="I84" s="14">
        <f>IFERROR(ROUND(INDEX('M03-S05'!$AG$18:$AG$199,2*(ROWS(I$67:I84)-1)+1),2),"")</f>
        <v>0</v>
      </c>
      <c r="J84" s="14" t="str">
        <f>IFERROR(ROUND(INDEX('M03-S05'!$AX$18:$AX$199,2*(ROWS(J$67:J84)-1)+1),2),"")</f>
        <v/>
      </c>
      <c r="K84" t="s">
        <v>84</v>
      </c>
      <c r="L84" s="10">
        <f>IFERROR(ROUND(INDEX('M03-S05'!$V$18:$V$199,2*(ROWS(L$67:L84)-1)+1),3),"")</f>
        <v>0</v>
      </c>
      <c r="M84" s="10">
        <f>IFERROR(ROUND(INDEX('M03-S05'!$V$18:$V$199,2*(ROWS(M$67:M84)-1)+1),3),"")</f>
        <v>0</v>
      </c>
      <c r="N84" s="37" t="str">
        <f>IFERROR(INDEX('M03-S05'!$AZ$18:$AZ$199,2*(ROWS(N$67:N84)-1)+1),"")</f>
        <v/>
      </c>
      <c r="O84" s="37" t="str">
        <f>IFERROR(INDEX('M03-S05'!$BE$18:$BE$199,2*(ROWS(O$67:O84)-1)+1),"")</f>
        <v/>
      </c>
      <c r="P84" s="37" t="str">
        <f>IFERROR(INDEX('M03-S05'!$BA$18:$BA$199,2*(ROWS(P$67:P84)-1)+1),"")</f>
        <v/>
      </c>
      <c r="Q84" s="37" t="str">
        <f>IFERROR(INDEX('M03-S05'!$BF$18:$BF$199,2*(ROWS(Q$67:Q84)-1)+1),"")</f>
        <v/>
      </c>
      <c r="R84" s="14" t="str">
        <f>IFERROR(INDEX('M03-S05'!$AR$18:$AR$199,2*(ROWS(R$67:R84)-1)+1),"")</f>
        <v/>
      </c>
      <c r="S84" s="207"/>
      <c r="T84" s="207"/>
      <c r="U84" s="207"/>
      <c r="V84" s="194"/>
      <c r="W84" s="218"/>
      <c r="X84" s="218"/>
      <c r="Y84" s="210"/>
      <c r="Z84" s="210"/>
      <c r="AA84" s="219"/>
      <c r="AB84" s="219"/>
      <c r="AC84" s="194"/>
      <c r="AD84" s="37">
        <f>IFERROR(INDEX('M03-S05'!$BB$18:$BB$199,2*(ROWS(AD$67:AD84)-1)+1),"")</f>
        <v>0</v>
      </c>
      <c r="AE84" s="37">
        <f>IFERROR(INDEX('M03-S05'!$BC$18:$BC$199,2*(ROWS(AE$67:AE84)-1)+1),"")</f>
        <v>0</v>
      </c>
      <c r="AF84" s="210"/>
      <c r="AG84" s="210"/>
      <c r="AH84" s="210"/>
      <c r="AI84">
        <f>IFERROR(INDEX('M03-S05'!$B$18:$B$199,2*(ROWS(AI$67:AI84)-1)+1),"")</f>
        <v>18</v>
      </c>
      <c r="AJ84" s="194"/>
      <c r="AK84">
        <f>IFERROR(INDEX('M03-S05'!$C$18:$C$199,2*(ROWS(AK$67:AK84)-1)+1),"")</f>
        <v>0</v>
      </c>
      <c r="AL84" t="str" cm="1">
        <f t="array" aca="1" ref="AL84" ca="1">_xlfn.LET( _xlpm.Rows, 2*(ROWS(AM$67:AM84)-1)+1,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MATCH(AS84,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4" t="str" cm="1">
        <f t="array" aca="1" ref="AM84" ca="1">_xlfn.LET( _xlpm.Rows, 2*(ROWS(AM$67:AM84)-1)+1,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MATCH(AS84,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4" s="207"/>
      <c r="AO84" s="207"/>
      <c r="AP84" t="str">
        <f>IFERROR(INDEX('M03-S05'!$AY$18:$AY$199,2*(ROWS(AP$67:AP84)-1)+1),"")</f>
        <v/>
      </c>
      <c r="AQ84" s="194"/>
      <c r="AR84" t="str">
        <f>IFERROR(INDEX(STDHVAC[Reporting Methodology],MATCH(EXPORT!C84,STDHVAC[Measure Number],0)),"")</f>
        <v/>
      </c>
      <c r="AS84" t="str">
        <f>IFERROR(INDEX(STDHVAC[Primary Key],MATCH(C84,STDHVAC[Measure Number],0)),"")</f>
        <v/>
      </c>
      <c r="AT84" s="14" t="str" cm="1">
        <f t="array" ref="AT84">_xlfn.LET(_xlpm.ROWS, 2*(ROWS(AT$67:AT84)-1)+1,IFERROR(INDEX('M03-S05'!$AR$18:$AR$199, _xlpm.ROWS)-INDEX('M03-S05'!$BT$18:$BT$199, _xlpm.ROWS),""))</f>
        <v/>
      </c>
      <c r="BL84"/>
      <c r="BP84"/>
      <c r="BQ84"/>
      <c r="BR84"/>
      <c r="CD84"/>
      <c r="CE84"/>
      <c r="CF84"/>
      <c r="CQ84"/>
      <c r="CR84"/>
      <c r="CS84"/>
      <c r="DS84"/>
      <c r="DT84"/>
      <c r="DU84"/>
    </row>
    <row r="85" spans="1:125" hidden="1">
      <c r="A85" s="15">
        <f t="shared" si="6"/>
        <v>0</v>
      </c>
      <c r="B85" t="str">
        <f t="shared" si="7"/>
        <v/>
      </c>
      <c r="C85" t="str">
        <f>IFERROR(IF(R85&gt;0,INDEX('M03-S05'!$BH$18:$BH$199,2*(ROWS($C$67:C85)-1)+1),""),"")</f>
        <v/>
      </c>
      <c r="D85" t="s">
        <v>1320</v>
      </c>
      <c r="E85" t="str">
        <f>IFERROR(INDEX('M03-S05'!$BD$18:$BD$199,2*(ROWS($E$67:E85)-1)+1),"")</f>
        <v/>
      </c>
      <c r="F85" s="210"/>
      <c r="G85" s="210"/>
      <c r="H85" s="14">
        <f>IFERROR(ROUND(INDEX('M03-S05'!$AE$18:$AE$199,2*(ROWS(H$67:H85)-1)+1),2),"")</f>
        <v>0</v>
      </c>
      <c r="I85" s="14">
        <f>IFERROR(ROUND(INDEX('M03-S05'!$AG$18:$AG$199,2*(ROWS(I$67:I85)-1)+1),2),"")</f>
        <v>0</v>
      </c>
      <c r="J85" s="14" t="str">
        <f>IFERROR(ROUND(INDEX('M03-S05'!$AX$18:$AX$199,2*(ROWS(J$67:J85)-1)+1),2),"")</f>
        <v/>
      </c>
      <c r="K85" t="s">
        <v>84</v>
      </c>
      <c r="L85" s="10">
        <f>IFERROR(ROUND(INDEX('M03-S05'!$V$18:$V$199,2*(ROWS(L$67:L85)-1)+1),3),"")</f>
        <v>0</v>
      </c>
      <c r="M85" s="10">
        <f>IFERROR(ROUND(INDEX('M03-S05'!$V$18:$V$199,2*(ROWS(M$67:M85)-1)+1),3),"")</f>
        <v>0</v>
      </c>
      <c r="N85" s="37" t="str">
        <f>IFERROR(INDEX('M03-S05'!$AZ$18:$AZ$199,2*(ROWS(N$67:N85)-1)+1),"")</f>
        <v/>
      </c>
      <c r="O85" s="37" t="str">
        <f>IFERROR(INDEX('M03-S05'!$BE$18:$BE$199,2*(ROWS(O$67:O85)-1)+1),"")</f>
        <v/>
      </c>
      <c r="P85" s="37" t="str">
        <f>IFERROR(INDEX('M03-S05'!$BA$18:$BA$199,2*(ROWS(P$67:P85)-1)+1),"")</f>
        <v/>
      </c>
      <c r="Q85" s="37" t="str">
        <f>IFERROR(INDEX('M03-S05'!$BF$18:$BF$199,2*(ROWS(Q$67:Q85)-1)+1),"")</f>
        <v/>
      </c>
      <c r="R85" s="14" t="str">
        <f>IFERROR(INDEX('M03-S05'!$AR$18:$AR$199,2*(ROWS(R$67:R85)-1)+1),"")</f>
        <v/>
      </c>
      <c r="S85" s="207"/>
      <c r="T85" s="207"/>
      <c r="U85" s="207"/>
      <c r="V85" s="194"/>
      <c r="W85" s="218"/>
      <c r="X85" s="218"/>
      <c r="Y85" s="210"/>
      <c r="Z85" s="210"/>
      <c r="AA85" s="219"/>
      <c r="AB85" s="219"/>
      <c r="AC85" s="194"/>
      <c r="AD85" s="37">
        <f>IFERROR(INDEX('M03-S05'!$BB$18:$BB$199,2*(ROWS(AD$67:AD85)-1)+1),"")</f>
        <v>0</v>
      </c>
      <c r="AE85" s="37">
        <f>IFERROR(INDEX('M03-S05'!$BC$18:$BC$199,2*(ROWS(AE$67:AE85)-1)+1),"")</f>
        <v>0</v>
      </c>
      <c r="AF85" s="210"/>
      <c r="AG85" s="210"/>
      <c r="AH85" s="210"/>
      <c r="AI85">
        <f>IFERROR(INDEX('M03-S05'!$B$18:$B$199,2*(ROWS(AI$67:AI85)-1)+1),"")</f>
        <v>19</v>
      </c>
      <c r="AJ85" s="194"/>
      <c r="AK85">
        <f>IFERROR(INDEX('M03-S05'!$C$18:$C$199,2*(ROWS(AK$67:AK85)-1)+1),"")</f>
        <v>0</v>
      </c>
      <c r="AL85" t="str" cm="1">
        <f t="array" aca="1" ref="AL85" ca="1">_xlfn.LET( _xlpm.Rows, 2*(ROWS(AM$67:AM85)-1)+1,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MATCH(AS85,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5" t="str" cm="1">
        <f t="array" aca="1" ref="AM85" ca="1">_xlfn.LET( _xlpm.Rows, 2*(ROWS(AM$67:AM85)-1)+1,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MATCH(AS85,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5" s="207"/>
      <c r="AO85" s="207"/>
      <c r="AP85" t="str">
        <f>IFERROR(INDEX('M03-S05'!$AY$18:$AY$199,2*(ROWS(AP$67:AP85)-1)+1),"")</f>
        <v/>
      </c>
      <c r="AQ85" s="194"/>
      <c r="AR85" t="str">
        <f>IFERROR(INDEX(STDHVAC[Reporting Methodology],MATCH(EXPORT!C85,STDHVAC[Measure Number],0)),"")</f>
        <v/>
      </c>
      <c r="AS85" t="str">
        <f>IFERROR(INDEX(STDHVAC[Primary Key],MATCH(C85,STDHVAC[Measure Number],0)),"")</f>
        <v/>
      </c>
      <c r="AT85" s="14" t="str" cm="1">
        <f t="array" ref="AT85">_xlfn.LET(_xlpm.ROWS, 2*(ROWS(AT$67:AT85)-1)+1,IFERROR(INDEX('M03-S05'!$AR$18:$AR$199, _xlpm.ROWS)-INDEX('M03-S05'!$BT$18:$BT$199, _xlpm.ROWS),""))</f>
        <v/>
      </c>
      <c r="BL85"/>
      <c r="BP85"/>
      <c r="BQ85"/>
      <c r="BR85"/>
      <c r="CD85"/>
      <c r="CE85"/>
      <c r="CF85"/>
      <c r="CQ85"/>
      <c r="CR85"/>
      <c r="CS85"/>
      <c r="DS85"/>
      <c r="DT85"/>
      <c r="DU85"/>
    </row>
    <row r="86" spans="1:125" hidden="1">
      <c r="A86" s="15">
        <f t="shared" si="6"/>
        <v>0</v>
      </c>
      <c r="B86" t="str">
        <f t="shared" si="7"/>
        <v/>
      </c>
      <c r="C86" t="str">
        <f>IFERROR(IF(R86&gt;0,INDEX('M03-S05'!$BH$18:$BH$199,2*(ROWS($C$67:C86)-1)+1),""),"")</f>
        <v/>
      </c>
      <c r="D86" t="s">
        <v>1320</v>
      </c>
      <c r="E86" t="str">
        <f>IFERROR(INDEX('M03-S05'!$BD$18:$BD$199,2*(ROWS($E$67:E86)-1)+1),"")</f>
        <v/>
      </c>
      <c r="F86" s="210"/>
      <c r="G86" s="210"/>
      <c r="H86" s="14">
        <f>IFERROR(ROUND(INDEX('M03-S05'!$AE$18:$AE$199,2*(ROWS(H$67:H86)-1)+1),2),"")</f>
        <v>0</v>
      </c>
      <c r="I86" s="14">
        <f>IFERROR(ROUND(INDEX('M03-S05'!$AG$18:$AG$199,2*(ROWS(I$67:I86)-1)+1),2),"")</f>
        <v>0</v>
      </c>
      <c r="J86" s="14" t="str">
        <f>IFERROR(ROUND(INDEX('M03-S05'!$AX$18:$AX$199,2*(ROWS(J$67:J86)-1)+1),2),"")</f>
        <v/>
      </c>
      <c r="K86" t="s">
        <v>84</v>
      </c>
      <c r="L86" s="10">
        <f>IFERROR(ROUND(INDEX('M03-S05'!$V$18:$V$199,2*(ROWS(L$67:L86)-1)+1),3),"")</f>
        <v>0</v>
      </c>
      <c r="M86" s="10">
        <f>IFERROR(ROUND(INDEX('M03-S05'!$V$18:$V$199,2*(ROWS(M$67:M86)-1)+1),3),"")</f>
        <v>0</v>
      </c>
      <c r="N86" s="37" t="str">
        <f>IFERROR(INDEX('M03-S05'!$AZ$18:$AZ$199,2*(ROWS(N$67:N86)-1)+1),"")</f>
        <v/>
      </c>
      <c r="O86" s="37" t="str">
        <f>IFERROR(INDEX('M03-S05'!$BE$18:$BE$199,2*(ROWS(O$67:O86)-1)+1),"")</f>
        <v/>
      </c>
      <c r="P86" s="37" t="str">
        <f>IFERROR(INDEX('M03-S05'!$BA$18:$BA$199,2*(ROWS(P$67:P86)-1)+1),"")</f>
        <v/>
      </c>
      <c r="Q86" s="37" t="str">
        <f>IFERROR(INDEX('M03-S05'!$BF$18:$BF$199,2*(ROWS(Q$67:Q86)-1)+1),"")</f>
        <v/>
      </c>
      <c r="R86" s="14" t="str">
        <f>IFERROR(INDEX('M03-S05'!$AR$18:$AR$199,2*(ROWS(R$67:R86)-1)+1),"")</f>
        <v/>
      </c>
      <c r="S86" s="207"/>
      <c r="T86" s="207"/>
      <c r="U86" s="207"/>
      <c r="V86" s="194"/>
      <c r="W86" s="218"/>
      <c r="X86" s="218"/>
      <c r="Y86" s="210"/>
      <c r="Z86" s="210"/>
      <c r="AA86" s="219"/>
      <c r="AB86" s="219"/>
      <c r="AC86" s="194"/>
      <c r="AD86" s="37">
        <f>IFERROR(INDEX('M03-S05'!$BB$18:$BB$199,2*(ROWS(AD$67:AD86)-1)+1),"")</f>
        <v>0</v>
      </c>
      <c r="AE86" s="37">
        <f>IFERROR(INDEX('M03-S05'!$BC$18:$BC$199,2*(ROWS(AE$67:AE86)-1)+1),"")</f>
        <v>0</v>
      </c>
      <c r="AF86" s="210"/>
      <c r="AG86" s="210"/>
      <c r="AH86" s="210"/>
      <c r="AI86">
        <f>IFERROR(INDEX('M03-S05'!$B$18:$B$199,2*(ROWS(AI$67:AI86)-1)+1),"")</f>
        <v>20</v>
      </c>
      <c r="AJ86" s="194"/>
      <c r="AK86">
        <f>IFERROR(INDEX('M03-S05'!$C$18:$C$199,2*(ROWS(AK$67:AK86)-1)+1),"")</f>
        <v>0</v>
      </c>
      <c r="AL86" t="str" cm="1">
        <f t="array" aca="1" ref="AL86" ca="1">_xlfn.LET( _xlpm.Rows, 2*(ROWS(AM$67:AM86)-1)+1,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MATCH(AS86,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6" t="str" cm="1">
        <f t="array" aca="1" ref="AM86" ca="1">_xlfn.LET( _xlpm.Rows, 2*(ROWS(AM$67:AM86)-1)+1,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MATCH(AS86,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6" s="207"/>
      <c r="AO86" s="207"/>
      <c r="AP86" t="str">
        <f>IFERROR(INDEX('M03-S05'!$AY$18:$AY$199,2*(ROWS(AP$67:AP86)-1)+1),"")</f>
        <v/>
      </c>
      <c r="AQ86" s="194"/>
      <c r="AR86" t="str">
        <f>IFERROR(INDEX(STDHVAC[Reporting Methodology],MATCH(EXPORT!C86,STDHVAC[Measure Number],0)),"")</f>
        <v/>
      </c>
      <c r="AS86" t="str">
        <f>IFERROR(INDEX(STDHVAC[Primary Key],MATCH(C86,STDHVAC[Measure Number],0)),"")</f>
        <v/>
      </c>
      <c r="AT86" s="14" t="str" cm="1">
        <f t="array" ref="AT86">_xlfn.LET(_xlpm.ROWS, 2*(ROWS(AT$67:AT86)-1)+1,IFERROR(INDEX('M03-S05'!$AR$18:$AR$199, _xlpm.ROWS)-INDEX('M03-S05'!$BT$18:$BT$199, _xlpm.ROWS),""))</f>
        <v/>
      </c>
      <c r="BL86"/>
      <c r="BP86"/>
      <c r="BQ86"/>
      <c r="BR86"/>
      <c r="CD86"/>
      <c r="CE86"/>
      <c r="CF86"/>
      <c r="CQ86"/>
      <c r="CR86"/>
      <c r="CS86"/>
      <c r="DS86"/>
      <c r="DT86"/>
      <c r="DU86"/>
    </row>
    <row r="87" spans="1:125" hidden="1">
      <c r="A87" s="15">
        <f t="shared" si="6"/>
        <v>0</v>
      </c>
      <c r="B87" t="str">
        <f t="shared" si="7"/>
        <v/>
      </c>
      <c r="C87" t="str">
        <f>IFERROR(IF(R87&gt;0,INDEX('M03-S05'!$BH$18:$BH$199,2*(ROWS($C$67:C87)-1)+1),""),"")</f>
        <v/>
      </c>
      <c r="D87" t="s">
        <v>1320</v>
      </c>
      <c r="E87" t="str">
        <f>IFERROR(INDEX('M03-S05'!$BD$18:$BD$199,2*(ROWS($E$67:E87)-1)+1),"")</f>
        <v/>
      </c>
      <c r="F87" s="210"/>
      <c r="G87" s="210"/>
      <c r="H87" s="14">
        <f>IFERROR(ROUND(INDEX('M03-S05'!$AE$18:$AE$199,2*(ROWS(H$67:H87)-1)+1),2),"")</f>
        <v>0</v>
      </c>
      <c r="I87" s="14">
        <f>IFERROR(ROUND(INDEX('M03-S05'!$AG$18:$AG$199,2*(ROWS(I$67:I87)-1)+1),2),"")</f>
        <v>0</v>
      </c>
      <c r="J87" s="14" t="str">
        <f>IFERROR(ROUND(INDEX('M03-S05'!$AX$18:$AX$199,2*(ROWS(J$67:J87)-1)+1),2),"")</f>
        <v/>
      </c>
      <c r="K87" t="s">
        <v>84</v>
      </c>
      <c r="L87" s="10">
        <f>IFERROR(ROUND(INDEX('M03-S05'!$V$18:$V$199,2*(ROWS(L$67:L87)-1)+1),3),"")</f>
        <v>0</v>
      </c>
      <c r="M87" s="10">
        <f>IFERROR(ROUND(INDEX('M03-S05'!$V$18:$V$199,2*(ROWS(M$67:M87)-1)+1),3),"")</f>
        <v>0</v>
      </c>
      <c r="N87" s="37" t="str">
        <f>IFERROR(INDEX('M03-S05'!$AZ$18:$AZ$199,2*(ROWS(N$67:N87)-1)+1),"")</f>
        <v/>
      </c>
      <c r="O87" s="37" t="str">
        <f>IFERROR(INDEX('M03-S05'!$BE$18:$BE$199,2*(ROWS(O$67:O87)-1)+1),"")</f>
        <v/>
      </c>
      <c r="P87" s="37" t="str">
        <f>IFERROR(INDEX('M03-S05'!$BA$18:$BA$199,2*(ROWS(P$67:P87)-1)+1),"")</f>
        <v/>
      </c>
      <c r="Q87" s="37" t="str">
        <f>IFERROR(INDEX('M03-S05'!$BF$18:$BF$199,2*(ROWS(Q$67:Q87)-1)+1),"")</f>
        <v/>
      </c>
      <c r="R87" s="14" t="str">
        <f>IFERROR(INDEX('M03-S05'!$AR$18:$AR$199,2*(ROWS(R$67:R87)-1)+1),"")</f>
        <v/>
      </c>
      <c r="S87" s="207"/>
      <c r="T87" s="207"/>
      <c r="U87" s="207"/>
      <c r="V87" s="194"/>
      <c r="W87" s="218"/>
      <c r="X87" s="218"/>
      <c r="Y87" s="210"/>
      <c r="Z87" s="210"/>
      <c r="AA87" s="219"/>
      <c r="AB87" s="219"/>
      <c r="AC87" s="194"/>
      <c r="AD87" s="37">
        <f>IFERROR(INDEX('M03-S05'!$BB$18:$BB$199,2*(ROWS(AD$67:AD87)-1)+1),"")</f>
        <v>0</v>
      </c>
      <c r="AE87" s="37">
        <f>IFERROR(INDEX('M03-S05'!$BC$18:$BC$199,2*(ROWS(AE$67:AE87)-1)+1),"")</f>
        <v>0</v>
      </c>
      <c r="AF87" s="210"/>
      <c r="AG87" s="210"/>
      <c r="AH87" s="210"/>
      <c r="AI87">
        <f>IFERROR(INDEX('M03-S05'!$B$18:$B$199,2*(ROWS(AI$67:AI87)-1)+1),"")</f>
        <v>21</v>
      </c>
      <c r="AJ87" s="194"/>
      <c r="AK87">
        <f>IFERROR(INDEX('M03-S05'!$C$18:$C$199,2*(ROWS(AK$67:AK87)-1)+1),"")</f>
        <v>0</v>
      </c>
      <c r="AL87" t="str" cm="1">
        <f t="array" aca="1" ref="AL87" ca="1">_xlfn.LET( _xlpm.Rows, 2*(ROWS(AM$67:AM87)-1)+1,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7" t="str" cm="1">
        <f t="array" aca="1" ref="AM87" ca="1">_xlfn.LET( _xlpm.Rows, 2*(ROWS(AM$67:AM87)-1)+1,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7" s="207"/>
      <c r="AO87" s="207"/>
      <c r="AP87" t="str">
        <f>IFERROR(INDEX('M03-S05'!$AY$18:$AY$199,2*(ROWS(AP$67:AP87)-1)+1),"")</f>
        <v/>
      </c>
      <c r="AQ87" s="194"/>
      <c r="AR87" t="str">
        <f>IFERROR(INDEX(STDHVAC[Reporting Methodology],MATCH(EXPORT!C87,STDHVAC[Measure Number],0)),"")</f>
        <v/>
      </c>
      <c r="AS87" t="str">
        <f>IFERROR(INDEX(STDHVAC[Primary Key],MATCH(C87,STDHVAC[Measure Number],0)),"")</f>
        <v/>
      </c>
      <c r="AT87" s="14" t="str" cm="1">
        <f t="array" ref="AT87">_xlfn.LET(_xlpm.ROWS, 2*(ROWS(AT$67:AT87)-1)+1,IFERROR(INDEX('M03-S05'!$AR$18:$AR$199, _xlpm.ROWS)-INDEX('M03-S05'!$BT$18:$BT$199, _xlpm.ROWS),""))</f>
        <v/>
      </c>
      <c r="BL87"/>
      <c r="BP87"/>
      <c r="BQ87"/>
      <c r="BR87"/>
      <c r="CD87"/>
      <c r="CE87"/>
      <c r="CF87"/>
      <c r="CQ87"/>
      <c r="CR87"/>
      <c r="CS87"/>
      <c r="DS87"/>
      <c r="DT87"/>
      <c r="DU87"/>
    </row>
    <row r="88" spans="1:125" hidden="1">
      <c r="A88" s="15">
        <f t="shared" si="6"/>
        <v>0</v>
      </c>
      <c r="B88" t="str">
        <f t="shared" si="7"/>
        <v/>
      </c>
      <c r="C88" t="str">
        <f>IFERROR(IF(R88&gt;0,INDEX('M03-S05'!$BH$18:$BH$199,2*(ROWS($C$67:C88)-1)+1),""),"")</f>
        <v/>
      </c>
      <c r="D88" t="s">
        <v>1320</v>
      </c>
      <c r="E88" t="str">
        <f>IFERROR(INDEX('M03-S05'!$BD$18:$BD$199,2*(ROWS($E$67:E88)-1)+1),"")</f>
        <v/>
      </c>
      <c r="F88" s="210"/>
      <c r="G88" s="210"/>
      <c r="H88" s="14">
        <f>IFERROR(ROUND(INDEX('M03-S05'!$AE$18:$AE$199,2*(ROWS(H$67:H88)-1)+1),2),"")</f>
        <v>0</v>
      </c>
      <c r="I88" s="14">
        <f>IFERROR(ROUND(INDEX('M03-S05'!$AG$18:$AG$199,2*(ROWS(I$67:I88)-1)+1),2),"")</f>
        <v>0</v>
      </c>
      <c r="J88" s="14" t="str">
        <f>IFERROR(ROUND(INDEX('M03-S05'!$AX$18:$AX$199,2*(ROWS(J$67:J88)-1)+1),2),"")</f>
        <v/>
      </c>
      <c r="K88" t="s">
        <v>84</v>
      </c>
      <c r="L88" s="10">
        <f>IFERROR(ROUND(INDEX('M03-S05'!$V$18:$V$199,2*(ROWS(L$67:L88)-1)+1),3),"")</f>
        <v>0</v>
      </c>
      <c r="M88" s="10">
        <f>IFERROR(ROUND(INDEX('M03-S05'!$V$18:$V$199,2*(ROWS(M$67:M88)-1)+1),3),"")</f>
        <v>0</v>
      </c>
      <c r="N88" s="37" t="str">
        <f>IFERROR(INDEX('M03-S05'!$AZ$18:$AZ$199,2*(ROWS(N$67:N88)-1)+1),"")</f>
        <v/>
      </c>
      <c r="O88" s="37" t="str">
        <f>IFERROR(INDEX('M03-S05'!$BE$18:$BE$199,2*(ROWS(O$67:O88)-1)+1),"")</f>
        <v/>
      </c>
      <c r="P88" s="37" t="str">
        <f>IFERROR(INDEX('M03-S05'!$BA$18:$BA$199,2*(ROWS(P$67:P88)-1)+1),"")</f>
        <v/>
      </c>
      <c r="Q88" s="37" t="str">
        <f>IFERROR(INDEX('M03-S05'!$BF$18:$BF$199,2*(ROWS(Q$67:Q88)-1)+1),"")</f>
        <v/>
      </c>
      <c r="R88" s="14" t="str">
        <f>IFERROR(INDEX('M03-S05'!$AR$18:$AR$199,2*(ROWS(R$67:R88)-1)+1),"")</f>
        <v/>
      </c>
      <c r="S88" s="207"/>
      <c r="T88" s="207"/>
      <c r="U88" s="207"/>
      <c r="V88" s="194"/>
      <c r="W88" s="218"/>
      <c r="X88" s="218"/>
      <c r="Y88" s="210"/>
      <c r="Z88" s="210"/>
      <c r="AA88" s="219"/>
      <c r="AB88" s="219"/>
      <c r="AC88" s="194"/>
      <c r="AD88" s="37">
        <f>IFERROR(INDEX('M03-S05'!$BB$18:$BB$199,2*(ROWS(AD$67:AD88)-1)+1),"")</f>
        <v>0</v>
      </c>
      <c r="AE88" s="37">
        <f>IFERROR(INDEX('M03-S05'!$BC$18:$BC$199,2*(ROWS(AE$67:AE88)-1)+1),"")</f>
        <v>0</v>
      </c>
      <c r="AF88" s="210"/>
      <c r="AG88" s="210"/>
      <c r="AH88" s="210"/>
      <c r="AI88">
        <f>IFERROR(INDEX('M03-S05'!$B$18:$B$199,2*(ROWS(AI$67:AI88)-1)+1),"")</f>
        <v>22</v>
      </c>
      <c r="AJ88" s="194"/>
      <c r="AK88">
        <f>IFERROR(INDEX('M03-S05'!$C$18:$C$199,2*(ROWS(AK$67:AK88)-1)+1),"")</f>
        <v>0</v>
      </c>
      <c r="AL88" t="str" cm="1">
        <f t="array" aca="1" ref="AL88" ca="1">_xlfn.LET( _xlpm.Rows, 2*(ROWS(AM$67:AM88)-1)+1,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8" t="str" cm="1">
        <f t="array" aca="1" ref="AM88" ca="1">_xlfn.LET( _xlpm.Rows, 2*(ROWS(AM$67:AM88)-1)+1,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8" s="207"/>
      <c r="AO88" s="207"/>
      <c r="AP88" t="str">
        <f>IFERROR(INDEX('M03-S05'!$AY$18:$AY$199,2*(ROWS(AP$67:AP88)-1)+1),"")</f>
        <v/>
      </c>
      <c r="AQ88" s="194"/>
      <c r="AR88" t="str">
        <f>IFERROR(INDEX(STDHVAC[Reporting Methodology],MATCH(EXPORT!C88,STDHVAC[Measure Number],0)),"")</f>
        <v/>
      </c>
      <c r="AS88" t="str">
        <f>IFERROR(INDEX(STDHVAC[Primary Key],MATCH(C88,STDHVAC[Measure Number],0)),"")</f>
        <v/>
      </c>
      <c r="AT88" s="14" t="str" cm="1">
        <f t="array" ref="AT88">_xlfn.LET(_xlpm.ROWS, 2*(ROWS(AT$67:AT88)-1)+1,IFERROR(INDEX('M03-S05'!$AR$18:$AR$199, _xlpm.ROWS)-INDEX('M03-S05'!$BT$18:$BT$199, _xlpm.ROWS),""))</f>
        <v/>
      </c>
      <c r="BL88"/>
      <c r="BP88"/>
      <c r="BQ88"/>
      <c r="BR88"/>
      <c r="CD88"/>
      <c r="CE88"/>
      <c r="CF88"/>
      <c r="CQ88"/>
      <c r="CR88"/>
      <c r="CS88"/>
      <c r="DS88"/>
      <c r="DT88"/>
      <c r="DU88"/>
    </row>
    <row r="89" spans="1:125" hidden="1">
      <c r="A89" s="15">
        <f t="shared" si="6"/>
        <v>0</v>
      </c>
      <c r="B89" t="str">
        <f t="shared" si="7"/>
        <v/>
      </c>
      <c r="C89" t="str">
        <f>IFERROR(IF(R89&gt;0,INDEX('M03-S05'!$BH$18:$BH$199,2*(ROWS($C$67:C89)-1)+1),""),"")</f>
        <v/>
      </c>
      <c r="D89" t="s">
        <v>1320</v>
      </c>
      <c r="E89" t="str">
        <f>IFERROR(INDEX('M03-S05'!$BD$18:$BD$199,2*(ROWS($E$67:E89)-1)+1),"")</f>
        <v/>
      </c>
      <c r="F89" s="210"/>
      <c r="G89" s="210"/>
      <c r="H89" s="14">
        <f>IFERROR(ROUND(INDEX('M03-S05'!$AE$18:$AE$199,2*(ROWS(H$67:H89)-1)+1),2),"")</f>
        <v>0</v>
      </c>
      <c r="I89" s="14">
        <f>IFERROR(ROUND(INDEX('M03-S05'!$AG$18:$AG$199,2*(ROWS(I$67:I89)-1)+1),2),"")</f>
        <v>0</v>
      </c>
      <c r="J89" s="14" t="str">
        <f>IFERROR(ROUND(INDEX('M03-S05'!$AX$18:$AX$199,2*(ROWS(J$67:J89)-1)+1),2),"")</f>
        <v/>
      </c>
      <c r="K89" t="s">
        <v>84</v>
      </c>
      <c r="L89" s="10">
        <f>IFERROR(ROUND(INDEX('M03-S05'!$V$18:$V$199,2*(ROWS(L$67:L89)-1)+1),3),"")</f>
        <v>0</v>
      </c>
      <c r="M89" s="10">
        <f>IFERROR(ROUND(INDEX('M03-S05'!$V$18:$V$199,2*(ROWS(M$67:M89)-1)+1),3),"")</f>
        <v>0</v>
      </c>
      <c r="N89" s="37" t="str">
        <f>IFERROR(INDEX('M03-S05'!$AZ$18:$AZ$199,2*(ROWS(N$67:N89)-1)+1),"")</f>
        <v/>
      </c>
      <c r="O89" s="37" t="str">
        <f>IFERROR(INDEX('M03-S05'!$BE$18:$BE$199,2*(ROWS(O$67:O89)-1)+1),"")</f>
        <v/>
      </c>
      <c r="P89" s="37" t="str">
        <f>IFERROR(INDEX('M03-S05'!$BA$18:$BA$199,2*(ROWS(P$67:P89)-1)+1),"")</f>
        <v/>
      </c>
      <c r="Q89" s="37" t="str">
        <f>IFERROR(INDEX('M03-S05'!$BF$18:$BF$199,2*(ROWS(Q$67:Q89)-1)+1),"")</f>
        <v/>
      </c>
      <c r="R89" s="14" t="str">
        <f>IFERROR(INDEX('M03-S05'!$AR$18:$AR$199,2*(ROWS(R$67:R89)-1)+1),"")</f>
        <v/>
      </c>
      <c r="S89" s="207"/>
      <c r="T89" s="207"/>
      <c r="U89" s="207"/>
      <c r="V89" s="194"/>
      <c r="W89" s="218"/>
      <c r="X89" s="218"/>
      <c r="Y89" s="210"/>
      <c r="Z89" s="210"/>
      <c r="AA89" s="219"/>
      <c r="AB89" s="219"/>
      <c r="AC89" s="194"/>
      <c r="AD89" s="37">
        <f>IFERROR(INDEX('M03-S05'!$BB$18:$BB$199,2*(ROWS(AD$67:AD89)-1)+1),"")</f>
        <v>0</v>
      </c>
      <c r="AE89" s="37">
        <f>IFERROR(INDEX('M03-S05'!$BC$18:$BC$199,2*(ROWS(AE$67:AE89)-1)+1),"")</f>
        <v>0</v>
      </c>
      <c r="AF89" s="210"/>
      <c r="AG89" s="210"/>
      <c r="AH89" s="210"/>
      <c r="AI89">
        <f>IFERROR(INDEX('M03-S05'!$B$18:$B$199,2*(ROWS(AI$67:AI89)-1)+1),"")</f>
        <v>23</v>
      </c>
      <c r="AJ89" s="194"/>
      <c r="AK89">
        <f>IFERROR(INDEX('M03-S05'!$C$18:$C$199,2*(ROWS(AK$67:AK89)-1)+1),"")</f>
        <v>0</v>
      </c>
      <c r="AL89" t="str" cm="1">
        <f t="array" aca="1" ref="AL89" ca="1">_xlfn.LET( _xlpm.Rows, 2*(ROWS(AM$67:AM89)-1)+1,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9" t="str" cm="1">
        <f t="array" aca="1" ref="AM89" ca="1">_xlfn.LET( _xlpm.Rows, 2*(ROWS(AM$67:AM89)-1)+1,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9" s="207"/>
      <c r="AO89" s="207"/>
      <c r="AP89" t="str">
        <f>IFERROR(INDEX('M03-S05'!$AY$18:$AY$199,2*(ROWS(AP$67:AP89)-1)+1),"")</f>
        <v/>
      </c>
      <c r="AQ89" s="194"/>
      <c r="AR89" t="str">
        <f>IFERROR(INDEX(STDHVAC[Reporting Methodology],MATCH(EXPORT!C89,STDHVAC[Measure Number],0)),"")</f>
        <v/>
      </c>
      <c r="AS89" t="str">
        <f>IFERROR(INDEX(STDHVAC[Primary Key],MATCH(C89,STDHVAC[Measure Number],0)),"")</f>
        <v/>
      </c>
      <c r="AT89" s="14" t="str" cm="1">
        <f t="array" ref="AT89">_xlfn.LET(_xlpm.ROWS, 2*(ROWS(AT$67:AT89)-1)+1,IFERROR(INDEX('M03-S05'!$AR$18:$AR$199, _xlpm.ROWS)-INDEX('M03-S05'!$BT$18:$BT$199, _xlpm.ROWS),""))</f>
        <v/>
      </c>
      <c r="BL89"/>
      <c r="BP89"/>
      <c r="BQ89"/>
      <c r="BR89"/>
      <c r="CD89"/>
      <c r="CE89"/>
      <c r="CF89"/>
      <c r="CQ89"/>
      <c r="CR89"/>
      <c r="CS89"/>
      <c r="DS89"/>
      <c r="DT89"/>
      <c r="DU89"/>
    </row>
    <row r="90" spans="1:125" hidden="1">
      <c r="A90" s="15">
        <f t="shared" si="6"/>
        <v>0</v>
      </c>
      <c r="B90" t="str">
        <f t="shared" si="7"/>
        <v/>
      </c>
      <c r="C90" t="str">
        <f>IFERROR(IF(R90&gt;0,INDEX('M03-S05'!$BH$18:$BH$199,2*(ROWS($C$67:C90)-1)+1),""),"")</f>
        <v/>
      </c>
      <c r="D90" t="s">
        <v>1320</v>
      </c>
      <c r="E90" t="str">
        <f>IFERROR(INDEX('M03-S05'!$BD$18:$BD$199,2*(ROWS($E$67:E90)-1)+1),"")</f>
        <v/>
      </c>
      <c r="F90" s="210"/>
      <c r="G90" s="210"/>
      <c r="H90" s="14">
        <f>IFERROR(ROUND(INDEX('M03-S05'!$AE$18:$AE$199,2*(ROWS(H$67:H90)-1)+1),2),"")</f>
        <v>0</v>
      </c>
      <c r="I90" s="14">
        <f>IFERROR(ROUND(INDEX('M03-S05'!$AG$18:$AG$199,2*(ROWS(I$67:I90)-1)+1),2),"")</f>
        <v>0</v>
      </c>
      <c r="J90" s="14" t="str">
        <f>IFERROR(ROUND(INDEX('M03-S05'!$AX$18:$AX$199,2*(ROWS(J$67:J90)-1)+1),2),"")</f>
        <v/>
      </c>
      <c r="K90" t="s">
        <v>84</v>
      </c>
      <c r="L90" s="10">
        <f>IFERROR(ROUND(INDEX('M03-S05'!$V$18:$V$199,2*(ROWS(L$67:L90)-1)+1),3),"")</f>
        <v>0</v>
      </c>
      <c r="M90" s="10">
        <f>IFERROR(ROUND(INDEX('M03-S05'!$V$18:$V$199,2*(ROWS(M$67:M90)-1)+1),3),"")</f>
        <v>0</v>
      </c>
      <c r="N90" s="37" t="str">
        <f>IFERROR(INDEX('M03-S05'!$AZ$18:$AZ$199,2*(ROWS(N$67:N90)-1)+1),"")</f>
        <v/>
      </c>
      <c r="O90" s="37" t="str">
        <f>IFERROR(INDEX('M03-S05'!$BE$18:$BE$199,2*(ROWS(O$67:O90)-1)+1),"")</f>
        <v/>
      </c>
      <c r="P90" s="37" t="str">
        <f>IFERROR(INDEX('M03-S05'!$BA$18:$BA$199,2*(ROWS(P$67:P90)-1)+1),"")</f>
        <v/>
      </c>
      <c r="Q90" s="37" t="str">
        <f>IFERROR(INDEX('M03-S05'!$BF$18:$BF$199,2*(ROWS(Q$67:Q90)-1)+1),"")</f>
        <v/>
      </c>
      <c r="R90" s="14" t="str">
        <f>IFERROR(INDEX('M03-S05'!$AR$18:$AR$199,2*(ROWS(R$67:R90)-1)+1),"")</f>
        <v/>
      </c>
      <c r="S90" s="207"/>
      <c r="T90" s="207"/>
      <c r="U90" s="207"/>
      <c r="V90" s="194"/>
      <c r="W90" s="218"/>
      <c r="X90" s="218"/>
      <c r="Y90" s="210"/>
      <c r="Z90" s="210"/>
      <c r="AA90" s="219"/>
      <c r="AB90" s="219"/>
      <c r="AC90" s="194"/>
      <c r="AD90" s="37">
        <f>IFERROR(INDEX('M03-S05'!$BB$18:$BB$199,2*(ROWS(AD$67:AD90)-1)+1),"")</f>
        <v>0</v>
      </c>
      <c r="AE90" s="37">
        <f>IFERROR(INDEX('M03-S05'!$BC$18:$BC$199,2*(ROWS(AE$67:AE90)-1)+1),"")</f>
        <v>0</v>
      </c>
      <c r="AF90" s="210"/>
      <c r="AG90" s="210"/>
      <c r="AH90" s="210"/>
      <c r="AI90">
        <f>IFERROR(INDEX('M03-S05'!$B$18:$B$199,2*(ROWS(AI$67:AI90)-1)+1),"")</f>
        <v>24</v>
      </c>
      <c r="AJ90" s="194"/>
      <c r="AK90">
        <f>IFERROR(INDEX('M03-S05'!$C$18:$C$199,2*(ROWS(AK$67:AK90)-1)+1),"")</f>
        <v>0</v>
      </c>
      <c r="AL90" t="str" cm="1">
        <f t="array" aca="1" ref="AL90" ca="1">_xlfn.LET( _xlpm.Rows, 2*(ROWS(AM$67:AM90)-1)+1,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0" t="str" cm="1">
        <f t="array" aca="1" ref="AM90" ca="1">_xlfn.LET( _xlpm.Rows, 2*(ROWS(AM$67:AM90)-1)+1,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0" s="207"/>
      <c r="AO90" s="207"/>
      <c r="AP90" t="str">
        <f>IFERROR(INDEX('M03-S05'!$AY$18:$AY$199,2*(ROWS(AP$67:AP90)-1)+1),"")</f>
        <v/>
      </c>
      <c r="AQ90" s="194"/>
      <c r="AR90" t="str">
        <f>IFERROR(INDEX(STDHVAC[Reporting Methodology],MATCH(EXPORT!C90,STDHVAC[Measure Number],0)),"")</f>
        <v/>
      </c>
      <c r="AS90" t="str">
        <f>IFERROR(INDEX(STDHVAC[Primary Key],MATCH(C90,STDHVAC[Measure Number],0)),"")</f>
        <v/>
      </c>
      <c r="AT90" s="14" t="str" cm="1">
        <f t="array" ref="AT90">_xlfn.LET(_xlpm.ROWS, 2*(ROWS(AT$67:AT90)-1)+1,IFERROR(INDEX('M03-S05'!$AR$18:$AR$199, _xlpm.ROWS)-INDEX('M03-S05'!$BT$18:$BT$199, _xlpm.ROWS),""))</f>
        <v/>
      </c>
      <c r="BL90"/>
      <c r="BP90"/>
      <c r="BQ90"/>
      <c r="BR90"/>
      <c r="CD90"/>
      <c r="CE90"/>
      <c r="CF90"/>
      <c r="CQ90"/>
      <c r="CR90"/>
      <c r="CS90"/>
      <c r="DS90"/>
      <c r="DT90"/>
      <c r="DU90"/>
    </row>
    <row r="91" spans="1:125" hidden="1">
      <c r="A91" s="15">
        <f t="shared" si="6"/>
        <v>0</v>
      </c>
      <c r="B91" t="str">
        <f t="shared" si="7"/>
        <v/>
      </c>
      <c r="C91" t="str">
        <f>IFERROR(IF(R91&gt;0,INDEX('M03-S05'!$BH$18:$BH$199,2*(ROWS($C$67:C91)-1)+1),""),"")</f>
        <v/>
      </c>
      <c r="D91" t="s">
        <v>1320</v>
      </c>
      <c r="E91" t="str">
        <f>IFERROR(INDEX('M03-S05'!$BD$18:$BD$199,2*(ROWS($E$67:E91)-1)+1),"")</f>
        <v/>
      </c>
      <c r="F91" s="210"/>
      <c r="G91" s="210"/>
      <c r="H91" s="14">
        <f>IFERROR(ROUND(INDEX('M03-S05'!$AE$18:$AE$199,2*(ROWS(H$67:H91)-1)+1),2),"")</f>
        <v>0</v>
      </c>
      <c r="I91" s="14">
        <f>IFERROR(ROUND(INDEX('M03-S05'!$AG$18:$AG$199,2*(ROWS(I$67:I91)-1)+1),2),"")</f>
        <v>0</v>
      </c>
      <c r="J91" s="14" t="str">
        <f>IFERROR(ROUND(INDEX('M03-S05'!$AX$18:$AX$199,2*(ROWS(J$67:J91)-1)+1),2),"")</f>
        <v/>
      </c>
      <c r="K91" t="s">
        <v>84</v>
      </c>
      <c r="L91" s="10">
        <f>IFERROR(ROUND(INDEX('M03-S05'!$V$18:$V$199,2*(ROWS(L$67:L91)-1)+1),3),"")</f>
        <v>0</v>
      </c>
      <c r="M91" s="10">
        <f>IFERROR(ROUND(INDEX('M03-S05'!$V$18:$V$199,2*(ROWS(M$67:M91)-1)+1),3),"")</f>
        <v>0</v>
      </c>
      <c r="N91" s="37" t="str">
        <f>IFERROR(INDEX('M03-S05'!$AZ$18:$AZ$199,2*(ROWS(N$67:N91)-1)+1),"")</f>
        <v/>
      </c>
      <c r="O91" s="37" t="str">
        <f>IFERROR(INDEX('M03-S05'!$BE$18:$BE$199,2*(ROWS(O$67:O91)-1)+1),"")</f>
        <v/>
      </c>
      <c r="P91" s="37" t="str">
        <f>IFERROR(INDEX('M03-S05'!$BA$18:$BA$199,2*(ROWS(P$67:P91)-1)+1),"")</f>
        <v/>
      </c>
      <c r="Q91" s="37" t="str">
        <f>IFERROR(INDEX('M03-S05'!$BF$18:$BF$199,2*(ROWS(Q$67:Q91)-1)+1),"")</f>
        <v/>
      </c>
      <c r="R91" s="14" t="str">
        <f>IFERROR(INDEX('M03-S05'!$AR$18:$AR$199,2*(ROWS(R$67:R91)-1)+1),"")</f>
        <v/>
      </c>
      <c r="S91" s="207"/>
      <c r="T91" s="207"/>
      <c r="U91" s="207"/>
      <c r="V91" s="194"/>
      <c r="W91" s="218"/>
      <c r="X91" s="218"/>
      <c r="Y91" s="210"/>
      <c r="Z91" s="210"/>
      <c r="AA91" s="219"/>
      <c r="AB91" s="219"/>
      <c r="AC91" s="194"/>
      <c r="AD91" s="37">
        <f>IFERROR(INDEX('M03-S05'!$BB$18:$BB$199,2*(ROWS(AD$67:AD91)-1)+1),"")</f>
        <v>0</v>
      </c>
      <c r="AE91" s="37">
        <f>IFERROR(INDEX('M03-S05'!$BC$18:$BC$199,2*(ROWS(AE$67:AE91)-1)+1),"")</f>
        <v>0</v>
      </c>
      <c r="AF91" s="210"/>
      <c r="AG91" s="210"/>
      <c r="AH91" s="210"/>
      <c r="AI91">
        <f>IFERROR(INDEX('M03-S05'!$B$18:$B$199,2*(ROWS(AI$67:AI91)-1)+1),"")</f>
        <v>25</v>
      </c>
      <c r="AJ91" s="194"/>
      <c r="AK91">
        <f>IFERROR(INDEX('M03-S05'!$C$18:$C$199,2*(ROWS(AK$67:AK91)-1)+1),"")</f>
        <v>0</v>
      </c>
      <c r="AL91" t="str" cm="1">
        <f t="array" aca="1" ref="AL91" ca="1">_xlfn.LET( _xlpm.Rows, 2*(ROWS(AM$67:AM91)-1)+1,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1" t="str" cm="1">
        <f t="array" aca="1" ref="AM91" ca="1">_xlfn.LET( _xlpm.Rows, 2*(ROWS(AM$67:AM91)-1)+1,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1" s="207"/>
      <c r="AO91" s="207"/>
      <c r="AP91" t="str">
        <f>IFERROR(INDEX('M03-S05'!$AY$18:$AY$199,2*(ROWS(AP$67:AP91)-1)+1),"")</f>
        <v/>
      </c>
      <c r="AQ91" s="194"/>
      <c r="AR91" t="str">
        <f>IFERROR(INDEX(STDHVAC[Reporting Methodology],MATCH(EXPORT!C91,STDHVAC[Measure Number],0)),"")</f>
        <v/>
      </c>
      <c r="AS91" t="str">
        <f>IFERROR(INDEX(STDHVAC[Primary Key],MATCH(C91,STDHVAC[Measure Number],0)),"")</f>
        <v/>
      </c>
      <c r="AT91" s="14" t="str" cm="1">
        <f t="array" ref="AT91">_xlfn.LET(_xlpm.ROWS, 2*(ROWS(AT$67:AT91)-1)+1,IFERROR(INDEX('M03-S05'!$AR$18:$AR$199, _xlpm.ROWS)-INDEX('M03-S05'!$BT$18:$BT$199, _xlpm.ROWS),""))</f>
        <v/>
      </c>
      <c r="BL91"/>
      <c r="BP91"/>
      <c r="BQ91"/>
      <c r="BR91"/>
      <c r="CD91"/>
      <c r="CE91"/>
      <c r="CF91"/>
      <c r="CQ91"/>
      <c r="CR91"/>
      <c r="CS91"/>
      <c r="DS91"/>
      <c r="DT91"/>
      <c r="DU91"/>
    </row>
    <row r="92" spans="1:125" hidden="1">
      <c r="A92" s="15">
        <f t="shared" si="6"/>
        <v>0</v>
      </c>
      <c r="B92" t="str">
        <f t="shared" si="7"/>
        <v/>
      </c>
      <c r="C92" t="str">
        <f>IFERROR(IF(R92&gt;0,INDEX('M03-S05'!$BH$18:$BH$199,2*(ROWS($C$67:C92)-1)+1),""),"")</f>
        <v/>
      </c>
      <c r="D92" t="s">
        <v>1320</v>
      </c>
      <c r="E92" t="str">
        <f>IFERROR(INDEX('M03-S05'!$BD$18:$BD$199,2*(ROWS($E$67:E92)-1)+1),"")</f>
        <v/>
      </c>
      <c r="F92" s="210"/>
      <c r="G92" s="210"/>
      <c r="H92" s="14">
        <f>IFERROR(ROUND(INDEX('M03-S05'!$AE$18:$AE$199,2*(ROWS(H$67:H92)-1)+1),2),"")</f>
        <v>0</v>
      </c>
      <c r="I92" s="14">
        <f>IFERROR(ROUND(INDEX('M03-S05'!$AG$18:$AG$199,2*(ROWS(I$67:I92)-1)+1),2),"")</f>
        <v>0</v>
      </c>
      <c r="J92" s="14" t="str">
        <f>IFERROR(ROUND(INDEX('M03-S05'!$AX$18:$AX$199,2*(ROWS(J$67:J92)-1)+1),2),"")</f>
        <v/>
      </c>
      <c r="K92" t="s">
        <v>84</v>
      </c>
      <c r="L92" s="10">
        <f>IFERROR(ROUND(INDEX('M03-S05'!$V$18:$V$199,2*(ROWS(L$67:L92)-1)+1),3),"")</f>
        <v>0</v>
      </c>
      <c r="M92" s="10">
        <f>IFERROR(ROUND(INDEX('M03-S05'!$V$18:$V$199,2*(ROWS(M$67:M92)-1)+1),3),"")</f>
        <v>0</v>
      </c>
      <c r="N92" s="37" t="str">
        <f>IFERROR(INDEX('M03-S05'!$AZ$18:$AZ$199,2*(ROWS(N$67:N92)-1)+1),"")</f>
        <v/>
      </c>
      <c r="O92" s="37" t="str">
        <f>IFERROR(INDEX('M03-S05'!$BE$18:$BE$199,2*(ROWS(O$67:O92)-1)+1),"")</f>
        <v/>
      </c>
      <c r="P92" s="37" t="str">
        <f>IFERROR(INDEX('M03-S05'!$BA$18:$BA$199,2*(ROWS(P$67:P92)-1)+1),"")</f>
        <v/>
      </c>
      <c r="Q92" s="37" t="str">
        <f>IFERROR(INDEX('M03-S05'!$BF$18:$BF$199,2*(ROWS(Q$67:Q92)-1)+1),"")</f>
        <v/>
      </c>
      <c r="R92" s="14" t="str">
        <f>IFERROR(INDEX('M03-S05'!$AR$18:$AR$199,2*(ROWS(R$67:R92)-1)+1),"")</f>
        <v/>
      </c>
      <c r="S92" s="207"/>
      <c r="T92" s="207"/>
      <c r="U92" s="207"/>
      <c r="V92" s="194"/>
      <c r="W92" s="218"/>
      <c r="X92" s="218"/>
      <c r="Y92" s="210"/>
      <c r="Z92" s="210"/>
      <c r="AA92" s="219"/>
      <c r="AB92" s="219"/>
      <c r="AC92" s="194"/>
      <c r="AD92" s="37">
        <f>IFERROR(INDEX('M03-S05'!$BB$18:$BB$199,2*(ROWS(AD$67:AD92)-1)+1),"")</f>
        <v>0</v>
      </c>
      <c r="AE92" s="37">
        <f>IFERROR(INDEX('M03-S05'!$BC$18:$BC$199,2*(ROWS(AE$67:AE92)-1)+1),"")</f>
        <v>0</v>
      </c>
      <c r="AF92" s="210"/>
      <c r="AG92" s="210"/>
      <c r="AH92" s="210"/>
      <c r="AI92">
        <f>IFERROR(INDEX('M03-S05'!$B$18:$B$199,2*(ROWS(AI$67:AI92)-1)+1),"")</f>
        <v>26</v>
      </c>
      <c r="AJ92" s="194"/>
      <c r="AK92">
        <f>IFERROR(INDEX('M03-S05'!$C$18:$C$199,2*(ROWS(AK$67:AK92)-1)+1),"")</f>
        <v>0</v>
      </c>
      <c r="AL92" t="str" cm="1">
        <f t="array" aca="1" ref="AL92" ca="1">_xlfn.LET( _xlpm.Rows, 2*(ROWS(AM$67:AM92)-1)+1,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MATCH(AS92,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2" t="str" cm="1">
        <f t="array" aca="1" ref="AM92" ca="1">_xlfn.LET( _xlpm.Rows, 2*(ROWS(AM$67:AM92)-1)+1,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MATCH(AS92,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2" s="207"/>
      <c r="AO92" s="207"/>
      <c r="AP92" t="str">
        <f>IFERROR(INDEX('M03-S05'!$AY$18:$AY$199,2*(ROWS(AP$67:AP92)-1)+1),"")</f>
        <v/>
      </c>
      <c r="AQ92" s="194"/>
      <c r="AR92" t="str">
        <f>IFERROR(INDEX(STDHVAC[Reporting Methodology],MATCH(EXPORT!C92,STDHVAC[Measure Number],0)),"")</f>
        <v/>
      </c>
      <c r="AS92" t="str">
        <f>IFERROR(INDEX(STDHVAC[Primary Key],MATCH(C92,STDHVAC[Measure Number],0)),"")</f>
        <v/>
      </c>
      <c r="AT92" s="14" t="str" cm="1">
        <f t="array" ref="AT92">_xlfn.LET(_xlpm.ROWS, 2*(ROWS(AT$67:AT92)-1)+1,IFERROR(INDEX('M03-S05'!$AR$18:$AR$199, _xlpm.ROWS)-INDEX('M03-S05'!$BT$18:$BT$199, _xlpm.ROWS),""))</f>
        <v/>
      </c>
      <c r="BL92"/>
      <c r="BP92"/>
      <c r="BQ92"/>
      <c r="BR92"/>
      <c r="CD92"/>
      <c r="CE92"/>
      <c r="CF92"/>
      <c r="CQ92"/>
      <c r="CR92"/>
      <c r="CS92"/>
      <c r="DS92"/>
      <c r="DT92"/>
      <c r="DU92"/>
    </row>
    <row r="93" spans="1:125" hidden="1">
      <c r="A93" s="15">
        <f t="shared" si="6"/>
        <v>0</v>
      </c>
      <c r="B93" t="str">
        <f t="shared" si="7"/>
        <v/>
      </c>
      <c r="C93" t="str">
        <f>IFERROR(IF(R93&gt;0,INDEX('M03-S05'!$BH$18:$BH$199,2*(ROWS($C$67:C93)-1)+1),""),"")</f>
        <v/>
      </c>
      <c r="D93" t="s">
        <v>1320</v>
      </c>
      <c r="E93" t="str">
        <f>IFERROR(INDEX('M03-S05'!$BD$18:$BD$199,2*(ROWS($E$67:E93)-1)+1),"")</f>
        <v/>
      </c>
      <c r="F93" s="210"/>
      <c r="G93" s="210"/>
      <c r="H93" s="14">
        <f>IFERROR(ROUND(INDEX('M03-S05'!$AE$18:$AE$199,2*(ROWS(H$67:H93)-1)+1),2),"")</f>
        <v>0</v>
      </c>
      <c r="I93" s="14">
        <f>IFERROR(ROUND(INDEX('M03-S05'!$AG$18:$AG$199,2*(ROWS(I$67:I93)-1)+1),2),"")</f>
        <v>0</v>
      </c>
      <c r="J93" s="14" t="str">
        <f>IFERROR(ROUND(INDEX('M03-S05'!$AX$18:$AX$199,2*(ROWS(J$67:J93)-1)+1),2),"")</f>
        <v/>
      </c>
      <c r="K93" t="s">
        <v>84</v>
      </c>
      <c r="L93" s="10">
        <f>IFERROR(ROUND(INDEX('M03-S05'!$V$18:$V$199,2*(ROWS(L$67:L93)-1)+1),3),"")</f>
        <v>0</v>
      </c>
      <c r="M93" s="10">
        <f>IFERROR(ROUND(INDEX('M03-S05'!$V$18:$V$199,2*(ROWS(M$67:M93)-1)+1),3),"")</f>
        <v>0</v>
      </c>
      <c r="N93" s="37" t="str">
        <f>IFERROR(INDEX('M03-S05'!$AZ$18:$AZ$199,2*(ROWS(N$67:N93)-1)+1),"")</f>
        <v/>
      </c>
      <c r="O93" s="37" t="str">
        <f>IFERROR(INDEX('M03-S05'!$BE$18:$BE$199,2*(ROWS(O$67:O93)-1)+1),"")</f>
        <v/>
      </c>
      <c r="P93" s="37" t="str">
        <f>IFERROR(INDEX('M03-S05'!$BA$18:$BA$199,2*(ROWS(P$67:P93)-1)+1),"")</f>
        <v/>
      </c>
      <c r="Q93" s="37" t="str">
        <f>IFERROR(INDEX('M03-S05'!$BF$18:$BF$199,2*(ROWS(Q$67:Q93)-1)+1),"")</f>
        <v/>
      </c>
      <c r="R93" s="14" t="str">
        <f>IFERROR(INDEX('M03-S05'!$AR$18:$AR$199,2*(ROWS(R$67:R93)-1)+1),"")</f>
        <v/>
      </c>
      <c r="S93" s="207"/>
      <c r="T93" s="207"/>
      <c r="U93" s="207"/>
      <c r="V93" s="194"/>
      <c r="W93" s="218"/>
      <c r="X93" s="218"/>
      <c r="Y93" s="210"/>
      <c r="Z93" s="210"/>
      <c r="AA93" s="219"/>
      <c r="AB93" s="219"/>
      <c r="AC93" s="194"/>
      <c r="AD93" s="37">
        <f>IFERROR(INDEX('M03-S05'!$BB$18:$BB$199,2*(ROWS(AD$67:AD93)-1)+1),"")</f>
        <v>0</v>
      </c>
      <c r="AE93" s="37">
        <f>IFERROR(INDEX('M03-S05'!$BC$18:$BC$199,2*(ROWS(AE$67:AE93)-1)+1),"")</f>
        <v>0</v>
      </c>
      <c r="AF93" s="210"/>
      <c r="AG93" s="210"/>
      <c r="AH93" s="210"/>
      <c r="AI93">
        <f>IFERROR(INDEX('M03-S05'!$B$18:$B$199,2*(ROWS(AI$67:AI93)-1)+1),"")</f>
        <v>27</v>
      </c>
      <c r="AJ93" s="194"/>
      <c r="AK93">
        <f>IFERROR(INDEX('M03-S05'!$C$18:$C$199,2*(ROWS(AK$67:AK93)-1)+1),"")</f>
        <v>0</v>
      </c>
      <c r="AL93" t="str" cm="1">
        <f t="array" aca="1" ref="AL93" ca="1">_xlfn.LET( _xlpm.Rows, 2*(ROWS(AM$67:AM93)-1)+1,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MATCH(AS93,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3" t="str" cm="1">
        <f t="array" aca="1" ref="AM93" ca="1">_xlfn.LET( _xlpm.Rows, 2*(ROWS(AM$67:AM93)-1)+1,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MATCH(AS93,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3" s="207"/>
      <c r="AO93" s="207"/>
      <c r="AP93" t="str">
        <f>IFERROR(INDEX('M03-S05'!$AY$18:$AY$199,2*(ROWS(AP$67:AP93)-1)+1),"")</f>
        <v/>
      </c>
      <c r="AQ93" s="194"/>
      <c r="AR93" t="str">
        <f>IFERROR(INDEX(STDHVAC[Reporting Methodology],MATCH(EXPORT!C93,STDHVAC[Measure Number],0)),"")</f>
        <v/>
      </c>
      <c r="AS93" t="str">
        <f>IFERROR(INDEX(STDHVAC[Primary Key],MATCH(C93,STDHVAC[Measure Number],0)),"")</f>
        <v/>
      </c>
      <c r="AT93" s="14" t="str" cm="1">
        <f t="array" ref="AT93">_xlfn.LET(_xlpm.ROWS, 2*(ROWS(AT$67:AT93)-1)+1,IFERROR(INDEX('M03-S05'!$AR$18:$AR$199, _xlpm.ROWS)-INDEX('M03-S05'!$BT$18:$BT$199, _xlpm.ROWS),""))</f>
        <v/>
      </c>
      <c r="BL93"/>
      <c r="BP93"/>
      <c r="BQ93"/>
      <c r="BR93"/>
      <c r="CD93"/>
      <c r="CE93"/>
      <c r="CF93"/>
      <c r="CQ93"/>
      <c r="CR93"/>
      <c r="CS93"/>
      <c r="DS93"/>
      <c r="DT93"/>
      <c r="DU93"/>
    </row>
    <row r="94" spans="1:125" hidden="1">
      <c r="A94" s="15">
        <f t="shared" si="6"/>
        <v>0</v>
      </c>
      <c r="B94" t="str">
        <f t="shared" si="7"/>
        <v/>
      </c>
      <c r="C94" t="str">
        <f>IFERROR(IF(R94&gt;0,INDEX('M03-S05'!$BH$18:$BH$199,2*(ROWS($C$67:C94)-1)+1),""),"")</f>
        <v/>
      </c>
      <c r="D94" t="s">
        <v>1320</v>
      </c>
      <c r="E94" t="str">
        <f>IFERROR(INDEX('M03-S05'!$BD$18:$BD$199,2*(ROWS($E$67:E94)-1)+1),"")</f>
        <v/>
      </c>
      <c r="F94" s="210"/>
      <c r="G94" s="210"/>
      <c r="H94" s="14">
        <f>IFERROR(ROUND(INDEX('M03-S05'!$AE$18:$AE$199,2*(ROWS(H$67:H94)-1)+1),2),"")</f>
        <v>0</v>
      </c>
      <c r="I94" s="14">
        <f>IFERROR(ROUND(INDEX('M03-S05'!$AG$18:$AG$199,2*(ROWS(I$67:I94)-1)+1),2),"")</f>
        <v>0</v>
      </c>
      <c r="J94" s="14" t="str">
        <f>IFERROR(ROUND(INDEX('M03-S05'!$AX$18:$AX$199,2*(ROWS(J$67:J94)-1)+1),2),"")</f>
        <v/>
      </c>
      <c r="K94" t="s">
        <v>84</v>
      </c>
      <c r="L94" s="10">
        <f>IFERROR(ROUND(INDEX('M03-S05'!$V$18:$V$199,2*(ROWS(L$67:L94)-1)+1),3),"")</f>
        <v>0</v>
      </c>
      <c r="M94" s="10">
        <f>IFERROR(ROUND(INDEX('M03-S05'!$V$18:$V$199,2*(ROWS(M$67:M94)-1)+1),3),"")</f>
        <v>0</v>
      </c>
      <c r="N94" s="37" t="str">
        <f>IFERROR(INDEX('M03-S05'!$AZ$18:$AZ$199,2*(ROWS(N$67:N94)-1)+1),"")</f>
        <v/>
      </c>
      <c r="O94" s="37" t="str">
        <f>IFERROR(INDEX('M03-S05'!$BE$18:$BE$199,2*(ROWS(O$67:O94)-1)+1),"")</f>
        <v/>
      </c>
      <c r="P94" s="37" t="str">
        <f>IFERROR(INDEX('M03-S05'!$BA$18:$BA$199,2*(ROWS(P$67:P94)-1)+1),"")</f>
        <v/>
      </c>
      <c r="Q94" s="37" t="str">
        <f>IFERROR(INDEX('M03-S05'!$BF$18:$BF$199,2*(ROWS(Q$67:Q94)-1)+1),"")</f>
        <v/>
      </c>
      <c r="R94" s="14" t="str">
        <f>IFERROR(INDEX('M03-S05'!$AR$18:$AR$199,2*(ROWS(R$67:R94)-1)+1),"")</f>
        <v/>
      </c>
      <c r="S94" s="207"/>
      <c r="T94" s="207"/>
      <c r="U94" s="207"/>
      <c r="V94" s="194"/>
      <c r="W94" s="218"/>
      <c r="X94" s="218"/>
      <c r="Y94" s="210"/>
      <c r="Z94" s="210"/>
      <c r="AA94" s="219"/>
      <c r="AB94" s="219"/>
      <c r="AC94" s="194"/>
      <c r="AD94" s="37">
        <f>IFERROR(INDEX('M03-S05'!$BB$18:$BB$199,2*(ROWS(AD$67:AD94)-1)+1),"")</f>
        <v>0</v>
      </c>
      <c r="AE94" s="37">
        <f>IFERROR(INDEX('M03-S05'!$BC$18:$BC$199,2*(ROWS(AE$67:AE94)-1)+1),"")</f>
        <v>0</v>
      </c>
      <c r="AF94" s="210"/>
      <c r="AG94" s="210"/>
      <c r="AH94" s="210"/>
      <c r="AI94">
        <f>IFERROR(INDEX('M03-S05'!$B$18:$B$199,2*(ROWS(AI$67:AI94)-1)+1),"")</f>
        <v>28</v>
      </c>
      <c r="AJ94" s="194"/>
      <c r="AK94">
        <f>IFERROR(INDEX('M03-S05'!$C$18:$C$199,2*(ROWS(AK$67:AK94)-1)+1),"")</f>
        <v>0</v>
      </c>
      <c r="AL94" t="str" cm="1">
        <f t="array" aca="1" ref="AL94" ca="1">_xlfn.LET( _xlpm.Rows, 2*(ROWS(AM$67:AM94)-1)+1,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MATCH(AS94,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4" t="str" cm="1">
        <f t="array" aca="1" ref="AM94" ca="1">_xlfn.LET( _xlpm.Rows, 2*(ROWS(AM$67:AM94)-1)+1,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MATCH(AS94,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4" s="207"/>
      <c r="AO94" s="207"/>
      <c r="AP94" t="str">
        <f>IFERROR(INDEX('M03-S05'!$AY$18:$AY$199,2*(ROWS(AP$67:AP94)-1)+1),"")</f>
        <v/>
      </c>
      <c r="AQ94" s="194"/>
      <c r="AR94" t="str">
        <f>IFERROR(INDEX(STDHVAC[Reporting Methodology],MATCH(EXPORT!C94,STDHVAC[Measure Number],0)),"")</f>
        <v/>
      </c>
      <c r="AS94" t="str">
        <f>IFERROR(INDEX(STDHVAC[Primary Key],MATCH(C94,STDHVAC[Measure Number],0)),"")</f>
        <v/>
      </c>
      <c r="AT94" s="14" t="str" cm="1">
        <f t="array" ref="AT94">_xlfn.LET(_xlpm.ROWS, 2*(ROWS(AT$67:AT94)-1)+1,IFERROR(INDEX('M03-S05'!$AR$18:$AR$199, _xlpm.ROWS)-INDEX('M03-S05'!$BT$18:$BT$199, _xlpm.ROWS),""))</f>
        <v/>
      </c>
      <c r="BL94"/>
      <c r="BP94"/>
      <c r="BQ94"/>
      <c r="BR94"/>
      <c r="CD94"/>
      <c r="CE94"/>
      <c r="CF94"/>
      <c r="CQ94"/>
      <c r="CR94"/>
      <c r="CS94"/>
      <c r="DS94"/>
      <c r="DT94"/>
      <c r="DU94"/>
    </row>
    <row r="95" spans="1:125" hidden="1">
      <c r="A95" s="15">
        <f t="shared" si="6"/>
        <v>0</v>
      </c>
      <c r="B95" t="str">
        <f t="shared" si="7"/>
        <v/>
      </c>
      <c r="C95" t="str">
        <f>IFERROR(IF(R95&gt;0,INDEX('M03-S05'!$BH$18:$BH$199,2*(ROWS($C$67:C95)-1)+1),""),"")</f>
        <v/>
      </c>
      <c r="D95" t="s">
        <v>1320</v>
      </c>
      <c r="E95" t="str">
        <f>IFERROR(INDEX('M03-S05'!$BD$18:$BD$199,2*(ROWS($E$67:E95)-1)+1),"")</f>
        <v/>
      </c>
      <c r="F95" s="210"/>
      <c r="G95" s="210"/>
      <c r="H95" s="14">
        <f>IFERROR(ROUND(INDEX('M03-S05'!$AE$18:$AE$199,2*(ROWS(H$67:H95)-1)+1),2),"")</f>
        <v>0</v>
      </c>
      <c r="I95" s="14">
        <f>IFERROR(ROUND(INDEX('M03-S05'!$AG$18:$AG$199,2*(ROWS(I$67:I95)-1)+1),2),"")</f>
        <v>0</v>
      </c>
      <c r="J95" s="14" t="str">
        <f>IFERROR(ROUND(INDEX('M03-S05'!$AX$18:$AX$199,2*(ROWS(J$67:J95)-1)+1),2),"")</f>
        <v/>
      </c>
      <c r="K95" t="s">
        <v>84</v>
      </c>
      <c r="L95" s="10">
        <f>IFERROR(ROUND(INDEX('M03-S05'!$V$18:$V$199,2*(ROWS(L$67:L95)-1)+1),3),"")</f>
        <v>0</v>
      </c>
      <c r="M95" s="10">
        <f>IFERROR(ROUND(INDEX('M03-S05'!$V$18:$V$199,2*(ROWS(M$67:M95)-1)+1),3),"")</f>
        <v>0</v>
      </c>
      <c r="N95" s="37" t="str">
        <f>IFERROR(INDEX('M03-S05'!$AZ$18:$AZ$199,2*(ROWS(N$67:N95)-1)+1),"")</f>
        <v/>
      </c>
      <c r="O95" s="37" t="str">
        <f>IFERROR(INDEX('M03-S05'!$BE$18:$BE$199,2*(ROWS(O$67:O95)-1)+1),"")</f>
        <v/>
      </c>
      <c r="P95" s="37" t="str">
        <f>IFERROR(INDEX('M03-S05'!$BA$18:$BA$199,2*(ROWS(P$67:P95)-1)+1),"")</f>
        <v/>
      </c>
      <c r="Q95" s="37" t="str">
        <f>IFERROR(INDEX('M03-S05'!$BF$18:$BF$199,2*(ROWS(Q$67:Q95)-1)+1),"")</f>
        <v/>
      </c>
      <c r="R95" s="14" t="str">
        <f>IFERROR(INDEX('M03-S05'!$AR$18:$AR$199,2*(ROWS(R$67:R95)-1)+1),"")</f>
        <v/>
      </c>
      <c r="S95" s="207"/>
      <c r="T95" s="207"/>
      <c r="U95" s="207"/>
      <c r="V95" s="194"/>
      <c r="W95" s="218"/>
      <c r="X95" s="218"/>
      <c r="Y95" s="210"/>
      <c r="Z95" s="210"/>
      <c r="AA95" s="219"/>
      <c r="AB95" s="219"/>
      <c r="AC95" s="194"/>
      <c r="AD95" s="37">
        <f>IFERROR(INDEX('M03-S05'!$BB$18:$BB$199,2*(ROWS(AD$67:AD95)-1)+1),"")</f>
        <v>0</v>
      </c>
      <c r="AE95" s="37">
        <f>IFERROR(INDEX('M03-S05'!$BC$18:$BC$199,2*(ROWS(AE$67:AE95)-1)+1),"")</f>
        <v>0</v>
      </c>
      <c r="AF95" s="210"/>
      <c r="AG95" s="210"/>
      <c r="AH95" s="210"/>
      <c r="AI95">
        <f>IFERROR(INDEX('M03-S05'!$B$18:$B$199,2*(ROWS(AI$67:AI95)-1)+1),"")</f>
        <v>29</v>
      </c>
      <c r="AJ95" s="194"/>
      <c r="AK95">
        <f>IFERROR(INDEX('M03-S05'!$C$18:$C$199,2*(ROWS(AK$67:AK95)-1)+1),"")</f>
        <v>0</v>
      </c>
      <c r="AL95" t="str" cm="1">
        <f t="array" aca="1" ref="AL95" ca="1">_xlfn.LET( _xlpm.Rows, 2*(ROWS(AM$67:AM95)-1)+1,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MATCH(AS95,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5" t="str" cm="1">
        <f t="array" aca="1" ref="AM95" ca="1">_xlfn.LET( _xlpm.Rows, 2*(ROWS(AM$67:AM95)-1)+1,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MATCH(AS95,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5" s="207"/>
      <c r="AO95" s="207"/>
      <c r="AP95" t="str">
        <f>IFERROR(INDEX('M03-S05'!$AY$18:$AY$199,2*(ROWS(AP$67:AP95)-1)+1),"")</f>
        <v/>
      </c>
      <c r="AQ95" s="194"/>
      <c r="AR95" t="str">
        <f>IFERROR(INDEX(STDHVAC[Reporting Methodology],MATCH(EXPORT!C95,STDHVAC[Measure Number],0)),"")</f>
        <v/>
      </c>
      <c r="AS95" t="str">
        <f>IFERROR(INDEX(STDHVAC[Primary Key],MATCH(C95,STDHVAC[Measure Number],0)),"")</f>
        <v/>
      </c>
      <c r="AT95" s="14" t="str" cm="1">
        <f t="array" ref="AT95">_xlfn.LET(_xlpm.ROWS, 2*(ROWS(AT$67:AT95)-1)+1,IFERROR(INDEX('M03-S05'!$AR$18:$AR$199, _xlpm.ROWS)-INDEX('M03-S05'!$BT$18:$BT$199, _xlpm.ROWS),""))</f>
        <v/>
      </c>
      <c r="BL95"/>
      <c r="BP95"/>
      <c r="BQ95"/>
      <c r="BR95"/>
      <c r="CD95"/>
      <c r="CE95"/>
      <c r="CF95"/>
      <c r="CQ95"/>
      <c r="CR95"/>
      <c r="CS95"/>
      <c r="DS95"/>
      <c r="DT95"/>
      <c r="DU95"/>
    </row>
    <row r="96" spans="1:125" hidden="1">
      <c r="A96" s="15">
        <f t="shared" si="6"/>
        <v>0</v>
      </c>
      <c r="B96" t="str">
        <f t="shared" si="7"/>
        <v/>
      </c>
      <c r="C96" t="str">
        <f>IFERROR(IF(R96&gt;0,INDEX('M03-S05'!$BH$18:$BH$199,2*(ROWS($C$67:C96)-1)+1),""),"")</f>
        <v/>
      </c>
      <c r="D96" t="s">
        <v>1320</v>
      </c>
      <c r="E96" t="str">
        <f>IFERROR(INDEX('M03-S05'!$BD$18:$BD$199,2*(ROWS($E$67:E96)-1)+1),"")</f>
        <v/>
      </c>
      <c r="F96" s="210"/>
      <c r="G96" s="210"/>
      <c r="H96" s="14">
        <f>IFERROR(ROUND(INDEX('M03-S05'!$AE$18:$AE$199,2*(ROWS(H$67:H96)-1)+1),2),"")</f>
        <v>0</v>
      </c>
      <c r="I96" s="14">
        <f>IFERROR(ROUND(INDEX('M03-S05'!$AG$18:$AG$199,2*(ROWS(I$67:I96)-1)+1),2),"")</f>
        <v>0</v>
      </c>
      <c r="J96" s="14" t="str">
        <f>IFERROR(ROUND(INDEX('M03-S05'!$AX$18:$AX$199,2*(ROWS(J$67:J96)-1)+1),2),"")</f>
        <v/>
      </c>
      <c r="K96" t="s">
        <v>84</v>
      </c>
      <c r="L96" s="10">
        <f>IFERROR(ROUND(INDEX('M03-S05'!$V$18:$V$199,2*(ROWS(L$67:L96)-1)+1),3),"")</f>
        <v>0</v>
      </c>
      <c r="M96" s="10">
        <f>IFERROR(ROUND(INDEX('M03-S05'!$V$18:$V$199,2*(ROWS(M$67:M96)-1)+1),3),"")</f>
        <v>0</v>
      </c>
      <c r="N96" s="37" t="str">
        <f>IFERROR(INDEX('M03-S05'!$AZ$18:$AZ$199,2*(ROWS(N$67:N96)-1)+1),"")</f>
        <v/>
      </c>
      <c r="O96" s="37" t="str">
        <f>IFERROR(INDEX('M03-S05'!$BE$18:$BE$199,2*(ROWS(O$67:O96)-1)+1),"")</f>
        <v/>
      </c>
      <c r="P96" s="37" t="str">
        <f>IFERROR(INDEX('M03-S05'!$BA$18:$BA$199,2*(ROWS(P$67:P96)-1)+1),"")</f>
        <v/>
      </c>
      <c r="Q96" s="37" t="str">
        <f>IFERROR(INDEX('M03-S05'!$BF$18:$BF$199,2*(ROWS(Q$67:Q96)-1)+1),"")</f>
        <v/>
      </c>
      <c r="R96" s="14" t="str">
        <f>IFERROR(INDEX('M03-S05'!$AR$18:$AR$199,2*(ROWS(R$67:R96)-1)+1),"")</f>
        <v/>
      </c>
      <c r="S96" s="207"/>
      <c r="T96" s="207"/>
      <c r="U96" s="207"/>
      <c r="V96" s="194"/>
      <c r="W96" s="218"/>
      <c r="X96" s="218"/>
      <c r="Y96" s="210"/>
      <c r="Z96" s="210"/>
      <c r="AA96" s="219"/>
      <c r="AB96" s="219"/>
      <c r="AC96" s="194"/>
      <c r="AD96" s="37">
        <f>IFERROR(INDEX('M03-S05'!$BB$18:$BB$199,2*(ROWS(AD$67:AD96)-1)+1),"")</f>
        <v>0</v>
      </c>
      <c r="AE96" s="37">
        <f>IFERROR(INDEX('M03-S05'!$BC$18:$BC$199,2*(ROWS(AE$67:AE96)-1)+1),"")</f>
        <v>0</v>
      </c>
      <c r="AF96" s="210"/>
      <c r="AG96" s="210"/>
      <c r="AH96" s="210"/>
      <c r="AI96">
        <f>IFERROR(INDEX('M03-S05'!$B$18:$B$199,2*(ROWS(AI$67:AI96)-1)+1),"")</f>
        <v>30</v>
      </c>
      <c r="AJ96" s="194"/>
      <c r="AK96">
        <f>IFERROR(INDEX('M03-S05'!$C$18:$C$199,2*(ROWS(AK$67:AK96)-1)+1),"")</f>
        <v>0</v>
      </c>
      <c r="AL96" t="str" cm="1">
        <f t="array" aca="1" ref="AL96" ca="1">_xlfn.LET( _xlpm.Rows, 2*(ROWS(AM$67:AM96)-1)+1,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MATCH(AS96,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6" t="str" cm="1">
        <f t="array" aca="1" ref="AM96" ca="1">_xlfn.LET( _xlpm.Rows, 2*(ROWS(AM$67:AM96)-1)+1,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MATCH(AS96,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6" s="207"/>
      <c r="AO96" s="207"/>
      <c r="AP96" t="str">
        <f>IFERROR(INDEX('M03-S05'!$AY$18:$AY$199,2*(ROWS(AP$67:AP96)-1)+1),"")</f>
        <v/>
      </c>
      <c r="AQ96" s="194"/>
      <c r="AR96" t="str">
        <f>IFERROR(INDEX(STDHVAC[Reporting Methodology],MATCH(EXPORT!C96,STDHVAC[Measure Number],0)),"")</f>
        <v/>
      </c>
      <c r="AS96" t="str">
        <f>IFERROR(INDEX(STDHVAC[Primary Key],MATCH(C96,STDHVAC[Measure Number],0)),"")</f>
        <v/>
      </c>
      <c r="AT96" s="14" t="str" cm="1">
        <f t="array" ref="AT96">_xlfn.LET(_xlpm.ROWS, 2*(ROWS(AT$67:AT96)-1)+1,IFERROR(INDEX('M03-S05'!$AR$18:$AR$199, _xlpm.ROWS)-INDEX('M03-S05'!$BT$18:$BT$199, _xlpm.ROWS),""))</f>
        <v/>
      </c>
      <c r="BL96"/>
      <c r="BP96"/>
      <c r="BQ96"/>
      <c r="BR96"/>
      <c r="CD96"/>
      <c r="CE96"/>
      <c r="CF96"/>
      <c r="CQ96"/>
      <c r="CR96"/>
      <c r="CS96"/>
      <c r="DS96"/>
      <c r="DT96"/>
      <c r="DU96"/>
    </row>
    <row r="97" spans="1:125" hidden="1">
      <c r="A97" s="15">
        <f t="shared" si="6"/>
        <v>0</v>
      </c>
      <c r="B97" t="str">
        <f t="shared" si="7"/>
        <v/>
      </c>
      <c r="C97" t="str">
        <f>IFERROR(IF(R97&gt;0,INDEX('M03-S05'!$BH$18:$BH$199,2*(ROWS($C$67:C97)-1)+1),""),"")</f>
        <v/>
      </c>
      <c r="D97" t="s">
        <v>1320</v>
      </c>
      <c r="E97" t="str">
        <f>IFERROR(INDEX('M03-S05'!$BD$18:$BD$199,2*(ROWS($E$67:E97)-1)+1),"")</f>
        <v/>
      </c>
      <c r="F97" s="210"/>
      <c r="G97" s="210"/>
      <c r="H97" s="14">
        <f>IFERROR(ROUND(INDEX('M03-S05'!$AE$18:$AE$199,2*(ROWS(H$67:H97)-1)+1),2),"")</f>
        <v>0</v>
      </c>
      <c r="I97" s="14">
        <f>IFERROR(ROUND(INDEX('M03-S05'!$AG$18:$AG$199,2*(ROWS(I$67:I97)-1)+1),2),"")</f>
        <v>0</v>
      </c>
      <c r="J97" s="14" t="str">
        <f>IFERROR(ROUND(INDEX('M03-S05'!$AX$18:$AX$199,2*(ROWS(J$67:J97)-1)+1),2),"")</f>
        <v/>
      </c>
      <c r="K97" t="s">
        <v>84</v>
      </c>
      <c r="L97" s="10">
        <f>IFERROR(ROUND(INDEX('M03-S05'!$V$18:$V$199,2*(ROWS(L$67:L97)-1)+1),3),"")</f>
        <v>0</v>
      </c>
      <c r="M97" s="10">
        <f>IFERROR(ROUND(INDEX('M03-S05'!$V$18:$V$199,2*(ROWS(M$67:M97)-1)+1),3),"")</f>
        <v>0</v>
      </c>
      <c r="N97" s="37" t="str">
        <f>IFERROR(INDEX('M03-S05'!$AZ$18:$AZ$199,2*(ROWS(N$67:N97)-1)+1),"")</f>
        <v/>
      </c>
      <c r="O97" s="37" t="str">
        <f>IFERROR(INDEX('M03-S05'!$BE$18:$BE$199,2*(ROWS(O$67:O97)-1)+1),"")</f>
        <v/>
      </c>
      <c r="P97" s="37" t="str">
        <f>IFERROR(INDEX('M03-S05'!$BA$18:$BA$199,2*(ROWS(P$67:P97)-1)+1),"")</f>
        <v/>
      </c>
      <c r="Q97" s="37" t="str">
        <f>IFERROR(INDEX('M03-S05'!$BF$18:$BF$199,2*(ROWS(Q$67:Q97)-1)+1),"")</f>
        <v/>
      </c>
      <c r="R97" s="14" t="str">
        <f>IFERROR(INDEX('M03-S05'!$AR$18:$AR$199,2*(ROWS(R$67:R97)-1)+1),"")</f>
        <v/>
      </c>
      <c r="S97" s="207"/>
      <c r="T97" s="207"/>
      <c r="U97" s="207"/>
      <c r="V97" s="194"/>
      <c r="W97" s="218"/>
      <c r="X97" s="218"/>
      <c r="Y97" s="210"/>
      <c r="Z97" s="210"/>
      <c r="AA97" s="219"/>
      <c r="AB97" s="219"/>
      <c r="AC97" s="194"/>
      <c r="AD97" s="37">
        <f>IFERROR(INDEX('M03-S05'!$BB$18:$BB$199,2*(ROWS(AD$67:AD97)-1)+1),"")</f>
        <v>0</v>
      </c>
      <c r="AE97" s="37">
        <f>IFERROR(INDEX('M03-S05'!$BC$18:$BC$199,2*(ROWS(AE$67:AE97)-1)+1),"")</f>
        <v>0</v>
      </c>
      <c r="AF97" s="210"/>
      <c r="AG97" s="210"/>
      <c r="AH97" s="210"/>
      <c r="AI97">
        <f>IFERROR(INDEX('M03-S05'!$B$18:$B$199,2*(ROWS(AI$67:AI97)-1)+1),"")</f>
        <v>31</v>
      </c>
      <c r="AJ97" s="194"/>
      <c r="AK97">
        <f>IFERROR(INDEX('M03-S05'!$C$18:$C$199,2*(ROWS(AK$67:AK97)-1)+1),"")</f>
        <v>0</v>
      </c>
      <c r="AL97" t="str" cm="1">
        <f t="array" aca="1" ref="AL97" ca="1">_xlfn.LET( _xlpm.Rows, 2*(ROWS(AM$67:AM97)-1)+1,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7" t="str" cm="1">
        <f t="array" aca="1" ref="AM97" ca="1">_xlfn.LET( _xlpm.Rows, 2*(ROWS(AM$67:AM97)-1)+1,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7" s="207"/>
      <c r="AO97" s="207"/>
      <c r="AP97" t="str">
        <f>IFERROR(INDEX('M03-S05'!$AY$18:$AY$199,2*(ROWS(AP$67:AP97)-1)+1),"")</f>
        <v/>
      </c>
      <c r="AQ97" s="194"/>
      <c r="AR97" t="str">
        <f>IFERROR(INDEX(STDHVAC[Reporting Methodology],MATCH(EXPORT!C97,STDHVAC[Measure Number],0)),"")</f>
        <v/>
      </c>
      <c r="AS97" t="str">
        <f>IFERROR(INDEX(STDHVAC[Primary Key],MATCH(C97,STDHVAC[Measure Number],0)),"")</f>
        <v/>
      </c>
      <c r="AT97" s="14" t="str" cm="1">
        <f t="array" ref="AT97">_xlfn.LET(_xlpm.ROWS, 2*(ROWS(AT$67:AT97)-1)+1,IFERROR(INDEX('M03-S05'!$AR$18:$AR$199, _xlpm.ROWS)-INDEX('M03-S05'!$BT$18:$BT$199, _xlpm.ROWS),""))</f>
        <v/>
      </c>
      <c r="BL97"/>
      <c r="BP97"/>
      <c r="BQ97"/>
      <c r="BR97"/>
      <c r="CD97"/>
      <c r="CE97"/>
      <c r="CF97"/>
      <c r="CQ97"/>
      <c r="CR97"/>
      <c r="CS97"/>
      <c r="DS97"/>
      <c r="DT97"/>
      <c r="DU97"/>
    </row>
    <row r="98" spans="1:125" hidden="1">
      <c r="A98" s="15">
        <f t="shared" si="6"/>
        <v>0</v>
      </c>
      <c r="B98" t="str">
        <f t="shared" si="7"/>
        <v/>
      </c>
      <c r="C98" t="str">
        <f>IFERROR(IF(R98&gt;0,INDEX('M03-S05'!$BH$18:$BH$199,2*(ROWS($C$67:C98)-1)+1),""),"")</f>
        <v/>
      </c>
      <c r="D98" t="s">
        <v>1320</v>
      </c>
      <c r="E98" t="str">
        <f>IFERROR(INDEX('M03-S05'!$BD$18:$BD$199,2*(ROWS($E$67:E98)-1)+1),"")</f>
        <v/>
      </c>
      <c r="F98" s="210"/>
      <c r="G98" s="210"/>
      <c r="H98" s="14">
        <f>IFERROR(ROUND(INDEX('M03-S05'!$AE$18:$AE$199,2*(ROWS(H$67:H98)-1)+1),2),"")</f>
        <v>0</v>
      </c>
      <c r="I98" s="14">
        <f>IFERROR(ROUND(INDEX('M03-S05'!$AG$18:$AG$199,2*(ROWS(I$67:I98)-1)+1),2),"")</f>
        <v>0</v>
      </c>
      <c r="J98" s="14" t="str">
        <f>IFERROR(ROUND(INDEX('M03-S05'!$AX$18:$AX$199,2*(ROWS(J$67:J98)-1)+1),2),"")</f>
        <v/>
      </c>
      <c r="K98" t="s">
        <v>84</v>
      </c>
      <c r="L98" s="10">
        <f>IFERROR(ROUND(INDEX('M03-S05'!$V$18:$V$199,2*(ROWS(L$67:L98)-1)+1),3),"")</f>
        <v>0</v>
      </c>
      <c r="M98" s="10">
        <f>IFERROR(ROUND(INDEX('M03-S05'!$V$18:$V$199,2*(ROWS(M$67:M98)-1)+1),3),"")</f>
        <v>0</v>
      </c>
      <c r="N98" s="37" t="str">
        <f>IFERROR(INDEX('M03-S05'!$AZ$18:$AZ$199,2*(ROWS(N$67:N98)-1)+1),"")</f>
        <v/>
      </c>
      <c r="O98" s="37" t="str">
        <f>IFERROR(INDEX('M03-S05'!$BE$18:$BE$199,2*(ROWS(O$67:O98)-1)+1),"")</f>
        <v/>
      </c>
      <c r="P98" s="37" t="str">
        <f>IFERROR(INDEX('M03-S05'!$BA$18:$BA$199,2*(ROWS(P$67:P98)-1)+1),"")</f>
        <v/>
      </c>
      <c r="Q98" s="37" t="str">
        <f>IFERROR(INDEX('M03-S05'!$BF$18:$BF$199,2*(ROWS(Q$67:Q98)-1)+1),"")</f>
        <v/>
      </c>
      <c r="R98" s="14" t="str">
        <f>IFERROR(INDEX('M03-S05'!$AR$18:$AR$199,2*(ROWS(R$67:R98)-1)+1),"")</f>
        <v/>
      </c>
      <c r="S98" s="207"/>
      <c r="T98" s="207"/>
      <c r="U98" s="207"/>
      <c r="V98" s="194"/>
      <c r="W98" s="218"/>
      <c r="X98" s="218"/>
      <c r="Y98" s="210"/>
      <c r="Z98" s="210"/>
      <c r="AA98" s="219"/>
      <c r="AB98" s="219"/>
      <c r="AC98" s="194"/>
      <c r="AD98" s="37">
        <f>IFERROR(INDEX('M03-S05'!$BB$18:$BB$199,2*(ROWS(AD$67:AD98)-1)+1),"")</f>
        <v>0</v>
      </c>
      <c r="AE98" s="37">
        <f>IFERROR(INDEX('M03-S05'!$BC$18:$BC$199,2*(ROWS(AE$67:AE98)-1)+1),"")</f>
        <v>0</v>
      </c>
      <c r="AF98" s="210"/>
      <c r="AG98" s="210"/>
      <c r="AH98" s="210"/>
      <c r="AI98">
        <f>IFERROR(INDEX('M03-S05'!$B$18:$B$199,2*(ROWS(AI$67:AI98)-1)+1),"")</f>
        <v>32</v>
      </c>
      <c r="AJ98" s="194"/>
      <c r="AK98">
        <f>IFERROR(INDEX('M03-S05'!$C$18:$C$199,2*(ROWS(AK$67:AK98)-1)+1),"")</f>
        <v>0</v>
      </c>
      <c r="AL98" t="str" cm="1">
        <f t="array" aca="1" ref="AL98" ca="1">_xlfn.LET( _xlpm.Rows, 2*(ROWS(AM$67:AM98)-1)+1,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8" t="str" cm="1">
        <f t="array" aca="1" ref="AM98" ca="1">_xlfn.LET( _xlpm.Rows, 2*(ROWS(AM$67:AM98)-1)+1,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8" s="207"/>
      <c r="AO98" s="207"/>
      <c r="AP98" t="str">
        <f>IFERROR(INDEX('M03-S05'!$AY$18:$AY$199,2*(ROWS(AP$67:AP98)-1)+1),"")</f>
        <v/>
      </c>
      <c r="AQ98" s="194"/>
      <c r="AR98" t="str">
        <f>IFERROR(INDEX(STDHVAC[Reporting Methodology],MATCH(EXPORT!C98,STDHVAC[Measure Number],0)),"")</f>
        <v/>
      </c>
      <c r="AS98" t="str">
        <f>IFERROR(INDEX(STDHVAC[Primary Key],MATCH(C98,STDHVAC[Measure Number],0)),"")</f>
        <v/>
      </c>
      <c r="AT98" s="14" t="str" cm="1">
        <f t="array" ref="AT98">_xlfn.LET(_xlpm.ROWS, 2*(ROWS(AT$67:AT98)-1)+1,IFERROR(INDEX('M03-S05'!$AR$18:$AR$199, _xlpm.ROWS)-INDEX('M03-S05'!$BT$18:$BT$199, _xlpm.ROWS),""))</f>
        <v/>
      </c>
      <c r="BL98"/>
      <c r="BP98"/>
      <c r="BQ98"/>
      <c r="BR98"/>
      <c r="CD98"/>
      <c r="CE98"/>
      <c r="CF98"/>
      <c r="CQ98"/>
      <c r="CR98"/>
      <c r="CS98"/>
      <c r="DS98"/>
      <c r="DT98"/>
      <c r="DU98"/>
    </row>
    <row r="99" spans="1:125" hidden="1">
      <c r="A99" s="15">
        <f t="shared" si="6"/>
        <v>0</v>
      </c>
      <c r="B99" t="str">
        <f t="shared" si="7"/>
        <v/>
      </c>
      <c r="C99" t="str">
        <f>IFERROR(IF(R99&gt;0,INDEX('M03-S05'!$BH$18:$BH$199,2*(ROWS($C$67:C99)-1)+1),""),"")</f>
        <v/>
      </c>
      <c r="D99" t="s">
        <v>1320</v>
      </c>
      <c r="E99" t="str">
        <f>IFERROR(INDEX('M03-S05'!$BD$18:$BD$199,2*(ROWS($E$67:E99)-1)+1),"")</f>
        <v/>
      </c>
      <c r="F99" s="210"/>
      <c r="G99" s="210"/>
      <c r="H99" s="14">
        <f>IFERROR(ROUND(INDEX('M03-S05'!$AE$18:$AE$199,2*(ROWS(H$67:H99)-1)+1),2),"")</f>
        <v>0</v>
      </c>
      <c r="I99" s="14">
        <f>IFERROR(ROUND(INDEX('M03-S05'!$AG$18:$AG$199,2*(ROWS(I$67:I99)-1)+1),2),"")</f>
        <v>0</v>
      </c>
      <c r="J99" s="14" t="str">
        <f>IFERROR(ROUND(INDEX('M03-S05'!$AX$18:$AX$199,2*(ROWS(J$67:J99)-1)+1),2),"")</f>
        <v/>
      </c>
      <c r="K99" t="s">
        <v>84</v>
      </c>
      <c r="L99" s="10">
        <f>IFERROR(ROUND(INDEX('M03-S05'!$V$18:$V$199,2*(ROWS(L$67:L99)-1)+1),3),"")</f>
        <v>0</v>
      </c>
      <c r="M99" s="10">
        <f>IFERROR(ROUND(INDEX('M03-S05'!$V$18:$V$199,2*(ROWS(M$67:M99)-1)+1),3),"")</f>
        <v>0</v>
      </c>
      <c r="N99" s="37" t="str">
        <f>IFERROR(INDEX('M03-S05'!$AZ$18:$AZ$199,2*(ROWS(N$67:N99)-1)+1),"")</f>
        <v/>
      </c>
      <c r="O99" s="37" t="str">
        <f>IFERROR(INDEX('M03-S05'!$BE$18:$BE$199,2*(ROWS(O$67:O99)-1)+1),"")</f>
        <v/>
      </c>
      <c r="P99" s="37" t="str">
        <f>IFERROR(INDEX('M03-S05'!$BA$18:$BA$199,2*(ROWS(P$67:P99)-1)+1),"")</f>
        <v/>
      </c>
      <c r="Q99" s="37" t="str">
        <f>IFERROR(INDEX('M03-S05'!$BF$18:$BF$199,2*(ROWS(Q$67:Q99)-1)+1),"")</f>
        <v/>
      </c>
      <c r="R99" s="14" t="str">
        <f>IFERROR(INDEX('M03-S05'!$AR$18:$AR$199,2*(ROWS(R$67:R99)-1)+1),"")</f>
        <v/>
      </c>
      <c r="S99" s="207"/>
      <c r="T99" s="207"/>
      <c r="U99" s="207"/>
      <c r="V99" s="194"/>
      <c r="W99" s="218"/>
      <c r="X99" s="218"/>
      <c r="Y99" s="210"/>
      <c r="Z99" s="210"/>
      <c r="AA99" s="219"/>
      <c r="AB99" s="219"/>
      <c r="AC99" s="194"/>
      <c r="AD99" s="37">
        <f>IFERROR(INDEX('M03-S05'!$BB$18:$BB$199,2*(ROWS(AD$67:AD99)-1)+1),"")</f>
        <v>0</v>
      </c>
      <c r="AE99" s="37">
        <f>IFERROR(INDEX('M03-S05'!$BC$18:$BC$199,2*(ROWS(AE$67:AE99)-1)+1),"")</f>
        <v>0</v>
      </c>
      <c r="AF99" s="210"/>
      <c r="AG99" s="210"/>
      <c r="AH99" s="210"/>
      <c r="AI99">
        <f>IFERROR(INDEX('M03-S05'!$B$18:$B$199,2*(ROWS(AI$67:AI99)-1)+1),"")</f>
        <v>33</v>
      </c>
      <c r="AJ99" s="194"/>
      <c r="AK99">
        <f>IFERROR(INDEX('M03-S05'!$C$18:$C$199,2*(ROWS(AK$67:AK99)-1)+1),"")</f>
        <v>0</v>
      </c>
      <c r="AL99" t="str" cm="1">
        <f t="array" aca="1" ref="AL99" ca="1">_xlfn.LET( _xlpm.Rows, 2*(ROWS(AM$67:AM99)-1)+1,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9" t="str" cm="1">
        <f t="array" aca="1" ref="AM99" ca="1">_xlfn.LET( _xlpm.Rows, 2*(ROWS(AM$67:AM99)-1)+1,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9" s="207"/>
      <c r="AO99" s="207"/>
      <c r="AP99" t="str">
        <f>IFERROR(INDEX('M03-S05'!$AY$18:$AY$199,2*(ROWS(AP$67:AP99)-1)+1),"")</f>
        <v/>
      </c>
      <c r="AQ99" s="194"/>
      <c r="AR99" t="str">
        <f>IFERROR(INDEX(STDHVAC[Reporting Methodology],MATCH(EXPORT!C99,STDHVAC[Measure Number],0)),"")</f>
        <v/>
      </c>
      <c r="AS99" t="str">
        <f>IFERROR(INDEX(STDHVAC[Primary Key],MATCH(C99,STDHVAC[Measure Number],0)),"")</f>
        <v/>
      </c>
      <c r="AT99" s="14" t="str" cm="1">
        <f t="array" ref="AT99">_xlfn.LET(_xlpm.ROWS, 2*(ROWS(AT$67:AT99)-1)+1,IFERROR(INDEX('M03-S05'!$AR$18:$AR$199, _xlpm.ROWS)-INDEX('M03-S05'!$BT$18:$BT$199, _xlpm.ROWS),""))</f>
        <v/>
      </c>
      <c r="BL99"/>
      <c r="BP99"/>
      <c r="BQ99"/>
      <c r="BR99"/>
      <c r="CD99"/>
      <c r="CE99"/>
      <c r="CF99"/>
      <c r="CQ99"/>
      <c r="CR99"/>
      <c r="CS99"/>
      <c r="DS99"/>
      <c r="DT99"/>
      <c r="DU99"/>
    </row>
    <row r="100" spans="1:125" hidden="1">
      <c r="A100" s="15">
        <f t="shared" si="6"/>
        <v>0</v>
      </c>
      <c r="B100" t="str">
        <f t="shared" si="7"/>
        <v/>
      </c>
      <c r="C100" t="str">
        <f>IFERROR(IF(R100&gt;0,INDEX('M03-S05'!$BH$18:$BH$199,2*(ROWS($C$67:C100)-1)+1),""),"")</f>
        <v/>
      </c>
      <c r="D100" t="s">
        <v>1320</v>
      </c>
      <c r="E100" t="str">
        <f>IFERROR(INDEX('M03-S05'!$BD$18:$BD$199,2*(ROWS($E$67:E100)-1)+1),"")</f>
        <v/>
      </c>
      <c r="F100" s="210"/>
      <c r="G100" s="210"/>
      <c r="H100" s="14">
        <f>IFERROR(ROUND(INDEX('M03-S05'!$AE$18:$AE$199,2*(ROWS(H$67:H100)-1)+1),2),"")</f>
        <v>0</v>
      </c>
      <c r="I100" s="14">
        <f>IFERROR(ROUND(INDEX('M03-S05'!$AG$18:$AG$199,2*(ROWS(I$67:I100)-1)+1),2),"")</f>
        <v>0</v>
      </c>
      <c r="J100" s="14" t="str">
        <f>IFERROR(ROUND(INDEX('M03-S05'!$AX$18:$AX$199,2*(ROWS(J$67:J100)-1)+1),2),"")</f>
        <v/>
      </c>
      <c r="K100" t="s">
        <v>84</v>
      </c>
      <c r="L100" s="10">
        <f>IFERROR(ROUND(INDEX('M03-S05'!$V$18:$V$199,2*(ROWS(L$67:L100)-1)+1),3),"")</f>
        <v>0</v>
      </c>
      <c r="M100" s="10">
        <f>IFERROR(ROUND(INDEX('M03-S05'!$V$18:$V$199,2*(ROWS(M$67:M100)-1)+1),3),"")</f>
        <v>0</v>
      </c>
      <c r="N100" s="37" t="str">
        <f>IFERROR(INDEX('M03-S05'!$AZ$18:$AZ$199,2*(ROWS(N$67:N100)-1)+1),"")</f>
        <v/>
      </c>
      <c r="O100" s="37" t="str">
        <f>IFERROR(INDEX('M03-S05'!$BE$18:$BE$199,2*(ROWS(O$67:O100)-1)+1),"")</f>
        <v/>
      </c>
      <c r="P100" s="37" t="str">
        <f>IFERROR(INDEX('M03-S05'!$BA$18:$BA$199,2*(ROWS(P$67:P100)-1)+1),"")</f>
        <v/>
      </c>
      <c r="Q100" s="37" t="str">
        <f>IFERROR(INDEX('M03-S05'!$BF$18:$BF$199,2*(ROWS(Q$67:Q100)-1)+1),"")</f>
        <v/>
      </c>
      <c r="R100" s="14" t="str">
        <f>IFERROR(INDEX('M03-S05'!$AR$18:$AR$199,2*(ROWS(R$67:R100)-1)+1),"")</f>
        <v/>
      </c>
      <c r="S100" s="207"/>
      <c r="T100" s="207"/>
      <c r="U100" s="207"/>
      <c r="V100" s="194"/>
      <c r="W100" s="218"/>
      <c r="X100" s="218"/>
      <c r="Y100" s="210"/>
      <c r="Z100" s="210"/>
      <c r="AA100" s="219"/>
      <c r="AB100" s="219"/>
      <c r="AC100" s="194"/>
      <c r="AD100" s="37">
        <f>IFERROR(INDEX('M03-S05'!$BB$18:$BB$199,2*(ROWS(AD$67:AD100)-1)+1),"")</f>
        <v>0</v>
      </c>
      <c r="AE100" s="37">
        <f>IFERROR(INDEX('M03-S05'!$BC$18:$BC$199,2*(ROWS(AE$67:AE100)-1)+1),"")</f>
        <v>0</v>
      </c>
      <c r="AF100" s="210"/>
      <c r="AG100" s="210"/>
      <c r="AH100" s="210"/>
      <c r="AI100">
        <f>IFERROR(INDEX('M03-S05'!$B$18:$B$199,2*(ROWS(AI$67:AI100)-1)+1),"")</f>
        <v>34</v>
      </c>
      <c r="AJ100" s="194"/>
      <c r="AK100">
        <f>IFERROR(INDEX('M03-S05'!$C$18:$C$199,2*(ROWS(AK$67:AK100)-1)+1),"")</f>
        <v>0</v>
      </c>
      <c r="AL100" t="str" cm="1">
        <f t="array" aca="1" ref="AL100" ca="1">_xlfn.LET( _xlpm.Rows, 2*(ROWS(AM$67:AM100)-1)+1,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MATCH(AS100,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100" t="str" cm="1">
        <f t="array" aca="1" ref="AM100" ca="1">_xlfn.LET( _xlpm.Rows, 2*(ROWS(AM$67:AM100)-1)+1,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MATCH(AS100,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100" s="207"/>
      <c r="AO100" s="207"/>
      <c r="AP100" t="str">
        <f>IFERROR(INDEX('M03-S05'!$AY$18:$AY$199,2*(ROWS(AP$67:AP100)-1)+1),"")</f>
        <v/>
      </c>
      <c r="AQ100" s="194"/>
      <c r="AR100" t="str">
        <f>IFERROR(INDEX(STDHVAC[Reporting Methodology],MATCH(EXPORT!C100,STDHVAC[Measure Number],0)),"")</f>
        <v/>
      </c>
      <c r="AS100" t="str">
        <f>IFERROR(INDEX(STDHVAC[Primary Key],MATCH(C100,STDHVAC[Measure Number],0)),"")</f>
        <v/>
      </c>
      <c r="AT100" s="14" t="str" cm="1">
        <f t="array" ref="AT100">_xlfn.LET(_xlpm.ROWS, 2*(ROWS(AT$67:AT100)-1)+1,IFERROR(INDEX('M03-S05'!$AR$18:$AR$199, _xlpm.ROWS)-INDEX('M03-S05'!$BT$18:$BT$199, _xlpm.ROWS),""))</f>
        <v/>
      </c>
      <c r="BL100"/>
      <c r="BP100"/>
      <c r="BQ100"/>
      <c r="BR100"/>
      <c r="CD100"/>
      <c r="CE100"/>
      <c r="CF100"/>
      <c r="CQ100"/>
      <c r="CR100"/>
      <c r="CS100"/>
      <c r="DS100"/>
      <c r="DT100"/>
      <c r="DU100"/>
    </row>
    <row r="101" spans="1:125" hidden="1">
      <c r="A101" s="15">
        <f t="shared" si="6"/>
        <v>0</v>
      </c>
      <c r="B101" t="str">
        <f t="shared" si="7"/>
        <v/>
      </c>
      <c r="C101" t="str">
        <f>IFERROR(IF(R101&gt;0,INDEX('M03-S05'!$BH$18:$BH$199,2*(ROWS($C$67:C101)-1)+1),""),"")</f>
        <v/>
      </c>
      <c r="D101" t="s">
        <v>1320</v>
      </c>
      <c r="E101" t="str">
        <f>IFERROR(INDEX('M03-S05'!$BD$18:$BD$199,2*(ROWS($E$67:E101)-1)+1),"")</f>
        <v/>
      </c>
      <c r="F101" s="210"/>
      <c r="G101" s="210"/>
      <c r="H101" s="14">
        <f>IFERROR(ROUND(INDEX('M03-S05'!$AE$18:$AE$199,2*(ROWS(H$67:H101)-1)+1),2),"")</f>
        <v>0</v>
      </c>
      <c r="I101" s="14">
        <f>IFERROR(ROUND(INDEX('M03-S05'!$AG$18:$AG$199,2*(ROWS(I$67:I101)-1)+1),2),"")</f>
        <v>0</v>
      </c>
      <c r="J101" s="14" t="str">
        <f>IFERROR(ROUND(INDEX('M03-S05'!$AX$18:$AX$199,2*(ROWS(J$67:J101)-1)+1),2),"")</f>
        <v/>
      </c>
      <c r="K101" t="s">
        <v>84</v>
      </c>
      <c r="L101" s="10">
        <f>IFERROR(ROUND(INDEX('M03-S05'!$V$18:$V$199,2*(ROWS(L$67:L101)-1)+1),3),"")</f>
        <v>0</v>
      </c>
      <c r="M101" s="10">
        <f>IFERROR(ROUND(INDEX('M03-S05'!$V$18:$V$199,2*(ROWS(M$67:M101)-1)+1),3),"")</f>
        <v>0</v>
      </c>
      <c r="N101" s="37" t="str">
        <f>IFERROR(INDEX('M03-S05'!$AZ$18:$AZ$199,2*(ROWS(N$67:N101)-1)+1),"")</f>
        <v/>
      </c>
      <c r="O101" s="37" t="str">
        <f>IFERROR(INDEX('M03-S05'!$BE$18:$BE$199,2*(ROWS(O$67:O101)-1)+1),"")</f>
        <v/>
      </c>
      <c r="P101" s="37" t="str">
        <f>IFERROR(INDEX('M03-S05'!$BA$18:$BA$199,2*(ROWS(P$67:P101)-1)+1),"")</f>
        <v/>
      </c>
      <c r="Q101" s="37" t="str">
        <f>IFERROR(INDEX('M03-S05'!$BF$18:$BF$199,2*(ROWS(Q$67:Q101)-1)+1),"")</f>
        <v/>
      </c>
      <c r="R101" s="14" t="str">
        <f>IFERROR(INDEX('M03-S05'!$AR$18:$AR$199,2*(ROWS(R$67:R101)-1)+1),"")</f>
        <v/>
      </c>
      <c r="S101" s="207"/>
      <c r="T101" s="207"/>
      <c r="U101" s="207"/>
      <c r="V101" s="194"/>
      <c r="W101" s="218"/>
      <c r="X101" s="218"/>
      <c r="Y101" s="210"/>
      <c r="Z101" s="210"/>
      <c r="AA101" s="219"/>
      <c r="AB101" s="219"/>
      <c r="AC101" s="194"/>
      <c r="AD101" s="37">
        <f>IFERROR(INDEX('M03-S05'!$BB$18:$BB$199,2*(ROWS(AD$67:AD101)-1)+1),"")</f>
        <v>0</v>
      </c>
      <c r="AE101" s="37">
        <f>IFERROR(INDEX('M03-S05'!$BC$18:$BC$199,2*(ROWS(AE$67:AE101)-1)+1),"")</f>
        <v>0</v>
      </c>
      <c r="AF101" s="210"/>
      <c r="AG101" s="210"/>
      <c r="AH101" s="210"/>
      <c r="AI101">
        <f>IFERROR(INDEX('M03-S05'!$B$18:$B$199,2*(ROWS(AI$67:AI101)-1)+1),"")</f>
        <v>35</v>
      </c>
      <c r="AJ101" s="194"/>
      <c r="AK101">
        <f>IFERROR(INDEX('M03-S05'!$C$18:$C$199,2*(ROWS(AK$67:AK101)-1)+1),"")</f>
        <v>0</v>
      </c>
      <c r="AL101" t="str" cm="1">
        <f t="array" aca="1" ref="AL101" ca="1">_xlfn.LET( _xlpm.Rows, 2*(ROWS(AM$67:AM101)-1)+1,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MATCH(AS101,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101" t="str" cm="1">
        <f t="array" aca="1" ref="AM101" ca="1">_xlfn.LET( _xlpm.Rows, 2*(ROWS(AM$67:AM101)-1)+1,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MATCH(AS101,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101" s="207"/>
      <c r="AO101" s="207"/>
      <c r="AP101" t="str">
        <f>IFERROR(INDEX('M03-S05'!$AY$18:$AY$199,2*(ROWS(AP$67:AP101)-1)+1),"")</f>
        <v/>
      </c>
      <c r="AQ101" s="194"/>
      <c r="AR101" t="str">
        <f>IFERROR(INDEX(STDHVAC[Reporting Methodology],MATCH(EXPORT!C101,STDHVAC[Measure Number],0)),"")</f>
        <v/>
      </c>
      <c r="AS101" t="str">
        <f>IFERROR(INDEX(STDHVAC[Primary Key],MATCH(C101,STDHVAC[Measure Number],0)),"")</f>
        <v/>
      </c>
      <c r="AT101" s="14" t="str" cm="1">
        <f t="array" ref="AT101">_xlfn.LET(_xlpm.ROWS, 2*(ROWS(AT$67:AT101)-1)+1,IFERROR(INDEX('M03-S05'!$AR$18:$AR$199, _xlpm.ROWS)-INDEX('M03-S05'!$BT$18:$BT$199, _xlpm.ROWS),""))</f>
        <v/>
      </c>
      <c r="BL101"/>
      <c r="BP101"/>
      <c r="BQ101"/>
      <c r="BR101"/>
      <c r="CD101"/>
      <c r="CE101"/>
      <c r="CF101"/>
      <c r="CQ101"/>
      <c r="CR101"/>
      <c r="CS101"/>
      <c r="DS101"/>
      <c r="DT101"/>
      <c r="DU101"/>
    </row>
    <row r="102" spans="1:125" s="195" customFormat="1">
      <c r="A102" s="224" t="str">
        <f>"Standard "&amp;M3S6</f>
        <v>Standard Compressed Air / Process</v>
      </c>
      <c r="F102" s="209"/>
      <c r="H102" s="205"/>
      <c r="I102" s="205"/>
      <c r="J102" s="205"/>
      <c r="L102" s="213"/>
      <c r="M102" s="213"/>
      <c r="N102" s="216"/>
      <c r="O102" s="216"/>
      <c r="P102" s="216"/>
      <c r="Q102" s="216"/>
      <c r="R102" s="205"/>
      <c r="S102" s="205"/>
      <c r="T102" s="205"/>
      <c r="U102" s="205"/>
      <c r="W102" s="213"/>
      <c r="X102" s="213"/>
      <c r="Y102" s="209"/>
      <c r="Z102" s="209"/>
      <c r="AA102" s="216"/>
      <c r="AB102" s="216"/>
      <c r="AD102" s="216"/>
      <c r="AE102" s="216"/>
      <c r="AF102" s="209"/>
      <c r="AG102" s="209"/>
      <c r="AH102" s="209"/>
      <c r="AK102" s="196"/>
      <c r="AN102" s="205"/>
      <c r="AO102" s="205"/>
      <c r="AU102" s="197"/>
      <c r="AV102" s="197"/>
      <c r="AW102" s="197"/>
      <c r="AX102" s="197"/>
      <c r="AY102" s="197"/>
      <c r="AZ102" s="197"/>
      <c r="BA102" s="197"/>
      <c r="BB102" s="197"/>
      <c r="BC102" s="197"/>
      <c r="BD102" s="197"/>
      <c r="BE102" s="197"/>
    </row>
    <row r="103" spans="1:125" hidden="1">
      <c r="A103" s="15">
        <f t="shared" ref="A103:A117" si="8">PROJID</f>
        <v>0</v>
      </c>
      <c r="B103" t="str">
        <f>IF(C103="","",CONCATENATE(ROW(),"-",C103))</f>
        <v/>
      </c>
      <c r="C103" t="str">
        <f>IFERROR(IF(R103&gt;0,INDEX('M03-S06'!$BH$18:$BH$199,2*(ROWS($C$103:C103)-1)+1),""),"")</f>
        <v/>
      </c>
      <c r="D103" t="s">
        <v>1320</v>
      </c>
      <c r="E103" t="str">
        <f>IFERROR(INDEX('M03-S06'!$BD$18:$BD$199,2*(ROWS($E$103:E103)-1)+1),"")</f>
        <v/>
      </c>
      <c r="F103" s="210"/>
      <c r="G103">
        <f>IFERROR(INDEX('M03-S06'!$AE$18:$AE$199,2*(ROWS($G$103:G103)-1)+1),"")</f>
        <v>0</v>
      </c>
      <c r="H103" s="14">
        <f>IFERROR(ROUND(INDEX('M03-S06'!$AI$18:$AI$199,2*(ROWS(H$103:H103)-1)+1),2),"")</f>
        <v>0</v>
      </c>
      <c r="I103" s="14">
        <f>IFERROR(ROUND(INDEX('M03-S06'!$AK$18:$AK$199,2*(ROWS(I$103:I103)-1)+1),2),"")</f>
        <v>0</v>
      </c>
      <c r="J103" s="14" t="str">
        <f>IFERROR(ROUND(INDEX('M03-S06'!$AX$18:$AX$199,2*(ROWS(J$103:J103)-1)+1),2),"")</f>
        <v/>
      </c>
      <c r="K103" t="s">
        <v>84</v>
      </c>
      <c r="L103" s="10">
        <f>IFERROR(ROUND(INDEX('M03-S06'!$U$18:$U$199,2*(ROWS(L$103:L103)-1)+1),3),"")</f>
        <v>0</v>
      </c>
      <c r="M103" s="10">
        <f>IFERROR(ROUND(INDEX('M03-S06'!$U$18:$U$199,2*(ROWS(M$103:M103)-1)+1),3),"")</f>
        <v>0</v>
      </c>
      <c r="N103" s="37" t="str">
        <f>IFERROR(INDEX('M03-S06'!$AZ$18:$AZ$199,2*(ROWS(N$103:N103)-1)+1),"")</f>
        <v/>
      </c>
      <c r="O103" s="37">
        <f>IFERROR(INDEX('M03-S06'!$BE$18:$BE$199,2*(ROWS(O$103:O103)-1)+1),"")</f>
        <v>0</v>
      </c>
      <c r="P103" s="37" t="str">
        <f>IFERROR(INDEX('M03-S06'!$BA$18:$BA$199,2*(ROWS(P$103:P103)-1)+1),"")</f>
        <v/>
      </c>
      <c r="Q103" s="37">
        <f>IFERROR(INDEX('M03-S06'!$BF$18:$BF$199,2*(ROWS(Q$103:Q103)-1)+1),"")</f>
        <v>0</v>
      </c>
      <c r="R103" s="14" t="str">
        <f>IFERROR(INDEX('M03-S06'!$AR$18:$AR$199,2*(ROWS(R$103:R103)-1)+1),"")</f>
        <v/>
      </c>
      <c r="S103" s="207"/>
      <c r="T103" s="207"/>
      <c r="U103" s="207"/>
      <c r="V103" s="194"/>
      <c r="W103" s="218"/>
      <c r="X103" s="218"/>
      <c r="Y103" s="210"/>
      <c r="Z103" s="210"/>
      <c r="AA103" s="219"/>
      <c r="AB103" s="219"/>
      <c r="AC103" s="194"/>
      <c r="AD103" s="37">
        <f>IFERROR(INDEX('M03-S06'!$BB$18:$BB$199,2*(ROWS(AD$103:AD103)-1)+1),"")</f>
        <v>0</v>
      </c>
      <c r="AE103" s="37">
        <f>IFERROR(INDEX('M03-S06'!$BC$18:$BC$199,2*(ROWS(AE$103:AE103)-1)+1),"")</f>
        <v>0</v>
      </c>
      <c r="AF103" s="210"/>
      <c r="AG103" s="210"/>
      <c r="AH103" s="210"/>
      <c r="AI103">
        <f>IFERROR(INDEX('M03-S06'!$B$18:$B$199,2*(ROWS(AI$103:AI103)-1)+1),"")</f>
        <v>1</v>
      </c>
      <c r="AJ103" s="194"/>
      <c r="AK103">
        <f>IFERROR(INDEX('M03-S06'!$C$18:$C$199,2*(ROWS(AK$103:AK103)-1)+1),"")</f>
        <v>0</v>
      </c>
      <c r="AL103" s="194"/>
      <c r="AM103">
        <f>IFERROR(INDEX('M03-S06'!$AA$18:$AA$199,2*(ROWS(AM$103:AM103)-1)+1),"")</f>
        <v>0</v>
      </c>
      <c r="AN103" s="207"/>
      <c r="AO103" s="207"/>
      <c r="AP103" t="str">
        <f>IFERROR(INDEX('M03-S06'!$AY$18:$AY$199,2*(ROWS(AP$103:AP103)-1)+1),"")</f>
        <v/>
      </c>
      <c r="AQ103" s="194"/>
      <c r="AR103" t="str">
        <f>IFERROR(INDEX(STDCOMPRESS[Reporting Methodology],MATCH(EXPORT!C103,STDCOMPRESS[Measure Number],0)),"")</f>
        <v/>
      </c>
      <c r="AS103" t="str">
        <f>IFERROR(INDEX(STDCOMPRESS[Primary Key],MATCH(C103,STDCOMPRESS[Measure Number],0)),"")</f>
        <v/>
      </c>
      <c r="AT103" s="14" t="str" cm="1">
        <f t="array" ref="AT103">_xlfn.LET(_xlpm.ROWS, 2*(ROWS(AT$103:AT103)-1)+1,IFERROR(INDEX('M03-S06'!$AR$18:$AR$199, _xlpm.ROWS)-INDEX('M03-S06'!$BQ$18:$BQ$199, _xlpm.ROWS),""))</f>
        <v/>
      </c>
      <c r="BL103"/>
      <c r="BP103"/>
      <c r="BQ103"/>
      <c r="BR103"/>
      <c r="CD103"/>
      <c r="CE103"/>
      <c r="CF103"/>
      <c r="CQ103"/>
      <c r="CR103"/>
      <c r="CS103"/>
      <c r="DS103"/>
      <c r="DT103"/>
      <c r="DU103"/>
    </row>
    <row r="104" spans="1:125" hidden="1">
      <c r="A104" s="15">
        <f t="shared" si="8"/>
        <v>0</v>
      </c>
      <c r="B104" t="str">
        <f t="shared" ref="B104:B117" si="9">IF(C104="","",CONCATENATE(ROW(),"-",C104))</f>
        <v/>
      </c>
      <c r="C104" t="str">
        <f>IFERROR(IF(R104&gt;0,INDEX('M03-S06'!$BH$18:$BH$199,2*(ROWS($C$103:C104)-1)+1),""),"")</f>
        <v/>
      </c>
      <c r="D104" t="s">
        <v>1320</v>
      </c>
      <c r="E104" t="str">
        <f>IFERROR(INDEX('M03-S06'!$BD$18:$BD$199,2*(ROWS($E$103:E104)-1)+1),"")</f>
        <v/>
      </c>
      <c r="F104" s="210"/>
      <c r="G104">
        <f>IFERROR(INDEX('M03-S06'!$AE$18:$AE$199,2*(ROWS($G$103:G104)-1)+1),"")</f>
        <v>0</v>
      </c>
      <c r="H104" s="14">
        <f>IFERROR(ROUND(INDEX('M03-S06'!$AI$18:$AI$199,2*(ROWS(H$103:H104)-1)+1),2),"")</f>
        <v>0</v>
      </c>
      <c r="I104" s="14">
        <f>IFERROR(ROUND(INDEX('M03-S06'!$AK$18:$AK$199,2*(ROWS(I$103:I104)-1)+1),2),"")</f>
        <v>0</v>
      </c>
      <c r="J104" s="14" t="str">
        <f>IFERROR(ROUND(INDEX('M03-S06'!$AX$18:$AX$199,2*(ROWS(J$103:J104)-1)+1),2),"")</f>
        <v/>
      </c>
      <c r="K104" t="s">
        <v>84</v>
      </c>
      <c r="L104" s="10">
        <f>IFERROR(ROUND(INDEX('M03-S06'!$U$18:$U$199,2*(ROWS(L$103:L104)-1)+1),3),"")</f>
        <v>0</v>
      </c>
      <c r="M104" s="10">
        <f>IFERROR(ROUND(INDEX('M03-S06'!$U$18:$U$199,2*(ROWS(M$103:M104)-1)+1),3),"")</f>
        <v>0</v>
      </c>
      <c r="N104" s="37" t="str">
        <f>IFERROR(INDEX('M03-S06'!$AZ$18:$AZ$199,2*(ROWS(N$103:N104)-1)+1),"")</f>
        <v/>
      </c>
      <c r="O104" s="37">
        <f>IFERROR(INDEX('M03-S06'!$BE$18:$BE$199,2*(ROWS(O$103:O104)-1)+1),"")</f>
        <v>0</v>
      </c>
      <c r="P104" s="37" t="str">
        <f>IFERROR(INDEX('M03-S06'!$BA$18:$BA$199,2*(ROWS(P$103:P104)-1)+1),"")</f>
        <v/>
      </c>
      <c r="Q104" s="37">
        <f>IFERROR(INDEX('M03-S06'!$BF$18:$BF$199,2*(ROWS(Q$103:Q104)-1)+1),"")</f>
        <v>0</v>
      </c>
      <c r="R104" s="14" t="str">
        <f>IFERROR(INDEX('M03-S06'!$AR$18:$AR$199,2*(ROWS(R$103:R104)-1)+1),"")</f>
        <v/>
      </c>
      <c r="S104" s="207"/>
      <c r="T104" s="207"/>
      <c r="U104" s="207"/>
      <c r="V104" s="194"/>
      <c r="W104" s="218"/>
      <c r="X104" s="218"/>
      <c r="Y104" s="210"/>
      <c r="Z104" s="210"/>
      <c r="AA104" s="219"/>
      <c r="AB104" s="219"/>
      <c r="AC104" s="194"/>
      <c r="AD104" s="37">
        <f>IFERROR(INDEX('M03-S06'!$BB$18:$BB$199,2*(ROWS(AD$103:AD104)-1)+1),"")</f>
        <v>0</v>
      </c>
      <c r="AE104" s="37">
        <f>IFERROR(INDEX('M03-S06'!$BC$18:$BC$199,2*(ROWS(AE$103:AE104)-1)+1),"")</f>
        <v>0</v>
      </c>
      <c r="AF104" s="210"/>
      <c r="AG104" s="210"/>
      <c r="AH104" s="210"/>
      <c r="AI104">
        <f>IFERROR(INDEX('M03-S06'!$B$18:$B$199,2*(ROWS(AI$103:AI104)-1)+1),"")</f>
        <v>2</v>
      </c>
      <c r="AJ104" s="194"/>
      <c r="AK104">
        <f>IFERROR(INDEX('M03-S06'!$C$18:$C$199,2*(ROWS(AK$103:AK104)-1)+1),"")</f>
        <v>0</v>
      </c>
      <c r="AL104" s="194"/>
      <c r="AM104">
        <f>IFERROR(INDEX('M03-S06'!$AA$18:$AA$199,2*(ROWS(AM$103:AM104)-1)+1),"")</f>
        <v>0</v>
      </c>
      <c r="AN104" s="207"/>
      <c r="AO104" s="207"/>
      <c r="AP104" t="str">
        <f>IFERROR(INDEX('M03-S06'!$AY$18:$AY$199,2*(ROWS(AP$103:AP104)-1)+1),"")</f>
        <v/>
      </c>
      <c r="AQ104" s="194"/>
      <c r="AR104" t="str">
        <f>IFERROR(INDEX(STDCOMPRESS[Reporting Methodology],MATCH(EXPORT!C104,STDCOMPRESS[Measure Number],0)),"")</f>
        <v/>
      </c>
      <c r="AS104" t="str">
        <f>IFERROR(INDEX(STDCOMPRESS[Primary Key],MATCH(C104,STDCOMPRESS[Measure Number],0)),"")</f>
        <v/>
      </c>
      <c r="AT104" s="14" t="str" cm="1">
        <f t="array" ref="AT104">_xlfn.LET(_xlpm.ROWS, 2*(ROWS(AT$103:AT104)-1)+1,IFERROR(INDEX('M03-S06'!$AR$18:$AR$199, _xlpm.ROWS)-INDEX('M03-S06'!$BQ$18:$BQ$199, _xlpm.ROWS),""))</f>
        <v/>
      </c>
      <c r="BL104"/>
      <c r="BP104"/>
      <c r="BQ104"/>
      <c r="BR104"/>
      <c r="CD104"/>
      <c r="CE104"/>
      <c r="CF104"/>
      <c r="CQ104"/>
      <c r="CR104"/>
      <c r="CS104"/>
      <c r="DS104"/>
      <c r="DT104"/>
      <c r="DU104"/>
    </row>
    <row r="105" spans="1:125" hidden="1">
      <c r="A105" s="15">
        <f t="shared" si="8"/>
        <v>0</v>
      </c>
      <c r="B105" t="str">
        <f t="shared" si="9"/>
        <v/>
      </c>
      <c r="C105" t="str">
        <f>IFERROR(IF(R105&gt;0,INDEX('M03-S06'!$BH$18:$BH$199,2*(ROWS($C$103:C105)-1)+1),""),"")</f>
        <v/>
      </c>
      <c r="D105" t="s">
        <v>1320</v>
      </c>
      <c r="E105" t="str">
        <f>IFERROR(INDEX('M03-S06'!$BD$18:$BD$199,2*(ROWS($E$103:E105)-1)+1),"")</f>
        <v/>
      </c>
      <c r="F105" s="210"/>
      <c r="G105">
        <f>IFERROR(INDEX('M03-S06'!$AE$18:$AE$199,2*(ROWS($G$103:G105)-1)+1),"")</f>
        <v>0</v>
      </c>
      <c r="H105" s="14">
        <f>IFERROR(ROUND(INDEX('M03-S06'!$AI$18:$AI$199,2*(ROWS(H$103:H105)-1)+1),2),"")</f>
        <v>0</v>
      </c>
      <c r="I105" s="14">
        <f>IFERROR(ROUND(INDEX('M03-S06'!$AK$18:$AK$199,2*(ROWS(I$103:I105)-1)+1),2),"")</f>
        <v>0</v>
      </c>
      <c r="J105" s="14" t="str">
        <f>IFERROR(ROUND(INDEX('M03-S06'!$AX$18:$AX$199,2*(ROWS(J$103:J105)-1)+1),2),"")</f>
        <v/>
      </c>
      <c r="K105" t="s">
        <v>84</v>
      </c>
      <c r="L105" s="10">
        <f>IFERROR(ROUND(INDEX('M03-S06'!$U$18:$U$199,2*(ROWS(L$103:L105)-1)+1),3),"")</f>
        <v>0</v>
      </c>
      <c r="M105" s="10">
        <f>IFERROR(ROUND(INDEX('M03-S06'!$U$18:$U$199,2*(ROWS(M$103:M105)-1)+1),3),"")</f>
        <v>0</v>
      </c>
      <c r="N105" s="37" t="str">
        <f>IFERROR(INDEX('M03-S06'!$AZ$18:$AZ$199,2*(ROWS(N$103:N105)-1)+1),"")</f>
        <v/>
      </c>
      <c r="O105" s="37">
        <f>IFERROR(INDEX('M03-S06'!$BE$18:$BE$199,2*(ROWS(O$103:O105)-1)+1),"")</f>
        <v>0</v>
      </c>
      <c r="P105" s="37" t="str">
        <f>IFERROR(INDEX('M03-S06'!$BA$18:$BA$199,2*(ROWS(P$103:P105)-1)+1),"")</f>
        <v/>
      </c>
      <c r="Q105" s="37">
        <f>IFERROR(INDEX('M03-S06'!$BF$18:$BF$199,2*(ROWS(Q$103:Q105)-1)+1),"")</f>
        <v>0</v>
      </c>
      <c r="R105" s="14" t="str">
        <f>IFERROR(INDEX('M03-S06'!$AR$18:$AR$199,2*(ROWS(R$103:R105)-1)+1),"")</f>
        <v/>
      </c>
      <c r="S105" s="207"/>
      <c r="T105" s="207"/>
      <c r="U105" s="207"/>
      <c r="V105" s="194"/>
      <c r="W105" s="218"/>
      <c r="X105" s="218"/>
      <c r="Y105" s="210"/>
      <c r="Z105" s="210"/>
      <c r="AA105" s="219"/>
      <c r="AB105" s="219"/>
      <c r="AC105" s="194"/>
      <c r="AD105" s="37">
        <f>IFERROR(INDEX('M03-S06'!$BB$18:$BB$199,2*(ROWS(AD$103:AD105)-1)+1),"")</f>
        <v>0</v>
      </c>
      <c r="AE105" s="37">
        <f>IFERROR(INDEX('M03-S06'!$BC$18:$BC$199,2*(ROWS(AE$103:AE105)-1)+1),"")</f>
        <v>0</v>
      </c>
      <c r="AF105" s="210"/>
      <c r="AG105" s="210"/>
      <c r="AH105" s="210"/>
      <c r="AI105">
        <f>IFERROR(INDEX('M03-S06'!$B$18:$B$199,2*(ROWS(AI$103:AI105)-1)+1),"")</f>
        <v>3</v>
      </c>
      <c r="AJ105" s="194"/>
      <c r="AK105">
        <f>IFERROR(INDEX('M03-S06'!$C$18:$C$199,2*(ROWS(AK$103:AK105)-1)+1),"")</f>
        <v>0</v>
      </c>
      <c r="AL105" s="194"/>
      <c r="AM105">
        <f>IFERROR(INDEX('M03-S06'!$AA$18:$AA$199,2*(ROWS(AM$103:AM105)-1)+1),"")</f>
        <v>0</v>
      </c>
      <c r="AN105" s="207"/>
      <c r="AO105" s="207"/>
      <c r="AP105" t="str">
        <f>IFERROR(INDEX('M03-S06'!$AY$18:$AY$199,2*(ROWS(AP$103:AP105)-1)+1),"")</f>
        <v/>
      </c>
      <c r="AQ105" s="194"/>
      <c r="AR105" t="str">
        <f>IFERROR(INDEX(STDCOMPRESS[Reporting Methodology],MATCH(EXPORT!C105,STDCOMPRESS[Measure Number],0)),"")</f>
        <v/>
      </c>
      <c r="AS105" t="str">
        <f>IFERROR(INDEX(STDCOMPRESS[Primary Key],MATCH(C105,STDCOMPRESS[Measure Number],0)),"")</f>
        <v/>
      </c>
      <c r="AT105" s="14" t="str" cm="1">
        <f t="array" ref="AT105">_xlfn.LET(_xlpm.ROWS, 2*(ROWS(AT$103:AT105)-1)+1,IFERROR(INDEX('M03-S06'!$AR$18:$AR$199, _xlpm.ROWS)-INDEX('M03-S06'!$BQ$18:$BQ$199, _xlpm.ROWS),""))</f>
        <v/>
      </c>
      <c r="BL105"/>
      <c r="BP105"/>
      <c r="BQ105"/>
      <c r="BR105"/>
      <c r="CD105"/>
      <c r="CE105"/>
      <c r="CF105"/>
      <c r="CQ105"/>
      <c r="CR105"/>
      <c r="CS105"/>
      <c r="DS105"/>
      <c r="DT105"/>
      <c r="DU105"/>
    </row>
    <row r="106" spans="1:125" hidden="1">
      <c r="A106" s="15">
        <f t="shared" si="8"/>
        <v>0</v>
      </c>
      <c r="B106" t="str">
        <f t="shared" si="9"/>
        <v/>
      </c>
      <c r="C106" t="str">
        <f>IFERROR(IF(R106&gt;0,INDEX('M03-S06'!$BH$18:$BH$199,2*(ROWS($C$103:C106)-1)+1),""),"")</f>
        <v/>
      </c>
      <c r="D106" t="s">
        <v>1320</v>
      </c>
      <c r="E106" t="str">
        <f>IFERROR(INDEX('M03-S06'!$BD$18:$BD$199,2*(ROWS($E$103:E106)-1)+1),"")</f>
        <v/>
      </c>
      <c r="F106" s="210"/>
      <c r="G106">
        <f>IFERROR(INDEX('M03-S06'!$AE$18:$AE$199,2*(ROWS($G$103:G106)-1)+1),"")</f>
        <v>0</v>
      </c>
      <c r="H106" s="14">
        <f>IFERROR(ROUND(INDEX('M03-S06'!$AI$18:$AI$199,2*(ROWS(H$103:H106)-1)+1),2),"")</f>
        <v>0</v>
      </c>
      <c r="I106" s="14">
        <f>IFERROR(ROUND(INDEX('M03-S06'!$AK$18:$AK$199,2*(ROWS(I$103:I106)-1)+1),2),"")</f>
        <v>0</v>
      </c>
      <c r="J106" s="14" t="str">
        <f>IFERROR(ROUND(INDEX('M03-S06'!$AX$18:$AX$199,2*(ROWS(J$103:J106)-1)+1),2),"")</f>
        <v/>
      </c>
      <c r="K106" t="s">
        <v>84</v>
      </c>
      <c r="L106" s="10">
        <f>IFERROR(ROUND(INDEX('M03-S06'!$U$18:$U$199,2*(ROWS(L$103:L106)-1)+1),3),"")</f>
        <v>0</v>
      </c>
      <c r="M106" s="10">
        <f>IFERROR(ROUND(INDEX('M03-S06'!$U$18:$U$199,2*(ROWS(M$103:M106)-1)+1),3),"")</f>
        <v>0</v>
      </c>
      <c r="N106" s="37" t="str">
        <f>IFERROR(INDEX('M03-S06'!$AZ$18:$AZ$199,2*(ROWS(N$103:N106)-1)+1),"")</f>
        <v/>
      </c>
      <c r="O106" s="37">
        <f>IFERROR(INDEX('M03-S06'!$BE$18:$BE$199,2*(ROWS(O$103:O106)-1)+1),"")</f>
        <v>0</v>
      </c>
      <c r="P106" s="37" t="str">
        <f>IFERROR(INDEX('M03-S06'!$BA$18:$BA$199,2*(ROWS(P$103:P106)-1)+1),"")</f>
        <v/>
      </c>
      <c r="Q106" s="37">
        <f>IFERROR(INDEX('M03-S06'!$BF$18:$BF$199,2*(ROWS(Q$103:Q106)-1)+1),"")</f>
        <v>0</v>
      </c>
      <c r="R106" s="14" t="str">
        <f>IFERROR(INDEX('M03-S06'!$AR$18:$AR$199,2*(ROWS(R$103:R106)-1)+1),"")</f>
        <v/>
      </c>
      <c r="S106" s="207"/>
      <c r="T106" s="207"/>
      <c r="U106" s="207"/>
      <c r="V106" s="194"/>
      <c r="W106" s="218"/>
      <c r="X106" s="218"/>
      <c r="Y106" s="210"/>
      <c r="Z106" s="210"/>
      <c r="AA106" s="219"/>
      <c r="AB106" s="219"/>
      <c r="AC106" s="194"/>
      <c r="AD106" s="37">
        <f>IFERROR(INDEX('M03-S06'!$BB$18:$BB$199,2*(ROWS(AD$103:AD106)-1)+1),"")</f>
        <v>0</v>
      </c>
      <c r="AE106" s="37">
        <f>IFERROR(INDEX('M03-S06'!$BC$18:$BC$199,2*(ROWS(AE$103:AE106)-1)+1),"")</f>
        <v>0</v>
      </c>
      <c r="AF106" s="210"/>
      <c r="AG106" s="210"/>
      <c r="AH106" s="210"/>
      <c r="AI106">
        <f>IFERROR(INDEX('M03-S06'!$B$18:$B$199,2*(ROWS(AI$103:AI106)-1)+1),"")</f>
        <v>4</v>
      </c>
      <c r="AJ106" s="194"/>
      <c r="AK106">
        <f>IFERROR(INDEX('M03-S06'!$C$18:$C$199,2*(ROWS(AK$103:AK106)-1)+1),"")</f>
        <v>0</v>
      </c>
      <c r="AL106" s="194"/>
      <c r="AM106">
        <f>IFERROR(INDEX('M03-S06'!$AA$18:$AA$199,2*(ROWS(AM$103:AM106)-1)+1),"")</f>
        <v>0</v>
      </c>
      <c r="AN106" s="207"/>
      <c r="AO106" s="207"/>
      <c r="AP106" t="str">
        <f>IFERROR(INDEX('M03-S06'!$AY$18:$AY$199,2*(ROWS(AP$103:AP106)-1)+1),"")</f>
        <v/>
      </c>
      <c r="AQ106" s="194"/>
      <c r="AR106" t="str">
        <f>IFERROR(INDEX(STDCOMPRESS[Reporting Methodology],MATCH(EXPORT!C106,STDCOMPRESS[Measure Number],0)),"")</f>
        <v/>
      </c>
      <c r="AS106" t="str">
        <f>IFERROR(INDEX(STDCOMPRESS[Primary Key],MATCH(C106,STDCOMPRESS[Measure Number],0)),"")</f>
        <v/>
      </c>
      <c r="AT106" s="14" t="str" cm="1">
        <f t="array" ref="AT106">_xlfn.LET(_xlpm.ROWS, 2*(ROWS(AT$103:AT106)-1)+1,IFERROR(INDEX('M03-S06'!$AR$18:$AR$199, _xlpm.ROWS)-INDEX('M03-S06'!$BQ$18:$BQ$199, _xlpm.ROWS),""))</f>
        <v/>
      </c>
      <c r="BL106"/>
      <c r="BP106"/>
      <c r="BQ106"/>
      <c r="BR106"/>
      <c r="CD106"/>
      <c r="CE106"/>
      <c r="CF106"/>
      <c r="CQ106"/>
      <c r="CR106"/>
      <c r="CS106"/>
      <c r="DS106"/>
      <c r="DT106"/>
      <c r="DU106"/>
    </row>
    <row r="107" spans="1:125" hidden="1">
      <c r="A107" s="15">
        <f t="shared" si="8"/>
        <v>0</v>
      </c>
      <c r="B107" t="str">
        <f t="shared" si="9"/>
        <v/>
      </c>
      <c r="C107" t="str">
        <f>IFERROR(IF(R107&gt;0,INDEX('M03-S06'!$BH$18:$BH$199,2*(ROWS($C$103:C107)-1)+1),""),"")</f>
        <v/>
      </c>
      <c r="D107" t="s">
        <v>1320</v>
      </c>
      <c r="E107" t="str">
        <f>IFERROR(INDEX('M03-S06'!$BD$18:$BD$199,2*(ROWS($E$103:E107)-1)+1),"")</f>
        <v/>
      </c>
      <c r="F107" s="210"/>
      <c r="G107">
        <f>IFERROR(INDEX('M03-S06'!$AE$18:$AE$199,2*(ROWS($G$103:G107)-1)+1),"")</f>
        <v>0</v>
      </c>
      <c r="H107" s="14">
        <f>IFERROR(ROUND(INDEX('M03-S06'!$AI$18:$AI$199,2*(ROWS(H$103:H107)-1)+1),2),"")</f>
        <v>0</v>
      </c>
      <c r="I107" s="14">
        <f>IFERROR(ROUND(INDEX('M03-S06'!$AK$18:$AK$199,2*(ROWS(I$103:I107)-1)+1),2),"")</f>
        <v>0</v>
      </c>
      <c r="J107" s="14" t="str">
        <f>IFERROR(ROUND(INDEX('M03-S06'!$AX$18:$AX$199,2*(ROWS(J$103:J107)-1)+1),2),"")</f>
        <v/>
      </c>
      <c r="K107" t="s">
        <v>84</v>
      </c>
      <c r="L107" s="10">
        <f>IFERROR(ROUND(INDEX('M03-S06'!$U$18:$U$199,2*(ROWS(L$103:L107)-1)+1),3),"")</f>
        <v>0</v>
      </c>
      <c r="M107" s="10">
        <f>IFERROR(ROUND(INDEX('M03-S06'!$U$18:$U$199,2*(ROWS(M$103:M107)-1)+1),3),"")</f>
        <v>0</v>
      </c>
      <c r="N107" s="37" t="str">
        <f>IFERROR(INDEX('M03-S06'!$AZ$18:$AZ$199,2*(ROWS(N$103:N107)-1)+1),"")</f>
        <v/>
      </c>
      <c r="O107" s="37">
        <f>IFERROR(INDEX('M03-S06'!$BE$18:$BE$199,2*(ROWS(O$103:O107)-1)+1),"")</f>
        <v>0</v>
      </c>
      <c r="P107" s="37" t="str">
        <f>IFERROR(INDEX('M03-S06'!$BA$18:$BA$199,2*(ROWS(P$103:P107)-1)+1),"")</f>
        <v/>
      </c>
      <c r="Q107" s="37">
        <f>IFERROR(INDEX('M03-S06'!$BF$18:$BF$199,2*(ROWS(Q$103:Q107)-1)+1),"")</f>
        <v>0</v>
      </c>
      <c r="R107" s="14" t="str">
        <f>IFERROR(INDEX('M03-S06'!$AR$18:$AR$199,2*(ROWS(R$103:R107)-1)+1),"")</f>
        <v/>
      </c>
      <c r="S107" s="207"/>
      <c r="T107" s="207"/>
      <c r="U107" s="207"/>
      <c r="V107" s="194"/>
      <c r="W107" s="218"/>
      <c r="X107" s="218"/>
      <c r="Y107" s="210"/>
      <c r="Z107" s="210"/>
      <c r="AA107" s="219"/>
      <c r="AB107" s="219"/>
      <c r="AC107" s="194"/>
      <c r="AD107" s="37">
        <f>IFERROR(INDEX('M03-S06'!$BB$18:$BB$199,2*(ROWS(AD$103:AD107)-1)+1),"")</f>
        <v>0</v>
      </c>
      <c r="AE107" s="37">
        <f>IFERROR(INDEX('M03-S06'!$BC$18:$BC$199,2*(ROWS(AE$103:AE107)-1)+1),"")</f>
        <v>0</v>
      </c>
      <c r="AF107" s="210"/>
      <c r="AG107" s="210"/>
      <c r="AH107" s="210"/>
      <c r="AI107">
        <f>IFERROR(INDEX('M03-S06'!$B$18:$B$199,2*(ROWS(AI$103:AI107)-1)+1),"")</f>
        <v>5</v>
      </c>
      <c r="AJ107" s="194"/>
      <c r="AK107">
        <f>IFERROR(INDEX('M03-S06'!$C$18:$C$199,2*(ROWS(AK$103:AK107)-1)+1),"")</f>
        <v>0</v>
      </c>
      <c r="AL107" s="194"/>
      <c r="AM107">
        <f>IFERROR(INDEX('M03-S06'!$AA$18:$AA$199,2*(ROWS(AM$103:AM107)-1)+1),"")</f>
        <v>0</v>
      </c>
      <c r="AN107" s="207"/>
      <c r="AO107" s="207"/>
      <c r="AP107" t="str">
        <f>IFERROR(INDEX('M03-S06'!$AY$18:$AY$199,2*(ROWS(AP$103:AP107)-1)+1),"")</f>
        <v/>
      </c>
      <c r="AQ107" s="194"/>
      <c r="AR107" t="str">
        <f>IFERROR(INDEX(STDCOMPRESS[Reporting Methodology],MATCH(EXPORT!C107,STDCOMPRESS[Measure Number],0)),"")</f>
        <v/>
      </c>
      <c r="AS107" t="str">
        <f>IFERROR(INDEX(STDCOMPRESS[Primary Key],MATCH(C107,STDCOMPRESS[Measure Number],0)),"")</f>
        <v/>
      </c>
      <c r="AT107" s="14" t="str" cm="1">
        <f t="array" ref="AT107">_xlfn.LET(_xlpm.ROWS, 2*(ROWS(AT$103:AT107)-1)+1,IFERROR(INDEX('M03-S06'!$AR$18:$AR$199, _xlpm.ROWS)-INDEX('M03-S06'!$BQ$18:$BQ$199, _xlpm.ROWS),""))</f>
        <v/>
      </c>
      <c r="BL107"/>
      <c r="BP107"/>
      <c r="BQ107"/>
      <c r="BR107"/>
      <c r="CD107"/>
      <c r="CE107"/>
      <c r="CF107"/>
      <c r="CQ107"/>
      <c r="CR107"/>
      <c r="CS107"/>
      <c r="DS107"/>
      <c r="DT107"/>
      <c r="DU107"/>
    </row>
    <row r="108" spans="1:125" hidden="1">
      <c r="A108" s="15">
        <f t="shared" si="8"/>
        <v>0</v>
      </c>
      <c r="B108" t="str">
        <f t="shared" si="9"/>
        <v/>
      </c>
      <c r="C108" t="str">
        <f>IFERROR(IF(R108&gt;0,INDEX('M03-S06'!$BH$18:$BH$199,2*(ROWS($C$103:C108)-1)+1),""),"")</f>
        <v/>
      </c>
      <c r="D108" t="s">
        <v>1320</v>
      </c>
      <c r="E108" t="str">
        <f>IFERROR(INDEX('M03-S06'!$BD$18:$BD$199,2*(ROWS($E$103:E108)-1)+1),"")</f>
        <v/>
      </c>
      <c r="F108" s="210"/>
      <c r="G108">
        <f>IFERROR(INDEX('M03-S06'!$AE$18:$AE$199,2*(ROWS($G$103:G108)-1)+1),"")</f>
        <v>0</v>
      </c>
      <c r="H108" s="14">
        <f>IFERROR(ROUND(INDEX('M03-S06'!$AI$18:$AI$199,2*(ROWS(H$103:H108)-1)+1),2),"")</f>
        <v>0</v>
      </c>
      <c r="I108" s="14">
        <f>IFERROR(ROUND(INDEX('M03-S06'!$AK$18:$AK$199,2*(ROWS(I$103:I108)-1)+1),2),"")</f>
        <v>0</v>
      </c>
      <c r="J108" s="14" t="str">
        <f>IFERROR(ROUND(INDEX('M03-S06'!$AX$18:$AX$199,2*(ROWS(J$103:J108)-1)+1),2),"")</f>
        <v/>
      </c>
      <c r="K108" t="s">
        <v>84</v>
      </c>
      <c r="L108" s="10">
        <f>IFERROR(ROUND(INDEX('M03-S06'!$U$18:$U$199,2*(ROWS(L$103:L108)-1)+1),3),"")</f>
        <v>0</v>
      </c>
      <c r="M108" s="10">
        <f>IFERROR(ROUND(INDEX('M03-S06'!$U$18:$U$199,2*(ROWS(M$103:M108)-1)+1),3),"")</f>
        <v>0</v>
      </c>
      <c r="N108" s="37" t="str">
        <f>IFERROR(INDEX('M03-S06'!$AZ$18:$AZ$199,2*(ROWS(N$103:N108)-1)+1),"")</f>
        <v/>
      </c>
      <c r="O108" s="37">
        <f>IFERROR(INDEX('M03-S06'!$BE$18:$BE$199,2*(ROWS(O$103:O108)-1)+1),"")</f>
        <v>0</v>
      </c>
      <c r="P108" s="37" t="str">
        <f>IFERROR(INDEX('M03-S06'!$BA$18:$BA$199,2*(ROWS(P$103:P108)-1)+1),"")</f>
        <v/>
      </c>
      <c r="Q108" s="37">
        <f>IFERROR(INDEX('M03-S06'!$BF$18:$BF$199,2*(ROWS(Q$103:Q108)-1)+1),"")</f>
        <v>0</v>
      </c>
      <c r="R108" s="14" t="str">
        <f>IFERROR(INDEX('M03-S06'!$AR$18:$AR$199,2*(ROWS(R$103:R108)-1)+1),"")</f>
        <v/>
      </c>
      <c r="S108" s="207"/>
      <c r="T108" s="207"/>
      <c r="U108" s="207"/>
      <c r="V108" s="194"/>
      <c r="W108" s="218"/>
      <c r="X108" s="218"/>
      <c r="Y108" s="210"/>
      <c r="Z108" s="210"/>
      <c r="AA108" s="219"/>
      <c r="AB108" s="219"/>
      <c r="AC108" s="194"/>
      <c r="AD108" s="37">
        <f>IFERROR(INDEX('M03-S06'!$BB$18:$BB$199,2*(ROWS(AD$103:AD108)-1)+1),"")</f>
        <v>0</v>
      </c>
      <c r="AE108" s="37">
        <f>IFERROR(INDEX('M03-S06'!$BC$18:$BC$199,2*(ROWS(AE$103:AE108)-1)+1),"")</f>
        <v>0</v>
      </c>
      <c r="AF108" s="210"/>
      <c r="AG108" s="210"/>
      <c r="AH108" s="210"/>
      <c r="AI108">
        <f>IFERROR(INDEX('M03-S06'!$B$18:$B$199,2*(ROWS(AI$103:AI108)-1)+1),"")</f>
        <v>6</v>
      </c>
      <c r="AJ108" s="194"/>
      <c r="AK108">
        <f>IFERROR(INDEX('M03-S06'!$C$18:$C$199,2*(ROWS(AK$103:AK108)-1)+1),"")</f>
        <v>0</v>
      </c>
      <c r="AL108" s="194"/>
      <c r="AM108">
        <f>IFERROR(INDEX('M03-S06'!$AA$18:$AA$199,2*(ROWS(AM$103:AM108)-1)+1),"")</f>
        <v>0</v>
      </c>
      <c r="AN108" s="207"/>
      <c r="AO108" s="207"/>
      <c r="AP108" t="str">
        <f>IFERROR(INDEX('M03-S06'!$AY$18:$AY$199,2*(ROWS(AP$103:AP108)-1)+1),"")</f>
        <v/>
      </c>
      <c r="AQ108" s="194"/>
      <c r="AR108" t="str">
        <f>IFERROR(INDEX(STDCOMPRESS[Reporting Methodology],MATCH(EXPORT!C108,STDCOMPRESS[Measure Number],0)),"")</f>
        <v/>
      </c>
      <c r="AS108" t="str">
        <f>IFERROR(INDEX(STDCOMPRESS[Primary Key],MATCH(C108,STDCOMPRESS[Measure Number],0)),"")</f>
        <v/>
      </c>
      <c r="AT108" s="14" t="str" cm="1">
        <f t="array" ref="AT108">_xlfn.LET(_xlpm.ROWS, 2*(ROWS(AT$103:AT108)-1)+1,IFERROR(INDEX('M03-S06'!$AR$18:$AR$199, _xlpm.ROWS)-INDEX('M03-S06'!$BQ$18:$BQ$199, _xlpm.ROWS),""))</f>
        <v/>
      </c>
      <c r="BL108"/>
      <c r="BP108"/>
      <c r="BQ108"/>
      <c r="BR108"/>
      <c r="CD108"/>
      <c r="CE108"/>
      <c r="CF108"/>
      <c r="CQ108"/>
      <c r="CR108"/>
      <c r="CS108"/>
      <c r="DS108"/>
      <c r="DT108"/>
      <c r="DU108"/>
    </row>
    <row r="109" spans="1:125" hidden="1">
      <c r="A109" s="15">
        <f t="shared" si="8"/>
        <v>0</v>
      </c>
      <c r="B109" t="str">
        <f t="shared" si="9"/>
        <v/>
      </c>
      <c r="C109" t="str">
        <f>IFERROR(IF(R109&gt;0,INDEX('M03-S06'!$BH$18:$BH$199,2*(ROWS($C$103:C109)-1)+1),""),"")</f>
        <v/>
      </c>
      <c r="D109" t="s">
        <v>1320</v>
      </c>
      <c r="E109" t="str">
        <f>IFERROR(INDEX('M03-S06'!$BD$18:$BD$199,2*(ROWS($E$103:E109)-1)+1),"")</f>
        <v/>
      </c>
      <c r="F109" s="210"/>
      <c r="G109">
        <f>IFERROR(INDEX('M03-S06'!$AE$18:$AE$199,2*(ROWS($G$103:G109)-1)+1),"")</f>
        <v>0</v>
      </c>
      <c r="H109" s="14">
        <f>IFERROR(ROUND(INDEX('M03-S06'!$AI$18:$AI$199,2*(ROWS(H$103:H109)-1)+1),2),"")</f>
        <v>0</v>
      </c>
      <c r="I109" s="14">
        <f>IFERROR(ROUND(INDEX('M03-S06'!$AK$18:$AK$199,2*(ROWS(I$103:I109)-1)+1),2),"")</f>
        <v>0</v>
      </c>
      <c r="J109" s="14" t="str">
        <f>IFERROR(ROUND(INDEX('M03-S06'!$AX$18:$AX$199,2*(ROWS(J$103:J109)-1)+1),2),"")</f>
        <v/>
      </c>
      <c r="K109" t="s">
        <v>84</v>
      </c>
      <c r="L109" s="10">
        <f>IFERROR(ROUND(INDEX('M03-S06'!$U$18:$U$199,2*(ROWS(L$103:L109)-1)+1),3),"")</f>
        <v>0</v>
      </c>
      <c r="M109" s="10">
        <f>IFERROR(ROUND(INDEX('M03-S06'!$U$18:$U$199,2*(ROWS(M$103:M109)-1)+1),3),"")</f>
        <v>0</v>
      </c>
      <c r="N109" s="37" t="str">
        <f>IFERROR(INDEX('M03-S06'!$AZ$18:$AZ$199,2*(ROWS(N$103:N109)-1)+1),"")</f>
        <v/>
      </c>
      <c r="O109" s="37">
        <f>IFERROR(INDEX('M03-S06'!$BE$18:$BE$199,2*(ROWS(O$103:O109)-1)+1),"")</f>
        <v>0</v>
      </c>
      <c r="P109" s="37" t="str">
        <f>IFERROR(INDEX('M03-S06'!$BA$18:$BA$199,2*(ROWS(P$103:P109)-1)+1),"")</f>
        <v/>
      </c>
      <c r="Q109" s="37">
        <f>IFERROR(INDEX('M03-S06'!$BF$18:$BF$199,2*(ROWS(Q$103:Q109)-1)+1),"")</f>
        <v>0</v>
      </c>
      <c r="R109" s="14" t="str">
        <f>IFERROR(INDEX('M03-S06'!$AR$18:$AR$199,2*(ROWS(R$103:R109)-1)+1),"")</f>
        <v/>
      </c>
      <c r="S109" s="207"/>
      <c r="T109" s="207"/>
      <c r="U109" s="207"/>
      <c r="V109" s="194"/>
      <c r="W109" s="218"/>
      <c r="X109" s="218"/>
      <c r="Y109" s="210"/>
      <c r="Z109" s="210"/>
      <c r="AA109" s="219"/>
      <c r="AB109" s="219"/>
      <c r="AC109" s="194"/>
      <c r="AD109" s="37">
        <f>IFERROR(INDEX('M03-S06'!$BB$18:$BB$199,2*(ROWS(AD$103:AD109)-1)+1),"")</f>
        <v>0</v>
      </c>
      <c r="AE109" s="37">
        <f>IFERROR(INDEX('M03-S06'!$BC$18:$BC$199,2*(ROWS(AE$103:AE109)-1)+1),"")</f>
        <v>0</v>
      </c>
      <c r="AF109" s="210"/>
      <c r="AG109" s="210"/>
      <c r="AH109" s="210"/>
      <c r="AI109">
        <f>IFERROR(INDEX('M03-S06'!$B$18:$B$199,2*(ROWS(AI$103:AI109)-1)+1),"")</f>
        <v>7</v>
      </c>
      <c r="AJ109" s="194"/>
      <c r="AK109">
        <f>IFERROR(INDEX('M03-S06'!$C$18:$C$199,2*(ROWS(AK$103:AK109)-1)+1),"")</f>
        <v>0</v>
      </c>
      <c r="AL109" s="194"/>
      <c r="AM109">
        <f>IFERROR(INDEX('M03-S06'!$AA$18:$AA$199,2*(ROWS(AM$103:AM109)-1)+1),"")</f>
        <v>0</v>
      </c>
      <c r="AN109" s="207"/>
      <c r="AO109" s="207"/>
      <c r="AP109" t="str">
        <f>IFERROR(INDEX('M03-S06'!$AY$18:$AY$199,2*(ROWS(AP$103:AP109)-1)+1),"")</f>
        <v/>
      </c>
      <c r="AQ109" s="194"/>
      <c r="AR109" t="str">
        <f>IFERROR(INDEX(STDCOMPRESS[Reporting Methodology],MATCH(EXPORT!C109,STDCOMPRESS[Measure Number],0)),"")</f>
        <v/>
      </c>
      <c r="AS109" t="str">
        <f>IFERROR(INDEX(STDCOMPRESS[Primary Key],MATCH(C109,STDCOMPRESS[Measure Number],0)),"")</f>
        <v/>
      </c>
      <c r="AT109" s="14" t="str" cm="1">
        <f t="array" ref="AT109">_xlfn.LET(_xlpm.ROWS, 2*(ROWS(AT$103:AT109)-1)+1,IFERROR(INDEX('M03-S06'!$AR$18:$AR$199, _xlpm.ROWS)-INDEX('M03-S06'!$BQ$18:$BQ$199, _xlpm.ROWS),""))</f>
        <v/>
      </c>
      <c r="BL109"/>
      <c r="BP109"/>
      <c r="BQ109"/>
      <c r="BR109"/>
      <c r="CD109"/>
      <c r="CE109"/>
      <c r="CF109"/>
      <c r="CQ109"/>
      <c r="CR109"/>
      <c r="CS109"/>
      <c r="DS109"/>
      <c r="DT109"/>
      <c r="DU109"/>
    </row>
    <row r="110" spans="1:125" hidden="1">
      <c r="A110" s="15">
        <f t="shared" si="8"/>
        <v>0</v>
      </c>
      <c r="B110" t="str">
        <f t="shared" si="9"/>
        <v/>
      </c>
      <c r="C110" t="str">
        <f>IFERROR(IF(R110&gt;0,INDEX('M03-S06'!$BH$18:$BH$199,2*(ROWS($C$103:C110)-1)+1),""),"")</f>
        <v/>
      </c>
      <c r="D110" t="s">
        <v>1320</v>
      </c>
      <c r="E110" t="str">
        <f>IFERROR(INDEX('M03-S06'!$BD$18:$BD$199,2*(ROWS($E$103:E110)-1)+1),"")</f>
        <v/>
      </c>
      <c r="F110" s="210"/>
      <c r="G110">
        <f>IFERROR(INDEX('M03-S06'!$AE$18:$AE$199,2*(ROWS($G$103:G110)-1)+1),"")</f>
        <v>0</v>
      </c>
      <c r="H110" s="14">
        <f>IFERROR(ROUND(INDEX('M03-S06'!$AI$18:$AI$199,2*(ROWS(H$103:H110)-1)+1),2),"")</f>
        <v>0</v>
      </c>
      <c r="I110" s="14">
        <f>IFERROR(ROUND(INDEX('M03-S06'!$AK$18:$AK$199,2*(ROWS(I$103:I110)-1)+1),2),"")</f>
        <v>0</v>
      </c>
      <c r="J110" s="14" t="str">
        <f>IFERROR(ROUND(INDEX('M03-S06'!$AX$18:$AX$199,2*(ROWS(J$103:J110)-1)+1),2),"")</f>
        <v/>
      </c>
      <c r="K110" t="s">
        <v>84</v>
      </c>
      <c r="L110" s="10">
        <f>IFERROR(ROUND(INDEX('M03-S06'!$U$18:$U$199,2*(ROWS(L$103:L110)-1)+1),3),"")</f>
        <v>0</v>
      </c>
      <c r="M110" s="10">
        <f>IFERROR(ROUND(INDEX('M03-S06'!$U$18:$U$199,2*(ROWS(M$103:M110)-1)+1),3),"")</f>
        <v>0</v>
      </c>
      <c r="N110" s="37" t="str">
        <f>IFERROR(INDEX('M03-S06'!$AZ$18:$AZ$199,2*(ROWS(N$103:N110)-1)+1),"")</f>
        <v/>
      </c>
      <c r="O110" s="37">
        <f>IFERROR(INDEX('M03-S06'!$BE$18:$BE$199,2*(ROWS(O$103:O110)-1)+1),"")</f>
        <v>0</v>
      </c>
      <c r="P110" s="37" t="str">
        <f>IFERROR(INDEX('M03-S06'!$BA$18:$BA$199,2*(ROWS(P$103:P110)-1)+1),"")</f>
        <v/>
      </c>
      <c r="Q110" s="37">
        <f>IFERROR(INDEX('M03-S06'!$BF$18:$BF$199,2*(ROWS(Q$103:Q110)-1)+1),"")</f>
        <v>0</v>
      </c>
      <c r="R110" s="14" t="str">
        <f>IFERROR(INDEX('M03-S06'!$AR$18:$AR$199,2*(ROWS(R$103:R110)-1)+1),"")</f>
        <v/>
      </c>
      <c r="S110" s="207"/>
      <c r="T110" s="207"/>
      <c r="U110" s="207"/>
      <c r="V110" s="194"/>
      <c r="W110" s="218"/>
      <c r="X110" s="218"/>
      <c r="Y110" s="210"/>
      <c r="Z110" s="210"/>
      <c r="AA110" s="219"/>
      <c r="AB110" s="219"/>
      <c r="AC110" s="194"/>
      <c r="AD110" s="37">
        <f>IFERROR(INDEX('M03-S06'!$BB$18:$BB$199,2*(ROWS(AD$103:AD110)-1)+1),"")</f>
        <v>0</v>
      </c>
      <c r="AE110" s="37">
        <f>IFERROR(INDEX('M03-S06'!$BC$18:$BC$199,2*(ROWS(AE$103:AE110)-1)+1),"")</f>
        <v>0</v>
      </c>
      <c r="AF110" s="210"/>
      <c r="AG110" s="210"/>
      <c r="AH110" s="210"/>
      <c r="AI110">
        <f>IFERROR(INDEX('M03-S06'!$B$18:$B$199,2*(ROWS(AI$103:AI110)-1)+1),"")</f>
        <v>8</v>
      </c>
      <c r="AJ110" s="194"/>
      <c r="AK110">
        <f>IFERROR(INDEX('M03-S06'!$C$18:$C$199,2*(ROWS(AK$103:AK110)-1)+1),"")</f>
        <v>0</v>
      </c>
      <c r="AL110" s="194"/>
      <c r="AM110">
        <f>IFERROR(INDEX('M03-S06'!$AA$18:$AA$199,2*(ROWS(AM$103:AM110)-1)+1),"")</f>
        <v>0</v>
      </c>
      <c r="AN110" s="207"/>
      <c r="AO110" s="207"/>
      <c r="AP110" t="str">
        <f>IFERROR(INDEX('M03-S06'!$AY$18:$AY$199,2*(ROWS(AP$103:AP110)-1)+1),"")</f>
        <v/>
      </c>
      <c r="AQ110" s="194"/>
      <c r="AR110" t="str">
        <f>IFERROR(INDEX(STDCOMPRESS[Reporting Methodology],MATCH(EXPORT!C110,STDCOMPRESS[Measure Number],0)),"")</f>
        <v/>
      </c>
      <c r="AS110" t="str">
        <f>IFERROR(INDEX(STDCOMPRESS[Primary Key],MATCH(C110,STDCOMPRESS[Measure Number],0)),"")</f>
        <v/>
      </c>
      <c r="AT110" s="14" t="str" cm="1">
        <f t="array" ref="AT110">_xlfn.LET(_xlpm.ROWS, 2*(ROWS(AT$103:AT110)-1)+1,IFERROR(INDEX('M03-S06'!$AR$18:$AR$199, _xlpm.ROWS)-INDEX('M03-S06'!$BQ$18:$BQ$199, _xlpm.ROWS),""))</f>
        <v/>
      </c>
      <c r="BL110"/>
      <c r="BP110"/>
      <c r="BQ110"/>
      <c r="BR110"/>
      <c r="CD110"/>
      <c r="CE110"/>
      <c r="CF110"/>
      <c r="CQ110"/>
      <c r="CR110"/>
      <c r="CS110"/>
      <c r="DS110"/>
      <c r="DT110"/>
      <c r="DU110"/>
    </row>
    <row r="111" spans="1:125" hidden="1">
      <c r="A111" s="15">
        <f t="shared" si="8"/>
        <v>0</v>
      </c>
      <c r="B111" t="str">
        <f t="shared" si="9"/>
        <v/>
      </c>
      <c r="C111" t="str">
        <f>IFERROR(IF(R111&gt;0,INDEX('M03-S06'!$BH$18:$BH$199,2*(ROWS($C$103:C111)-1)+1),""),"")</f>
        <v/>
      </c>
      <c r="D111" t="s">
        <v>1320</v>
      </c>
      <c r="E111" t="str">
        <f>IFERROR(INDEX('M03-S06'!$BD$18:$BD$199,2*(ROWS($E$103:E111)-1)+1),"")</f>
        <v/>
      </c>
      <c r="F111" s="210"/>
      <c r="G111">
        <f>IFERROR(INDEX('M03-S06'!$AE$18:$AE$199,2*(ROWS($G$103:G111)-1)+1),"")</f>
        <v>0</v>
      </c>
      <c r="H111" s="14">
        <f>IFERROR(ROUND(INDEX('M03-S06'!$AI$18:$AI$199,2*(ROWS(H$103:H111)-1)+1),2),"")</f>
        <v>0</v>
      </c>
      <c r="I111" s="14">
        <f>IFERROR(ROUND(INDEX('M03-S06'!$AK$18:$AK$199,2*(ROWS(I$103:I111)-1)+1),2),"")</f>
        <v>0</v>
      </c>
      <c r="J111" s="14" t="str">
        <f>IFERROR(ROUND(INDEX('M03-S06'!$AX$18:$AX$199,2*(ROWS(J$103:J111)-1)+1),2),"")</f>
        <v/>
      </c>
      <c r="K111" t="s">
        <v>84</v>
      </c>
      <c r="L111" s="10">
        <f>IFERROR(ROUND(INDEX('M03-S06'!$U$18:$U$199,2*(ROWS(L$103:L111)-1)+1),3),"")</f>
        <v>0</v>
      </c>
      <c r="M111" s="10">
        <f>IFERROR(ROUND(INDEX('M03-S06'!$U$18:$U$199,2*(ROWS(M$103:M111)-1)+1),3),"")</f>
        <v>0</v>
      </c>
      <c r="N111" s="37" t="str">
        <f>IFERROR(INDEX('M03-S06'!$AZ$18:$AZ$199,2*(ROWS(N$103:N111)-1)+1),"")</f>
        <v/>
      </c>
      <c r="O111" s="37">
        <f>IFERROR(INDEX('M03-S06'!$BE$18:$BE$199,2*(ROWS(O$103:O111)-1)+1),"")</f>
        <v>0</v>
      </c>
      <c r="P111" s="37" t="str">
        <f>IFERROR(INDEX('M03-S06'!$BA$18:$BA$199,2*(ROWS(P$103:P111)-1)+1),"")</f>
        <v/>
      </c>
      <c r="Q111" s="37">
        <f>IFERROR(INDEX('M03-S06'!$BF$18:$BF$199,2*(ROWS(Q$103:Q111)-1)+1),"")</f>
        <v>0</v>
      </c>
      <c r="R111" s="14" t="str">
        <f>IFERROR(INDEX('M03-S06'!$AR$18:$AR$199,2*(ROWS(R$103:R111)-1)+1),"")</f>
        <v/>
      </c>
      <c r="S111" s="207"/>
      <c r="T111" s="207"/>
      <c r="U111" s="207"/>
      <c r="V111" s="194"/>
      <c r="W111" s="218"/>
      <c r="X111" s="218"/>
      <c r="Y111" s="210"/>
      <c r="Z111" s="210"/>
      <c r="AA111" s="219"/>
      <c r="AB111" s="219"/>
      <c r="AC111" s="194"/>
      <c r="AD111" s="37">
        <f>IFERROR(INDEX('M03-S06'!$BB$18:$BB$199,2*(ROWS(AD$103:AD111)-1)+1),"")</f>
        <v>0</v>
      </c>
      <c r="AE111" s="37">
        <f>IFERROR(INDEX('M03-S06'!$BC$18:$BC$199,2*(ROWS(AE$103:AE111)-1)+1),"")</f>
        <v>0</v>
      </c>
      <c r="AF111" s="210"/>
      <c r="AG111" s="210"/>
      <c r="AH111" s="210"/>
      <c r="AI111">
        <f>IFERROR(INDEX('M03-S06'!$B$18:$B$199,2*(ROWS(AI$103:AI111)-1)+1),"")</f>
        <v>9</v>
      </c>
      <c r="AJ111" s="194"/>
      <c r="AK111">
        <f>IFERROR(INDEX('M03-S06'!$C$18:$C$199,2*(ROWS(AK$103:AK111)-1)+1),"")</f>
        <v>0</v>
      </c>
      <c r="AL111" s="194"/>
      <c r="AM111">
        <f>IFERROR(INDEX('M03-S06'!$AA$18:$AA$199,2*(ROWS(AM$103:AM111)-1)+1),"")</f>
        <v>0</v>
      </c>
      <c r="AN111" s="207"/>
      <c r="AO111" s="207"/>
      <c r="AP111" t="str">
        <f>IFERROR(INDEX('M03-S06'!$AY$18:$AY$199,2*(ROWS(AP$103:AP111)-1)+1),"")</f>
        <v/>
      </c>
      <c r="AQ111" s="194"/>
      <c r="AR111" t="str">
        <f>IFERROR(INDEX(STDCOMPRESS[Reporting Methodology],MATCH(EXPORT!C111,STDCOMPRESS[Measure Number],0)),"")</f>
        <v/>
      </c>
      <c r="AS111" t="str">
        <f>IFERROR(INDEX(STDCOMPRESS[Primary Key],MATCH(C111,STDCOMPRESS[Measure Number],0)),"")</f>
        <v/>
      </c>
      <c r="AT111" s="14" t="str" cm="1">
        <f t="array" ref="AT111">_xlfn.LET(_xlpm.ROWS, 2*(ROWS(AT$103:AT111)-1)+1,IFERROR(INDEX('M03-S06'!$AR$18:$AR$199, _xlpm.ROWS)-INDEX('M03-S06'!$BQ$18:$BQ$199, _xlpm.ROWS),""))</f>
        <v/>
      </c>
      <c r="BL111"/>
      <c r="BP111"/>
      <c r="BQ111"/>
      <c r="BR111"/>
      <c r="CD111"/>
      <c r="CE111"/>
      <c r="CF111"/>
      <c r="CQ111"/>
      <c r="CR111"/>
      <c r="CS111"/>
      <c r="DS111"/>
      <c r="DT111"/>
      <c r="DU111"/>
    </row>
    <row r="112" spans="1:125" hidden="1">
      <c r="A112" s="15">
        <f t="shared" si="8"/>
        <v>0</v>
      </c>
      <c r="B112" t="str">
        <f t="shared" si="9"/>
        <v/>
      </c>
      <c r="C112" t="str">
        <f>IFERROR(IF(R112&gt;0,INDEX('M03-S06'!$BH$18:$BH$199,2*(ROWS($C$103:C112)-1)+1),""),"")</f>
        <v/>
      </c>
      <c r="D112" t="s">
        <v>1320</v>
      </c>
      <c r="E112" t="str">
        <f>IFERROR(INDEX('M03-S06'!$BD$18:$BD$199,2*(ROWS($E$103:E112)-1)+1),"")</f>
        <v/>
      </c>
      <c r="F112" s="210"/>
      <c r="G112">
        <f>IFERROR(INDEX('M03-S06'!$AE$18:$AE$199,2*(ROWS($G$103:G112)-1)+1),"")</f>
        <v>0</v>
      </c>
      <c r="H112" s="14">
        <f>IFERROR(ROUND(INDEX('M03-S06'!$AI$18:$AI$199,2*(ROWS(H$103:H112)-1)+1),2),"")</f>
        <v>0</v>
      </c>
      <c r="I112" s="14">
        <f>IFERROR(ROUND(INDEX('M03-S06'!$AK$18:$AK$199,2*(ROWS(I$103:I112)-1)+1),2),"")</f>
        <v>0</v>
      </c>
      <c r="J112" s="14" t="str">
        <f>IFERROR(ROUND(INDEX('M03-S06'!$AX$18:$AX$199,2*(ROWS(J$103:J112)-1)+1),2),"")</f>
        <v/>
      </c>
      <c r="K112" t="s">
        <v>84</v>
      </c>
      <c r="L112" s="10">
        <f>IFERROR(ROUND(INDEX('M03-S06'!$U$18:$U$199,2*(ROWS(L$103:L112)-1)+1),3),"")</f>
        <v>0</v>
      </c>
      <c r="M112" s="10">
        <f>IFERROR(ROUND(INDEX('M03-S06'!$U$18:$U$199,2*(ROWS(M$103:M112)-1)+1),3),"")</f>
        <v>0</v>
      </c>
      <c r="N112" s="37" t="str">
        <f>IFERROR(INDEX('M03-S06'!$AZ$18:$AZ$199,2*(ROWS(N$103:N112)-1)+1),"")</f>
        <v/>
      </c>
      <c r="O112" s="37">
        <f>IFERROR(INDEX('M03-S06'!$BE$18:$BE$199,2*(ROWS(O$103:O112)-1)+1),"")</f>
        <v>0</v>
      </c>
      <c r="P112" s="37" t="str">
        <f>IFERROR(INDEX('M03-S06'!$BA$18:$BA$199,2*(ROWS(P$103:P112)-1)+1),"")</f>
        <v/>
      </c>
      <c r="Q112" s="37">
        <f>IFERROR(INDEX('M03-S06'!$BF$18:$BF$199,2*(ROWS(Q$103:Q112)-1)+1),"")</f>
        <v>0</v>
      </c>
      <c r="R112" s="14" t="str">
        <f>IFERROR(INDEX('M03-S06'!$AR$18:$AR$199,2*(ROWS(R$103:R112)-1)+1),"")</f>
        <v/>
      </c>
      <c r="S112" s="207"/>
      <c r="T112" s="207"/>
      <c r="U112" s="207"/>
      <c r="V112" s="194"/>
      <c r="W112" s="218"/>
      <c r="X112" s="218"/>
      <c r="Y112" s="210"/>
      <c r="Z112" s="210"/>
      <c r="AA112" s="219"/>
      <c r="AB112" s="219"/>
      <c r="AC112" s="194"/>
      <c r="AD112" s="37">
        <f>IFERROR(INDEX('M03-S06'!$BB$18:$BB$199,2*(ROWS(AD$103:AD112)-1)+1),"")</f>
        <v>0</v>
      </c>
      <c r="AE112" s="37">
        <f>IFERROR(INDEX('M03-S06'!$BC$18:$BC$199,2*(ROWS(AE$103:AE112)-1)+1),"")</f>
        <v>0</v>
      </c>
      <c r="AF112" s="210"/>
      <c r="AG112" s="210"/>
      <c r="AH112" s="210"/>
      <c r="AI112">
        <f>IFERROR(INDEX('M03-S06'!$B$18:$B$199,2*(ROWS(AI$103:AI112)-1)+1),"")</f>
        <v>10</v>
      </c>
      <c r="AJ112" s="194"/>
      <c r="AK112">
        <f>IFERROR(INDEX('M03-S06'!$C$18:$C$199,2*(ROWS(AK$103:AK112)-1)+1),"")</f>
        <v>0</v>
      </c>
      <c r="AL112" s="194"/>
      <c r="AM112">
        <f>IFERROR(INDEX('M03-S06'!$AA$18:$AA$199,2*(ROWS(AM$103:AM112)-1)+1),"")</f>
        <v>0</v>
      </c>
      <c r="AN112" s="207"/>
      <c r="AO112" s="207"/>
      <c r="AP112" t="str">
        <f>IFERROR(INDEX('M03-S06'!$AY$18:$AY$199,2*(ROWS(AP$103:AP112)-1)+1),"")</f>
        <v/>
      </c>
      <c r="AQ112" s="194"/>
      <c r="AR112" t="str">
        <f>IFERROR(INDEX(STDCOMPRESS[Reporting Methodology],MATCH(EXPORT!C112,STDCOMPRESS[Measure Number],0)),"")</f>
        <v/>
      </c>
      <c r="AS112" t="str">
        <f>IFERROR(INDEX(STDCOMPRESS[Primary Key],MATCH(C112,STDCOMPRESS[Measure Number],0)),"")</f>
        <v/>
      </c>
      <c r="AT112" s="14" t="str" cm="1">
        <f t="array" ref="AT112">_xlfn.LET(_xlpm.ROWS, 2*(ROWS(AT$103:AT112)-1)+1,IFERROR(INDEX('M03-S06'!$AR$18:$AR$199, _xlpm.ROWS)-INDEX('M03-S06'!$BQ$18:$BQ$199, _xlpm.ROWS),""))</f>
        <v/>
      </c>
      <c r="BL112"/>
      <c r="BP112"/>
      <c r="BQ112"/>
      <c r="BR112"/>
      <c r="CD112"/>
      <c r="CE112"/>
      <c r="CF112"/>
      <c r="CQ112"/>
      <c r="CR112"/>
      <c r="CS112"/>
      <c r="DS112"/>
      <c r="DT112"/>
      <c r="DU112"/>
    </row>
    <row r="113" spans="1:125" hidden="1">
      <c r="A113" s="15">
        <f t="shared" si="8"/>
        <v>0</v>
      </c>
      <c r="B113" t="str">
        <f t="shared" si="9"/>
        <v/>
      </c>
      <c r="C113" t="str">
        <f>IFERROR(IF(R113&gt;0,INDEX('M03-S06'!$BH$18:$BH$199,2*(ROWS($C$103:C113)-1)+1),""),"")</f>
        <v/>
      </c>
      <c r="D113" t="s">
        <v>1320</v>
      </c>
      <c r="E113">
        <f>IFERROR(INDEX('M03-S06'!$BD$18:$BD$199,2*(ROWS($E$103:E113)-1)+1),"")</f>
        <v>0</v>
      </c>
      <c r="F113" s="210"/>
      <c r="G113">
        <f>IFERROR(INDEX('M03-S06'!$AE$18:$AE$199,2*(ROWS($G$103:G113)-1)+1),"")</f>
        <v>0</v>
      </c>
      <c r="H113" s="14">
        <f>IFERROR(ROUND(INDEX('M03-S06'!$AI$18:$AI$199,2*(ROWS(H$103:H113)-1)+1),2),"")</f>
        <v>0</v>
      </c>
      <c r="I113" s="14">
        <f>IFERROR(ROUND(INDEX('M03-S06'!$AK$18:$AK$199,2*(ROWS(I$103:I113)-1)+1),2),"")</f>
        <v>0</v>
      </c>
      <c r="J113" s="14">
        <f>IFERROR(ROUND(INDEX('M03-S06'!$AX$18:$AX$199,2*(ROWS(J$103:J113)-1)+1),2),"")</f>
        <v>0</v>
      </c>
      <c r="K113" t="s">
        <v>84</v>
      </c>
      <c r="L113" s="10">
        <f>IFERROR(ROUND(INDEX('M03-S06'!$U$18:$U$199,2*(ROWS(L$103:L113)-1)+1),3),"")</f>
        <v>0</v>
      </c>
      <c r="M113" s="10">
        <f>IFERROR(ROUND(INDEX('M03-S06'!$U$18:$U$199,2*(ROWS(M$103:M113)-1)+1),3),"")</f>
        <v>0</v>
      </c>
      <c r="N113" s="37">
        <f>IFERROR(INDEX('M03-S06'!$AZ$18:$AZ$199,2*(ROWS(N$103:N113)-1)+1),"")</f>
        <v>0</v>
      </c>
      <c r="O113" s="37">
        <f>IFERROR(INDEX('M03-S06'!$BE$18:$BE$199,2*(ROWS(O$103:O113)-1)+1),"")</f>
        <v>0</v>
      </c>
      <c r="P113" s="37">
        <f>IFERROR(INDEX('M03-S06'!$BA$18:$BA$199,2*(ROWS(P$103:P113)-1)+1),"")</f>
        <v>0</v>
      </c>
      <c r="Q113" s="37">
        <f>IFERROR(INDEX('M03-S06'!$BF$18:$BF$199,2*(ROWS(Q$103:Q113)-1)+1),"")</f>
        <v>0</v>
      </c>
      <c r="R113" s="14">
        <f>IFERROR(INDEX('M03-S06'!$AR$18:$AR$199,2*(ROWS(R$103:R113)-1)+1),"")</f>
        <v>0</v>
      </c>
      <c r="S113" s="207"/>
      <c r="T113" s="207"/>
      <c r="U113" s="207"/>
      <c r="V113" s="194"/>
      <c r="W113" s="218"/>
      <c r="X113" s="218"/>
      <c r="Y113" s="210"/>
      <c r="Z113" s="210"/>
      <c r="AA113" s="219"/>
      <c r="AB113" s="219"/>
      <c r="AC113" s="194"/>
      <c r="AD113" s="37">
        <f>IFERROR(INDEX('M03-S06'!$BB$18:$BB$199,2*(ROWS(AD$103:AD113)-1)+1),"")</f>
        <v>0</v>
      </c>
      <c r="AE113" s="37">
        <f>IFERROR(INDEX('M03-S06'!$BC$18:$BC$199,2*(ROWS(AE$103:AE113)-1)+1),"")</f>
        <v>0</v>
      </c>
      <c r="AF113" s="210"/>
      <c r="AG113" s="210"/>
      <c r="AH113" s="210"/>
      <c r="AI113">
        <f>IFERROR(INDEX('M03-S06'!$B$18:$B$199,2*(ROWS(AI$103:AI113)-1)+1),"")</f>
        <v>0</v>
      </c>
      <c r="AJ113" s="194"/>
      <c r="AK113">
        <f>IFERROR(INDEX('M03-S06'!$C$18:$C$199,2*(ROWS(AK$103:AK113)-1)+1),"")</f>
        <v>0</v>
      </c>
      <c r="AL113" s="194"/>
      <c r="AM113">
        <f>IFERROR(INDEX('M03-S06'!$AA$18:$AA$199,2*(ROWS(AM$103:AM113)-1)+1),"")</f>
        <v>0</v>
      </c>
      <c r="AN113" s="207"/>
      <c r="AO113" s="207"/>
      <c r="AP113">
        <f>IFERROR(INDEX('M03-S06'!$AY$18:$AY$199,2*(ROWS(AP$103:AP113)-1)+1),"")</f>
        <v>0</v>
      </c>
      <c r="AQ113" s="194"/>
      <c r="AR113" t="str">
        <f>IFERROR(INDEX(STDCOMPRESS[Reporting Methodology],MATCH(EXPORT!C113,STDCOMPRESS[Measure Number],0)),"")</f>
        <v/>
      </c>
      <c r="AS113" t="str">
        <f>IFERROR(INDEX(STDCOMPRESS[Primary Key],MATCH(C113,STDCOMPRESS[Measure Number],0)),"")</f>
        <v/>
      </c>
      <c r="AT113" s="14" cm="1">
        <f t="array" ref="AT113">_xlfn.LET(_xlpm.ROWS, 2*(ROWS(AT$103:AT113)-1)+1,IFERROR(INDEX('M03-S06'!$AR$18:$AR$199, _xlpm.ROWS)-INDEX('M03-S06'!$BQ$18:$BQ$199, _xlpm.ROWS),""))</f>
        <v>0</v>
      </c>
      <c r="BL113"/>
      <c r="BP113"/>
      <c r="BQ113"/>
      <c r="BR113"/>
      <c r="CD113"/>
      <c r="CE113"/>
      <c r="CF113"/>
      <c r="CQ113"/>
      <c r="CR113"/>
      <c r="CS113"/>
      <c r="DS113"/>
      <c r="DT113"/>
      <c r="DU113"/>
    </row>
    <row r="114" spans="1:125" hidden="1">
      <c r="A114" s="15">
        <f t="shared" si="8"/>
        <v>0</v>
      </c>
      <c r="B114" t="str">
        <f t="shared" si="9"/>
        <v/>
      </c>
      <c r="C114" t="str">
        <f>IFERROR(IF(R114&gt;0,INDEX('M03-S06'!$BH$18:$BH$199,2*(ROWS($C$103:C114)-1)+1),""),"")</f>
        <v/>
      </c>
      <c r="D114" t="s">
        <v>1320</v>
      </c>
      <c r="E114">
        <f>IFERROR(INDEX('M03-S06'!$BD$18:$BD$199,2*(ROWS($E$103:E114)-1)+1),"")</f>
        <v>0</v>
      </c>
      <c r="F114" s="210"/>
      <c r="G114">
        <f>IFERROR(INDEX('M03-S06'!$AE$18:$AE$199,2*(ROWS($G$103:G114)-1)+1),"")</f>
        <v>0</v>
      </c>
      <c r="H114" s="14">
        <f>IFERROR(ROUND(INDEX('M03-S06'!$AI$18:$AI$199,2*(ROWS(H$103:H114)-1)+1),2),"")</f>
        <v>0</v>
      </c>
      <c r="I114" s="14">
        <f>IFERROR(ROUND(INDEX('M03-S06'!$AK$18:$AK$199,2*(ROWS(I$103:I114)-1)+1),2),"")</f>
        <v>0</v>
      </c>
      <c r="J114" s="14">
        <f>IFERROR(ROUND(INDEX('M03-S06'!$AX$18:$AX$199,2*(ROWS(J$103:J114)-1)+1),2),"")</f>
        <v>0</v>
      </c>
      <c r="K114" t="s">
        <v>84</v>
      </c>
      <c r="L114" s="10">
        <f>IFERROR(ROUND(INDEX('M03-S06'!$U$18:$U$199,2*(ROWS(L$103:L114)-1)+1),3),"")</f>
        <v>0</v>
      </c>
      <c r="M114" s="10">
        <f>IFERROR(ROUND(INDEX('M03-S06'!$U$18:$U$199,2*(ROWS(M$103:M114)-1)+1),3),"")</f>
        <v>0</v>
      </c>
      <c r="N114" s="37">
        <f>IFERROR(INDEX('M03-S06'!$AZ$18:$AZ$199,2*(ROWS(N$103:N114)-1)+1),"")</f>
        <v>0</v>
      </c>
      <c r="O114" s="37">
        <f>IFERROR(INDEX('M03-S06'!$BE$18:$BE$199,2*(ROWS(O$103:O114)-1)+1),"")</f>
        <v>0</v>
      </c>
      <c r="P114" s="37">
        <f>IFERROR(INDEX('M03-S06'!$BA$18:$BA$199,2*(ROWS(P$103:P114)-1)+1),"")</f>
        <v>0</v>
      </c>
      <c r="Q114" s="37">
        <f>IFERROR(INDEX('M03-S06'!$BF$18:$BF$199,2*(ROWS(Q$103:Q114)-1)+1),"")</f>
        <v>0</v>
      </c>
      <c r="R114" s="14">
        <f>IFERROR(INDEX('M03-S06'!$AR$18:$AR$199,2*(ROWS(R$103:R114)-1)+1),"")</f>
        <v>0</v>
      </c>
      <c r="S114" s="207"/>
      <c r="T114" s="207"/>
      <c r="U114" s="207"/>
      <c r="V114" s="194"/>
      <c r="W114" s="218"/>
      <c r="X114" s="218"/>
      <c r="Y114" s="210"/>
      <c r="Z114" s="210"/>
      <c r="AA114" s="219"/>
      <c r="AB114" s="219"/>
      <c r="AC114" s="194"/>
      <c r="AD114" s="37">
        <f>IFERROR(INDEX('M03-S06'!$BB$18:$BB$199,2*(ROWS(AD$103:AD114)-1)+1),"")</f>
        <v>0</v>
      </c>
      <c r="AE114" s="37">
        <f>IFERROR(INDEX('M03-S06'!$BC$18:$BC$199,2*(ROWS(AE$103:AE114)-1)+1),"")</f>
        <v>0</v>
      </c>
      <c r="AF114" s="210"/>
      <c r="AG114" s="210"/>
      <c r="AH114" s="210"/>
      <c r="AI114">
        <f>IFERROR(INDEX('M03-S06'!$B$18:$B$199,2*(ROWS(AI$103:AI114)-1)+1),"")</f>
        <v>0</v>
      </c>
      <c r="AJ114" s="194"/>
      <c r="AK114">
        <f>IFERROR(INDEX('M03-S06'!$C$18:$C$199,2*(ROWS(AK$103:AK114)-1)+1),"")</f>
        <v>0</v>
      </c>
      <c r="AL114" s="194"/>
      <c r="AM114">
        <f>IFERROR(INDEX('M03-S06'!$AA$18:$AA$199,2*(ROWS(AM$103:AM114)-1)+1),"")</f>
        <v>0</v>
      </c>
      <c r="AN114" s="207"/>
      <c r="AO114" s="207"/>
      <c r="AP114">
        <f>IFERROR(INDEX('M03-S06'!$AY$18:$AY$199,2*(ROWS(AP$103:AP114)-1)+1),"")</f>
        <v>0</v>
      </c>
      <c r="AQ114" s="194"/>
      <c r="AR114" t="str">
        <f>IFERROR(INDEX(STDCOMPRESS[Reporting Methodology],MATCH(EXPORT!C114,STDCOMPRESS[Measure Number],0)),"")</f>
        <v/>
      </c>
      <c r="AS114" t="str">
        <f>IFERROR(INDEX(STDCOMPRESS[Primary Key],MATCH(C114,STDCOMPRESS[Measure Number],0)),"")</f>
        <v/>
      </c>
      <c r="AT114" s="14" cm="1">
        <f t="array" ref="AT114">_xlfn.LET(_xlpm.ROWS, 2*(ROWS(AT$103:AT114)-1)+1,IFERROR(INDEX('M03-S06'!$AR$18:$AR$199, _xlpm.ROWS)-INDEX('M03-S06'!$BQ$18:$BQ$199, _xlpm.ROWS),""))</f>
        <v>0</v>
      </c>
      <c r="BL114"/>
      <c r="BP114"/>
      <c r="BQ114"/>
      <c r="BR114"/>
      <c r="CD114"/>
      <c r="CE114"/>
      <c r="CF114"/>
      <c r="CQ114"/>
      <c r="CR114"/>
      <c r="CS114"/>
      <c r="DS114"/>
      <c r="DT114"/>
      <c r="DU114"/>
    </row>
    <row r="115" spans="1:125" hidden="1">
      <c r="A115" s="15">
        <f t="shared" si="8"/>
        <v>0</v>
      </c>
      <c r="B115" t="str">
        <f t="shared" si="9"/>
        <v/>
      </c>
      <c r="C115" t="str">
        <f>IFERROR(IF(R115&gt;0,INDEX('M03-S06'!$BH$18:$BH$199,2*(ROWS($C$103:C115)-1)+1),""),"")</f>
        <v/>
      </c>
      <c r="D115" t="s">
        <v>1320</v>
      </c>
      <c r="E115">
        <f>IFERROR(INDEX('M03-S06'!$BD$18:$BD$199,2*(ROWS($E$103:E115)-1)+1),"")</f>
        <v>0</v>
      </c>
      <c r="F115" s="210"/>
      <c r="G115">
        <f>IFERROR(INDEX('M03-S06'!$AE$18:$AE$199,2*(ROWS($G$103:G115)-1)+1),"")</f>
        <v>0</v>
      </c>
      <c r="H115" s="14">
        <f>IFERROR(ROUND(INDEX('M03-S06'!$AI$18:$AI$199,2*(ROWS(H$103:H115)-1)+1),2),"")</f>
        <v>0</v>
      </c>
      <c r="I115" s="14">
        <f>IFERROR(ROUND(INDEX('M03-S06'!$AK$18:$AK$199,2*(ROWS(I$103:I115)-1)+1),2),"")</f>
        <v>0</v>
      </c>
      <c r="J115" s="14">
        <f>IFERROR(ROUND(INDEX('M03-S06'!$AX$18:$AX$199,2*(ROWS(J$103:J115)-1)+1),2),"")</f>
        <v>0</v>
      </c>
      <c r="K115" t="s">
        <v>84</v>
      </c>
      <c r="L115" s="10">
        <f>IFERROR(ROUND(INDEX('M03-S06'!$U$18:$U$199,2*(ROWS(L$103:L115)-1)+1),3),"")</f>
        <v>0</v>
      </c>
      <c r="M115" s="10">
        <f>IFERROR(ROUND(INDEX('M03-S06'!$U$18:$U$199,2*(ROWS(M$103:M115)-1)+1),3),"")</f>
        <v>0</v>
      </c>
      <c r="N115" s="37">
        <f>IFERROR(INDEX('M03-S06'!$AZ$18:$AZ$199,2*(ROWS(N$103:N115)-1)+1),"")</f>
        <v>0</v>
      </c>
      <c r="O115" s="37">
        <f>IFERROR(INDEX('M03-S06'!$BE$18:$BE$199,2*(ROWS(O$103:O115)-1)+1),"")</f>
        <v>0</v>
      </c>
      <c r="P115" s="37">
        <f>IFERROR(INDEX('M03-S06'!$BA$18:$BA$199,2*(ROWS(P$103:P115)-1)+1),"")</f>
        <v>0</v>
      </c>
      <c r="Q115" s="37">
        <f>IFERROR(INDEX('M03-S06'!$BF$18:$BF$199,2*(ROWS(Q$103:Q115)-1)+1),"")</f>
        <v>0</v>
      </c>
      <c r="R115" s="14">
        <f>IFERROR(INDEX('M03-S06'!$AR$18:$AR$199,2*(ROWS(R$103:R115)-1)+1),"")</f>
        <v>0</v>
      </c>
      <c r="S115" s="207"/>
      <c r="T115" s="207"/>
      <c r="U115" s="207"/>
      <c r="V115" s="194"/>
      <c r="W115" s="218"/>
      <c r="X115" s="218"/>
      <c r="Y115" s="210"/>
      <c r="Z115" s="210"/>
      <c r="AA115" s="219"/>
      <c r="AB115" s="219"/>
      <c r="AC115" s="194"/>
      <c r="AD115" s="37">
        <f>IFERROR(INDEX('M03-S06'!$BB$18:$BB$199,2*(ROWS(AD$103:AD115)-1)+1),"")</f>
        <v>0</v>
      </c>
      <c r="AE115" s="37">
        <f>IFERROR(INDEX('M03-S06'!$BC$18:$BC$199,2*(ROWS(AE$103:AE115)-1)+1),"")</f>
        <v>0</v>
      </c>
      <c r="AF115" s="210"/>
      <c r="AG115" s="210"/>
      <c r="AH115" s="210"/>
      <c r="AI115">
        <f>IFERROR(INDEX('M03-S06'!$B$18:$B$199,2*(ROWS(AI$103:AI115)-1)+1),"")</f>
        <v>0</v>
      </c>
      <c r="AJ115" s="194"/>
      <c r="AK115">
        <f>IFERROR(INDEX('M03-S06'!$C$18:$C$199,2*(ROWS(AK$103:AK115)-1)+1),"")</f>
        <v>0</v>
      </c>
      <c r="AL115" s="194"/>
      <c r="AM115">
        <f>IFERROR(INDEX('M03-S06'!$AA$18:$AA$199,2*(ROWS(AM$103:AM115)-1)+1),"")</f>
        <v>0</v>
      </c>
      <c r="AN115" s="207"/>
      <c r="AO115" s="207"/>
      <c r="AP115">
        <f>IFERROR(INDEX('M03-S06'!$AY$18:$AY$199,2*(ROWS(AP$103:AP115)-1)+1),"")</f>
        <v>0</v>
      </c>
      <c r="AQ115" s="194"/>
      <c r="AR115" t="str">
        <f>IFERROR(INDEX(STDCOMPRESS[Reporting Methodology],MATCH(EXPORT!C115,STDCOMPRESS[Measure Number],0)),"")</f>
        <v/>
      </c>
      <c r="AS115" t="str">
        <f>IFERROR(INDEX(STDCOMPRESS[Primary Key],MATCH(C115,STDCOMPRESS[Measure Number],0)),"")</f>
        <v/>
      </c>
      <c r="AT115" s="14" cm="1">
        <f t="array" ref="AT115">_xlfn.LET(_xlpm.ROWS, 2*(ROWS(AT$103:AT115)-1)+1,IFERROR(INDEX('M03-S06'!$AR$18:$AR$199, _xlpm.ROWS)-INDEX('M03-S06'!$BQ$18:$BQ$199, _xlpm.ROWS),""))</f>
        <v>0</v>
      </c>
      <c r="BL115"/>
      <c r="BP115"/>
      <c r="BQ115"/>
      <c r="BR115"/>
      <c r="CD115"/>
      <c r="CE115"/>
      <c r="CF115"/>
      <c r="CQ115"/>
      <c r="CR115"/>
      <c r="CS115"/>
      <c r="DS115"/>
      <c r="DT115"/>
      <c r="DU115"/>
    </row>
    <row r="116" spans="1:125" hidden="1">
      <c r="A116" s="15">
        <f t="shared" si="8"/>
        <v>0</v>
      </c>
      <c r="B116" t="str">
        <f t="shared" si="9"/>
        <v/>
      </c>
      <c r="C116" t="str">
        <f>IFERROR(IF(R116&gt;0,INDEX('M03-S06'!$BH$18:$BH$199,2*(ROWS($C$103:C116)-1)+1),""),"")</f>
        <v/>
      </c>
      <c r="D116" t="s">
        <v>1320</v>
      </c>
      <c r="E116">
        <f>IFERROR(INDEX('M03-S06'!$BD$18:$BD$199,2*(ROWS($E$103:E116)-1)+1),"")</f>
        <v>0</v>
      </c>
      <c r="F116" s="210"/>
      <c r="G116">
        <f>IFERROR(INDEX('M03-S06'!$AE$18:$AE$199,2*(ROWS($G$103:G116)-1)+1),"")</f>
        <v>0</v>
      </c>
      <c r="H116" s="14">
        <f>IFERROR(ROUND(INDEX('M03-S06'!$AI$18:$AI$199,2*(ROWS(H$103:H116)-1)+1),2),"")</f>
        <v>0</v>
      </c>
      <c r="I116" s="14">
        <f>IFERROR(ROUND(INDEX('M03-S06'!$AK$18:$AK$199,2*(ROWS(I$103:I116)-1)+1),2),"")</f>
        <v>0</v>
      </c>
      <c r="J116" s="14">
        <f>IFERROR(ROUND(INDEX('M03-S06'!$AX$18:$AX$199,2*(ROWS(J$103:J116)-1)+1),2),"")</f>
        <v>0</v>
      </c>
      <c r="K116" t="s">
        <v>84</v>
      </c>
      <c r="L116" s="10">
        <f>IFERROR(ROUND(INDEX('M03-S06'!$U$18:$U$199,2*(ROWS(L$103:L116)-1)+1),3),"")</f>
        <v>0</v>
      </c>
      <c r="M116" s="10">
        <f>IFERROR(ROUND(INDEX('M03-S06'!$U$18:$U$199,2*(ROWS(M$103:M116)-1)+1),3),"")</f>
        <v>0</v>
      </c>
      <c r="N116" s="37">
        <f>IFERROR(INDEX('M03-S06'!$AZ$18:$AZ$199,2*(ROWS(N$103:N116)-1)+1),"")</f>
        <v>0</v>
      </c>
      <c r="O116" s="37">
        <f>IFERROR(INDEX('M03-S06'!$BE$18:$BE$199,2*(ROWS(O$103:O116)-1)+1),"")</f>
        <v>0</v>
      </c>
      <c r="P116" s="37">
        <f>IFERROR(INDEX('M03-S06'!$BA$18:$BA$199,2*(ROWS(P$103:P116)-1)+1),"")</f>
        <v>0</v>
      </c>
      <c r="Q116" s="37">
        <f>IFERROR(INDEX('M03-S06'!$BF$18:$BF$199,2*(ROWS(Q$103:Q116)-1)+1),"")</f>
        <v>0</v>
      </c>
      <c r="R116" s="14">
        <f>IFERROR(INDEX('M03-S06'!$AR$18:$AR$199,2*(ROWS(R$103:R116)-1)+1),"")</f>
        <v>0</v>
      </c>
      <c r="S116" s="207"/>
      <c r="T116" s="207"/>
      <c r="U116" s="207"/>
      <c r="V116" s="194"/>
      <c r="W116" s="218"/>
      <c r="X116" s="218"/>
      <c r="Y116" s="210"/>
      <c r="Z116" s="210"/>
      <c r="AA116" s="219"/>
      <c r="AB116" s="219"/>
      <c r="AC116" s="194"/>
      <c r="AD116" s="37">
        <f>IFERROR(INDEX('M03-S06'!$BB$18:$BB$199,2*(ROWS(AD$103:AD116)-1)+1),"")</f>
        <v>0</v>
      </c>
      <c r="AE116" s="37">
        <f>IFERROR(INDEX('M03-S06'!$BC$18:$BC$199,2*(ROWS(AE$103:AE116)-1)+1),"")</f>
        <v>0</v>
      </c>
      <c r="AF116" s="210"/>
      <c r="AG116" s="210"/>
      <c r="AH116" s="210"/>
      <c r="AI116">
        <f>IFERROR(INDEX('M03-S06'!$B$18:$B$199,2*(ROWS(AI$103:AI116)-1)+1),"")</f>
        <v>0</v>
      </c>
      <c r="AJ116" s="194"/>
      <c r="AK116">
        <f>IFERROR(INDEX('M03-S06'!$C$18:$C$199,2*(ROWS(AK$103:AK116)-1)+1),"")</f>
        <v>0</v>
      </c>
      <c r="AL116" s="194"/>
      <c r="AM116">
        <f>IFERROR(INDEX('M03-S06'!$AA$18:$AA$199,2*(ROWS(AM$103:AM116)-1)+1),"")</f>
        <v>0</v>
      </c>
      <c r="AN116" s="207"/>
      <c r="AO116" s="207"/>
      <c r="AP116">
        <f>IFERROR(INDEX('M03-S06'!$AY$18:$AY$199,2*(ROWS(AP$103:AP116)-1)+1),"")</f>
        <v>0</v>
      </c>
      <c r="AQ116" s="194"/>
      <c r="AR116" t="str">
        <f>IFERROR(INDEX(STDCOMPRESS[Reporting Methodology],MATCH(EXPORT!C116,STDCOMPRESS[Measure Number],0)),"")</f>
        <v/>
      </c>
      <c r="AS116" t="str">
        <f>IFERROR(INDEX(STDCOMPRESS[Primary Key],MATCH(C116,STDCOMPRESS[Measure Number],0)),"")</f>
        <v/>
      </c>
      <c r="AT116" s="14" cm="1">
        <f t="array" ref="AT116">_xlfn.LET(_xlpm.ROWS, 2*(ROWS(AT$103:AT116)-1)+1,IFERROR(INDEX('M03-S06'!$AR$18:$AR$199, _xlpm.ROWS)-INDEX('M03-S06'!$BQ$18:$BQ$199, _xlpm.ROWS),""))</f>
        <v>0</v>
      </c>
      <c r="BL116"/>
      <c r="BP116"/>
      <c r="BQ116"/>
      <c r="BR116"/>
      <c r="CD116"/>
      <c r="CE116"/>
      <c r="CF116"/>
      <c r="CQ116"/>
      <c r="CR116"/>
      <c r="CS116"/>
      <c r="DS116"/>
      <c r="DT116"/>
      <c r="DU116"/>
    </row>
    <row r="117" spans="1:125" hidden="1">
      <c r="A117" s="15">
        <f t="shared" si="8"/>
        <v>0</v>
      </c>
      <c r="B117" t="str">
        <f t="shared" si="9"/>
        <v/>
      </c>
      <c r="C117" t="str">
        <f>IFERROR(IF(R117&gt;0,INDEX('M03-S06'!$BH$18:$BH$199,2*(ROWS($C$103:C117)-1)+1),""),"")</f>
        <v/>
      </c>
      <c r="D117" t="s">
        <v>1320</v>
      </c>
      <c r="E117">
        <f>IFERROR(INDEX('M03-S06'!$BD$18:$BD$199,2*(ROWS($E$103:E117)-1)+1),"")</f>
        <v>0</v>
      </c>
      <c r="F117" s="210"/>
      <c r="G117">
        <f>IFERROR(INDEX('M03-S06'!$AE$18:$AE$199,2*(ROWS($G$103:G117)-1)+1),"")</f>
        <v>0</v>
      </c>
      <c r="H117" s="14">
        <f>IFERROR(ROUND(INDEX('M03-S06'!$AI$18:$AI$199,2*(ROWS(H$103:H117)-1)+1),2),"")</f>
        <v>0</v>
      </c>
      <c r="I117" s="14">
        <f>IFERROR(ROUND(INDEX('M03-S06'!$AK$18:$AK$199,2*(ROWS(I$103:I117)-1)+1),2),"")</f>
        <v>0</v>
      </c>
      <c r="J117" s="14">
        <f>IFERROR(ROUND(INDEX('M03-S06'!$AX$18:$AX$199,2*(ROWS(J$103:J117)-1)+1),2),"")</f>
        <v>0</v>
      </c>
      <c r="K117" t="s">
        <v>84</v>
      </c>
      <c r="L117" s="10">
        <f>IFERROR(ROUND(INDEX('M03-S06'!$U$18:$U$199,2*(ROWS(L$103:L117)-1)+1),3),"")</f>
        <v>0</v>
      </c>
      <c r="M117" s="10">
        <f>IFERROR(ROUND(INDEX('M03-S06'!$U$18:$U$199,2*(ROWS(M$103:M117)-1)+1),3),"")</f>
        <v>0</v>
      </c>
      <c r="N117" s="37">
        <f>IFERROR(INDEX('M03-S06'!$AZ$18:$AZ$199,2*(ROWS(N$103:N117)-1)+1),"")</f>
        <v>0</v>
      </c>
      <c r="O117" s="37">
        <f>IFERROR(INDEX('M03-S06'!$BE$18:$BE$199,2*(ROWS(O$103:O117)-1)+1),"")</f>
        <v>0</v>
      </c>
      <c r="P117" s="37">
        <f>IFERROR(INDEX('M03-S06'!$BA$18:$BA$199,2*(ROWS(P$103:P117)-1)+1),"")</f>
        <v>0</v>
      </c>
      <c r="Q117" s="37">
        <f>IFERROR(INDEX('M03-S06'!$BF$18:$BF$199,2*(ROWS(Q$103:Q117)-1)+1),"")</f>
        <v>0</v>
      </c>
      <c r="R117" s="14">
        <f>IFERROR(INDEX('M03-S06'!$AR$18:$AR$199,2*(ROWS(R$103:R117)-1)+1),"")</f>
        <v>0</v>
      </c>
      <c r="S117" s="207"/>
      <c r="T117" s="207"/>
      <c r="U117" s="207"/>
      <c r="V117" s="194"/>
      <c r="W117" s="218"/>
      <c r="X117" s="218"/>
      <c r="Y117" s="210"/>
      <c r="Z117" s="210"/>
      <c r="AA117" s="219"/>
      <c r="AB117" s="219"/>
      <c r="AC117" s="194"/>
      <c r="AD117" s="37">
        <f>IFERROR(INDEX('M03-S06'!$BB$18:$BB$199,2*(ROWS(AD$103:AD117)-1)+1),"")</f>
        <v>0</v>
      </c>
      <c r="AE117" s="37">
        <f>IFERROR(INDEX('M03-S06'!$BC$18:$BC$199,2*(ROWS(AE$103:AE117)-1)+1),"")</f>
        <v>0</v>
      </c>
      <c r="AF117" s="210"/>
      <c r="AG117" s="210"/>
      <c r="AH117" s="210"/>
      <c r="AI117">
        <f>IFERROR(INDEX('M03-S06'!$B$18:$B$199,2*(ROWS(AI$103:AI117)-1)+1),"")</f>
        <v>0</v>
      </c>
      <c r="AJ117" s="194"/>
      <c r="AK117">
        <f>IFERROR(INDEX('M03-S06'!$C$18:$C$199,2*(ROWS(AK$103:AK117)-1)+1),"")</f>
        <v>0</v>
      </c>
      <c r="AL117" s="194"/>
      <c r="AM117">
        <f>IFERROR(INDEX('M03-S06'!$AA$18:$AA$199,2*(ROWS(AM$103:AM117)-1)+1),"")</f>
        <v>0</v>
      </c>
      <c r="AN117" s="207"/>
      <c r="AO117" s="207"/>
      <c r="AP117">
        <f>IFERROR(INDEX('M03-S06'!$AY$18:$AY$199,2*(ROWS(AP$103:AP117)-1)+1),"")</f>
        <v>0</v>
      </c>
      <c r="AQ117" s="194"/>
      <c r="AR117" t="str">
        <f>IFERROR(INDEX(STDCOMPRESS[Reporting Methodology],MATCH(EXPORT!C117,STDCOMPRESS[Measure Number],0)),"")</f>
        <v/>
      </c>
      <c r="AS117" t="str">
        <f>IFERROR(INDEX(STDCOMPRESS[Primary Key],MATCH(C117,STDCOMPRESS[Measure Number],0)),"")</f>
        <v/>
      </c>
      <c r="AT117" s="14" cm="1">
        <f t="array" ref="AT117">_xlfn.LET(_xlpm.ROWS, 2*(ROWS(AT$103:AT117)-1)+1,IFERROR(INDEX('M03-S06'!$AR$18:$AR$199, _xlpm.ROWS)-INDEX('M03-S06'!$BQ$18:$BQ$199, _xlpm.ROWS),""))</f>
        <v>0</v>
      </c>
      <c r="BL117"/>
      <c r="BP117"/>
      <c r="BQ117"/>
      <c r="BR117"/>
      <c r="CD117"/>
      <c r="CE117"/>
      <c r="CF117"/>
      <c r="CQ117"/>
      <c r="CR117"/>
      <c r="CS117"/>
      <c r="DS117"/>
      <c r="DT117"/>
      <c r="DU117"/>
    </row>
    <row r="118" spans="1:125" s="195" customFormat="1">
      <c r="A118" s="224" t="str">
        <f>"Standard "&amp;M3S7</f>
        <v>Standard Water Heating / Food Services</v>
      </c>
      <c r="F118" s="209"/>
      <c r="H118" s="205"/>
      <c r="I118" s="205"/>
      <c r="J118" s="205"/>
      <c r="L118" s="213"/>
      <c r="M118" s="213"/>
      <c r="N118" s="216"/>
      <c r="O118" s="216"/>
      <c r="P118" s="216"/>
      <c r="Q118" s="216"/>
      <c r="R118" s="205"/>
      <c r="S118" s="205"/>
      <c r="T118" s="205"/>
      <c r="U118" s="205"/>
      <c r="W118" s="213"/>
      <c r="X118" s="213"/>
      <c r="Y118" s="209"/>
      <c r="Z118" s="209"/>
      <c r="AA118" s="216"/>
      <c r="AB118" s="216"/>
      <c r="AD118" s="216"/>
      <c r="AE118" s="216"/>
      <c r="AF118" s="209"/>
      <c r="AG118" s="209"/>
      <c r="AH118" s="209"/>
      <c r="AK118" s="196"/>
      <c r="AN118" s="205"/>
      <c r="AO118" s="205"/>
      <c r="AU118" s="197"/>
      <c r="AV118" s="197"/>
      <c r="AW118" s="197"/>
      <c r="AX118" s="197"/>
      <c r="AY118" s="197"/>
      <c r="AZ118" s="197"/>
      <c r="BA118" s="197"/>
      <c r="BB118" s="197"/>
      <c r="BC118" s="197"/>
      <c r="BD118" s="197"/>
      <c r="BE118" s="197"/>
    </row>
    <row r="119" spans="1:125" hidden="1">
      <c r="A119" s="15">
        <f t="shared" ref="A119:A149" si="10">PROJID</f>
        <v>0</v>
      </c>
      <c r="B119" t="str">
        <f>IF(C119="","",CONCATENATE(ROW(),"-",C119))</f>
        <v/>
      </c>
      <c r="C119" t="str">
        <f>IFERROR(IF(R119&gt;0,INDEX('M03-S07'!$BH$18:$BH$199,2*(ROWS($C$119:C119)-1)+1),""),"")</f>
        <v/>
      </c>
      <c r="D119" t="s">
        <v>1320</v>
      </c>
      <c r="E119" t="str">
        <f>IFERROR(INDEX('M03-S07'!$BD$18:$BD$199,2*(ROWS($E$119:E119)-1)+1),"")</f>
        <v/>
      </c>
      <c r="F119" s="210"/>
      <c r="G119">
        <f>IFERROR(INDEX('M03-S07'!$AE$18:$AE$199,2*(ROWS($G$119:G119)-1)+1),"")</f>
        <v>0</v>
      </c>
      <c r="H119" s="14">
        <f>IFERROR(ROUND(INDEX('M03-S07'!$AI$18:$AI$199,2*(ROWS(H$119:H119)-1)+1),2),"")</f>
        <v>0</v>
      </c>
      <c r="I119" s="14">
        <f>IFERROR(ROUND(INDEX('M03-S07'!$AK$18:$AK$199,2*(ROWS(I$119:I119)-1)+1),2),"")</f>
        <v>0</v>
      </c>
      <c r="J119" s="14" t="str">
        <f>IFERROR(ROUND(INDEX('M03-S07'!$AX$18:$AX$199,2*(ROWS(J$119:J119)-1)+1),2),"")</f>
        <v/>
      </c>
      <c r="K119" t="s">
        <v>84</v>
      </c>
      <c r="L119" s="10">
        <f>IFERROR(ROUND(INDEX('M03-S07'!$U$18:$U$199,2*(ROWS(L$119:L119)-1)+1),3),"")</f>
        <v>0</v>
      </c>
      <c r="M119" s="10">
        <f>IFERROR(ROUND(INDEX('M03-S07'!$U$18:$U$199,2*(ROWS(M$119:M119)-1)+1),3),"")</f>
        <v>0</v>
      </c>
      <c r="N119" s="37" t="str">
        <f>IFERROR(INDEX('M03-S07'!$AZ$18:$AZ$199,2*(ROWS(N$119:N119)-1)+1),"")</f>
        <v/>
      </c>
      <c r="O119" s="37">
        <f>IFERROR(INDEX('M03-S07'!$BE$18:$BE$199,2*(ROWS(O$119:O119)-1)+1),"")</f>
        <v>0</v>
      </c>
      <c r="P119" s="37" t="str">
        <f>IFERROR(INDEX('M03-S07'!$BA$18:$BA$199,2*(ROWS(P$119:P119)-1)+1),"")</f>
        <v/>
      </c>
      <c r="Q119" s="37">
        <f>IFERROR(INDEX('M03-S07'!$BF$18:$BF$199,2*(ROWS(Q$119:Q119)-1)+1),"")</f>
        <v>0</v>
      </c>
      <c r="R119" s="14" t="str">
        <f>IFERROR(INDEX('M03-S07'!$AR$18:$AR$199,2*(ROWS(R$119:R119)-1)+1),"")</f>
        <v/>
      </c>
      <c r="S119" s="207"/>
      <c r="T119" s="207"/>
      <c r="U119" s="207"/>
      <c r="V119" s="194"/>
      <c r="W119" s="218"/>
      <c r="X119" s="218"/>
      <c r="Y119" s="210"/>
      <c r="Z119" s="210"/>
      <c r="AA119" s="219"/>
      <c r="AB119" s="219"/>
      <c r="AC119" s="194"/>
      <c r="AD119" s="37">
        <f>IFERROR(INDEX('M03-S07'!$BB$18:$BB$199,2*(ROWS(AD$119:AD119)-1)+1),"")</f>
        <v>0</v>
      </c>
      <c r="AE119" s="37">
        <f>IFERROR(INDEX('M03-S07'!$BC$18:$BC$199,2*(ROWS(AE$119:AE119)-1)+1),"")</f>
        <v>0</v>
      </c>
      <c r="AF119" s="210"/>
      <c r="AG119" s="210"/>
      <c r="AH119" s="210"/>
      <c r="AI119">
        <f>IFERROR(INDEX('M03-S07'!$B$18:$B$199,2*(ROWS(AI$119:AI119)-1)+1),"")</f>
        <v>1</v>
      </c>
      <c r="AJ119" s="194"/>
      <c r="AK119">
        <f>IFERROR(INDEX('M03-S07'!$C$18:$C$199,2*(ROWS(AK$119:AK119)-1)+1),"")</f>
        <v>0</v>
      </c>
      <c r="AL119" s="194"/>
      <c r="AM119">
        <f>IFERROR(INDEX('M03-S07'!$AA$18:$AA$199,2*(ROWS(AM$119:AM119)-1)+1),"")</f>
        <v>0</v>
      </c>
      <c r="AN119" s="207"/>
      <c r="AO119" s="207"/>
      <c r="AP119" t="str">
        <f>IFERROR(INDEX('M03-S07'!$AY$18:$AY$199,2*(ROWS(AP$119:AP119)-1)+1),"")</f>
        <v/>
      </c>
      <c r="AQ119" s="194"/>
      <c r="AR119" t="str">
        <f>IFERROR(INDEX(STDWATER[Reporting Methodology],MATCH(EXPORT!C119,STDWATER[Measure Number],0)),"")</f>
        <v/>
      </c>
      <c r="AS119" t="str">
        <f>IFERROR(INDEX(STDWATER[Primary Key],MATCH(C119,STDWATER[Measure Number],0)),"")</f>
        <v/>
      </c>
      <c r="AT119" s="14" t="str" cm="1">
        <f t="array" ref="AT119">_xlfn.LET(_xlpm.ROWS, 2*(ROWS(AT$119:AT119)-1)+1,IFERROR(INDEX('M03-S07'!$AR$18:$AR$199, _xlpm.ROWS)-INDEX('M03-S07'!$BQ$18:$BQ$199, _xlpm.ROWS),""))</f>
        <v/>
      </c>
      <c r="BL119"/>
      <c r="BP119"/>
      <c r="BQ119"/>
      <c r="BR119"/>
      <c r="CD119"/>
      <c r="CE119"/>
      <c r="CF119"/>
      <c r="CQ119"/>
      <c r="CR119"/>
      <c r="CS119"/>
      <c r="DS119"/>
      <c r="DT119"/>
      <c r="DU119"/>
    </row>
    <row r="120" spans="1:125" hidden="1">
      <c r="A120" s="15">
        <f t="shared" si="10"/>
        <v>0</v>
      </c>
      <c r="B120" t="str">
        <f t="shared" ref="B120:B133" si="11">IF(C120="","",CONCATENATE(ROW(),"-",C120))</f>
        <v/>
      </c>
      <c r="C120" t="str">
        <f>IFERROR(IF(R120&gt;0,INDEX('M03-S07'!$BH$18:$BH$199,2*(ROWS($C$119:C120)-1)+1),""),"")</f>
        <v/>
      </c>
      <c r="D120" t="s">
        <v>1320</v>
      </c>
      <c r="E120" t="str">
        <f>IFERROR(INDEX('M03-S07'!$BD$18:$BD$199,2*(ROWS($E$119:E120)-1)+1),"")</f>
        <v/>
      </c>
      <c r="F120" s="210"/>
      <c r="G120">
        <f>IFERROR(INDEX('M03-S07'!$AE$18:$AE$199,2*(ROWS($G$119:G120)-1)+1),"")</f>
        <v>0</v>
      </c>
      <c r="H120" s="14">
        <f>IFERROR(ROUND(INDEX('M03-S07'!$AI$18:$AI$199,2*(ROWS(H$119:H120)-1)+1),2),"")</f>
        <v>0</v>
      </c>
      <c r="I120" s="14">
        <f>IFERROR(ROUND(INDEX('M03-S07'!$AK$18:$AK$199,2*(ROWS(I$119:I120)-1)+1),2),"")</f>
        <v>0</v>
      </c>
      <c r="J120" s="14" t="str">
        <f>IFERROR(ROUND(INDEX('M03-S07'!$AX$18:$AX$199,2*(ROWS(J$119:J120)-1)+1),2),"")</f>
        <v/>
      </c>
      <c r="K120" t="s">
        <v>84</v>
      </c>
      <c r="L120" s="10">
        <f>IFERROR(ROUND(INDEX('M03-S07'!$U$18:$U$199,2*(ROWS(L$119:L120)-1)+1),3),"")</f>
        <v>0</v>
      </c>
      <c r="M120" s="10">
        <f>IFERROR(ROUND(INDEX('M03-S07'!$U$18:$U$199,2*(ROWS(M$119:M120)-1)+1),3),"")</f>
        <v>0</v>
      </c>
      <c r="N120" s="37" t="str">
        <f>IFERROR(INDEX('M03-S07'!$AZ$18:$AZ$199,2*(ROWS(N$119:N120)-1)+1),"")</f>
        <v/>
      </c>
      <c r="O120" s="37">
        <f>IFERROR(INDEX('M03-S07'!$BE$18:$BE$199,2*(ROWS(O$119:O120)-1)+1),"")</f>
        <v>0</v>
      </c>
      <c r="P120" s="37" t="str">
        <f>IFERROR(INDEX('M03-S07'!$BA$18:$BA$199,2*(ROWS(P$119:P120)-1)+1),"")</f>
        <v/>
      </c>
      <c r="Q120" s="37">
        <f>IFERROR(INDEX('M03-S07'!$BF$18:$BF$199,2*(ROWS(Q$119:Q120)-1)+1),"")</f>
        <v>0</v>
      </c>
      <c r="R120" s="14" t="str">
        <f>IFERROR(INDEX('M03-S07'!$AR$18:$AR$199,2*(ROWS(R$119:R120)-1)+1),"")</f>
        <v/>
      </c>
      <c r="S120" s="207"/>
      <c r="T120" s="207"/>
      <c r="U120" s="207"/>
      <c r="V120" s="194"/>
      <c r="W120" s="218"/>
      <c r="X120" s="218"/>
      <c r="Y120" s="210"/>
      <c r="Z120" s="210"/>
      <c r="AA120" s="219"/>
      <c r="AB120" s="219"/>
      <c r="AC120" s="194"/>
      <c r="AD120" s="37">
        <f>IFERROR(INDEX('M03-S07'!$BB$18:$BB$199,2*(ROWS(AD$119:AD120)-1)+1),"")</f>
        <v>0</v>
      </c>
      <c r="AE120" s="37">
        <f>IFERROR(INDEX('M03-S07'!$BC$18:$BC$199,2*(ROWS(AE$119:AE120)-1)+1),"")</f>
        <v>0</v>
      </c>
      <c r="AF120" s="210"/>
      <c r="AG120" s="210"/>
      <c r="AH120" s="210"/>
      <c r="AI120">
        <f>IFERROR(INDEX('M03-S07'!$B$18:$B$199,2*(ROWS(AI$119:AI120)-1)+1),"")</f>
        <v>2</v>
      </c>
      <c r="AJ120" s="194"/>
      <c r="AK120">
        <f>IFERROR(INDEX('M03-S07'!$C$18:$C$199,2*(ROWS(AK$119:AK120)-1)+1),"")</f>
        <v>0</v>
      </c>
      <c r="AL120" s="194"/>
      <c r="AM120">
        <f>IFERROR(INDEX('M03-S07'!$AA$18:$AA$199,2*(ROWS(AM$119:AM120)-1)+1),"")</f>
        <v>0</v>
      </c>
      <c r="AN120" s="207"/>
      <c r="AO120" s="207"/>
      <c r="AP120" t="str">
        <f>IFERROR(INDEX('M03-S07'!$AY$18:$AY$199,2*(ROWS(AP$119:AP120)-1)+1),"")</f>
        <v/>
      </c>
      <c r="AQ120" s="194"/>
      <c r="AR120" t="str">
        <f>IFERROR(INDEX(STDWATER[Reporting Methodology],MATCH(EXPORT!C120,STDWATER[Measure Number],0)),"")</f>
        <v/>
      </c>
      <c r="AS120" t="str">
        <f>IFERROR(INDEX(STDWATER[Primary Key],MATCH(C120,STDWATER[Measure Number],0)),"")</f>
        <v/>
      </c>
      <c r="AT120" s="14" t="str" cm="1">
        <f t="array" ref="AT120">_xlfn.LET(_xlpm.ROWS, 2*(ROWS(AT$119:AT120)-1)+1,IFERROR(INDEX('M03-S07'!$AR$18:$AR$199, _xlpm.ROWS)-INDEX('M03-S07'!$BQ$18:$BQ$199, _xlpm.ROWS),""))</f>
        <v/>
      </c>
      <c r="BL120"/>
      <c r="BP120"/>
      <c r="BQ120"/>
      <c r="BR120"/>
      <c r="CD120"/>
      <c r="CE120"/>
      <c r="CF120"/>
      <c r="CQ120"/>
      <c r="CR120"/>
      <c r="CS120"/>
      <c r="DS120"/>
      <c r="DT120"/>
      <c r="DU120"/>
    </row>
    <row r="121" spans="1:125" hidden="1">
      <c r="A121" s="15">
        <f t="shared" si="10"/>
        <v>0</v>
      </c>
      <c r="B121" t="str">
        <f t="shared" si="11"/>
        <v/>
      </c>
      <c r="C121" t="str">
        <f>IFERROR(IF(R121&gt;0,INDEX('M03-S07'!$BH$18:$BH$199,2*(ROWS($C$119:C121)-1)+1),""),"")</f>
        <v/>
      </c>
      <c r="D121" t="s">
        <v>1320</v>
      </c>
      <c r="E121" t="str">
        <f>IFERROR(INDEX('M03-S07'!$BD$18:$BD$199,2*(ROWS($E$119:E121)-1)+1),"")</f>
        <v/>
      </c>
      <c r="F121" s="210"/>
      <c r="G121">
        <f>IFERROR(INDEX('M03-S07'!$AE$18:$AE$199,2*(ROWS($G$119:G121)-1)+1),"")</f>
        <v>0</v>
      </c>
      <c r="H121" s="14">
        <f>IFERROR(ROUND(INDEX('M03-S07'!$AI$18:$AI$199,2*(ROWS(H$119:H121)-1)+1),2),"")</f>
        <v>0</v>
      </c>
      <c r="I121" s="14">
        <f>IFERROR(ROUND(INDEX('M03-S07'!$AK$18:$AK$199,2*(ROWS(I$119:I121)-1)+1),2),"")</f>
        <v>0</v>
      </c>
      <c r="J121" s="14" t="str">
        <f>IFERROR(ROUND(INDEX('M03-S07'!$AX$18:$AX$199,2*(ROWS(J$119:J121)-1)+1),2),"")</f>
        <v/>
      </c>
      <c r="K121" t="s">
        <v>84</v>
      </c>
      <c r="L121" s="10">
        <f>IFERROR(ROUND(INDEX('M03-S07'!$U$18:$U$199,2*(ROWS(L$119:L121)-1)+1),3),"")</f>
        <v>0</v>
      </c>
      <c r="M121" s="10">
        <f>IFERROR(ROUND(INDEX('M03-S07'!$U$18:$U$199,2*(ROWS(M$119:M121)-1)+1),3),"")</f>
        <v>0</v>
      </c>
      <c r="N121" s="37" t="str">
        <f>IFERROR(INDEX('M03-S07'!$AZ$18:$AZ$199,2*(ROWS(N$119:N121)-1)+1),"")</f>
        <v/>
      </c>
      <c r="O121" s="37">
        <f>IFERROR(INDEX('M03-S07'!$BE$18:$BE$199,2*(ROWS(O$119:O121)-1)+1),"")</f>
        <v>0</v>
      </c>
      <c r="P121" s="37" t="str">
        <f>IFERROR(INDEX('M03-S07'!$BA$18:$BA$199,2*(ROWS(P$119:P121)-1)+1),"")</f>
        <v/>
      </c>
      <c r="Q121" s="37">
        <f>IFERROR(INDEX('M03-S07'!$BF$18:$BF$199,2*(ROWS(Q$119:Q121)-1)+1),"")</f>
        <v>0</v>
      </c>
      <c r="R121" s="14" t="str">
        <f>IFERROR(INDEX('M03-S07'!$AR$18:$AR$199,2*(ROWS(R$119:R121)-1)+1),"")</f>
        <v/>
      </c>
      <c r="S121" s="207"/>
      <c r="T121" s="207"/>
      <c r="U121" s="207"/>
      <c r="V121" s="194"/>
      <c r="W121" s="218"/>
      <c r="X121" s="218"/>
      <c r="Y121" s="210"/>
      <c r="Z121" s="210"/>
      <c r="AA121" s="219"/>
      <c r="AB121" s="219"/>
      <c r="AC121" s="194"/>
      <c r="AD121" s="37">
        <f>IFERROR(INDEX('M03-S07'!$BB$18:$BB$199,2*(ROWS(AD$119:AD121)-1)+1),"")</f>
        <v>0</v>
      </c>
      <c r="AE121" s="37">
        <f>IFERROR(INDEX('M03-S07'!$BC$18:$BC$199,2*(ROWS(AE$119:AE121)-1)+1),"")</f>
        <v>0</v>
      </c>
      <c r="AF121" s="210"/>
      <c r="AG121" s="210"/>
      <c r="AH121" s="210"/>
      <c r="AI121">
        <f>IFERROR(INDEX('M03-S07'!$B$18:$B$199,2*(ROWS(AI$119:AI121)-1)+1),"")</f>
        <v>3</v>
      </c>
      <c r="AJ121" s="194"/>
      <c r="AK121">
        <f>IFERROR(INDEX('M03-S07'!$C$18:$C$199,2*(ROWS(AK$119:AK121)-1)+1),"")</f>
        <v>0</v>
      </c>
      <c r="AL121" s="194"/>
      <c r="AM121">
        <f>IFERROR(INDEX('M03-S07'!$AA$18:$AA$199,2*(ROWS(AM$119:AM121)-1)+1),"")</f>
        <v>0</v>
      </c>
      <c r="AN121" s="207"/>
      <c r="AO121" s="207"/>
      <c r="AP121" t="str">
        <f>IFERROR(INDEX('M03-S07'!$AY$18:$AY$199,2*(ROWS(AP$119:AP121)-1)+1),"")</f>
        <v/>
      </c>
      <c r="AQ121" s="194"/>
      <c r="AR121" t="str">
        <f>IFERROR(INDEX(STDWATER[Reporting Methodology],MATCH(EXPORT!C121,STDWATER[Measure Number],0)),"")</f>
        <v/>
      </c>
      <c r="AS121" t="str">
        <f>IFERROR(INDEX(STDWATER[Primary Key],MATCH(C121,STDWATER[Measure Number],0)),"")</f>
        <v/>
      </c>
      <c r="AT121" s="14" t="str" cm="1">
        <f t="array" ref="AT121">_xlfn.LET(_xlpm.ROWS, 2*(ROWS(AT$119:AT121)-1)+1,IFERROR(INDEX('M03-S07'!$AR$18:$AR$199, _xlpm.ROWS)-INDEX('M03-S07'!$BQ$18:$BQ$199, _xlpm.ROWS),""))</f>
        <v/>
      </c>
      <c r="BL121"/>
      <c r="BP121"/>
      <c r="BQ121"/>
      <c r="BR121"/>
      <c r="CD121"/>
      <c r="CE121"/>
      <c r="CF121"/>
      <c r="CQ121"/>
      <c r="CR121"/>
      <c r="CS121"/>
      <c r="DS121"/>
      <c r="DT121"/>
      <c r="DU121"/>
    </row>
    <row r="122" spans="1:125" hidden="1">
      <c r="A122" s="15">
        <f t="shared" si="10"/>
        <v>0</v>
      </c>
      <c r="B122" t="str">
        <f t="shared" si="11"/>
        <v/>
      </c>
      <c r="C122" t="str">
        <f>IFERROR(IF(R122&gt;0,INDEX('M03-S07'!$BH$18:$BH$199,2*(ROWS($C$119:C122)-1)+1),""),"")</f>
        <v/>
      </c>
      <c r="D122" t="s">
        <v>1320</v>
      </c>
      <c r="E122" t="str">
        <f>IFERROR(INDEX('M03-S07'!$BD$18:$BD$199,2*(ROWS($E$119:E122)-1)+1),"")</f>
        <v/>
      </c>
      <c r="F122" s="210"/>
      <c r="G122">
        <f>IFERROR(INDEX('M03-S07'!$AE$18:$AE$199,2*(ROWS($G$119:G122)-1)+1),"")</f>
        <v>0</v>
      </c>
      <c r="H122" s="14">
        <f>IFERROR(ROUND(INDEX('M03-S07'!$AI$18:$AI$199,2*(ROWS(H$119:H122)-1)+1),2),"")</f>
        <v>0</v>
      </c>
      <c r="I122" s="14">
        <f>IFERROR(ROUND(INDEX('M03-S07'!$AK$18:$AK$199,2*(ROWS(I$119:I122)-1)+1),2),"")</f>
        <v>0</v>
      </c>
      <c r="J122" s="14" t="str">
        <f>IFERROR(ROUND(INDEX('M03-S07'!$AX$18:$AX$199,2*(ROWS(J$119:J122)-1)+1),2),"")</f>
        <v/>
      </c>
      <c r="K122" t="s">
        <v>84</v>
      </c>
      <c r="L122" s="10">
        <f>IFERROR(ROUND(INDEX('M03-S07'!$U$18:$U$199,2*(ROWS(L$119:L122)-1)+1),3),"")</f>
        <v>0</v>
      </c>
      <c r="M122" s="10">
        <f>IFERROR(ROUND(INDEX('M03-S07'!$U$18:$U$199,2*(ROWS(M$119:M122)-1)+1),3),"")</f>
        <v>0</v>
      </c>
      <c r="N122" s="37" t="str">
        <f>IFERROR(INDEX('M03-S07'!$AZ$18:$AZ$199,2*(ROWS(N$119:N122)-1)+1),"")</f>
        <v/>
      </c>
      <c r="O122" s="37">
        <f>IFERROR(INDEX('M03-S07'!$BE$18:$BE$199,2*(ROWS(O$119:O122)-1)+1),"")</f>
        <v>0</v>
      </c>
      <c r="P122" s="37" t="str">
        <f>IFERROR(INDEX('M03-S07'!$BA$18:$BA$199,2*(ROWS(P$119:P122)-1)+1),"")</f>
        <v/>
      </c>
      <c r="Q122" s="37">
        <f>IFERROR(INDEX('M03-S07'!$BF$18:$BF$199,2*(ROWS(Q$119:Q122)-1)+1),"")</f>
        <v>0</v>
      </c>
      <c r="R122" s="14" t="str">
        <f>IFERROR(INDEX('M03-S07'!$AR$18:$AR$199,2*(ROWS(R$119:R122)-1)+1),"")</f>
        <v/>
      </c>
      <c r="S122" s="207"/>
      <c r="T122" s="207"/>
      <c r="U122" s="207"/>
      <c r="V122" s="194"/>
      <c r="W122" s="218"/>
      <c r="X122" s="218"/>
      <c r="Y122" s="210"/>
      <c r="Z122" s="210"/>
      <c r="AA122" s="219"/>
      <c r="AB122" s="219"/>
      <c r="AC122" s="194"/>
      <c r="AD122" s="37">
        <f>IFERROR(INDEX('M03-S07'!$BB$18:$BB$199,2*(ROWS(AD$119:AD122)-1)+1),"")</f>
        <v>0</v>
      </c>
      <c r="AE122" s="37">
        <f>IFERROR(INDEX('M03-S07'!$BC$18:$BC$199,2*(ROWS(AE$119:AE122)-1)+1),"")</f>
        <v>0</v>
      </c>
      <c r="AF122" s="210"/>
      <c r="AG122" s="210"/>
      <c r="AH122" s="210"/>
      <c r="AI122">
        <f>IFERROR(INDEX('M03-S07'!$B$18:$B$199,2*(ROWS(AI$119:AI122)-1)+1),"")</f>
        <v>4</v>
      </c>
      <c r="AJ122" s="194"/>
      <c r="AK122">
        <f>IFERROR(INDEX('M03-S07'!$C$18:$C$199,2*(ROWS(AK$119:AK122)-1)+1),"")</f>
        <v>0</v>
      </c>
      <c r="AL122" s="194"/>
      <c r="AM122">
        <f>IFERROR(INDEX('M03-S07'!$AA$18:$AA$199,2*(ROWS(AM$119:AM122)-1)+1),"")</f>
        <v>0</v>
      </c>
      <c r="AN122" s="207"/>
      <c r="AO122" s="207"/>
      <c r="AP122" t="str">
        <f>IFERROR(INDEX('M03-S07'!$AY$18:$AY$199,2*(ROWS(AP$119:AP122)-1)+1),"")</f>
        <v/>
      </c>
      <c r="AQ122" s="194"/>
      <c r="AR122" t="str">
        <f>IFERROR(INDEX(STDWATER[Reporting Methodology],MATCH(EXPORT!C122,STDWATER[Measure Number],0)),"")</f>
        <v/>
      </c>
      <c r="AS122" t="str">
        <f>IFERROR(INDEX(STDWATER[Primary Key],MATCH(C122,STDWATER[Measure Number],0)),"")</f>
        <v/>
      </c>
      <c r="AT122" s="14" t="str" cm="1">
        <f t="array" ref="AT122">_xlfn.LET(_xlpm.ROWS, 2*(ROWS(AT$119:AT122)-1)+1,IFERROR(INDEX('M03-S07'!$AR$18:$AR$199, _xlpm.ROWS)-INDEX('M03-S07'!$BQ$18:$BQ$199, _xlpm.ROWS),""))</f>
        <v/>
      </c>
      <c r="BL122"/>
      <c r="BP122"/>
      <c r="BQ122"/>
      <c r="BR122"/>
      <c r="CD122"/>
      <c r="CE122"/>
      <c r="CF122"/>
      <c r="CQ122"/>
      <c r="CR122"/>
      <c r="CS122"/>
      <c r="DS122"/>
      <c r="DT122"/>
      <c r="DU122"/>
    </row>
    <row r="123" spans="1:125" hidden="1">
      <c r="A123" s="15">
        <f t="shared" si="10"/>
        <v>0</v>
      </c>
      <c r="B123" t="str">
        <f t="shared" si="11"/>
        <v/>
      </c>
      <c r="C123" t="str">
        <f>IFERROR(IF(R123&gt;0,INDEX('M03-S07'!$BH$18:$BH$199,2*(ROWS($C$119:C123)-1)+1),""),"")</f>
        <v/>
      </c>
      <c r="D123" t="s">
        <v>1320</v>
      </c>
      <c r="E123" t="str">
        <f>IFERROR(INDEX('M03-S07'!$BD$18:$BD$199,2*(ROWS($E$119:E123)-1)+1),"")</f>
        <v/>
      </c>
      <c r="F123" s="210"/>
      <c r="G123">
        <f>IFERROR(INDEX('M03-S07'!$AE$18:$AE$199,2*(ROWS($G$119:G123)-1)+1),"")</f>
        <v>0</v>
      </c>
      <c r="H123" s="14">
        <f>IFERROR(ROUND(INDEX('M03-S07'!$AI$18:$AI$199,2*(ROWS(H$119:H123)-1)+1),2),"")</f>
        <v>0</v>
      </c>
      <c r="I123" s="14">
        <f>IFERROR(ROUND(INDEX('M03-S07'!$AK$18:$AK$199,2*(ROWS(I$119:I123)-1)+1),2),"")</f>
        <v>0</v>
      </c>
      <c r="J123" s="14" t="str">
        <f>IFERROR(ROUND(INDEX('M03-S07'!$AX$18:$AX$199,2*(ROWS(J$119:J123)-1)+1),2),"")</f>
        <v/>
      </c>
      <c r="K123" t="s">
        <v>84</v>
      </c>
      <c r="L123" s="10">
        <f>IFERROR(ROUND(INDEX('M03-S07'!$U$18:$U$199,2*(ROWS(L$119:L123)-1)+1),3),"")</f>
        <v>0</v>
      </c>
      <c r="M123" s="10">
        <f>IFERROR(ROUND(INDEX('M03-S07'!$U$18:$U$199,2*(ROWS(M$119:M123)-1)+1),3),"")</f>
        <v>0</v>
      </c>
      <c r="N123" s="37" t="str">
        <f>IFERROR(INDEX('M03-S07'!$AZ$18:$AZ$199,2*(ROWS(N$119:N123)-1)+1),"")</f>
        <v/>
      </c>
      <c r="O123" s="37">
        <f>IFERROR(INDEX('M03-S07'!$BE$18:$BE$199,2*(ROWS(O$119:O123)-1)+1),"")</f>
        <v>0</v>
      </c>
      <c r="P123" s="37" t="str">
        <f>IFERROR(INDEX('M03-S07'!$BA$18:$BA$199,2*(ROWS(P$119:P123)-1)+1),"")</f>
        <v/>
      </c>
      <c r="Q123" s="37">
        <f>IFERROR(INDEX('M03-S07'!$BF$18:$BF$199,2*(ROWS(Q$119:Q123)-1)+1),"")</f>
        <v>0</v>
      </c>
      <c r="R123" s="14" t="str">
        <f>IFERROR(INDEX('M03-S07'!$AR$18:$AR$199,2*(ROWS(R$119:R123)-1)+1),"")</f>
        <v/>
      </c>
      <c r="S123" s="207"/>
      <c r="T123" s="207"/>
      <c r="U123" s="207"/>
      <c r="V123" s="194"/>
      <c r="W123" s="218"/>
      <c r="X123" s="218"/>
      <c r="Y123" s="210"/>
      <c r="Z123" s="210"/>
      <c r="AA123" s="219"/>
      <c r="AB123" s="219"/>
      <c r="AC123" s="194"/>
      <c r="AD123" s="37">
        <f>IFERROR(INDEX('M03-S07'!$BB$18:$BB$199,2*(ROWS(AD$119:AD123)-1)+1),"")</f>
        <v>0</v>
      </c>
      <c r="AE123" s="37">
        <f>IFERROR(INDEX('M03-S07'!$BC$18:$BC$199,2*(ROWS(AE$119:AE123)-1)+1),"")</f>
        <v>0</v>
      </c>
      <c r="AF123" s="210"/>
      <c r="AG123" s="210"/>
      <c r="AH123" s="210"/>
      <c r="AI123">
        <f>IFERROR(INDEX('M03-S07'!$B$18:$B$199,2*(ROWS(AI$119:AI123)-1)+1),"")</f>
        <v>5</v>
      </c>
      <c r="AJ123" s="194"/>
      <c r="AK123">
        <f>IFERROR(INDEX('M03-S07'!$C$18:$C$199,2*(ROWS(AK$119:AK123)-1)+1),"")</f>
        <v>0</v>
      </c>
      <c r="AL123" s="194"/>
      <c r="AM123">
        <f>IFERROR(INDEX('M03-S07'!$AA$18:$AA$199,2*(ROWS(AM$119:AM123)-1)+1),"")</f>
        <v>0</v>
      </c>
      <c r="AN123" s="207"/>
      <c r="AO123" s="207"/>
      <c r="AP123" t="str">
        <f>IFERROR(INDEX('M03-S07'!$AY$18:$AY$199,2*(ROWS(AP$119:AP123)-1)+1),"")</f>
        <v/>
      </c>
      <c r="AQ123" s="194"/>
      <c r="AR123" t="str">
        <f>IFERROR(INDEX(STDWATER[Reporting Methodology],MATCH(EXPORT!C123,STDWATER[Measure Number],0)),"")</f>
        <v/>
      </c>
      <c r="AS123" t="str">
        <f>IFERROR(INDEX(STDWATER[Primary Key],MATCH(C123,STDWATER[Measure Number],0)),"")</f>
        <v/>
      </c>
      <c r="AT123" s="14" t="str" cm="1">
        <f t="array" ref="AT123">_xlfn.LET(_xlpm.ROWS, 2*(ROWS(AT$119:AT123)-1)+1,IFERROR(INDEX('M03-S07'!$AR$18:$AR$199, _xlpm.ROWS)-INDEX('M03-S07'!$BQ$18:$BQ$199, _xlpm.ROWS),""))</f>
        <v/>
      </c>
      <c r="BL123"/>
      <c r="BP123"/>
      <c r="BQ123"/>
      <c r="BR123"/>
      <c r="CD123"/>
      <c r="CE123"/>
      <c r="CF123"/>
      <c r="CQ123"/>
      <c r="CR123"/>
      <c r="CS123"/>
      <c r="DS123"/>
      <c r="DT123"/>
      <c r="DU123"/>
    </row>
    <row r="124" spans="1:125" hidden="1">
      <c r="A124" s="15">
        <f t="shared" si="10"/>
        <v>0</v>
      </c>
      <c r="B124" t="str">
        <f t="shared" si="11"/>
        <v/>
      </c>
      <c r="C124" t="str">
        <f>IFERROR(IF(R124&gt;0,INDEX('M03-S07'!$BH$18:$BH$199,2*(ROWS($C$119:C124)-1)+1),""),"")</f>
        <v/>
      </c>
      <c r="D124" t="s">
        <v>1320</v>
      </c>
      <c r="E124" t="str">
        <f>IFERROR(INDEX('M03-S07'!$BD$18:$BD$199,2*(ROWS($E$119:E124)-1)+1),"")</f>
        <v/>
      </c>
      <c r="F124" s="210"/>
      <c r="G124">
        <f>IFERROR(INDEX('M03-S07'!$AE$18:$AE$199,2*(ROWS($G$119:G124)-1)+1),"")</f>
        <v>0</v>
      </c>
      <c r="H124" s="14">
        <f>IFERROR(ROUND(INDEX('M03-S07'!$AI$18:$AI$199,2*(ROWS(H$119:H124)-1)+1),2),"")</f>
        <v>0</v>
      </c>
      <c r="I124" s="14">
        <f>IFERROR(ROUND(INDEX('M03-S07'!$AK$18:$AK$199,2*(ROWS(I$119:I124)-1)+1),2),"")</f>
        <v>0</v>
      </c>
      <c r="J124" s="14" t="str">
        <f>IFERROR(ROUND(INDEX('M03-S07'!$AX$18:$AX$199,2*(ROWS(J$119:J124)-1)+1),2),"")</f>
        <v/>
      </c>
      <c r="K124" t="s">
        <v>84</v>
      </c>
      <c r="L124" s="10">
        <f>IFERROR(ROUND(INDEX('M03-S07'!$U$18:$U$199,2*(ROWS(L$119:L124)-1)+1),3),"")</f>
        <v>0</v>
      </c>
      <c r="M124" s="10">
        <f>IFERROR(ROUND(INDEX('M03-S07'!$U$18:$U$199,2*(ROWS(M$119:M124)-1)+1),3),"")</f>
        <v>0</v>
      </c>
      <c r="N124" s="37" t="str">
        <f>IFERROR(INDEX('M03-S07'!$AZ$18:$AZ$199,2*(ROWS(N$119:N124)-1)+1),"")</f>
        <v/>
      </c>
      <c r="O124" s="37">
        <f>IFERROR(INDEX('M03-S07'!$BE$18:$BE$199,2*(ROWS(O$119:O124)-1)+1),"")</f>
        <v>0</v>
      </c>
      <c r="P124" s="37" t="str">
        <f>IFERROR(INDEX('M03-S07'!$BA$18:$BA$199,2*(ROWS(P$119:P124)-1)+1),"")</f>
        <v/>
      </c>
      <c r="Q124" s="37">
        <f>IFERROR(INDEX('M03-S07'!$BF$18:$BF$199,2*(ROWS(Q$119:Q124)-1)+1),"")</f>
        <v>0</v>
      </c>
      <c r="R124" s="14" t="str">
        <f>IFERROR(INDEX('M03-S07'!$AR$18:$AR$199,2*(ROWS(R$119:R124)-1)+1),"")</f>
        <v/>
      </c>
      <c r="S124" s="207"/>
      <c r="T124" s="207"/>
      <c r="U124" s="207"/>
      <c r="V124" s="194"/>
      <c r="W124" s="218"/>
      <c r="X124" s="218"/>
      <c r="Y124" s="210"/>
      <c r="Z124" s="210"/>
      <c r="AA124" s="219"/>
      <c r="AB124" s="219"/>
      <c r="AC124" s="194"/>
      <c r="AD124" s="37">
        <f>IFERROR(INDEX('M03-S07'!$BB$18:$BB$199,2*(ROWS(AD$119:AD124)-1)+1),"")</f>
        <v>0</v>
      </c>
      <c r="AE124" s="37">
        <f>IFERROR(INDEX('M03-S07'!$BC$18:$BC$199,2*(ROWS(AE$119:AE124)-1)+1),"")</f>
        <v>0</v>
      </c>
      <c r="AF124" s="210"/>
      <c r="AG124" s="210"/>
      <c r="AH124" s="210"/>
      <c r="AI124">
        <f>IFERROR(INDEX('M03-S07'!$B$18:$B$199,2*(ROWS(AI$119:AI124)-1)+1),"")</f>
        <v>6</v>
      </c>
      <c r="AJ124" s="194"/>
      <c r="AK124">
        <f>IFERROR(INDEX('M03-S07'!$C$18:$C$199,2*(ROWS(AK$119:AK124)-1)+1),"")</f>
        <v>0</v>
      </c>
      <c r="AL124" s="194"/>
      <c r="AM124">
        <f>IFERROR(INDEX('M03-S07'!$AA$18:$AA$199,2*(ROWS(AM$119:AM124)-1)+1),"")</f>
        <v>0</v>
      </c>
      <c r="AN124" s="207"/>
      <c r="AO124" s="207"/>
      <c r="AP124" t="str">
        <f>IFERROR(INDEX('M03-S07'!$AY$18:$AY$199,2*(ROWS(AP$119:AP124)-1)+1),"")</f>
        <v/>
      </c>
      <c r="AQ124" s="194"/>
      <c r="AR124" t="str">
        <f>IFERROR(INDEX(STDWATER[Reporting Methodology],MATCH(EXPORT!C124,STDWATER[Measure Number],0)),"")</f>
        <v/>
      </c>
      <c r="AS124" t="str">
        <f>IFERROR(INDEX(STDWATER[Primary Key],MATCH(C124,STDWATER[Measure Number],0)),"")</f>
        <v/>
      </c>
      <c r="AT124" s="14" t="str" cm="1">
        <f t="array" ref="AT124">_xlfn.LET(_xlpm.ROWS, 2*(ROWS(AT$119:AT124)-1)+1,IFERROR(INDEX('M03-S07'!$AR$18:$AR$199, _xlpm.ROWS)-INDEX('M03-S07'!$BQ$18:$BQ$199, _xlpm.ROWS),""))</f>
        <v/>
      </c>
      <c r="BL124"/>
      <c r="BP124"/>
      <c r="BQ124"/>
      <c r="BR124"/>
      <c r="CD124"/>
      <c r="CE124"/>
      <c r="CF124"/>
      <c r="CQ124"/>
      <c r="CR124"/>
      <c r="CS124"/>
      <c r="DS124"/>
      <c r="DT124"/>
      <c r="DU124"/>
    </row>
    <row r="125" spans="1:125" hidden="1">
      <c r="A125" s="15">
        <f t="shared" si="10"/>
        <v>0</v>
      </c>
      <c r="B125" t="str">
        <f t="shared" si="11"/>
        <v/>
      </c>
      <c r="C125" t="str">
        <f>IFERROR(IF(R125&gt;0,INDEX('M03-S07'!$BH$18:$BH$199,2*(ROWS($C$119:C125)-1)+1),""),"")</f>
        <v/>
      </c>
      <c r="D125" t="s">
        <v>1320</v>
      </c>
      <c r="E125" t="str">
        <f>IFERROR(INDEX('M03-S07'!$BD$18:$BD$199,2*(ROWS($E$119:E125)-1)+1),"")</f>
        <v/>
      </c>
      <c r="F125" s="210"/>
      <c r="G125">
        <f>IFERROR(INDEX('M03-S07'!$AE$18:$AE$199,2*(ROWS($G$119:G125)-1)+1),"")</f>
        <v>0</v>
      </c>
      <c r="H125" s="14">
        <f>IFERROR(ROUND(INDEX('M03-S07'!$AI$18:$AI$199,2*(ROWS(H$119:H125)-1)+1),2),"")</f>
        <v>0</v>
      </c>
      <c r="I125" s="14">
        <f>IFERROR(ROUND(INDEX('M03-S07'!$AK$18:$AK$199,2*(ROWS(I$119:I125)-1)+1),2),"")</f>
        <v>0</v>
      </c>
      <c r="J125" s="14" t="str">
        <f>IFERROR(ROUND(INDEX('M03-S07'!$AX$18:$AX$199,2*(ROWS(J$119:J125)-1)+1),2),"")</f>
        <v/>
      </c>
      <c r="K125" t="s">
        <v>84</v>
      </c>
      <c r="L125" s="10">
        <f>IFERROR(ROUND(INDEX('M03-S07'!$U$18:$U$199,2*(ROWS(L$119:L125)-1)+1),3),"")</f>
        <v>0</v>
      </c>
      <c r="M125" s="10">
        <f>IFERROR(ROUND(INDEX('M03-S07'!$U$18:$U$199,2*(ROWS(M$119:M125)-1)+1),3),"")</f>
        <v>0</v>
      </c>
      <c r="N125" s="37" t="str">
        <f>IFERROR(INDEX('M03-S07'!$AZ$18:$AZ$199,2*(ROWS(N$119:N125)-1)+1),"")</f>
        <v/>
      </c>
      <c r="O125" s="37">
        <f>IFERROR(INDEX('M03-S07'!$BE$18:$BE$199,2*(ROWS(O$119:O125)-1)+1),"")</f>
        <v>0</v>
      </c>
      <c r="P125" s="37" t="str">
        <f>IFERROR(INDEX('M03-S07'!$BA$18:$BA$199,2*(ROWS(P$119:P125)-1)+1),"")</f>
        <v/>
      </c>
      <c r="Q125" s="37">
        <f>IFERROR(INDEX('M03-S07'!$BF$18:$BF$199,2*(ROWS(Q$119:Q125)-1)+1),"")</f>
        <v>0</v>
      </c>
      <c r="R125" s="14" t="str">
        <f>IFERROR(INDEX('M03-S07'!$AR$18:$AR$199,2*(ROWS(R$119:R125)-1)+1),"")</f>
        <v/>
      </c>
      <c r="S125" s="207"/>
      <c r="T125" s="207"/>
      <c r="U125" s="207"/>
      <c r="V125" s="194"/>
      <c r="W125" s="218"/>
      <c r="X125" s="218"/>
      <c r="Y125" s="210"/>
      <c r="Z125" s="210"/>
      <c r="AA125" s="219"/>
      <c r="AB125" s="219"/>
      <c r="AC125" s="194"/>
      <c r="AD125" s="37">
        <f>IFERROR(INDEX('M03-S07'!$BB$18:$BB$199,2*(ROWS(AD$119:AD125)-1)+1),"")</f>
        <v>0</v>
      </c>
      <c r="AE125" s="37">
        <f>IFERROR(INDEX('M03-S07'!$BC$18:$BC$199,2*(ROWS(AE$119:AE125)-1)+1),"")</f>
        <v>0</v>
      </c>
      <c r="AF125" s="210"/>
      <c r="AG125" s="210"/>
      <c r="AH125" s="210"/>
      <c r="AI125">
        <f>IFERROR(INDEX('M03-S07'!$B$18:$B$199,2*(ROWS(AI$119:AI125)-1)+1),"")</f>
        <v>7</v>
      </c>
      <c r="AJ125" s="194"/>
      <c r="AK125">
        <f>IFERROR(INDEX('M03-S07'!$C$18:$C$199,2*(ROWS(AK$119:AK125)-1)+1),"")</f>
        <v>0</v>
      </c>
      <c r="AL125" s="194"/>
      <c r="AM125">
        <f>IFERROR(INDEX('M03-S07'!$AA$18:$AA$199,2*(ROWS(AM$119:AM125)-1)+1),"")</f>
        <v>0</v>
      </c>
      <c r="AN125" s="207"/>
      <c r="AO125" s="207"/>
      <c r="AP125" t="str">
        <f>IFERROR(INDEX('M03-S07'!$AY$18:$AY$199,2*(ROWS(AP$119:AP125)-1)+1),"")</f>
        <v/>
      </c>
      <c r="AQ125" s="194"/>
      <c r="AR125" t="str">
        <f>IFERROR(INDEX(STDWATER[Reporting Methodology],MATCH(EXPORT!C125,STDWATER[Measure Number],0)),"")</f>
        <v/>
      </c>
      <c r="AS125" t="str">
        <f>IFERROR(INDEX(STDWATER[Primary Key],MATCH(C125,STDWATER[Measure Number],0)),"")</f>
        <v/>
      </c>
      <c r="AT125" s="14" t="str" cm="1">
        <f t="array" ref="AT125">_xlfn.LET(_xlpm.ROWS, 2*(ROWS(AT$119:AT125)-1)+1,IFERROR(INDEX('M03-S07'!$AR$18:$AR$199, _xlpm.ROWS)-INDEX('M03-S07'!$BQ$18:$BQ$199, _xlpm.ROWS),""))</f>
        <v/>
      </c>
      <c r="BL125"/>
      <c r="BP125"/>
      <c r="BQ125"/>
      <c r="BR125"/>
      <c r="CD125"/>
      <c r="CE125"/>
      <c r="CF125"/>
      <c r="CQ125"/>
      <c r="CR125"/>
      <c r="CS125"/>
      <c r="DS125"/>
      <c r="DT125"/>
      <c r="DU125"/>
    </row>
    <row r="126" spans="1:125" hidden="1">
      <c r="A126" s="15">
        <f t="shared" si="10"/>
        <v>0</v>
      </c>
      <c r="B126" t="str">
        <f t="shared" si="11"/>
        <v/>
      </c>
      <c r="C126" t="str">
        <f>IFERROR(IF(R126&gt;0,INDEX('M03-S07'!$BH$18:$BH$199,2*(ROWS($C$119:C126)-1)+1),""),"")</f>
        <v/>
      </c>
      <c r="D126" t="s">
        <v>1320</v>
      </c>
      <c r="E126" t="str">
        <f>IFERROR(INDEX('M03-S07'!$BD$18:$BD$199,2*(ROWS($E$119:E126)-1)+1),"")</f>
        <v/>
      </c>
      <c r="F126" s="210"/>
      <c r="G126">
        <f>IFERROR(INDEX('M03-S07'!$AE$18:$AE$199,2*(ROWS($G$119:G126)-1)+1),"")</f>
        <v>0</v>
      </c>
      <c r="H126" s="14">
        <f>IFERROR(ROUND(INDEX('M03-S07'!$AI$18:$AI$199,2*(ROWS(H$119:H126)-1)+1),2),"")</f>
        <v>0</v>
      </c>
      <c r="I126" s="14">
        <f>IFERROR(ROUND(INDEX('M03-S07'!$AK$18:$AK$199,2*(ROWS(I$119:I126)-1)+1),2),"")</f>
        <v>0</v>
      </c>
      <c r="J126" s="14" t="str">
        <f>IFERROR(ROUND(INDEX('M03-S07'!$AX$18:$AX$199,2*(ROWS(J$119:J126)-1)+1),2),"")</f>
        <v/>
      </c>
      <c r="K126" t="s">
        <v>84</v>
      </c>
      <c r="L126" s="10">
        <f>IFERROR(ROUND(INDEX('M03-S07'!$U$18:$U$199,2*(ROWS(L$119:L126)-1)+1),3),"")</f>
        <v>0</v>
      </c>
      <c r="M126" s="10">
        <f>IFERROR(ROUND(INDEX('M03-S07'!$U$18:$U$199,2*(ROWS(M$119:M126)-1)+1),3),"")</f>
        <v>0</v>
      </c>
      <c r="N126" s="37" t="str">
        <f>IFERROR(INDEX('M03-S07'!$AZ$18:$AZ$199,2*(ROWS(N$119:N126)-1)+1),"")</f>
        <v/>
      </c>
      <c r="O126" s="37">
        <f>IFERROR(INDEX('M03-S07'!$BE$18:$BE$199,2*(ROWS(O$119:O126)-1)+1),"")</f>
        <v>0</v>
      </c>
      <c r="P126" s="37" t="str">
        <f>IFERROR(INDEX('M03-S07'!$BA$18:$BA$199,2*(ROWS(P$119:P126)-1)+1),"")</f>
        <v/>
      </c>
      <c r="Q126" s="37">
        <f>IFERROR(INDEX('M03-S07'!$BF$18:$BF$199,2*(ROWS(Q$119:Q126)-1)+1),"")</f>
        <v>0</v>
      </c>
      <c r="R126" s="14" t="str">
        <f>IFERROR(INDEX('M03-S07'!$AR$18:$AR$199,2*(ROWS(R$119:R126)-1)+1),"")</f>
        <v/>
      </c>
      <c r="S126" s="207"/>
      <c r="T126" s="207"/>
      <c r="U126" s="207"/>
      <c r="V126" s="194"/>
      <c r="W126" s="218"/>
      <c r="X126" s="218"/>
      <c r="Y126" s="210"/>
      <c r="Z126" s="210"/>
      <c r="AA126" s="219"/>
      <c r="AB126" s="219"/>
      <c r="AC126" s="194"/>
      <c r="AD126" s="37">
        <f>IFERROR(INDEX('M03-S07'!$BB$18:$BB$199,2*(ROWS(AD$119:AD126)-1)+1),"")</f>
        <v>0</v>
      </c>
      <c r="AE126" s="37">
        <f>IFERROR(INDEX('M03-S07'!$BC$18:$BC$199,2*(ROWS(AE$119:AE126)-1)+1),"")</f>
        <v>0</v>
      </c>
      <c r="AF126" s="210"/>
      <c r="AG126" s="210"/>
      <c r="AH126" s="210"/>
      <c r="AI126">
        <f>IFERROR(INDEX('M03-S07'!$B$18:$B$199,2*(ROWS(AI$119:AI126)-1)+1),"")</f>
        <v>8</v>
      </c>
      <c r="AJ126" s="194"/>
      <c r="AK126">
        <f>IFERROR(INDEX('M03-S07'!$C$18:$C$199,2*(ROWS(AK$119:AK126)-1)+1),"")</f>
        <v>0</v>
      </c>
      <c r="AL126" s="194"/>
      <c r="AM126">
        <f>IFERROR(INDEX('M03-S07'!$AA$18:$AA$199,2*(ROWS(AM$119:AM126)-1)+1),"")</f>
        <v>0</v>
      </c>
      <c r="AN126" s="207"/>
      <c r="AO126" s="207"/>
      <c r="AP126" t="str">
        <f>IFERROR(INDEX('M03-S07'!$AY$18:$AY$199,2*(ROWS(AP$119:AP126)-1)+1),"")</f>
        <v/>
      </c>
      <c r="AQ126" s="194"/>
      <c r="AR126" t="str">
        <f>IFERROR(INDEX(STDWATER[Reporting Methodology],MATCH(EXPORT!C126,STDWATER[Measure Number],0)),"")</f>
        <v/>
      </c>
      <c r="AS126" t="str">
        <f>IFERROR(INDEX(STDWATER[Primary Key],MATCH(C126,STDWATER[Measure Number],0)),"")</f>
        <v/>
      </c>
      <c r="AT126" s="14" t="str" cm="1">
        <f t="array" ref="AT126">_xlfn.LET(_xlpm.ROWS, 2*(ROWS(AT$119:AT126)-1)+1,IFERROR(INDEX('M03-S07'!$AR$18:$AR$199, _xlpm.ROWS)-INDEX('M03-S07'!$BQ$18:$BQ$199, _xlpm.ROWS),""))</f>
        <v/>
      </c>
      <c r="BL126"/>
      <c r="BP126"/>
      <c r="BQ126"/>
      <c r="BR126"/>
      <c r="CD126"/>
      <c r="CE126"/>
      <c r="CF126"/>
      <c r="CQ126"/>
      <c r="CR126"/>
      <c r="CS126"/>
      <c r="DS126"/>
      <c r="DT126"/>
      <c r="DU126"/>
    </row>
    <row r="127" spans="1:125" hidden="1">
      <c r="A127" s="15">
        <f t="shared" si="10"/>
        <v>0</v>
      </c>
      <c r="B127" t="str">
        <f t="shared" si="11"/>
        <v/>
      </c>
      <c r="C127" t="str">
        <f>IFERROR(IF(R127&gt;0,INDEX('M03-S07'!$BH$18:$BH$199,2*(ROWS($C$119:C127)-1)+1),""),"")</f>
        <v/>
      </c>
      <c r="D127" t="s">
        <v>1320</v>
      </c>
      <c r="E127" t="str">
        <f>IFERROR(INDEX('M03-S07'!$BD$18:$BD$199,2*(ROWS($E$119:E127)-1)+1),"")</f>
        <v/>
      </c>
      <c r="F127" s="210"/>
      <c r="G127">
        <f>IFERROR(INDEX('M03-S07'!$AE$18:$AE$199,2*(ROWS($G$119:G127)-1)+1),"")</f>
        <v>0</v>
      </c>
      <c r="H127" s="14">
        <f>IFERROR(ROUND(INDEX('M03-S07'!$AI$18:$AI$199,2*(ROWS(H$119:H127)-1)+1),2),"")</f>
        <v>0</v>
      </c>
      <c r="I127" s="14">
        <f>IFERROR(ROUND(INDEX('M03-S07'!$AK$18:$AK$199,2*(ROWS(I$119:I127)-1)+1),2),"")</f>
        <v>0</v>
      </c>
      <c r="J127" s="14" t="str">
        <f>IFERROR(ROUND(INDEX('M03-S07'!$AX$18:$AX$199,2*(ROWS(J$119:J127)-1)+1),2),"")</f>
        <v/>
      </c>
      <c r="K127" t="s">
        <v>84</v>
      </c>
      <c r="L127" s="10">
        <f>IFERROR(ROUND(INDEX('M03-S07'!$U$18:$U$199,2*(ROWS(L$119:L127)-1)+1),3),"")</f>
        <v>0</v>
      </c>
      <c r="M127" s="10">
        <f>IFERROR(ROUND(INDEX('M03-S07'!$U$18:$U$199,2*(ROWS(M$119:M127)-1)+1),3),"")</f>
        <v>0</v>
      </c>
      <c r="N127" s="37" t="str">
        <f>IFERROR(INDEX('M03-S07'!$AZ$18:$AZ$199,2*(ROWS(N$119:N127)-1)+1),"")</f>
        <v/>
      </c>
      <c r="O127" s="37">
        <f>IFERROR(INDEX('M03-S07'!$BE$18:$BE$199,2*(ROWS(O$119:O127)-1)+1),"")</f>
        <v>0</v>
      </c>
      <c r="P127" s="37" t="str">
        <f>IFERROR(INDEX('M03-S07'!$BA$18:$BA$199,2*(ROWS(P$119:P127)-1)+1),"")</f>
        <v/>
      </c>
      <c r="Q127" s="37">
        <f>IFERROR(INDEX('M03-S07'!$BF$18:$BF$199,2*(ROWS(Q$119:Q127)-1)+1),"")</f>
        <v>0</v>
      </c>
      <c r="R127" s="14" t="str">
        <f>IFERROR(INDEX('M03-S07'!$AR$18:$AR$199,2*(ROWS(R$119:R127)-1)+1),"")</f>
        <v/>
      </c>
      <c r="S127" s="207"/>
      <c r="T127" s="207"/>
      <c r="U127" s="207"/>
      <c r="V127" s="194"/>
      <c r="W127" s="218"/>
      <c r="X127" s="218"/>
      <c r="Y127" s="210"/>
      <c r="Z127" s="210"/>
      <c r="AA127" s="219"/>
      <c r="AB127" s="219"/>
      <c r="AC127" s="194"/>
      <c r="AD127" s="37">
        <f>IFERROR(INDEX('M03-S07'!$BB$18:$BB$199,2*(ROWS(AD$119:AD127)-1)+1),"")</f>
        <v>0</v>
      </c>
      <c r="AE127" s="37">
        <f>IFERROR(INDEX('M03-S07'!$BC$18:$BC$199,2*(ROWS(AE$119:AE127)-1)+1),"")</f>
        <v>0</v>
      </c>
      <c r="AF127" s="210"/>
      <c r="AG127" s="210"/>
      <c r="AH127" s="210"/>
      <c r="AI127">
        <f>IFERROR(INDEX('M03-S07'!$B$18:$B$199,2*(ROWS(AI$119:AI127)-1)+1),"")</f>
        <v>9</v>
      </c>
      <c r="AJ127" s="194"/>
      <c r="AK127">
        <f>IFERROR(INDEX('M03-S07'!$C$18:$C$199,2*(ROWS(AK$119:AK127)-1)+1),"")</f>
        <v>0</v>
      </c>
      <c r="AL127" s="194"/>
      <c r="AM127">
        <f>IFERROR(INDEX('M03-S07'!$AA$18:$AA$199,2*(ROWS(AM$119:AM127)-1)+1),"")</f>
        <v>0</v>
      </c>
      <c r="AN127" s="207"/>
      <c r="AO127" s="207"/>
      <c r="AP127" t="str">
        <f>IFERROR(INDEX('M03-S07'!$AY$18:$AY$199,2*(ROWS(AP$119:AP127)-1)+1),"")</f>
        <v/>
      </c>
      <c r="AQ127" s="194"/>
      <c r="AR127" t="str">
        <f>IFERROR(INDEX(STDWATER[Reporting Methodology],MATCH(EXPORT!C127,STDWATER[Measure Number],0)),"")</f>
        <v/>
      </c>
      <c r="AS127" t="str">
        <f>IFERROR(INDEX(STDWATER[Primary Key],MATCH(C127,STDWATER[Measure Number],0)),"")</f>
        <v/>
      </c>
      <c r="AT127" s="14" t="str" cm="1">
        <f t="array" ref="AT127">_xlfn.LET(_xlpm.ROWS, 2*(ROWS(AT$119:AT127)-1)+1,IFERROR(INDEX('M03-S07'!$AR$18:$AR$199, _xlpm.ROWS)-INDEX('M03-S07'!$BQ$18:$BQ$199, _xlpm.ROWS),""))</f>
        <v/>
      </c>
      <c r="BL127"/>
      <c r="BP127"/>
      <c r="BQ127"/>
      <c r="BR127"/>
      <c r="CD127"/>
      <c r="CE127"/>
      <c r="CF127"/>
      <c r="CQ127"/>
      <c r="CR127"/>
      <c r="CS127"/>
      <c r="DS127"/>
      <c r="DT127"/>
      <c r="DU127"/>
    </row>
    <row r="128" spans="1:125" hidden="1">
      <c r="A128" s="15">
        <f t="shared" si="10"/>
        <v>0</v>
      </c>
      <c r="B128" t="str">
        <f t="shared" si="11"/>
        <v/>
      </c>
      <c r="C128" t="str">
        <f>IFERROR(IF(R128&gt;0,INDEX('M03-S07'!$BH$18:$BH$199,2*(ROWS($C$119:C128)-1)+1),""),"")</f>
        <v/>
      </c>
      <c r="D128" t="s">
        <v>1320</v>
      </c>
      <c r="E128" t="str">
        <f>IFERROR(INDEX('M03-S07'!$BD$18:$BD$199,2*(ROWS($E$119:E128)-1)+1),"")</f>
        <v/>
      </c>
      <c r="F128" s="210"/>
      <c r="G128">
        <f>IFERROR(INDEX('M03-S07'!$AE$18:$AE$199,2*(ROWS($G$119:G128)-1)+1),"")</f>
        <v>0</v>
      </c>
      <c r="H128" s="14">
        <f>IFERROR(ROUND(INDEX('M03-S07'!$AI$18:$AI$199,2*(ROWS(H$119:H128)-1)+1),2),"")</f>
        <v>0</v>
      </c>
      <c r="I128" s="14">
        <f>IFERROR(ROUND(INDEX('M03-S07'!$AK$18:$AK$199,2*(ROWS(I$119:I128)-1)+1),2),"")</f>
        <v>0</v>
      </c>
      <c r="J128" s="14" t="str">
        <f>IFERROR(ROUND(INDEX('M03-S07'!$AX$18:$AX$199,2*(ROWS(J$119:J128)-1)+1),2),"")</f>
        <v/>
      </c>
      <c r="K128" t="s">
        <v>84</v>
      </c>
      <c r="L128" s="10">
        <f>IFERROR(ROUND(INDEX('M03-S07'!$U$18:$U$199,2*(ROWS(L$119:L128)-1)+1),3),"")</f>
        <v>0</v>
      </c>
      <c r="M128" s="10">
        <f>IFERROR(ROUND(INDEX('M03-S07'!$U$18:$U$199,2*(ROWS(M$119:M128)-1)+1),3),"")</f>
        <v>0</v>
      </c>
      <c r="N128" s="37" t="str">
        <f>IFERROR(INDEX('M03-S07'!$AZ$18:$AZ$199,2*(ROWS(N$119:N128)-1)+1),"")</f>
        <v/>
      </c>
      <c r="O128" s="37">
        <f>IFERROR(INDEX('M03-S07'!$BE$18:$BE$199,2*(ROWS(O$119:O128)-1)+1),"")</f>
        <v>0</v>
      </c>
      <c r="P128" s="37" t="str">
        <f>IFERROR(INDEX('M03-S07'!$BA$18:$BA$199,2*(ROWS(P$119:P128)-1)+1),"")</f>
        <v/>
      </c>
      <c r="Q128" s="37">
        <f>IFERROR(INDEX('M03-S07'!$BF$18:$BF$199,2*(ROWS(Q$119:Q128)-1)+1),"")</f>
        <v>0</v>
      </c>
      <c r="R128" s="14" t="str">
        <f>IFERROR(INDEX('M03-S07'!$AR$18:$AR$199,2*(ROWS(R$119:R128)-1)+1),"")</f>
        <v/>
      </c>
      <c r="S128" s="207"/>
      <c r="T128" s="207"/>
      <c r="U128" s="207"/>
      <c r="V128" s="194"/>
      <c r="W128" s="218"/>
      <c r="X128" s="218"/>
      <c r="Y128" s="210"/>
      <c r="Z128" s="210"/>
      <c r="AA128" s="219"/>
      <c r="AB128" s="219"/>
      <c r="AC128" s="194"/>
      <c r="AD128" s="37">
        <f>IFERROR(INDEX('M03-S07'!$BB$18:$BB$199,2*(ROWS(AD$119:AD128)-1)+1),"")</f>
        <v>0</v>
      </c>
      <c r="AE128" s="37">
        <f>IFERROR(INDEX('M03-S07'!$BC$18:$BC$199,2*(ROWS(AE$119:AE128)-1)+1),"")</f>
        <v>0</v>
      </c>
      <c r="AF128" s="210"/>
      <c r="AG128" s="210"/>
      <c r="AH128" s="210"/>
      <c r="AI128">
        <f>IFERROR(INDEX('M03-S07'!$B$18:$B$199,2*(ROWS(AI$119:AI128)-1)+1),"")</f>
        <v>10</v>
      </c>
      <c r="AJ128" s="194"/>
      <c r="AK128">
        <f>IFERROR(INDEX('M03-S07'!$C$18:$C$199,2*(ROWS(AK$119:AK128)-1)+1),"")</f>
        <v>0</v>
      </c>
      <c r="AL128" s="194"/>
      <c r="AM128">
        <f>IFERROR(INDEX('M03-S07'!$AA$18:$AA$199,2*(ROWS(AM$119:AM128)-1)+1),"")</f>
        <v>0</v>
      </c>
      <c r="AN128" s="207"/>
      <c r="AO128" s="207"/>
      <c r="AP128" t="str">
        <f>IFERROR(INDEX('M03-S07'!$AY$18:$AY$199,2*(ROWS(AP$119:AP128)-1)+1),"")</f>
        <v/>
      </c>
      <c r="AQ128" s="194"/>
      <c r="AR128" t="str">
        <f>IFERROR(INDEX(STDWATER[Reporting Methodology],MATCH(EXPORT!C128,STDWATER[Measure Number],0)),"")</f>
        <v/>
      </c>
      <c r="AS128" t="str">
        <f>IFERROR(INDEX(STDWATER[Primary Key],MATCH(C128,STDWATER[Measure Number],0)),"")</f>
        <v/>
      </c>
      <c r="AT128" s="14" t="str" cm="1">
        <f t="array" ref="AT128">_xlfn.LET(_xlpm.ROWS, 2*(ROWS(AT$119:AT128)-1)+1,IFERROR(INDEX('M03-S07'!$AR$18:$AR$199, _xlpm.ROWS)-INDEX('M03-S07'!$BQ$18:$BQ$199, _xlpm.ROWS),""))</f>
        <v/>
      </c>
      <c r="BL128"/>
      <c r="BP128"/>
      <c r="BQ128"/>
      <c r="BR128"/>
      <c r="CD128"/>
      <c r="CE128"/>
      <c r="CF128"/>
      <c r="CQ128"/>
      <c r="CR128"/>
      <c r="CS128"/>
      <c r="DS128"/>
      <c r="DT128"/>
      <c r="DU128"/>
    </row>
    <row r="129" spans="1:125" hidden="1">
      <c r="A129" s="15">
        <f t="shared" si="10"/>
        <v>0</v>
      </c>
      <c r="B129" t="str">
        <f t="shared" si="11"/>
        <v/>
      </c>
      <c r="C129" t="str">
        <f>IFERROR(IF(R129&gt;0,INDEX('M03-S07'!$BH$18:$BH$199,2*(ROWS($C$119:C129)-1)+1),""),"")</f>
        <v/>
      </c>
      <c r="D129" t="s">
        <v>1320</v>
      </c>
      <c r="E129">
        <f>IFERROR(INDEX('M03-S07'!$BD$18:$BD$199,2*(ROWS($E$119:E129)-1)+1),"")</f>
        <v>0</v>
      </c>
      <c r="F129" s="210"/>
      <c r="G129">
        <f>IFERROR(INDEX('M03-S07'!$AE$18:$AE$199,2*(ROWS($G$119:G129)-1)+1),"")</f>
        <v>0</v>
      </c>
      <c r="H129" s="14">
        <f>IFERROR(ROUND(INDEX('M03-S07'!$AI$18:$AI$199,2*(ROWS(H$119:H129)-1)+1),2),"")</f>
        <v>0</v>
      </c>
      <c r="I129" s="14">
        <f>IFERROR(ROUND(INDEX('M03-S07'!$AK$18:$AK$199,2*(ROWS(I$119:I129)-1)+1),2),"")</f>
        <v>0</v>
      </c>
      <c r="J129" s="14">
        <f>IFERROR(ROUND(INDEX('M03-S07'!$AX$18:$AX$199,2*(ROWS(J$119:J129)-1)+1),2),"")</f>
        <v>0</v>
      </c>
      <c r="K129" t="s">
        <v>84</v>
      </c>
      <c r="L129" s="10">
        <f>IFERROR(ROUND(INDEX('M03-S07'!$U$18:$U$199,2*(ROWS(L$119:L129)-1)+1),3),"")</f>
        <v>0</v>
      </c>
      <c r="M129" s="10">
        <f>IFERROR(ROUND(INDEX('M03-S07'!$U$18:$U$199,2*(ROWS(M$119:M129)-1)+1),3),"")</f>
        <v>0</v>
      </c>
      <c r="N129" s="37">
        <f>IFERROR(INDEX('M03-S07'!$AZ$18:$AZ$199,2*(ROWS(N$119:N129)-1)+1),"")</f>
        <v>0</v>
      </c>
      <c r="O129" s="37">
        <f>IFERROR(INDEX('M03-S07'!$BE$18:$BE$199,2*(ROWS(O$119:O129)-1)+1),"")</f>
        <v>0</v>
      </c>
      <c r="P129" s="37">
        <f>IFERROR(INDEX('M03-S07'!$BA$18:$BA$199,2*(ROWS(P$119:P129)-1)+1),"")</f>
        <v>0</v>
      </c>
      <c r="Q129" s="37">
        <f>IFERROR(INDEX('M03-S07'!$BF$18:$BF$199,2*(ROWS(Q$119:Q129)-1)+1),"")</f>
        <v>0</v>
      </c>
      <c r="R129" s="14">
        <f>IFERROR(INDEX('M03-S07'!$AR$18:$AR$199,2*(ROWS(R$119:R129)-1)+1),"")</f>
        <v>0</v>
      </c>
      <c r="S129" s="207"/>
      <c r="T129" s="207"/>
      <c r="U129" s="207"/>
      <c r="V129" s="194"/>
      <c r="W129" s="218"/>
      <c r="X129" s="218"/>
      <c r="Y129" s="210"/>
      <c r="Z129" s="210"/>
      <c r="AA129" s="219"/>
      <c r="AB129" s="219"/>
      <c r="AC129" s="194"/>
      <c r="AD129" s="37">
        <f>IFERROR(INDEX('M03-S07'!$BB$18:$BB$199,2*(ROWS(AD$119:AD129)-1)+1),"")</f>
        <v>0</v>
      </c>
      <c r="AE129" s="37">
        <f>IFERROR(INDEX('M03-S07'!$BC$18:$BC$199,2*(ROWS(AE$119:AE129)-1)+1),"")</f>
        <v>0</v>
      </c>
      <c r="AF129" s="210"/>
      <c r="AG129" s="210"/>
      <c r="AH129" s="210"/>
      <c r="AI129">
        <f>IFERROR(INDEX('M03-S07'!$B$18:$B$199,2*(ROWS(AI$119:AI129)-1)+1),"")</f>
        <v>0</v>
      </c>
      <c r="AJ129" s="194"/>
      <c r="AK129">
        <f>IFERROR(INDEX('M03-S07'!$C$18:$C$199,2*(ROWS(AK$119:AK129)-1)+1),"")</f>
        <v>0</v>
      </c>
      <c r="AL129" s="194"/>
      <c r="AM129">
        <f>IFERROR(INDEX('M03-S07'!$AA$18:$AA$199,2*(ROWS(AM$119:AM129)-1)+1),"")</f>
        <v>0</v>
      </c>
      <c r="AN129" s="207"/>
      <c r="AO129" s="207"/>
      <c r="AP129">
        <f>IFERROR(INDEX('M03-S07'!$AY$18:$AY$199,2*(ROWS(AP$119:AP129)-1)+1),"")</f>
        <v>0</v>
      </c>
      <c r="AQ129" s="194"/>
      <c r="AR129" t="str">
        <f>IFERROR(INDEX(STDWATER[Reporting Methodology],MATCH(EXPORT!C129,STDWATER[Measure Number],0)),"")</f>
        <v/>
      </c>
      <c r="AS129" t="str">
        <f>IFERROR(INDEX(STDWATER[Primary Key],MATCH(C129,STDWATER[Measure Number],0)),"")</f>
        <v/>
      </c>
      <c r="AT129" s="14" cm="1">
        <f t="array" ref="AT129">_xlfn.LET(_xlpm.ROWS, 2*(ROWS(AT$119:AT129)-1)+1,IFERROR(INDEX('M03-S07'!$AR$18:$AR$199, _xlpm.ROWS)-INDEX('M03-S07'!$BQ$18:$BQ$199, _xlpm.ROWS),""))</f>
        <v>0</v>
      </c>
      <c r="BL129"/>
      <c r="BP129"/>
      <c r="BQ129"/>
      <c r="BR129"/>
      <c r="CD129"/>
      <c r="CE129"/>
      <c r="CF129"/>
      <c r="CQ129"/>
      <c r="CR129"/>
      <c r="CS129"/>
      <c r="DS129"/>
      <c r="DT129"/>
      <c r="DU129"/>
    </row>
    <row r="130" spans="1:125" hidden="1">
      <c r="A130" s="15">
        <f t="shared" si="10"/>
        <v>0</v>
      </c>
      <c r="B130" t="str">
        <f t="shared" si="11"/>
        <v/>
      </c>
      <c r="C130" t="str">
        <f>IFERROR(IF(R130&gt;0,INDEX('M03-S07'!$BH$18:$BH$199,2*(ROWS($C$119:C130)-1)+1),""),"")</f>
        <v/>
      </c>
      <c r="D130" t="s">
        <v>1320</v>
      </c>
      <c r="E130">
        <f>IFERROR(INDEX('M03-S07'!$BD$18:$BD$199,2*(ROWS($E$119:E130)-1)+1),"")</f>
        <v>0</v>
      </c>
      <c r="F130" s="210"/>
      <c r="G130">
        <f>IFERROR(INDEX('M03-S07'!$AE$18:$AE$199,2*(ROWS($G$119:G130)-1)+1),"")</f>
        <v>0</v>
      </c>
      <c r="H130" s="14">
        <f>IFERROR(ROUND(INDEX('M03-S07'!$AI$18:$AI$199,2*(ROWS(H$119:H130)-1)+1),2),"")</f>
        <v>0</v>
      </c>
      <c r="I130" s="14">
        <f>IFERROR(ROUND(INDEX('M03-S07'!$AK$18:$AK$199,2*(ROWS(I$119:I130)-1)+1),2),"")</f>
        <v>0</v>
      </c>
      <c r="J130" s="14">
        <f>IFERROR(ROUND(INDEX('M03-S07'!$AX$18:$AX$199,2*(ROWS(J$119:J130)-1)+1),2),"")</f>
        <v>0</v>
      </c>
      <c r="K130" t="s">
        <v>84</v>
      </c>
      <c r="L130" s="10">
        <f>IFERROR(ROUND(INDEX('M03-S07'!$U$18:$U$199,2*(ROWS(L$119:L130)-1)+1),3),"")</f>
        <v>0</v>
      </c>
      <c r="M130" s="10">
        <f>IFERROR(ROUND(INDEX('M03-S07'!$U$18:$U$199,2*(ROWS(M$119:M130)-1)+1),3),"")</f>
        <v>0</v>
      </c>
      <c r="N130" s="37">
        <f>IFERROR(INDEX('M03-S07'!$AZ$18:$AZ$199,2*(ROWS(N$119:N130)-1)+1),"")</f>
        <v>0</v>
      </c>
      <c r="O130" s="37">
        <f>IFERROR(INDEX('M03-S07'!$BE$18:$BE$199,2*(ROWS(O$119:O130)-1)+1),"")</f>
        <v>0</v>
      </c>
      <c r="P130" s="37">
        <f>IFERROR(INDEX('M03-S07'!$BA$18:$BA$199,2*(ROWS(P$119:P130)-1)+1),"")</f>
        <v>0</v>
      </c>
      <c r="Q130" s="37">
        <f>IFERROR(INDEX('M03-S07'!$BF$18:$BF$199,2*(ROWS(Q$119:Q130)-1)+1),"")</f>
        <v>0</v>
      </c>
      <c r="R130" s="14">
        <f>IFERROR(INDEX('M03-S07'!$AR$18:$AR$199,2*(ROWS(R$119:R130)-1)+1),"")</f>
        <v>0</v>
      </c>
      <c r="S130" s="207"/>
      <c r="T130" s="207"/>
      <c r="U130" s="207"/>
      <c r="V130" s="194"/>
      <c r="W130" s="218"/>
      <c r="X130" s="218"/>
      <c r="Y130" s="210"/>
      <c r="Z130" s="210"/>
      <c r="AA130" s="219"/>
      <c r="AB130" s="219"/>
      <c r="AC130" s="194"/>
      <c r="AD130" s="37">
        <f>IFERROR(INDEX('M03-S07'!$BB$18:$BB$199,2*(ROWS(AD$119:AD130)-1)+1),"")</f>
        <v>0</v>
      </c>
      <c r="AE130" s="37">
        <f>IFERROR(INDEX('M03-S07'!$BC$18:$BC$199,2*(ROWS(AE$119:AE130)-1)+1),"")</f>
        <v>0</v>
      </c>
      <c r="AF130" s="210"/>
      <c r="AG130" s="210"/>
      <c r="AH130" s="210"/>
      <c r="AI130">
        <f>IFERROR(INDEX('M03-S07'!$B$18:$B$199,2*(ROWS(AI$119:AI130)-1)+1),"")</f>
        <v>0</v>
      </c>
      <c r="AJ130" s="194"/>
      <c r="AK130">
        <f>IFERROR(INDEX('M03-S07'!$C$18:$C$199,2*(ROWS(AK$119:AK130)-1)+1),"")</f>
        <v>0</v>
      </c>
      <c r="AL130" s="194"/>
      <c r="AM130">
        <f>IFERROR(INDEX('M03-S07'!$AA$18:$AA$199,2*(ROWS(AM$119:AM130)-1)+1),"")</f>
        <v>0</v>
      </c>
      <c r="AN130" s="207"/>
      <c r="AO130" s="207"/>
      <c r="AP130">
        <f>IFERROR(INDEX('M03-S07'!$AY$18:$AY$199,2*(ROWS(AP$119:AP130)-1)+1),"")</f>
        <v>0</v>
      </c>
      <c r="AQ130" s="194"/>
      <c r="AR130" t="str">
        <f>IFERROR(INDEX(STDWATER[Reporting Methodology],MATCH(EXPORT!C130,STDWATER[Measure Number],0)),"")</f>
        <v/>
      </c>
      <c r="AS130" t="str">
        <f>IFERROR(INDEX(STDWATER[Primary Key],MATCH(C130,STDWATER[Measure Number],0)),"")</f>
        <v/>
      </c>
      <c r="AT130" s="14" cm="1">
        <f t="array" ref="AT130">_xlfn.LET(_xlpm.ROWS, 2*(ROWS(AT$119:AT130)-1)+1,IFERROR(INDEX('M03-S07'!$AR$18:$AR$199, _xlpm.ROWS)-INDEX('M03-S07'!$BQ$18:$BQ$199, _xlpm.ROWS),""))</f>
        <v>0</v>
      </c>
      <c r="BL130"/>
      <c r="BP130"/>
      <c r="BQ130"/>
      <c r="BR130"/>
      <c r="CD130"/>
      <c r="CE130"/>
      <c r="CF130"/>
      <c r="CQ130"/>
      <c r="CR130"/>
      <c r="CS130"/>
      <c r="DS130"/>
      <c r="DT130"/>
      <c r="DU130"/>
    </row>
    <row r="131" spans="1:125" hidden="1">
      <c r="A131" s="15">
        <f t="shared" si="10"/>
        <v>0</v>
      </c>
      <c r="B131" t="str">
        <f t="shared" si="11"/>
        <v/>
      </c>
      <c r="C131" t="str">
        <f>IFERROR(IF(R131&gt;0,INDEX('M03-S07'!$BH$18:$BH$199,2*(ROWS($C$119:C131)-1)+1),""),"")</f>
        <v/>
      </c>
      <c r="D131" t="s">
        <v>1320</v>
      </c>
      <c r="E131">
        <f>IFERROR(INDEX('M03-S07'!$BD$18:$BD$199,2*(ROWS($E$119:E131)-1)+1),"")</f>
        <v>0</v>
      </c>
      <c r="F131" s="210"/>
      <c r="G131">
        <f>IFERROR(INDEX('M03-S07'!$AE$18:$AE$199,2*(ROWS($G$119:G131)-1)+1),"")</f>
        <v>0</v>
      </c>
      <c r="H131" s="14">
        <f>IFERROR(ROUND(INDEX('M03-S07'!$AI$18:$AI$199,2*(ROWS(H$119:H131)-1)+1),2),"")</f>
        <v>0</v>
      </c>
      <c r="I131" s="14">
        <f>IFERROR(ROUND(INDEX('M03-S07'!$AK$18:$AK$199,2*(ROWS(I$119:I131)-1)+1),2),"")</f>
        <v>0</v>
      </c>
      <c r="J131" s="14">
        <f>IFERROR(ROUND(INDEX('M03-S07'!$AX$18:$AX$199,2*(ROWS(J$119:J131)-1)+1),2),"")</f>
        <v>0</v>
      </c>
      <c r="K131" t="s">
        <v>84</v>
      </c>
      <c r="L131" s="10">
        <f>IFERROR(ROUND(INDEX('M03-S07'!$U$18:$U$199,2*(ROWS(L$119:L131)-1)+1),3),"")</f>
        <v>0</v>
      </c>
      <c r="M131" s="10">
        <f>IFERROR(ROUND(INDEX('M03-S07'!$U$18:$U$199,2*(ROWS(M$119:M131)-1)+1),3),"")</f>
        <v>0</v>
      </c>
      <c r="N131" s="37">
        <f>IFERROR(INDEX('M03-S07'!$AZ$18:$AZ$199,2*(ROWS(N$119:N131)-1)+1),"")</f>
        <v>0</v>
      </c>
      <c r="O131" s="37">
        <f>IFERROR(INDEX('M03-S07'!$BE$18:$BE$199,2*(ROWS(O$119:O131)-1)+1),"")</f>
        <v>0</v>
      </c>
      <c r="P131" s="37">
        <f>IFERROR(INDEX('M03-S07'!$BA$18:$BA$199,2*(ROWS(P$119:P131)-1)+1),"")</f>
        <v>0</v>
      </c>
      <c r="Q131" s="37">
        <f>IFERROR(INDEX('M03-S07'!$BF$18:$BF$199,2*(ROWS(Q$119:Q131)-1)+1),"")</f>
        <v>0</v>
      </c>
      <c r="R131" s="14">
        <f>IFERROR(INDEX('M03-S07'!$AR$18:$AR$199,2*(ROWS(R$119:R131)-1)+1),"")</f>
        <v>0</v>
      </c>
      <c r="S131" s="207"/>
      <c r="T131" s="207"/>
      <c r="U131" s="207"/>
      <c r="V131" s="194"/>
      <c r="W131" s="218"/>
      <c r="X131" s="218"/>
      <c r="Y131" s="210"/>
      <c r="Z131" s="210"/>
      <c r="AA131" s="219"/>
      <c r="AB131" s="219"/>
      <c r="AC131" s="194"/>
      <c r="AD131" s="37">
        <f>IFERROR(INDEX('M03-S07'!$BB$18:$BB$199,2*(ROWS(AD$119:AD131)-1)+1),"")</f>
        <v>0</v>
      </c>
      <c r="AE131" s="37">
        <f>IFERROR(INDEX('M03-S07'!$BC$18:$BC$199,2*(ROWS(AE$119:AE131)-1)+1),"")</f>
        <v>0</v>
      </c>
      <c r="AF131" s="210"/>
      <c r="AG131" s="210"/>
      <c r="AH131" s="210"/>
      <c r="AI131">
        <f>IFERROR(INDEX('M03-S07'!$B$18:$B$199,2*(ROWS(AI$119:AI131)-1)+1),"")</f>
        <v>0</v>
      </c>
      <c r="AJ131" s="194"/>
      <c r="AK131">
        <f>IFERROR(INDEX('M03-S07'!$C$18:$C$199,2*(ROWS(AK$119:AK131)-1)+1),"")</f>
        <v>0</v>
      </c>
      <c r="AL131" s="194"/>
      <c r="AM131">
        <f>IFERROR(INDEX('M03-S07'!$AA$18:$AA$199,2*(ROWS(AM$119:AM131)-1)+1),"")</f>
        <v>0</v>
      </c>
      <c r="AN131" s="207"/>
      <c r="AO131" s="207"/>
      <c r="AP131">
        <f>IFERROR(INDEX('M03-S07'!$AY$18:$AY$199,2*(ROWS(AP$119:AP131)-1)+1),"")</f>
        <v>0</v>
      </c>
      <c r="AQ131" s="194"/>
      <c r="AR131" t="str">
        <f>IFERROR(INDEX(STDWATER[Reporting Methodology],MATCH(EXPORT!C131,STDWATER[Measure Number],0)),"")</f>
        <v/>
      </c>
      <c r="AS131" t="str">
        <f>IFERROR(INDEX(STDWATER[Primary Key],MATCH(C131,STDWATER[Measure Number],0)),"")</f>
        <v/>
      </c>
      <c r="AT131" s="14" cm="1">
        <f t="array" ref="AT131">_xlfn.LET(_xlpm.ROWS, 2*(ROWS(AT$119:AT131)-1)+1,IFERROR(INDEX('M03-S07'!$AR$18:$AR$199, _xlpm.ROWS)-INDEX('M03-S07'!$BQ$18:$BQ$199, _xlpm.ROWS),""))</f>
        <v>0</v>
      </c>
      <c r="BL131"/>
      <c r="BP131"/>
      <c r="BQ131"/>
      <c r="BR131"/>
      <c r="CD131"/>
      <c r="CE131"/>
      <c r="CF131"/>
      <c r="CQ131"/>
      <c r="CR131"/>
      <c r="CS131"/>
      <c r="DS131"/>
      <c r="DT131"/>
      <c r="DU131"/>
    </row>
    <row r="132" spans="1:125" hidden="1">
      <c r="A132" s="15">
        <f t="shared" si="10"/>
        <v>0</v>
      </c>
      <c r="B132" t="str">
        <f t="shared" si="11"/>
        <v/>
      </c>
      <c r="C132" t="str">
        <f>IFERROR(IF(R132&gt;0,INDEX('M03-S07'!$BH$18:$BH$199,2*(ROWS($C$119:C132)-1)+1),""),"")</f>
        <v/>
      </c>
      <c r="D132" t="s">
        <v>1320</v>
      </c>
      <c r="E132">
        <f>IFERROR(INDEX('M03-S07'!$BD$18:$BD$199,2*(ROWS($E$119:E132)-1)+1),"")</f>
        <v>0</v>
      </c>
      <c r="F132" s="210"/>
      <c r="G132">
        <f>IFERROR(INDEX('M03-S07'!$AE$18:$AE$199,2*(ROWS($G$119:G132)-1)+1),"")</f>
        <v>0</v>
      </c>
      <c r="H132" s="14">
        <f>IFERROR(ROUND(INDEX('M03-S07'!$AI$18:$AI$199,2*(ROWS(H$119:H132)-1)+1),2),"")</f>
        <v>0</v>
      </c>
      <c r="I132" s="14">
        <f>IFERROR(ROUND(INDEX('M03-S07'!$AK$18:$AK$199,2*(ROWS(I$119:I132)-1)+1),2),"")</f>
        <v>0</v>
      </c>
      <c r="J132" s="14">
        <f>IFERROR(ROUND(INDEX('M03-S07'!$AX$18:$AX$199,2*(ROWS(J$119:J132)-1)+1),2),"")</f>
        <v>0</v>
      </c>
      <c r="K132" t="s">
        <v>84</v>
      </c>
      <c r="L132" s="10">
        <f>IFERROR(ROUND(INDEX('M03-S07'!$U$18:$U$199,2*(ROWS(L$119:L132)-1)+1),3),"")</f>
        <v>0</v>
      </c>
      <c r="M132" s="10">
        <f>IFERROR(ROUND(INDEX('M03-S07'!$U$18:$U$199,2*(ROWS(M$119:M132)-1)+1),3),"")</f>
        <v>0</v>
      </c>
      <c r="N132" s="37">
        <f>IFERROR(INDEX('M03-S07'!$AZ$18:$AZ$199,2*(ROWS(N$119:N132)-1)+1),"")</f>
        <v>0</v>
      </c>
      <c r="O132" s="37">
        <f>IFERROR(INDEX('M03-S07'!$BE$18:$BE$199,2*(ROWS(O$119:O132)-1)+1),"")</f>
        <v>0</v>
      </c>
      <c r="P132" s="37">
        <f>IFERROR(INDEX('M03-S07'!$BA$18:$BA$199,2*(ROWS(P$119:P132)-1)+1),"")</f>
        <v>0</v>
      </c>
      <c r="Q132" s="37">
        <f>IFERROR(INDEX('M03-S07'!$BF$18:$BF$199,2*(ROWS(Q$119:Q132)-1)+1),"")</f>
        <v>0</v>
      </c>
      <c r="R132" s="14">
        <f>IFERROR(INDEX('M03-S07'!$AR$18:$AR$199,2*(ROWS(R$119:R132)-1)+1),"")</f>
        <v>0</v>
      </c>
      <c r="S132" s="207"/>
      <c r="T132" s="207"/>
      <c r="U132" s="207"/>
      <c r="V132" s="194"/>
      <c r="W132" s="218"/>
      <c r="X132" s="218"/>
      <c r="Y132" s="210"/>
      <c r="Z132" s="210"/>
      <c r="AA132" s="219"/>
      <c r="AB132" s="219"/>
      <c r="AC132" s="194"/>
      <c r="AD132" s="37">
        <f>IFERROR(INDEX('M03-S07'!$BB$18:$BB$199,2*(ROWS(AD$119:AD132)-1)+1),"")</f>
        <v>0</v>
      </c>
      <c r="AE132" s="37">
        <f>IFERROR(INDEX('M03-S07'!$BC$18:$BC$199,2*(ROWS(AE$119:AE132)-1)+1),"")</f>
        <v>0</v>
      </c>
      <c r="AF132" s="210"/>
      <c r="AG132" s="210"/>
      <c r="AH132" s="210"/>
      <c r="AI132">
        <f>IFERROR(INDEX('M03-S07'!$B$18:$B$199,2*(ROWS(AI$119:AI132)-1)+1),"")</f>
        <v>0</v>
      </c>
      <c r="AJ132" s="194"/>
      <c r="AK132">
        <f>IFERROR(INDEX('M03-S07'!$C$18:$C$199,2*(ROWS(AK$119:AK132)-1)+1),"")</f>
        <v>0</v>
      </c>
      <c r="AL132" s="194"/>
      <c r="AM132">
        <f>IFERROR(INDEX('M03-S07'!$AA$18:$AA$199,2*(ROWS(AM$119:AM132)-1)+1),"")</f>
        <v>0</v>
      </c>
      <c r="AN132" s="207"/>
      <c r="AO132" s="207"/>
      <c r="AP132">
        <f>IFERROR(INDEX('M03-S07'!$AY$18:$AY$199,2*(ROWS(AP$119:AP132)-1)+1),"")</f>
        <v>0</v>
      </c>
      <c r="AQ132" s="194"/>
      <c r="AR132" t="str">
        <f>IFERROR(INDEX(STDWATER[Reporting Methodology],MATCH(EXPORT!C132,STDWATER[Measure Number],0)),"")</f>
        <v/>
      </c>
      <c r="AS132" t="str">
        <f>IFERROR(INDEX(STDWATER[Primary Key],MATCH(C132,STDWATER[Measure Number],0)),"")</f>
        <v/>
      </c>
      <c r="AT132" s="14" cm="1">
        <f t="array" ref="AT132">_xlfn.LET(_xlpm.ROWS, 2*(ROWS(AT$119:AT132)-1)+1,IFERROR(INDEX('M03-S07'!$AR$18:$AR$199, _xlpm.ROWS)-INDEX('M03-S07'!$BQ$18:$BQ$199, _xlpm.ROWS),""))</f>
        <v>0</v>
      </c>
      <c r="BL132"/>
      <c r="BP132"/>
      <c r="BQ132"/>
      <c r="BR132"/>
      <c r="CD132"/>
      <c r="CE132"/>
      <c r="CF132"/>
      <c r="CQ132"/>
      <c r="CR132"/>
      <c r="CS132"/>
      <c r="DS132"/>
      <c r="DT132"/>
      <c r="DU132"/>
    </row>
    <row r="133" spans="1:125" hidden="1">
      <c r="A133" s="15">
        <f t="shared" si="10"/>
        <v>0</v>
      </c>
      <c r="B133" t="str">
        <f t="shared" si="11"/>
        <v/>
      </c>
      <c r="C133" t="str">
        <f>IFERROR(IF(R133&gt;0,INDEX('M03-S07'!$BH$18:$BH$199,2*(ROWS($C$119:C133)-1)+1),""),"")</f>
        <v/>
      </c>
      <c r="D133" t="s">
        <v>1320</v>
      </c>
      <c r="E133">
        <f>IFERROR(INDEX('M03-S07'!$BD$18:$BD$199,2*(ROWS($E$119:E133)-1)+1),"")</f>
        <v>0</v>
      </c>
      <c r="F133" s="210"/>
      <c r="G133">
        <f>IFERROR(INDEX('M03-S07'!$AE$18:$AE$199,2*(ROWS($G$119:G133)-1)+1),"")</f>
        <v>0</v>
      </c>
      <c r="H133" s="14">
        <f>IFERROR(ROUND(INDEX('M03-S07'!$AI$18:$AI$199,2*(ROWS(H$119:H133)-1)+1),2),"")</f>
        <v>0</v>
      </c>
      <c r="I133" s="14">
        <f>IFERROR(ROUND(INDEX('M03-S07'!$AK$18:$AK$199,2*(ROWS(I$119:I133)-1)+1),2),"")</f>
        <v>0</v>
      </c>
      <c r="J133" s="14">
        <f>IFERROR(ROUND(INDEX('M03-S07'!$AX$18:$AX$199,2*(ROWS(J$119:J133)-1)+1),2),"")</f>
        <v>0</v>
      </c>
      <c r="K133" t="s">
        <v>84</v>
      </c>
      <c r="L133" s="10">
        <f>IFERROR(ROUND(INDEX('M03-S07'!$U$18:$U$199,2*(ROWS(L$119:L133)-1)+1),3),"")</f>
        <v>0</v>
      </c>
      <c r="M133" s="10">
        <f>IFERROR(ROUND(INDEX('M03-S07'!$U$18:$U$199,2*(ROWS(M$119:M133)-1)+1),3),"")</f>
        <v>0</v>
      </c>
      <c r="N133" s="37">
        <f>IFERROR(INDEX('M03-S07'!$AZ$18:$AZ$199,2*(ROWS(N$119:N133)-1)+1),"")</f>
        <v>0</v>
      </c>
      <c r="O133" s="37">
        <f>IFERROR(INDEX('M03-S07'!$BE$18:$BE$199,2*(ROWS(O$119:O133)-1)+1),"")</f>
        <v>0</v>
      </c>
      <c r="P133" s="37">
        <f>IFERROR(INDEX('M03-S07'!$BA$18:$BA$199,2*(ROWS(P$119:P133)-1)+1),"")</f>
        <v>0</v>
      </c>
      <c r="Q133" s="37">
        <f>IFERROR(INDEX('M03-S07'!$BF$18:$BF$199,2*(ROWS(Q$119:Q133)-1)+1),"")</f>
        <v>0</v>
      </c>
      <c r="R133" s="14">
        <f>IFERROR(INDEX('M03-S07'!$AR$18:$AR$199,2*(ROWS(R$119:R133)-1)+1),"")</f>
        <v>0</v>
      </c>
      <c r="S133" s="207"/>
      <c r="T133" s="207"/>
      <c r="U133" s="207"/>
      <c r="V133" s="194"/>
      <c r="W133" s="218"/>
      <c r="X133" s="218"/>
      <c r="Y133" s="210"/>
      <c r="Z133" s="210"/>
      <c r="AA133" s="219"/>
      <c r="AB133" s="219"/>
      <c r="AC133" s="194"/>
      <c r="AD133" s="37">
        <f>IFERROR(INDEX('M03-S07'!$BB$18:$BB$199,2*(ROWS(AD$119:AD133)-1)+1),"")</f>
        <v>0</v>
      </c>
      <c r="AE133" s="37">
        <f>IFERROR(INDEX('M03-S07'!$BC$18:$BC$199,2*(ROWS(AE$119:AE133)-1)+1),"")</f>
        <v>0</v>
      </c>
      <c r="AF133" s="210"/>
      <c r="AG133" s="210"/>
      <c r="AH133" s="210"/>
      <c r="AI133">
        <f>IFERROR(INDEX('M03-S07'!$B$18:$B$199,2*(ROWS(AI$119:AI133)-1)+1),"")</f>
        <v>0</v>
      </c>
      <c r="AJ133" s="194"/>
      <c r="AK133">
        <f>IFERROR(INDEX('M03-S07'!$C$18:$C$199,2*(ROWS(AK$119:AK133)-1)+1),"")</f>
        <v>0</v>
      </c>
      <c r="AL133" s="194"/>
      <c r="AM133">
        <f>IFERROR(INDEX('M03-S07'!$AA$18:$AA$199,2*(ROWS(AM$119:AM133)-1)+1),"")</f>
        <v>0</v>
      </c>
      <c r="AN133" s="207"/>
      <c r="AO133" s="207"/>
      <c r="AP133">
        <f>IFERROR(INDEX('M03-S07'!$AY$18:$AY$199,2*(ROWS(AP$119:AP133)-1)+1),"")</f>
        <v>0</v>
      </c>
      <c r="AQ133" s="194"/>
      <c r="AR133" t="str">
        <f>IFERROR(INDEX(STDWATER[Reporting Methodology],MATCH(EXPORT!C133,STDWATER[Measure Number],0)),"")</f>
        <v/>
      </c>
      <c r="AS133" t="str">
        <f>IFERROR(INDEX(STDWATER[Primary Key],MATCH(C133,STDWATER[Measure Number],0)),"")</f>
        <v/>
      </c>
      <c r="AT133" s="14" cm="1">
        <f t="array" ref="AT133">_xlfn.LET(_xlpm.ROWS, 2*(ROWS(AT$119:AT133)-1)+1,IFERROR(INDEX('M03-S07'!$AR$18:$AR$199, _xlpm.ROWS)-INDEX('M03-S07'!$BQ$18:$BQ$199, _xlpm.ROWS),""))</f>
        <v>0</v>
      </c>
      <c r="BL133"/>
      <c r="BP133"/>
      <c r="BQ133"/>
      <c r="BR133"/>
      <c r="CD133"/>
      <c r="CE133"/>
      <c r="CF133"/>
      <c r="CQ133"/>
      <c r="CR133"/>
      <c r="CS133"/>
      <c r="DS133"/>
      <c r="DT133"/>
      <c r="DU133"/>
    </row>
    <row r="134" spans="1:125" s="195" customFormat="1">
      <c r="A134" s="224" t="str">
        <f>"Standard "&amp;M3S8</f>
        <v>Standard Motors and Drives</v>
      </c>
      <c r="F134" s="209"/>
      <c r="H134" s="205"/>
      <c r="I134" s="205"/>
      <c r="J134" s="205"/>
      <c r="L134" s="213"/>
      <c r="M134" s="213"/>
      <c r="N134" s="216"/>
      <c r="O134" s="216"/>
      <c r="P134" s="216"/>
      <c r="Q134" s="216"/>
      <c r="R134" s="205"/>
      <c r="S134" s="205"/>
      <c r="T134" s="205"/>
      <c r="U134" s="205"/>
      <c r="W134" s="213"/>
      <c r="X134" s="213"/>
      <c r="Y134" s="209"/>
      <c r="Z134" s="209"/>
      <c r="AA134" s="216"/>
      <c r="AB134" s="216"/>
      <c r="AD134" s="216"/>
      <c r="AE134" s="216"/>
      <c r="AF134" s="209"/>
      <c r="AG134" s="209"/>
      <c r="AH134" s="209"/>
      <c r="AK134" s="196"/>
      <c r="AN134" s="205"/>
      <c r="AO134" s="205"/>
      <c r="AU134" s="197"/>
      <c r="AV134" s="197"/>
      <c r="AW134" s="197"/>
      <c r="AX134" s="197"/>
      <c r="AY134" s="197"/>
      <c r="AZ134" s="197"/>
      <c r="BA134" s="197"/>
      <c r="BB134" s="197"/>
      <c r="BC134" s="197"/>
      <c r="BD134" s="197"/>
      <c r="BE134" s="197"/>
    </row>
    <row r="135" spans="1:125" hidden="1">
      <c r="A135" s="15">
        <f t="shared" si="10"/>
        <v>0</v>
      </c>
      <c r="B135" t="str">
        <f>IF(C135="","",CONCATENATE(ROW(),"-",C135))</f>
        <v/>
      </c>
      <c r="C135" t="str">
        <f>IFERROR(IF(R135&gt;0,INDEX('M03-S08'!$BH$18:$BH$199,2*(ROWS($C$135:C135)-1)+1),""),"")</f>
        <v/>
      </c>
      <c r="D135" t="s">
        <v>1320</v>
      </c>
      <c r="E135" t="str">
        <f>IFERROR(INDEX('M03-S08'!$BD$18:$BD$199,2*(ROWS($E$135:E135)-1)+1),"")</f>
        <v/>
      </c>
      <c r="F135" s="210"/>
      <c r="G135">
        <f>IFERROR(INDEX('M03-S08'!$AE$18:$AE$199,2*(ROWS($G$135:G135)-1)+1),"")</f>
        <v>0</v>
      </c>
      <c r="H135" s="14">
        <f>IFERROR(ROUND(INDEX('M03-S08'!$AI$18:$AI$199,2*(ROWS(H$135:H135)-1)+1),2),"")</f>
        <v>0</v>
      </c>
      <c r="I135" s="14">
        <f>IFERROR(ROUND(INDEX('M03-S08'!$AK$18:$AK$199,2*(ROWS(I$135:I135)-1)+1),2),"")</f>
        <v>0</v>
      </c>
      <c r="J135" s="14" t="str">
        <f>IFERROR(ROUND(INDEX('M03-S08'!$AX$18:$AX$199,2*(ROWS(J$135:J135)-1)+1),2),"")</f>
        <v/>
      </c>
      <c r="K135" t="s">
        <v>84</v>
      </c>
      <c r="L135" s="10">
        <f>IFERROR(
ROUND(INDEX('M03-S08'!$R$18:$R$199,2*(ROWS(L$135:L135)-1)+1),3)*
ROUND(INDEX('M03-S08'!$T$18:$T$199,2*(ROWS(L$135:L135)-1)+1),3),"")</f>
        <v>0</v>
      </c>
      <c r="M135" s="10">
        <f>IFERROR(
ROUND(INDEX('M03-S08'!$R$18:$R$199,2*(ROWS(M$135:M135)-1)+1),3)*
ROUND(INDEX('M03-S08'!$T$18:$T$199,2*(ROWS(M$135:M135)-1)+1),3),
"")</f>
        <v>0</v>
      </c>
      <c r="N135" s="37" t="str">
        <f>IFERROR(INDEX('M03-S08'!$AZ$18:$AZ$199,2*(ROWS(N$135:N135)-1)+1),"")</f>
        <v/>
      </c>
      <c r="O135" s="37">
        <f>IFERROR(INDEX('M03-S08'!$BE$18:$BE$199,2*(ROWS(O$135:O135)-1)+1),"")</f>
        <v>0</v>
      </c>
      <c r="P135" s="37" t="str">
        <f>IFERROR(INDEX('M03-S08'!$BA$18:$BA$199,2*(ROWS(P$135:P135)-1)+1),"")</f>
        <v/>
      </c>
      <c r="Q135" s="37">
        <f>IFERROR(INDEX('M03-S08'!$BF$18:$BF$199,2*(ROWS(Q$135:Q135)-1)+1),"")</f>
        <v>0</v>
      </c>
      <c r="R135" s="14" t="str">
        <f>IFERROR(INDEX('M03-S08'!$AR$18:$AR$199,2*(ROWS(R$135:R135)-1)+1),"")</f>
        <v/>
      </c>
      <c r="S135" s="207"/>
      <c r="T135" s="207"/>
      <c r="U135" s="207"/>
      <c r="V135" s="194"/>
      <c r="W135" s="218"/>
      <c r="X135" s="218"/>
      <c r="Y135" s="210"/>
      <c r="Z135" s="210"/>
      <c r="AA135" s="219"/>
      <c r="AB135" s="219"/>
      <c r="AC135" s="194"/>
      <c r="AD135" s="37">
        <f>IFERROR(INDEX('M03-S08'!$BB$18:$BB$199,2*(ROWS(AD$135:AD135)-1)+1),"")</f>
        <v>0</v>
      </c>
      <c r="AE135" s="37">
        <f>IFERROR(INDEX('M03-S08'!$BC$18:$BC$199,2*(ROWS(AE$135:AE135)-1)+1),"")</f>
        <v>0</v>
      </c>
      <c r="AF135" s="210"/>
      <c r="AG135" s="210"/>
      <c r="AH135" s="210"/>
      <c r="AI135">
        <f>IFERROR(INDEX('M03-S08'!$B$18:$B$199,2*(ROWS(AI$135:AI135)-1)+1),"")</f>
        <v>1</v>
      </c>
      <c r="AJ135" s="194"/>
      <c r="AK135">
        <f>IFERROR(INDEX('M03-S08'!$C$18:$C$199,2*(ROWS(AK$135:AK135)-1)+1),"")</f>
        <v>0</v>
      </c>
      <c r="AL135" s="194"/>
      <c r="AM135">
        <f>IFERROR(INDEX('M03-S08'!$X$18:$X$199,2*(ROWS(AM$135:AM135)-1)+1),"")</f>
        <v>0</v>
      </c>
      <c r="AN135" s="207"/>
      <c r="AO135" s="207"/>
      <c r="AP135" t="str">
        <f>IFERROR(INDEX('M03-S08'!$AY$18:$AY$199,2*(ROWS(AP$135:AP135)-1)+1),"")</f>
        <v/>
      </c>
      <c r="AQ135" s="194"/>
      <c r="AR135" t="str">
        <f>IFERROR(INDEX(STDMOTORS[Reporting Methodology],MATCH(EXPORT!C135,STDMOTORS[Measure Number],0)),"")</f>
        <v/>
      </c>
      <c r="AS135" t="str">
        <f>IFERROR(INDEX(STDMOTORS[Primary Key],MATCH(C135,STDMOTORS[Measure Number],0)),"")</f>
        <v/>
      </c>
      <c r="AT135" s="14" t="str" cm="1">
        <f t="array" ref="AT135">_xlfn.LET(_xlpm.ROWS, 2*(ROWS(AT$135:AT135)-1)+1,IFERROR(INDEX('M03-S08'!$AR$18:$AR$199, _xlpm.ROWS)-INDEX('M03-S08'!$BQ$18:$BQ$199, _xlpm.ROWS),""))</f>
        <v/>
      </c>
      <c r="BL135"/>
      <c r="BP135"/>
      <c r="BQ135"/>
      <c r="BR135"/>
      <c r="CD135"/>
      <c r="CE135"/>
      <c r="CF135"/>
      <c r="CQ135"/>
      <c r="CR135"/>
      <c r="CS135"/>
      <c r="DS135"/>
      <c r="DT135"/>
      <c r="DU135"/>
    </row>
    <row r="136" spans="1:125" hidden="1">
      <c r="A136" s="15">
        <f t="shared" si="10"/>
        <v>0</v>
      </c>
      <c r="B136" t="str">
        <f t="shared" ref="B136:B149" si="12">IF(C136="","",CONCATENATE(ROW(),"-",C136))</f>
        <v/>
      </c>
      <c r="C136" t="str">
        <f>IFERROR(IF(R136&gt;0,INDEX('M03-S08'!$BH$18:$BH$199,2*(ROWS($C$135:C136)-1)+1),""),"")</f>
        <v/>
      </c>
      <c r="D136" t="s">
        <v>1320</v>
      </c>
      <c r="E136" t="str">
        <f>IFERROR(INDEX('M03-S08'!$BD$18:$BD$199,2*(ROWS($E$135:E136)-1)+1),"")</f>
        <v/>
      </c>
      <c r="F136" s="210"/>
      <c r="G136">
        <f>IFERROR(INDEX('M03-S08'!$AE$18:$AE$199,2*(ROWS($G$135:G136)-1)+1),"")</f>
        <v>0</v>
      </c>
      <c r="H136" s="14">
        <f>IFERROR(ROUND(INDEX('M03-S08'!$AI$18:$AI$199,2*(ROWS(H$135:H136)-1)+1),2),"")</f>
        <v>0</v>
      </c>
      <c r="I136" s="14">
        <f>IFERROR(ROUND(INDEX('M03-S08'!$AK$18:$AK$199,2*(ROWS(I$135:I136)-1)+1),2),"")</f>
        <v>0</v>
      </c>
      <c r="J136" s="14" t="str">
        <f>IFERROR(ROUND(INDEX('M03-S08'!$AX$18:$AX$199,2*(ROWS(J$135:J136)-1)+1),2),"")</f>
        <v/>
      </c>
      <c r="K136" t="s">
        <v>84</v>
      </c>
      <c r="L136" s="10">
        <f>IFERROR(
ROUND(INDEX('M03-S08'!$R$18:$R$199,2*(ROWS(L$135:L136)-1)+1),3)*
ROUND(INDEX('M03-S08'!$T$18:$T$199,2*(ROWS(L$135:L136)-1)+1),3),"")</f>
        <v>0</v>
      </c>
      <c r="M136" s="10">
        <f>IFERROR(
ROUND(INDEX('M03-S08'!$R$18:$R$199,2*(ROWS(M$135:M136)-1)+1),3)*
ROUND(INDEX('M03-S08'!$T$18:$T$199,2*(ROWS(M$135:M136)-1)+1),3),
"")</f>
        <v>0</v>
      </c>
      <c r="N136" s="37" t="str">
        <f>IFERROR(INDEX('M03-S08'!$AZ$18:$AZ$199,2*(ROWS(N$135:N136)-1)+1),"")</f>
        <v/>
      </c>
      <c r="O136" s="37">
        <f>IFERROR(INDEX('M03-S08'!$BE$18:$BE$199,2*(ROWS(O$135:O136)-1)+1),"")</f>
        <v>0</v>
      </c>
      <c r="P136" s="37" t="str">
        <f>IFERROR(INDEX('M03-S08'!$BA$18:$BA$199,2*(ROWS(P$135:P136)-1)+1),"")</f>
        <v/>
      </c>
      <c r="Q136" s="37">
        <f>IFERROR(INDEX('M03-S08'!$BF$18:$BF$199,2*(ROWS(Q$135:Q136)-1)+1),"")</f>
        <v>0</v>
      </c>
      <c r="R136" s="14" t="str">
        <f>IFERROR(INDEX('M03-S08'!$AR$18:$AR$199,2*(ROWS(R$135:R136)-1)+1),"")</f>
        <v/>
      </c>
      <c r="S136" s="207"/>
      <c r="T136" s="207"/>
      <c r="U136" s="207"/>
      <c r="V136" s="194"/>
      <c r="W136" s="218"/>
      <c r="X136" s="218"/>
      <c r="Y136" s="210"/>
      <c r="Z136" s="210"/>
      <c r="AA136" s="219"/>
      <c r="AB136" s="219"/>
      <c r="AC136" s="194"/>
      <c r="AD136" s="37">
        <f>IFERROR(INDEX('M03-S08'!$BB$18:$BB$199,2*(ROWS(AD$135:AD136)-1)+1),"")</f>
        <v>0</v>
      </c>
      <c r="AE136" s="37">
        <f>IFERROR(INDEX('M03-S08'!$BC$18:$BC$199,2*(ROWS(AE$135:AE136)-1)+1),"")</f>
        <v>0</v>
      </c>
      <c r="AF136" s="210"/>
      <c r="AG136" s="210"/>
      <c r="AH136" s="210"/>
      <c r="AI136">
        <f>IFERROR(INDEX('M03-S08'!$B$18:$B$199,2*(ROWS(AI$135:AI136)-1)+1),"")</f>
        <v>2</v>
      </c>
      <c r="AJ136" s="194"/>
      <c r="AK136">
        <f>IFERROR(INDEX('M03-S08'!$C$18:$C$199,2*(ROWS(AK$135:AK136)-1)+1),"")</f>
        <v>0</v>
      </c>
      <c r="AL136" s="194"/>
      <c r="AM136">
        <f>IFERROR(INDEX('M03-S08'!$X$18:$X$199,2*(ROWS(AM$135:AM136)-1)+1),"")</f>
        <v>0</v>
      </c>
      <c r="AN136" s="207"/>
      <c r="AO136" s="207"/>
      <c r="AP136" t="str">
        <f>IFERROR(INDEX('M03-S08'!$AY$18:$AY$199,2*(ROWS(AP$135:AP136)-1)+1),"")</f>
        <v/>
      </c>
      <c r="AQ136" s="194"/>
      <c r="AR136" t="str">
        <f>IFERROR(INDEX(STDMOTORS[Reporting Methodology],MATCH(EXPORT!C136,STDMOTORS[Measure Number],0)),"")</f>
        <v/>
      </c>
      <c r="AS136" t="str">
        <f>IFERROR(INDEX(STDMOTORS[Primary Key],MATCH(C136,STDMOTORS[Measure Number],0)),"")</f>
        <v/>
      </c>
      <c r="AT136" s="14" t="str" cm="1">
        <f t="array" ref="AT136">_xlfn.LET(_xlpm.ROWS, 2*(ROWS(AT$135:AT136)-1)+1,IFERROR(INDEX('M03-S08'!$AR$18:$AR$199, _xlpm.ROWS)-INDEX('M03-S08'!$BQ$18:$BQ$199, _xlpm.ROWS),""))</f>
        <v/>
      </c>
      <c r="BL136"/>
      <c r="BP136"/>
      <c r="BQ136"/>
      <c r="BR136"/>
      <c r="CD136"/>
      <c r="CE136"/>
      <c r="CF136"/>
      <c r="CQ136"/>
      <c r="CR136"/>
      <c r="CS136"/>
      <c r="DS136"/>
      <c r="DT136"/>
      <c r="DU136"/>
    </row>
    <row r="137" spans="1:125" hidden="1">
      <c r="A137" s="15">
        <f t="shared" si="10"/>
        <v>0</v>
      </c>
      <c r="B137" t="str">
        <f t="shared" si="12"/>
        <v/>
      </c>
      <c r="C137" t="str">
        <f>IFERROR(IF(R137&gt;0,INDEX('M03-S08'!$BH$18:$BH$199,2*(ROWS($C$135:C137)-1)+1),""),"")</f>
        <v/>
      </c>
      <c r="D137" t="s">
        <v>1320</v>
      </c>
      <c r="E137" t="str">
        <f>IFERROR(INDEX('M03-S08'!$BD$18:$BD$199,2*(ROWS($E$135:E137)-1)+1),"")</f>
        <v/>
      </c>
      <c r="F137" s="210"/>
      <c r="G137">
        <f>IFERROR(INDEX('M03-S08'!$AE$18:$AE$199,2*(ROWS($G$135:G137)-1)+1),"")</f>
        <v>0</v>
      </c>
      <c r="H137" s="14">
        <f>IFERROR(ROUND(INDEX('M03-S08'!$AI$18:$AI$199,2*(ROWS(H$135:H137)-1)+1),2),"")</f>
        <v>0</v>
      </c>
      <c r="I137" s="14">
        <f>IFERROR(ROUND(INDEX('M03-S08'!$AK$18:$AK$199,2*(ROWS(I$135:I137)-1)+1),2),"")</f>
        <v>0</v>
      </c>
      <c r="J137" s="14" t="str">
        <f>IFERROR(ROUND(INDEX('M03-S08'!$AX$18:$AX$199,2*(ROWS(J$135:J137)-1)+1),2),"")</f>
        <v/>
      </c>
      <c r="K137" t="s">
        <v>84</v>
      </c>
      <c r="L137" s="10">
        <f>IFERROR(
ROUND(INDEX('M03-S08'!$R$18:$R$199,2*(ROWS(L$135:L137)-1)+1),3)*
ROUND(INDEX('M03-S08'!$T$18:$T$199,2*(ROWS(L$135:L137)-1)+1),3),"")</f>
        <v>0</v>
      </c>
      <c r="M137" s="10">
        <f>IFERROR(
ROUND(INDEX('M03-S08'!$R$18:$R$199,2*(ROWS(M$135:M137)-1)+1),3)*
ROUND(INDEX('M03-S08'!$T$18:$T$199,2*(ROWS(M$135:M137)-1)+1),3),
"")</f>
        <v>0</v>
      </c>
      <c r="N137" s="37" t="str">
        <f>IFERROR(INDEX('M03-S08'!$AZ$18:$AZ$199,2*(ROWS(N$135:N137)-1)+1),"")</f>
        <v/>
      </c>
      <c r="O137" s="37">
        <f>IFERROR(INDEX('M03-S08'!$BE$18:$BE$199,2*(ROWS(O$135:O137)-1)+1),"")</f>
        <v>0</v>
      </c>
      <c r="P137" s="37" t="str">
        <f>IFERROR(INDEX('M03-S08'!$BA$18:$BA$199,2*(ROWS(P$135:P137)-1)+1),"")</f>
        <v/>
      </c>
      <c r="Q137" s="37">
        <f>IFERROR(INDEX('M03-S08'!$BF$18:$BF$199,2*(ROWS(Q$135:Q137)-1)+1),"")</f>
        <v>0</v>
      </c>
      <c r="R137" s="14" t="str">
        <f>IFERROR(INDEX('M03-S08'!$AR$18:$AR$199,2*(ROWS(R$135:R137)-1)+1),"")</f>
        <v/>
      </c>
      <c r="S137" s="207"/>
      <c r="T137" s="207"/>
      <c r="U137" s="207"/>
      <c r="V137" s="194"/>
      <c r="W137" s="218"/>
      <c r="X137" s="218"/>
      <c r="Y137" s="210"/>
      <c r="Z137" s="210"/>
      <c r="AA137" s="219"/>
      <c r="AB137" s="219"/>
      <c r="AC137" s="194"/>
      <c r="AD137" s="37">
        <f>IFERROR(INDEX('M03-S08'!$BB$18:$BB$199,2*(ROWS(AD$135:AD137)-1)+1),"")</f>
        <v>0</v>
      </c>
      <c r="AE137" s="37">
        <f>IFERROR(INDEX('M03-S08'!$BC$18:$BC$199,2*(ROWS(AE$135:AE137)-1)+1),"")</f>
        <v>0</v>
      </c>
      <c r="AF137" s="210"/>
      <c r="AG137" s="210"/>
      <c r="AH137" s="210"/>
      <c r="AI137">
        <f>IFERROR(INDEX('M03-S08'!$B$18:$B$199,2*(ROWS(AI$135:AI137)-1)+1),"")</f>
        <v>3</v>
      </c>
      <c r="AJ137" s="194"/>
      <c r="AK137">
        <f>IFERROR(INDEX('M03-S08'!$C$18:$C$199,2*(ROWS(AK$135:AK137)-1)+1),"")</f>
        <v>0</v>
      </c>
      <c r="AL137" s="194"/>
      <c r="AM137">
        <f>IFERROR(INDEX('M03-S08'!$X$18:$X$199,2*(ROWS(AM$135:AM137)-1)+1),"")</f>
        <v>0</v>
      </c>
      <c r="AN137" s="207"/>
      <c r="AO137" s="207"/>
      <c r="AP137" t="str">
        <f>IFERROR(INDEX('M03-S08'!$AY$18:$AY$199,2*(ROWS(AP$135:AP137)-1)+1),"")</f>
        <v/>
      </c>
      <c r="AQ137" s="194"/>
      <c r="AR137" t="str">
        <f>IFERROR(INDEX(STDMOTORS[Reporting Methodology],MATCH(EXPORT!C137,STDMOTORS[Measure Number],0)),"")</f>
        <v/>
      </c>
      <c r="AS137" t="str">
        <f>IFERROR(INDEX(STDMOTORS[Primary Key],MATCH(C137,STDMOTORS[Measure Number],0)),"")</f>
        <v/>
      </c>
      <c r="AT137" s="14" t="str" cm="1">
        <f t="array" ref="AT137">_xlfn.LET(_xlpm.ROWS, 2*(ROWS(AT$135:AT137)-1)+1,IFERROR(INDEX('M03-S08'!$AR$18:$AR$199, _xlpm.ROWS)-INDEX('M03-S08'!$BQ$18:$BQ$199, _xlpm.ROWS),""))</f>
        <v/>
      </c>
      <c r="BL137"/>
      <c r="BP137"/>
      <c r="BQ137"/>
      <c r="BR137"/>
      <c r="CD137"/>
      <c r="CE137"/>
      <c r="CF137"/>
      <c r="CQ137"/>
      <c r="CR137"/>
      <c r="CS137"/>
      <c r="DS137"/>
      <c r="DT137"/>
      <c r="DU137"/>
    </row>
    <row r="138" spans="1:125" hidden="1">
      <c r="A138" s="15">
        <f t="shared" si="10"/>
        <v>0</v>
      </c>
      <c r="B138" t="str">
        <f t="shared" si="12"/>
        <v/>
      </c>
      <c r="C138" t="str">
        <f>IFERROR(IF(R138&gt;0,INDEX('M03-S08'!$BH$18:$BH$199,2*(ROWS($C$135:C138)-1)+1),""),"")</f>
        <v/>
      </c>
      <c r="D138" t="s">
        <v>1320</v>
      </c>
      <c r="E138" t="str">
        <f>IFERROR(INDEX('M03-S08'!$BD$18:$BD$199,2*(ROWS($E$135:E138)-1)+1),"")</f>
        <v/>
      </c>
      <c r="F138" s="210"/>
      <c r="G138">
        <f>IFERROR(INDEX('M03-S08'!$AE$18:$AE$199,2*(ROWS($G$135:G138)-1)+1),"")</f>
        <v>0</v>
      </c>
      <c r="H138" s="14">
        <f>IFERROR(ROUND(INDEX('M03-S08'!$AI$18:$AI$199,2*(ROWS(H$135:H138)-1)+1),2),"")</f>
        <v>0</v>
      </c>
      <c r="I138" s="14">
        <f>IFERROR(ROUND(INDEX('M03-S08'!$AK$18:$AK$199,2*(ROWS(I$135:I138)-1)+1),2),"")</f>
        <v>0</v>
      </c>
      <c r="J138" s="14" t="str">
        <f>IFERROR(ROUND(INDEX('M03-S08'!$AX$18:$AX$199,2*(ROWS(J$135:J138)-1)+1),2),"")</f>
        <v/>
      </c>
      <c r="K138" t="s">
        <v>84</v>
      </c>
      <c r="L138" s="10">
        <f>IFERROR(
ROUND(INDEX('M03-S08'!$R$18:$R$199,2*(ROWS(L$135:L138)-1)+1),3)*
ROUND(INDEX('M03-S08'!$T$18:$T$199,2*(ROWS(L$135:L138)-1)+1),3),"")</f>
        <v>0</v>
      </c>
      <c r="M138" s="10">
        <f>IFERROR(
ROUND(INDEX('M03-S08'!$R$18:$R$199,2*(ROWS(M$135:M138)-1)+1),3)*
ROUND(INDEX('M03-S08'!$T$18:$T$199,2*(ROWS(M$135:M138)-1)+1),3),
"")</f>
        <v>0</v>
      </c>
      <c r="N138" s="37" t="str">
        <f>IFERROR(INDEX('M03-S08'!$AZ$18:$AZ$199,2*(ROWS(N$135:N138)-1)+1),"")</f>
        <v/>
      </c>
      <c r="O138" s="37">
        <f>IFERROR(INDEX('M03-S08'!$BE$18:$BE$199,2*(ROWS(O$135:O138)-1)+1),"")</f>
        <v>0</v>
      </c>
      <c r="P138" s="37" t="str">
        <f>IFERROR(INDEX('M03-S08'!$BA$18:$BA$199,2*(ROWS(P$135:P138)-1)+1),"")</f>
        <v/>
      </c>
      <c r="Q138" s="37">
        <f>IFERROR(INDEX('M03-S08'!$BF$18:$BF$199,2*(ROWS(Q$135:Q138)-1)+1),"")</f>
        <v>0</v>
      </c>
      <c r="R138" s="14" t="str">
        <f>IFERROR(INDEX('M03-S08'!$AR$18:$AR$199,2*(ROWS(R$135:R138)-1)+1),"")</f>
        <v/>
      </c>
      <c r="S138" s="207"/>
      <c r="T138" s="207"/>
      <c r="U138" s="207"/>
      <c r="V138" s="194"/>
      <c r="W138" s="218"/>
      <c r="X138" s="218"/>
      <c r="Y138" s="210"/>
      <c r="Z138" s="210"/>
      <c r="AA138" s="219"/>
      <c r="AB138" s="219"/>
      <c r="AC138" s="194"/>
      <c r="AD138" s="37">
        <f>IFERROR(INDEX('M03-S08'!$BB$18:$BB$199,2*(ROWS(AD$135:AD138)-1)+1),"")</f>
        <v>0</v>
      </c>
      <c r="AE138" s="37">
        <f>IFERROR(INDEX('M03-S08'!$BC$18:$BC$199,2*(ROWS(AE$135:AE138)-1)+1),"")</f>
        <v>0</v>
      </c>
      <c r="AF138" s="210"/>
      <c r="AG138" s="210"/>
      <c r="AH138" s="210"/>
      <c r="AI138">
        <f>IFERROR(INDEX('M03-S08'!$B$18:$B$199,2*(ROWS(AI$135:AI138)-1)+1),"")</f>
        <v>4</v>
      </c>
      <c r="AJ138" s="194"/>
      <c r="AK138">
        <f>IFERROR(INDEX('M03-S08'!$C$18:$C$199,2*(ROWS(AK$135:AK138)-1)+1),"")</f>
        <v>0</v>
      </c>
      <c r="AL138" s="194"/>
      <c r="AM138">
        <f>IFERROR(INDEX('M03-S08'!$X$18:$X$199,2*(ROWS(AM$135:AM138)-1)+1),"")</f>
        <v>0</v>
      </c>
      <c r="AN138" s="207"/>
      <c r="AO138" s="207"/>
      <c r="AP138" t="str">
        <f>IFERROR(INDEX('M03-S08'!$AY$18:$AY$199,2*(ROWS(AP$135:AP138)-1)+1),"")</f>
        <v/>
      </c>
      <c r="AQ138" s="194"/>
      <c r="AR138" t="str">
        <f>IFERROR(INDEX(STDMOTORS[Reporting Methodology],MATCH(EXPORT!C138,STDMOTORS[Measure Number],0)),"")</f>
        <v/>
      </c>
      <c r="AS138" t="str">
        <f>IFERROR(INDEX(STDMOTORS[Primary Key],MATCH(C138,STDMOTORS[Measure Number],0)),"")</f>
        <v/>
      </c>
      <c r="AT138" s="14" t="str" cm="1">
        <f t="array" ref="AT138">_xlfn.LET(_xlpm.ROWS, 2*(ROWS(AT$135:AT138)-1)+1,IFERROR(INDEX('M03-S08'!$AR$18:$AR$199, _xlpm.ROWS)-INDEX('M03-S08'!$BQ$18:$BQ$199, _xlpm.ROWS),""))</f>
        <v/>
      </c>
      <c r="BL138"/>
      <c r="BP138"/>
      <c r="BQ138"/>
      <c r="BR138"/>
      <c r="CD138"/>
      <c r="CE138"/>
      <c r="CF138"/>
      <c r="CQ138"/>
      <c r="CR138"/>
      <c r="CS138"/>
      <c r="DS138"/>
      <c r="DT138"/>
      <c r="DU138"/>
    </row>
    <row r="139" spans="1:125" hidden="1">
      <c r="A139" s="15">
        <f t="shared" si="10"/>
        <v>0</v>
      </c>
      <c r="B139" t="str">
        <f t="shared" si="12"/>
        <v/>
      </c>
      <c r="C139" t="str">
        <f>IFERROR(IF(R139&gt;0,INDEX('M03-S08'!$BH$18:$BH$199,2*(ROWS($C$135:C139)-1)+1),""),"")</f>
        <v/>
      </c>
      <c r="D139" t="s">
        <v>1320</v>
      </c>
      <c r="E139" t="str">
        <f>IFERROR(INDEX('M03-S08'!$BD$18:$BD$199,2*(ROWS($E$135:E139)-1)+1),"")</f>
        <v/>
      </c>
      <c r="F139" s="210"/>
      <c r="G139">
        <f>IFERROR(INDEX('M03-S08'!$AE$18:$AE$199,2*(ROWS($G$135:G139)-1)+1),"")</f>
        <v>0</v>
      </c>
      <c r="H139" s="14">
        <f>IFERROR(ROUND(INDEX('M03-S08'!$AI$18:$AI$199,2*(ROWS(H$135:H139)-1)+1),2),"")</f>
        <v>0</v>
      </c>
      <c r="I139" s="14">
        <f>IFERROR(ROUND(INDEX('M03-S08'!$AK$18:$AK$199,2*(ROWS(I$135:I139)-1)+1),2),"")</f>
        <v>0</v>
      </c>
      <c r="J139" s="14" t="str">
        <f>IFERROR(ROUND(INDEX('M03-S08'!$AX$18:$AX$199,2*(ROWS(J$135:J139)-1)+1),2),"")</f>
        <v/>
      </c>
      <c r="K139" t="s">
        <v>84</v>
      </c>
      <c r="L139" s="10">
        <f>IFERROR(
ROUND(INDEX('M03-S08'!$R$18:$R$199,2*(ROWS(L$135:L139)-1)+1),3)*
ROUND(INDEX('M03-S08'!$T$18:$T$199,2*(ROWS(L$135:L139)-1)+1),3),"")</f>
        <v>0</v>
      </c>
      <c r="M139" s="10">
        <f>IFERROR(
ROUND(INDEX('M03-S08'!$R$18:$R$199,2*(ROWS(M$135:M139)-1)+1),3)*
ROUND(INDEX('M03-S08'!$T$18:$T$199,2*(ROWS(M$135:M139)-1)+1),3),
"")</f>
        <v>0</v>
      </c>
      <c r="N139" s="37" t="str">
        <f>IFERROR(INDEX('M03-S08'!$AZ$18:$AZ$199,2*(ROWS(N$135:N139)-1)+1),"")</f>
        <v/>
      </c>
      <c r="O139" s="37">
        <f>IFERROR(INDEX('M03-S08'!$BE$18:$BE$199,2*(ROWS(O$135:O139)-1)+1),"")</f>
        <v>0</v>
      </c>
      <c r="P139" s="37" t="str">
        <f>IFERROR(INDEX('M03-S08'!$BA$18:$BA$199,2*(ROWS(P$135:P139)-1)+1),"")</f>
        <v/>
      </c>
      <c r="Q139" s="37">
        <f>IFERROR(INDEX('M03-S08'!$BF$18:$BF$199,2*(ROWS(Q$135:Q139)-1)+1),"")</f>
        <v>0</v>
      </c>
      <c r="R139" s="14" t="str">
        <f>IFERROR(INDEX('M03-S08'!$AR$18:$AR$199,2*(ROWS(R$135:R139)-1)+1),"")</f>
        <v/>
      </c>
      <c r="S139" s="207"/>
      <c r="T139" s="207"/>
      <c r="U139" s="207"/>
      <c r="V139" s="194"/>
      <c r="W139" s="218"/>
      <c r="X139" s="218"/>
      <c r="Y139" s="210"/>
      <c r="Z139" s="210"/>
      <c r="AA139" s="219"/>
      <c r="AB139" s="219"/>
      <c r="AC139" s="194"/>
      <c r="AD139" s="37">
        <f>IFERROR(INDEX('M03-S08'!$BB$18:$BB$199,2*(ROWS(AD$135:AD139)-1)+1),"")</f>
        <v>0</v>
      </c>
      <c r="AE139" s="37">
        <f>IFERROR(INDEX('M03-S08'!$BC$18:$BC$199,2*(ROWS(AE$135:AE139)-1)+1),"")</f>
        <v>0</v>
      </c>
      <c r="AF139" s="210"/>
      <c r="AG139" s="210"/>
      <c r="AH139" s="210"/>
      <c r="AI139">
        <f>IFERROR(INDEX('M03-S08'!$B$18:$B$199,2*(ROWS(AI$135:AI139)-1)+1),"")</f>
        <v>5</v>
      </c>
      <c r="AJ139" s="194"/>
      <c r="AK139">
        <f>IFERROR(INDEX('M03-S08'!$C$18:$C$199,2*(ROWS(AK$135:AK139)-1)+1),"")</f>
        <v>0</v>
      </c>
      <c r="AL139" s="194"/>
      <c r="AM139">
        <f>IFERROR(INDEX('M03-S08'!$X$18:$X$199,2*(ROWS(AM$135:AM139)-1)+1),"")</f>
        <v>0</v>
      </c>
      <c r="AN139" s="207"/>
      <c r="AO139" s="207"/>
      <c r="AP139" t="str">
        <f>IFERROR(INDEX('M03-S08'!$AY$18:$AY$199,2*(ROWS(AP$135:AP139)-1)+1),"")</f>
        <v/>
      </c>
      <c r="AQ139" s="194"/>
      <c r="AR139" t="str">
        <f>IFERROR(INDEX(STDMOTORS[Reporting Methodology],MATCH(EXPORT!C139,STDMOTORS[Measure Number],0)),"")</f>
        <v/>
      </c>
      <c r="AS139" t="str">
        <f>IFERROR(INDEX(STDMOTORS[Primary Key],MATCH(C139,STDMOTORS[Measure Number],0)),"")</f>
        <v/>
      </c>
      <c r="AT139" s="14" t="str" cm="1">
        <f t="array" ref="AT139">_xlfn.LET(_xlpm.ROWS, 2*(ROWS(AT$135:AT139)-1)+1,IFERROR(INDEX('M03-S08'!$AR$18:$AR$199, _xlpm.ROWS)-INDEX('M03-S08'!$BQ$18:$BQ$199, _xlpm.ROWS),""))</f>
        <v/>
      </c>
      <c r="BL139"/>
      <c r="BP139"/>
      <c r="BQ139"/>
      <c r="BR139"/>
      <c r="CD139"/>
      <c r="CE139"/>
      <c r="CF139"/>
      <c r="CQ139"/>
      <c r="CR139"/>
      <c r="CS139"/>
      <c r="DS139"/>
      <c r="DT139"/>
      <c r="DU139"/>
    </row>
    <row r="140" spans="1:125" hidden="1">
      <c r="A140" s="15">
        <f t="shared" si="10"/>
        <v>0</v>
      </c>
      <c r="B140" t="str">
        <f t="shared" si="12"/>
        <v/>
      </c>
      <c r="C140" t="str">
        <f>IFERROR(IF(R140&gt;0,INDEX('M03-S08'!$BH$18:$BH$199,2*(ROWS($C$135:C140)-1)+1),""),"")</f>
        <v/>
      </c>
      <c r="D140" t="s">
        <v>1320</v>
      </c>
      <c r="E140" t="str">
        <f>IFERROR(INDEX('M03-S08'!$BD$18:$BD$199,2*(ROWS($E$135:E140)-1)+1),"")</f>
        <v/>
      </c>
      <c r="F140" s="210"/>
      <c r="G140">
        <f>IFERROR(INDEX('M03-S08'!$AE$18:$AE$199,2*(ROWS($G$135:G140)-1)+1),"")</f>
        <v>0</v>
      </c>
      <c r="H140" s="14">
        <f>IFERROR(ROUND(INDEX('M03-S08'!$AI$18:$AI$199,2*(ROWS(H$135:H140)-1)+1),2),"")</f>
        <v>0</v>
      </c>
      <c r="I140" s="14">
        <f>IFERROR(ROUND(INDEX('M03-S08'!$AK$18:$AK$199,2*(ROWS(I$135:I140)-1)+1),2),"")</f>
        <v>0</v>
      </c>
      <c r="J140" s="14" t="str">
        <f>IFERROR(ROUND(INDEX('M03-S08'!$AX$18:$AX$199,2*(ROWS(J$135:J140)-1)+1),2),"")</f>
        <v/>
      </c>
      <c r="K140" t="s">
        <v>84</v>
      </c>
      <c r="L140" s="10">
        <f>IFERROR(
ROUND(INDEX('M03-S08'!$R$18:$R$199,2*(ROWS(L$135:L140)-1)+1),3)*
ROUND(INDEX('M03-S08'!$T$18:$T$199,2*(ROWS(L$135:L140)-1)+1),3),"")</f>
        <v>0</v>
      </c>
      <c r="M140" s="10">
        <f>IFERROR(
ROUND(INDEX('M03-S08'!$R$18:$R$199,2*(ROWS(M$135:M140)-1)+1),3)*
ROUND(INDEX('M03-S08'!$T$18:$T$199,2*(ROWS(M$135:M140)-1)+1),3),
"")</f>
        <v>0</v>
      </c>
      <c r="N140" s="37" t="str">
        <f>IFERROR(INDEX('M03-S08'!$AZ$18:$AZ$199,2*(ROWS(N$135:N140)-1)+1),"")</f>
        <v/>
      </c>
      <c r="O140" s="37">
        <f>IFERROR(INDEX('M03-S08'!$BE$18:$BE$199,2*(ROWS(O$135:O140)-1)+1),"")</f>
        <v>0</v>
      </c>
      <c r="P140" s="37" t="str">
        <f>IFERROR(INDEX('M03-S08'!$BA$18:$BA$199,2*(ROWS(P$135:P140)-1)+1),"")</f>
        <v/>
      </c>
      <c r="Q140" s="37">
        <f>IFERROR(INDEX('M03-S08'!$BF$18:$BF$199,2*(ROWS(Q$135:Q140)-1)+1),"")</f>
        <v>0</v>
      </c>
      <c r="R140" s="14" t="str">
        <f>IFERROR(INDEX('M03-S08'!$AR$18:$AR$199,2*(ROWS(R$135:R140)-1)+1),"")</f>
        <v/>
      </c>
      <c r="S140" s="207"/>
      <c r="T140" s="207"/>
      <c r="U140" s="207"/>
      <c r="V140" s="194"/>
      <c r="W140" s="218"/>
      <c r="X140" s="218"/>
      <c r="Y140" s="210"/>
      <c r="Z140" s="210"/>
      <c r="AA140" s="219"/>
      <c r="AB140" s="219"/>
      <c r="AC140" s="194"/>
      <c r="AD140" s="37">
        <f>IFERROR(INDEX('M03-S08'!$BB$18:$BB$199,2*(ROWS(AD$135:AD140)-1)+1),"")</f>
        <v>0</v>
      </c>
      <c r="AE140" s="37">
        <f>IFERROR(INDEX('M03-S08'!$BC$18:$BC$199,2*(ROWS(AE$135:AE140)-1)+1),"")</f>
        <v>0</v>
      </c>
      <c r="AF140" s="210"/>
      <c r="AG140" s="210"/>
      <c r="AH140" s="210"/>
      <c r="AI140">
        <f>IFERROR(INDEX('M03-S08'!$B$18:$B$199,2*(ROWS(AI$135:AI140)-1)+1),"")</f>
        <v>6</v>
      </c>
      <c r="AJ140" s="194"/>
      <c r="AK140">
        <f>IFERROR(INDEX('M03-S08'!$C$18:$C$199,2*(ROWS(AK$135:AK140)-1)+1),"")</f>
        <v>0</v>
      </c>
      <c r="AL140" s="194"/>
      <c r="AM140">
        <f>IFERROR(INDEX('M03-S08'!$X$18:$X$199,2*(ROWS(AM$135:AM140)-1)+1),"")</f>
        <v>0</v>
      </c>
      <c r="AN140" s="207"/>
      <c r="AO140" s="207"/>
      <c r="AP140" t="str">
        <f>IFERROR(INDEX('M03-S08'!$AY$18:$AY$199,2*(ROWS(AP$135:AP140)-1)+1),"")</f>
        <v/>
      </c>
      <c r="AQ140" s="194"/>
      <c r="AR140" t="str">
        <f>IFERROR(INDEX(STDMOTORS[Reporting Methodology],MATCH(EXPORT!C140,STDMOTORS[Measure Number],0)),"")</f>
        <v/>
      </c>
      <c r="AS140" t="str">
        <f>IFERROR(INDEX(STDMOTORS[Primary Key],MATCH(C140,STDMOTORS[Measure Number],0)),"")</f>
        <v/>
      </c>
      <c r="AT140" s="14" t="str" cm="1">
        <f t="array" ref="AT140">_xlfn.LET(_xlpm.ROWS, 2*(ROWS(AT$135:AT140)-1)+1,IFERROR(INDEX('M03-S08'!$AR$18:$AR$199, _xlpm.ROWS)-INDEX('M03-S08'!$BQ$18:$BQ$199, _xlpm.ROWS),""))</f>
        <v/>
      </c>
      <c r="BL140"/>
      <c r="BP140"/>
      <c r="BQ140"/>
      <c r="BR140"/>
      <c r="CD140"/>
      <c r="CE140"/>
      <c r="CF140"/>
      <c r="CQ140"/>
      <c r="CR140"/>
      <c r="CS140"/>
      <c r="DS140"/>
      <c r="DT140"/>
      <c r="DU140"/>
    </row>
    <row r="141" spans="1:125" hidden="1">
      <c r="A141" s="15">
        <f t="shared" si="10"/>
        <v>0</v>
      </c>
      <c r="B141" t="str">
        <f t="shared" si="12"/>
        <v/>
      </c>
      <c r="C141" t="str">
        <f>IFERROR(IF(R141&gt;0,INDEX('M03-S08'!$BH$18:$BH$199,2*(ROWS($C$135:C141)-1)+1),""),"")</f>
        <v/>
      </c>
      <c r="D141" t="s">
        <v>1320</v>
      </c>
      <c r="E141" t="str">
        <f>IFERROR(INDEX('M03-S08'!$BD$18:$BD$199,2*(ROWS($E$135:E141)-1)+1),"")</f>
        <v/>
      </c>
      <c r="F141" s="210"/>
      <c r="G141">
        <f>IFERROR(INDEX('M03-S08'!$AE$18:$AE$199,2*(ROWS($G$135:G141)-1)+1),"")</f>
        <v>0</v>
      </c>
      <c r="H141" s="14">
        <f>IFERROR(ROUND(INDEX('M03-S08'!$AI$18:$AI$199,2*(ROWS(H$135:H141)-1)+1),2),"")</f>
        <v>0</v>
      </c>
      <c r="I141" s="14">
        <f>IFERROR(ROUND(INDEX('M03-S08'!$AK$18:$AK$199,2*(ROWS(I$135:I141)-1)+1),2),"")</f>
        <v>0</v>
      </c>
      <c r="J141" s="14" t="str">
        <f>IFERROR(ROUND(INDEX('M03-S08'!$AX$18:$AX$199,2*(ROWS(J$135:J141)-1)+1),2),"")</f>
        <v/>
      </c>
      <c r="K141" t="s">
        <v>84</v>
      </c>
      <c r="L141" s="10">
        <f>IFERROR(
ROUND(INDEX('M03-S08'!$R$18:$R$199,2*(ROWS(L$135:L141)-1)+1),3)*
ROUND(INDEX('M03-S08'!$T$18:$T$199,2*(ROWS(L$135:L141)-1)+1),3),"")</f>
        <v>0</v>
      </c>
      <c r="M141" s="10">
        <f>IFERROR(
ROUND(INDEX('M03-S08'!$R$18:$R$199,2*(ROWS(M$135:M141)-1)+1),3)*
ROUND(INDEX('M03-S08'!$T$18:$T$199,2*(ROWS(M$135:M141)-1)+1),3),
"")</f>
        <v>0</v>
      </c>
      <c r="N141" s="37" t="str">
        <f>IFERROR(INDEX('M03-S08'!$AZ$18:$AZ$199,2*(ROWS(N$135:N141)-1)+1),"")</f>
        <v/>
      </c>
      <c r="O141" s="37">
        <f>IFERROR(INDEX('M03-S08'!$BE$18:$BE$199,2*(ROWS(O$135:O141)-1)+1),"")</f>
        <v>0</v>
      </c>
      <c r="P141" s="37" t="str">
        <f>IFERROR(INDEX('M03-S08'!$BA$18:$BA$199,2*(ROWS(P$135:P141)-1)+1),"")</f>
        <v/>
      </c>
      <c r="Q141" s="37">
        <f>IFERROR(INDEX('M03-S08'!$BF$18:$BF$199,2*(ROWS(Q$135:Q141)-1)+1),"")</f>
        <v>0</v>
      </c>
      <c r="R141" s="14" t="str">
        <f>IFERROR(INDEX('M03-S08'!$AR$18:$AR$199,2*(ROWS(R$135:R141)-1)+1),"")</f>
        <v/>
      </c>
      <c r="S141" s="207"/>
      <c r="T141" s="207"/>
      <c r="U141" s="207"/>
      <c r="V141" s="194"/>
      <c r="W141" s="218"/>
      <c r="X141" s="218"/>
      <c r="Y141" s="210"/>
      <c r="Z141" s="210"/>
      <c r="AA141" s="219"/>
      <c r="AB141" s="219"/>
      <c r="AC141" s="194"/>
      <c r="AD141" s="37">
        <f>IFERROR(INDEX('M03-S08'!$BB$18:$BB$199,2*(ROWS(AD$135:AD141)-1)+1),"")</f>
        <v>0</v>
      </c>
      <c r="AE141" s="37">
        <f>IFERROR(INDEX('M03-S08'!$BC$18:$BC$199,2*(ROWS(AE$135:AE141)-1)+1),"")</f>
        <v>0</v>
      </c>
      <c r="AF141" s="210"/>
      <c r="AG141" s="210"/>
      <c r="AH141" s="210"/>
      <c r="AI141">
        <f>IFERROR(INDEX('M03-S08'!$B$18:$B$199,2*(ROWS(AI$135:AI141)-1)+1),"")</f>
        <v>7</v>
      </c>
      <c r="AJ141" s="194"/>
      <c r="AK141">
        <f>IFERROR(INDEX('M03-S08'!$C$18:$C$199,2*(ROWS(AK$135:AK141)-1)+1),"")</f>
        <v>0</v>
      </c>
      <c r="AL141" s="194"/>
      <c r="AM141">
        <f>IFERROR(INDEX('M03-S08'!$X$18:$X$199,2*(ROWS(AM$135:AM141)-1)+1),"")</f>
        <v>0</v>
      </c>
      <c r="AN141" s="207"/>
      <c r="AO141" s="207"/>
      <c r="AP141" t="str">
        <f>IFERROR(INDEX('M03-S08'!$AY$18:$AY$199,2*(ROWS(AP$135:AP141)-1)+1),"")</f>
        <v/>
      </c>
      <c r="AQ141" s="194"/>
      <c r="AR141" t="str">
        <f>IFERROR(INDEX(STDMOTORS[Reporting Methodology],MATCH(EXPORT!C141,STDMOTORS[Measure Number],0)),"")</f>
        <v/>
      </c>
      <c r="AS141" t="str">
        <f>IFERROR(INDEX(STDMOTORS[Primary Key],MATCH(C141,STDMOTORS[Measure Number],0)),"")</f>
        <v/>
      </c>
      <c r="AT141" s="14" t="str" cm="1">
        <f t="array" ref="AT141">_xlfn.LET(_xlpm.ROWS, 2*(ROWS(AT$135:AT141)-1)+1,IFERROR(INDEX('M03-S08'!$AR$18:$AR$199, _xlpm.ROWS)-INDEX('M03-S08'!$BQ$18:$BQ$199, _xlpm.ROWS),""))</f>
        <v/>
      </c>
      <c r="BL141"/>
      <c r="BP141"/>
      <c r="BQ141"/>
      <c r="BR141"/>
      <c r="CD141"/>
      <c r="CE141"/>
      <c r="CF141"/>
      <c r="CQ141"/>
      <c r="CR141"/>
      <c r="CS141"/>
      <c r="DS141"/>
      <c r="DT141"/>
      <c r="DU141"/>
    </row>
    <row r="142" spans="1:125" hidden="1">
      <c r="A142" s="15">
        <f t="shared" si="10"/>
        <v>0</v>
      </c>
      <c r="B142" t="str">
        <f t="shared" si="12"/>
        <v/>
      </c>
      <c r="C142" t="str">
        <f>IFERROR(IF(R142&gt;0,INDEX('M03-S08'!$BH$18:$BH$199,2*(ROWS($C$135:C142)-1)+1),""),"")</f>
        <v/>
      </c>
      <c r="D142" t="s">
        <v>1320</v>
      </c>
      <c r="E142" t="str">
        <f>IFERROR(INDEX('M03-S08'!$BD$18:$BD$199,2*(ROWS($E$135:E142)-1)+1),"")</f>
        <v/>
      </c>
      <c r="F142" s="210"/>
      <c r="G142">
        <f>IFERROR(INDEX('M03-S08'!$AE$18:$AE$199,2*(ROWS($G$135:G142)-1)+1),"")</f>
        <v>0</v>
      </c>
      <c r="H142" s="14">
        <f>IFERROR(ROUND(INDEX('M03-S08'!$AI$18:$AI$199,2*(ROWS(H$135:H142)-1)+1),2),"")</f>
        <v>0</v>
      </c>
      <c r="I142" s="14">
        <f>IFERROR(ROUND(INDEX('M03-S08'!$AK$18:$AK$199,2*(ROWS(I$135:I142)-1)+1),2),"")</f>
        <v>0</v>
      </c>
      <c r="J142" s="14" t="str">
        <f>IFERROR(ROUND(INDEX('M03-S08'!$AX$18:$AX$199,2*(ROWS(J$135:J142)-1)+1),2),"")</f>
        <v/>
      </c>
      <c r="K142" t="s">
        <v>84</v>
      </c>
      <c r="L142" s="10">
        <f>IFERROR(
ROUND(INDEX('M03-S08'!$R$18:$R$199,2*(ROWS(L$135:L142)-1)+1),3)*
ROUND(INDEX('M03-S08'!$T$18:$T$199,2*(ROWS(L$135:L142)-1)+1),3),"")</f>
        <v>0</v>
      </c>
      <c r="M142" s="10">
        <f>IFERROR(
ROUND(INDEX('M03-S08'!$R$18:$R$199,2*(ROWS(M$135:M142)-1)+1),3)*
ROUND(INDEX('M03-S08'!$T$18:$T$199,2*(ROWS(M$135:M142)-1)+1),3),
"")</f>
        <v>0</v>
      </c>
      <c r="N142" s="37" t="str">
        <f>IFERROR(INDEX('M03-S08'!$AZ$18:$AZ$199,2*(ROWS(N$135:N142)-1)+1),"")</f>
        <v/>
      </c>
      <c r="O142" s="37">
        <f>IFERROR(INDEX('M03-S08'!$BE$18:$BE$199,2*(ROWS(O$135:O142)-1)+1),"")</f>
        <v>0</v>
      </c>
      <c r="P142" s="37" t="str">
        <f>IFERROR(INDEX('M03-S08'!$BA$18:$BA$199,2*(ROWS(P$135:P142)-1)+1),"")</f>
        <v/>
      </c>
      <c r="Q142" s="37">
        <f>IFERROR(INDEX('M03-S08'!$BF$18:$BF$199,2*(ROWS(Q$135:Q142)-1)+1),"")</f>
        <v>0</v>
      </c>
      <c r="R142" s="14" t="str">
        <f>IFERROR(INDEX('M03-S08'!$AR$18:$AR$199,2*(ROWS(R$135:R142)-1)+1),"")</f>
        <v/>
      </c>
      <c r="S142" s="207"/>
      <c r="T142" s="207"/>
      <c r="U142" s="207"/>
      <c r="V142" s="194"/>
      <c r="W142" s="218"/>
      <c r="X142" s="218"/>
      <c r="Y142" s="210"/>
      <c r="Z142" s="210"/>
      <c r="AA142" s="219"/>
      <c r="AB142" s="219"/>
      <c r="AC142" s="194"/>
      <c r="AD142" s="37">
        <f>IFERROR(INDEX('M03-S08'!$BB$18:$BB$199,2*(ROWS(AD$135:AD142)-1)+1),"")</f>
        <v>0</v>
      </c>
      <c r="AE142" s="37">
        <f>IFERROR(INDEX('M03-S08'!$BC$18:$BC$199,2*(ROWS(AE$135:AE142)-1)+1),"")</f>
        <v>0</v>
      </c>
      <c r="AF142" s="210"/>
      <c r="AG142" s="210"/>
      <c r="AH142" s="210"/>
      <c r="AI142">
        <f>IFERROR(INDEX('M03-S08'!$B$18:$B$199,2*(ROWS(AI$135:AI142)-1)+1),"")</f>
        <v>8</v>
      </c>
      <c r="AJ142" s="194"/>
      <c r="AK142">
        <f>IFERROR(INDEX('M03-S08'!$C$18:$C$199,2*(ROWS(AK$135:AK142)-1)+1),"")</f>
        <v>0</v>
      </c>
      <c r="AL142" s="194"/>
      <c r="AM142">
        <f>IFERROR(INDEX('M03-S08'!$X$18:$X$199,2*(ROWS(AM$135:AM142)-1)+1),"")</f>
        <v>0</v>
      </c>
      <c r="AN142" s="207"/>
      <c r="AO142" s="207"/>
      <c r="AP142" t="str">
        <f>IFERROR(INDEX('M03-S08'!$AY$18:$AY$199,2*(ROWS(AP$135:AP142)-1)+1),"")</f>
        <v/>
      </c>
      <c r="AQ142" s="194"/>
      <c r="AR142" t="str">
        <f>IFERROR(INDEX(STDMOTORS[Reporting Methodology],MATCH(EXPORT!C142,STDMOTORS[Measure Number],0)),"")</f>
        <v/>
      </c>
      <c r="AS142" t="str">
        <f>IFERROR(INDEX(STDMOTORS[Primary Key],MATCH(C142,STDMOTORS[Measure Number],0)),"")</f>
        <v/>
      </c>
      <c r="AT142" s="14" t="str" cm="1">
        <f t="array" ref="AT142">_xlfn.LET(_xlpm.ROWS, 2*(ROWS(AT$135:AT142)-1)+1,IFERROR(INDEX('M03-S08'!$AR$18:$AR$199, _xlpm.ROWS)-INDEX('M03-S08'!$BQ$18:$BQ$199, _xlpm.ROWS),""))</f>
        <v/>
      </c>
      <c r="BL142"/>
      <c r="BP142"/>
      <c r="BQ142"/>
      <c r="BR142"/>
      <c r="CD142"/>
      <c r="CE142"/>
      <c r="CF142"/>
      <c r="CQ142"/>
      <c r="CR142"/>
      <c r="CS142"/>
      <c r="DS142"/>
      <c r="DT142"/>
      <c r="DU142"/>
    </row>
    <row r="143" spans="1:125" hidden="1">
      <c r="A143" s="15">
        <f t="shared" si="10"/>
        <v>0</v>
      </c>
      <c r="B143" t="str">
        <f t="shared" si="12"/>
        <v/>
      </c>
      <c r="C143" t="str">
        <f>IFERROR(IF(R143&gt;0,INDEX('M03-S08'!$BH$18:$BH$199,2*(ROWS($C$135:C143)-1)+1),""),"")</f>
        <v/>
      </c>
      <c r="D143" t="s">
        <v>1320</v>
      </c>
      <c r="E143" t="str">
        <f>IFERROR(INDEX('M03-S08'!$BD$18:$BD$199,2*(ROWS($E$135:E143)-1)+1),"")</f>
        <v/>
      </c>
      <c r="F143" s="210"/>
      <c r="G143">
        <f>IFERROR(INDEX('M03-S08'!$AE$18:$AE$199,2*(ROWS($G$135:G143)-1)+1),"")</f>
        <v>0</v>
      </c>
      <c r="H143" s="14">
        <f>IFERROR(ROUND(INDEX('M03-S08'!$AI$18:$AI$199,2*(ROWS(H$135:H143)-1)+1),2),"")</f>
        <v>0</v>
      </c>
      <c r="I143" s="14">
        <f>IFERROR(ROUND(INDEX('M03-S08'!$AK$18:$AK$199,2*(ROWS(I$135:I143)-1)+1),2),"")</f>
        <v>0</v>
      </c>
      <c r="J143" s="14" t="str">
        <f>IFERROR(ROUND(INDEX('M03-S08'!$AX$18:$AX$199,2*(ROWS(J$135:J143)-1)+1),2),"")</f>
        <v/>
      </c>
      <c r="K143" t="s">
        <v>84</v>
      </c>
      <c r="L143" s="10">
        <f>IFERROR(
ROUND(INDEX('M03-S08'!$R$18:$R$199,2*(ROWS(L$135:L143)-1)+1),3)*
ROUND(INDEX('M03-S08'!$T$18:$T$199,2*(ROWS(L$135:L143)-1)+1),3),"")</f>
        <v>0</v>
      </c>
      <c r="M143" s="10">
        <f>IFERROR(
ROUND(INDEX('M03-S08'!$R$18:$R$199,2*(ROWS(M$135:M143)-1)+1),3)*
ROUND(INDEX('M03-S08'!$T$18:$T$199,2*(ROWS(M$135:M143)-1)+1),3),
"")</f>
        <v>0</v>
      </c>
      <c r="N143" s="37" t="str">
        <f>IFERROR(INDEX('M03-S08'!$AZ$18:$AZ$199,2*(ROWS(N$135:N143)-1)+1),"")</f>
        <v/>
      </c>
      <c r="O143" s="37">
        <f>IFERROR(INDEX('M03-S08'!$BE$18:$BE$199,2*(ROWS(O$135:O143)-1)+1),"")</f>
        <v>0</v>
      </c>
      <c r="P143" s="37" t="str">
        <f>IFERROR(INDEX('M03-S08'!$BA$18:$BA$199,2*(ROWS(P$135:P143)-1)+1),"")</f>
        <v/>
      </c>
      <c r="Q143" s="37">
        <f>IFERROR(INDEX('M03-S08'!$BF$18:$BF$199,2*(ROWS(Q$135:Q143)-1)+1),"")</f>
        <v>0</v>
      </c>
      <c r="R143" s="14" t="str">
        <f>IFERROR(INDEX('M03-S08'!$AR$18:$AR$199,2*(ROWS(R$135:R143)-1)+1),"")</f>
        <v/>
      </c>
      <c r="S143" s="207"/>
      <c r="T143" s="207"/>
      <c r="U143" s="207"/>
      <c r="V143" s="194"/>
      <c r="W143" s="218"/>
      <c r="X143" s="218"/>
      <c r="Y143" s="210"/>
      <c r="Z143" s="210"/>
      <c r="AA143" s="219"/>
      <c r="AB143" s="219"/>
      <c r="AC143" s="194"/>
      <c r="AD143" s="37">
        <f>IFERROR(INDEX('M03-S08'!$BB$18:$BB$199,2*(ROWS(AD$135:AD143)-1)+1),"")</f>
        <v>0</v>
      </c>
      <c r="AE143" s="37">
        <f>IFERROR(INDEX('M03-S08'!$BC$18:$BC$199,2*(ROWS(AE$135:AE143)-1)+1),"")</f>
        <v>0</v>
      </c>
      <c r="AF143" s="210"/>
      <c r="AG143" s="210"/>
      <c r="AH143" s="210"/>
      <c r="AI143">
        <f>IFERROR(INDEX('M03-S08'!$B$18:$B$199,2*(ROWS(AI$135:AI143)-1)+1),"")</f>
        <v>9</v>
      </c>
      <c r="AJ143" s="194"/>
      <c r="AK143">
        <f>IFERROR(INDEX('M03-S08'!$C$18:$C$199,2*(ROWS(AK$135:AK143)-1)+1),"")</f>
        <v>0</v>
      </c>
      <c r="AL143" s="194"/>
      <c r="AM143">
        <f>IFERROR(INDEX('M03-S08'!$X$18:$X$199,2*(ROWS(AM$135:AM143)-1)+1),"")</f>
        <v>0</v>
      </c>
      <c r="AN143" s="207"/>
      <c r="AO143" s="207"/>
      <c r="AP143" t="str">
        <f>IFERROR(INDEX('M03-S08'!$AY$18:$AY$199,2*(ROWS(AP$135:AP143)-1)+1),"")</f>
        <v/>
      </c>
      <c r="AQ143" s="194"/>
      <c r="AR143" t="str">
        <f>IFERROR(INDEX(STDMOTORS[Reporting Methodology],MATCH(EXPORT!C143,STDMOTORS[Measure Number],0)),"")</f>
        <v/>
      </c>
      <c r="AS143" t="str">
        <f>IFERROR(INDEX(STDMOTORS[Primary Key],MATCH(C143,STDMOTORS[Measure Number],0)),"")</f>
        <v/>
      </c>
      <c r="AT143" s="14" t="str" cm="1">
        <f t="array" ref="AT143">_xlfn.LET(_xlpm.ROWS, 2*(ROWS(AT$135:AT143)-1)+1,IFERROR(INDEX('M03-S08'!$AR$18:$AR$199, _xlpm.ROWS)-INDEX('M03-S08'!$BQ$18:$BQ$199, _xlpm.ROWS),""))</f>
        <v/>
      </c>
      <c r="BL143"/>
      <c r="BP143"/>
      <c r="BQ143"/>
      <c r="BR143"/>
      <c r="CD143"/>
      <c r="CE143"/>
      <c r="CF143"/>
      <c r="CQ143"/>
      <c r="CR143"/>
      <c r="CS143"/>
      <c r="DS143"/>
      <c r="DT143"/>
      <c r="DU143"/>
    </row>
    <row r="144" spans="1:125" hidden="1">
      <c r="A144" s="15">
        <f t="shared" si="10"/>
        <v>0</v>
      </c>
      <c r="B144" t="str">
        <f t="shared" si="12"/>
        <v/>
      </c>
      <c r="C144" t="str">
        <f>IFERROR(IF(R144&gt;0,INDEX('M03-S08'!$BH$18:$BH$199,2*(ROWS($C$135:C144)-1)+1),""),"")</f>
        <v/>
      </c>
      <c r="D144" t="s">
        <v>1320</v>
      </c>
      <c r="E144" t="str">
        <f>IFERROR(INDEX('M03-S08'!$BD$18:$BD$199,2*(ROWS($E$135:E144)-1)+1),"")</f>
        <v/>
      </c>
      <c r="F144" s="210"/>
      <c r="G144">
        <f>IFERROR(INDEX('M03-S08'!$AE$18:$AE$199,2*(ROWS($G$135:G144)-1)+1),"")</f>
        <v>0</v>
      </c>
      <c r="H144" s="14">
        <f>IFERROR(ROUND(INDEX('M03-S08'!$AI$18:$AI$199,2*(ROWS(H$135:H144)-1)+1),2),"")</f>
        <v>0</v>
      </c>
      <c r="I144" s="14">
        <f>IFERROR(ROUND(INDEX('M03-S08'!$AK$18:$AK$199,2*(ROWS(I$135:I144)-1)+1),2),"")</f>
        <v>0</v>
      </c>
      <c r="J144" s="14" t="str">
        <f>IFERROR(ROUND(INDEX('M03-S08'!$AX$18:$AX$199,2*(ROWS(J$135:J144)-1)+1),2),"")</f>
        <v/>
      </c>
      <c r="K144" t="s">
        <v>84</v>
      </c>
      <c r="L144" s="10">
        <f>IFERROR(
ROUND(INDEX('M03-S08'!$R$18:$R$199,2*(ROWS(L$135:L144)-1)+1),3)*
ROUND(INDEX('M03-S08'!$T$18:$T$199,2*(ROWS(L$135:L144)-1)+1),3),"")</f>
        <v>0</v>
      </c>
      <c r="M144" s="10">
        <f>IFERROR(
ROUND(INDEX('M03-S08'!$R$18:$R$199,2*(ROWS(M$135:M144)-1)+1),3)*
ROUND(INDEX('M03-S08'!$T$18:$T$199,2*(ROWS(M$135:M144)-1)+1),3),
"")</f>
        <v>0</v>
      </c>
      <c r="N144" s="37" t="str">
        <f>IFERROR(INDEX('M03-S08'!$AZ$18:$AZ$199,2*(ROWS(N$135:N144)-1)+1),"")</f>
        <v/>
      </c>
      <c r="O144" s="37">
        <f>IFERROR(INDEX('M03-S08'!$BE$18:$BE$199,2*(ROWS(O$135:O144)-1)+1),"")</f>
        <v>0</v>
      </c>
      <c r="P144" s="37" t="str">
        <f>IFERROR(INDEX('M03-S08'!$BA$18:$BA$199,2*(ROWS(P$135:P144)-1)+1),"")</f>
        <v/>
      </c>
      <c r="Q144" s="37">
        <f>IFERROR(INDEX('M03-S08'!$BF$18:$BF$199,2*(ROWS(Q$135:Q144)-1)+1),"")</f>
        <v>0</v>
      </c>
      <c r="R144" s="14" t="str">
        <f>IFERROR(INDEX('M03-S08'!$AR$18:$AR$199,2*(ROWS(R$135:R144)-1)+1),"")</f>
        <v/>
      </c>
      <c r="S144" s="207"/>
      <c r="T144" s="207"/>
      <c r="U144" s="207"/>
      <c r="V144" s="194"/>
      <c r="W144" s="218"/>
      <c r="X144" s="218"/>
      <c r="Y144" s="210"/>
      <c r="Z144" s="210"/>
      <c r="AA144" s="219"/>
      <c r="AB144" s="219"/>
      <c r="AC144" s="194"/>
      <c r="AD144" s="37">
        <f>IFERROR(INDEX('M03-S08'!$BB$18:$BB$199,2*(ROWS(AD$135:AD144)-1)+1),"")</f>
        <v>0</v>
      </c>
      <c r="AE144" s="37">
        <f>IFERROR(INDEX('M03-S08'!$BC$18:$BC$199,2*(ROWS(AE$135:AE144)-1)+1),"")</f>
        <v>0</v>
      </c>
      <c r="AF144" s="210"/>
      <c r="AG144" s="210"/>
      <c r="AH144" s="210"/>
      <c r="AI144">
        <f>IFERROR(INDEX('M03-S08'!$B$18:$B$199,2*(ROWS(AI$135:AI144)-1)+1),"")</f>
        <v>10</v>
      </c>
      <c r="AJ144" s="194"/>
      <c r="AK144">
        <f>IFERROR(INDEX('M03-S08'!$C$18:$C$199,2*(ROWS(AK$135:AK144)-1)+1),"")</f>
        <v>0</v>
      </c>
      <c r="AL144" s="194"/>
      <c r="AM144">
        <f>IFERROR(INDEX('M03-S08'!$X$18:$X$199,2*(ROWS(AM$135:AM144)-1)+1),"")</f>
        <v>0</v>
      </c>
      <c r="AN144" s="207"/>
      <c r="AO144" s="207"/>
      <c r="AP144" t="str">
        <f>IFERROR(INDEX('M03-S08'!$AY$18:$AY$199,2*(ROWS(AP$135:AP144)-1)+1),"")</f>
        <v/>
      </c>
      <c r="AQ144" s="194"/>
      <c r="AR144" t="str">
        <f>IFERROR(INDEX(STDMOTORS[Reporting Methodology],MATCH(EXPORT!C144,STDMOTORS[Measure Number],0)),"")</f>
        <v/>
      </c>
      <c r="AS144" t="str">
        <f>IFERROR(INDEX(STDMOTORS[Primary Key],MATCH(C144,STDMOTORS[Measure Number],0)),"")</f>
        <v/>
      </c>
      <c r="AT144" s="14" t="str" cm="1">
        <f t="array" ref="AT144">_xlfn.LET(_xlpm.ROWS, 2*(ROWS(AT$135:AT144)-1)+1,IFERROR(INDEX('M03-S08'!$AR$18:$AR$199, _xlpm.ROWS)-INDEX('M03-S08'!$BQ$18:$BQ$199, _xlpm.ROWS),""))</f>
        <v/>
      </c>
      <c r="BL144"/>
      <c r="BP144"/>
      <c r="BQ144"/>
      <c r="BR144"/>
      <c r="CD144"/>
      <c r="CE144"/>
      <c r="CF144"/>
      <c r="CQ144"/>
      <c r="CR144"/>
      <c r="CS144"/>
      <c r="DS144"/>
      <c r="DT144"/>
      <c r="DU144"/>
    </row>
    <row r="145" spans="1:125" hidden="1">
      <c r="A145" s="15">
        <f t="shared" si="10"/>
        <v>0</v>
      </c>
      <c r="B145" t="str">
        <f t="shared" si="12"/>
        <v/>
      </c>
      <c r="C145" t="str">
        <f>IFERROR(IF(R145&gt;0,INDEX('M03-S08'!$BH$18:$BH$199,2*(ROWS($C$135:C145)-1)+1),""),"")</f>
        <v/>
      </c>
      <c r="D145" t="s">
        <v>1320</v>
      </c>
      <c r="E145">
        <f>IFERROR(INDEX('M03-S08'!$BD$18:$BD$199,2*(ROWS($E$135:E145)-1)+1),"")</f>
        <v>0</v>
      </c>
      <c r="F145" s="210"/>
      <c r="G145">
        <f>IFERROR(INDEX('M03-S08'!$AE$18:$AE$199,2*(ROWS($G$135:G145)-1)+1),"")</f>
        <v>0</v>
      </c>
      <c r="H145" s="14">
        <f>IFERROR(ROUND(INDEX('M03-S08'!$AI$18:$AI$199,2*(ROWS(H$135:H145)-1)+1),2),"")</f>
        <v>0</v>
      </c>
      <c r="I145" s="14">
        <f>IFERROR(ROUND(INDEX('M03-S08'!$AK$18:$AK$199,2*(ROWS(I$135:I145)-1)+1),2),"")</f>
        <v>0</v>
      </c>
      <c r="J145" s="14">
        <f>IFERROR(ROUND(INDEX('M03-S08'!$AX$18:$AX$199,2*(ROWS(J$135:J145)-1)+1),2),"")</f>
        <v>0</v>
      </c>
      <c r="K145" t="s">
        <v>84</v>
      </c>
      <c r="L145" s="10">
        <f>IFERROR(
ROUND(INDEX('M03-S08'!$R$18:$R$199,2*(ROWS(L$135:L145)-1)+1),3)*
ROUND(INDEX('M03-S08'!$T$18:$T$199,2*(ROWS(L$135:L145)-1)+1),3),"")</f>
        <v>0</v>
      </c>
      <c r="M145" s="10">
        <f>IFERROR(
ROUND(INDEX('M03-S08'!$R$18:$R$199,2*(ROWS(M$135:M145)-1)+1),3)*
ROUND(INDEX('M03-S08'!$T$18:$T$199,2*(ROWS(M$135:M145)-1)+1),3),
"")</f>
        <v>0</v>
      </c>
      <c r="N145" s="37">
        <f>IFERROR(INDEX('M03-S08'!$AZ$18:$AZ$199,2*(ROWS(N$135:N145)-1)+1),"")</f>
        <v>0</v>
      </c>
      <c r="O145" s="37">
        <f>IFERROR(INDEX('M03-S08'!$BE$18:$BE$199,2*(ROWS(O$135:O145)-1)+1),"")</f>
        <v>0</v>
      </c>
      <c r="P145" s="37">
        <f>IFERROR(INDEX('M03-S08'!$BA$18:$BA$199,2*(ROWS(P$135:P145)-1)+1),"")</f>
        <v>0</v>
      </c>
      <c r="Q145" s="37">
        <f>IFERROR(INDEX('M03-S08'!$BF$18:$BF$199,2*(ROWS(Q$135:Q145)-1)+1),"")</f>
        <v>0</v>
      </c>
      <c r="R145" s="14">
        <f>IFERROR(INDEX('M03-S08'!$AR$18:$AR$199,2*(ROWS(R$135:R145)-1)+1),"")</f>
        <v>0</v>
      </c>
      <c r="S145" s="207"/>
      <c r="T145" s="207"/>
      <c r="U145" s="207"/>
      <c r="V145" s="194"/>
      <c r="W145" s="218"/>
      <c r="X145" s="218"/>
      <c r="Y145" s="210"/>
      <c r="Z145" s="210"/>
      <c r="AA145" s="219"/>
      <c r="AB145" s="219"/>
      <c r="AC145" s="194"/>
      <c r="AD145" s="37">
        <f>IFERROR(INDEX('M03-S08'!$BB$18:$BB$199,2*(ROWS(AD$135:AD145)-1)+1),"")</f>
        <v>0</v>
      </c>
      <c r="AE145" s="37">
        <f>IFERROR(INDEX('M03-S08'!$BC$18:$BC$199,2*(ROWS(AE$135:AE145)-1)+1),"")</f>
        <v>0</v>
      </c>
      <c r="AF145" s="210"/>
      <c r="AG145" s="210"/>
      <c r="AH145" s="210"/>
      <c r="AI145">
        <f>IFERROR(INDEX('M03-S08'!$B$18:$B$199,2*(ROWS(AI$135:AI145)-1)+1),"")</f>
        <v>0</v>
      </c>
      <c r="AJ145" s="194"/>
      <c r="AK145">
        <f>IFERROR(INDEX('M03-S08'!$C$18:$C$199,2*(ROWS(AK$135:AK145)-1)+1),"")</f>
        <v>0</v>
      </c>
      <c r="AL145" s="194"/>
      <c r="AM145">
        <f>IFERROR(INDEX('M03-S08'!$X$18:$X$199,2*(ROWS(AM$135:AM145)-1)+1),"")</f>
        <v>0</v>
      </c>
      <c r="AN145" s="207"/>
      <c r="AO145" s="207"/>
      <c r="AP145">
        <f>IFERROR(INDEX('M03-S08'!$AY$18:$AY$199,2*(ROWS(AP$135:AP145)-1)+1),"")</f>
        <v>0</v>
      </c>
      <c r="AQ145" s="194"/>
      <c r="AR145" t="str">
        <f>IFERROR(INDEX(STDMOTORS[Reporting Methodology],MATCH(EXPORT!C145,STDMOTORS[Measure Number],0)),"")</f>
        <v/>
      </c>
      <c r="AS145" t="str">
        <f>IFERROR(INDEX(STDMOTORS[Primary Key],MATCH(C145,STDMOTORS[Measure Number],0)),"")</f>
        <v/>
      </c>
      <c r="AT145" s="14" cm="1">
        <f t="array" ref="AT145">_xlfn.LET(_xlpm.ROWS, 2*(ROWS(AT$135:AT145)-1)+1,IFERROR(INDEX('M03-S08'!$AR$18:$AR$199, _xlpm.ROWS)-INDEX('M03-S08'!$BQ$18:$BQ$199, _xlpm.ROWS),""))</f>
        <v>0</v>
      </c>
      <c r="BL145"/>
      <c r="BP145"/>
      <c r="BQ145"/>
      <c r="BR145"/>
      <c r="CD145"/>
      <c r="CE145"/>
      <c r="CF145"/>
      <c r="CQ145"/>
      <c r="CR145"/>
      <c r="CS145"/>
      <c r="DS145"/>
      <c r="DT145"/>
      <c r="DU145"/>
    </row>
    <row r="146" spans="1:125" hidden="1">
      <c r="A146" s="15">
        <f t="shared" si="10"/>
        <v>0</v>
      </c>
      <c r="B146" t="str">
        <f t="shared" si="12"/>
        <v/>
      </c>
      <c r="C146" t="str">
        <f>IFERROR(IF(R146&gt;0,INDEX('M03-S08'!$BH$18:$BH$199,2*(ROWS($C$135:C146)-1)+1),""),"")</f>
        <v/>
      </c>
      <c r="D146" t="s">
        <v>1320</v>
      </c>
      <c r="E146">
        <f>IFERROR(INDEX('M03-S08'!$BD$18:$BD$199,2*(ROWS($E$135:E146)-1)+1),"")</f>
        <v>0</v>
      </c>
      <c r="F146" s="210"/>
      <c r="G146">
        <f>IFERROR(INDEX('M03-S08'!$AE$18:$AE$199,2*(ROWS($G$135:G146)-1)+1),"")</f>
        <v>0</v>
      </c>
      <c r="H146" s="14">
        <f>IFERROR(ROUND(INDEX('M03-S08'!$AI$18:$AI$199,2*(ROWS(H$135:H146)-1)+1),2),"")</f>
        <v>0</v>
      </c>
      <c r="I146" s="14">
        <f>IFERROR(ROUND(INDEX('M03-S08'!$AK$18:$AK$199,2*(ROWS(I$135:I146)-1)+1),2),"")</f>
        <v>0</v>
      </c>
      <c r="J146" s="14">
        <f>IFERROR(ROUND(INDEX('M03-S08'!$AX$18:$AX$199,2*(ROWS(J$135:J146)-1)+1),2),"")</f>
        <v>0</v>
      </c>
      <c r="K146" t="s">
        <v>84</v>
      </c>
      <c r="L146" s="10">
        <f>IFERROR(
ROUND(INDEX('M03-S08'!$R$18:$R$199,2*(ROWS(L$135:L146)-1)+1),3)*
ROUND(INDEX('M03-S08'!$T$18:$T$199,2*(ROWS(L$135:L146)-1)+1),3),"")</f>
        <v>0</v>
      </c>
      <c r="M146" s="10">
        <f>IFERROR(
ROUND(INDEX('M03-S08'!$R$18:$R$199,2*(ROWS(M$135:M146)-1)+1),3)*
ROUND(INDEX('M03-S08'!$T$18:$T$199,2*(ROWS(M$135:M146)-1)+1),3),
"")</f>
        <v>0</v>
      </c>
      <c r="N146" s="37">
        <f>IFERROR(INDEX('M03-S08'!$AZ$18:$AZ$199,2*(ROWS(N$135:N146)-1)+1),"")</f>
        <v>0</v>
      </c>
      <c r="O146" s="37">
        <f>IFERROR(INDEX('M03-S08'!$BE$18:$BE$199,2*(ROWS(O$135:O146)-1)+1),"")</f>
        <v>0</v>
      </c>
      <c r="P146" s="37">
        <f>IFERROR(INDEX('M03-S08'!$BA$18:$BA$199,2*(ROWS(P$135:P146)-1)+1),"")</f>
        <v>0</v>
      </c>
      <c r="Q146" s="37">
        <f>IFERROR(INDEX('M03-S08'!$BF$18:$BF$199,2*(ROWS(Q$135:Q146)-1)+1),"")</f>
        <v>0</v>
      </c>
      <c r="R146" s="14">
        <f>IFERROR(INDEX('M03-S08'!$AR$18:$AR$199,2*(ROWS(R$135:R146)-1)+1),"")</f>
        <v>0</v>
      </c>
      <c r="S146" s="207"/>
      <c r="T146" s="207"/>
      <c r="U146" s="207"/>
      <c r="V146" s="194"/>
      <c r="W146" s="218"/>
      <c r="X146" s="218"/>
      <c r="Y146" s="210"/>
      <c r="Z146" s="210"/>
      <c r="AA146" s="219"/>
      <c r="AB146" s="219"/>
      <c r="AC146" s="194"/>
      <c r="AD146" s="37">
        <f>IFERROR(INDEX('M03-S08'!$BB$18:$BB$199,2*(ROWS(AD$135:AD146)-1)+1),"")</f>
        <v>0</v>
      </c>
      <c r="AE146" s="37">
        <f>IFERROR(INDEX('M03-S08'!$BC$18:$BC$199,2*(ROWS(AE$135:AE146)-1)+1),"")</f>
        <v>0</v>
      </c>
      <c r="AF146" s="210"/>
      <c r="AG146" s="210"/>
      <c r="AH146" s="210"/>
      <c r="AI146">
        <f>IFERROR(INDEX('M03-S08'!$B$18:$B$199,2*(ROWS(AI$135:AI146)-1)+1),"")</f>
        <v>0</v>
      </c>
      <c r="AJ146" s="194"/>
      <c r="AK146">
        <f>IFERROR(INDEX('M03-S08'!$C$18:$C$199,2*(ROWS(AK$135:AK146)-1)+1),"")</f>
        <v>0</v>
      </c>
      <c r="AL146" s="194"/>
      <c r="AM146">
        <f>IFERROR(INDEX('M03-S08'!$X$18:$X$199,2*(ROWS(AM$135:AM146)-1)+1),"")</f>
        <v>0</v>
      </c>
      <c r="AN146" s="207"/>
      <c r="AO146" s="207"/>
      <c r="AP146">
        <f>IFERROR(INDEX('M03-S08'!$AY$18:$AY$199,2*(ROWS(AP$135:AP146)-1)+1),"")</f>
        <v>0</v>
      </c>
      <c r="AQ146" s="194"/>
      <c r="AR146" t="str">
        <f>IFERROR(INDEX(STDMOTORS[Reporting Methodology],MATCH(EXPORT!C146,STDMOTORS[Measure Number],0)),"")</f>
        <v/>
      </c>
      <c r="AS146" t="str">
        <f>IFERROR(INDEX(STDMOTORS[Primary Key],MATCH(C146,STDMOTORS[Measure Number],0)),"")</f>
        <v/>
      </c>
      <c r="AT146" s="14" cm="1">
        <f t="array" ref="AT146">_xlfn.LET(_xlpm.ROWS, 2*(ROWS(AT$135:AT146)-1)+1,IFERROR(INDEX('M03-S08'!$AR$18:$AR$199, _xlpm.ROWS)-INDEX('M03-S08'!$BQ$18:$BQ$199, _xlpm.ROWS),""))</f>
        <v>0</v>
      </c>
      <c r="BL146"/>
      <c r="BP146"/>
      <c r="BQ146"/>
      <c r="BR146"/>
      <c r="CD146"/>
      <c r="CE146"/>
      <c r="CF146"/>
      <c r="CQ146"/>
      <c r="CR146"/>
      <c r="CS146"/>
      <c r="DS146"/>
      <c r="DT146"/>
      <c r="DU146"/>
    </row>
    <row r="147" spans="1:125" hidden="1">
      <c r="A147" s="15">
        <f t="shared" si="10"/>
        <v>0</v>
      </c>
      <c r="B147" t="str">
        <f t="shared" si="12"/>
        <v/>
      </c>
      <c r="C147" t="str">
        <f>IFERROR(IF(R147&gt;0,INDEX('M03-S08'!$BH$18:$BH$199,2*(ROWS($C$135:C147)-1)+1),""),"")</f>
        <v/>
      </c>
      <c r="D147" t="s">
        <v>1320</v>
      </c>
      <c r="E147">
        <f>IFERROR(INDEX('M03-S08'!$BD$18:$BD$199,2*(ROWS($E$135:E147)-1)+1),"")</f>
        <v>0</v>
      </c>
      <c r="F147" s="210"/>
      <c r="G147">
        <f>IFERROR(INDEX('M03-S08'!$AE$18:$AE$199,2*(ROWS($G$135:G147)-1)+1),"")</f>
        <v>0</v>
      </c>
      <c r="H147" s="14">
        <f>IFERROR(ROUND(INDEX('M03-S08'!$AI$18:$AI$199,2*(ROWS(H$135:H147)-1)+1),2),"")</f>
        <v>0</v>
      </c>
      <c r="I147" s="14">
        <f>IFERROR(ROUND(INDEX('M03-S08'!$AK$18:$AK$199,2*(ROWS(I$135:I147)-1)+1),2),"")</f>
        <v>0</v>
      </c>
      <c r="J147" s="14">
        <f>IFERROR(ROUND(INDEX('M03-S08'!$AX$18:$AX$199,2*(ROWS(J$135:J147)-1)+1),2),"")</f>
        <v>0</v>
      </c>
      <c r="K147" t="s">
        <v>84</v>
      </c>
      <c r="L147" s="10">
        <f>IFERROR(
ROUND(INDEX('M03-S08'!$R$18:$R$199,2*(ROWS(L$135:L147)-1)+1),3)*
ROUND(INDEX('M03-S08'!$T$18:$T$199,2*(ROWS(L$135:L147)-1)+1),3),"")</f>
        <v>0</v>
      </c>
      <c r="M147" s="10">
        <f>IFERROR(
ROUND(INDEX('M03-S08'!$R$18:$R$199,2*(ROWS(M$135:M147)-1)+1),3)*
ROUND(INDEX('M03-S08'!$T$18:$T$199,2*(ROWS(M$135:M147)-1)+1),3),
"")</f>
        <v>0</v>
      </c>
      <c r="N147" s="37">
        <f>IFERROR(INDEX('M03-S08'!$AZ$18:$AZ$199,2*(ROWS(N$135:N147)-1)+1),"")</f>
        <v>0</v>
      </c>
      <c r="O147" s="37">
        <f>IFERROR(INDEX('M03-S08'!$BE$18:$BE$199,2*(ROWS(O$135:O147)-1)+1),"")</f>
        <v>0</v>
      </c>
      <c r="P147" s="37">
        <f>IFERROR(INDEX('M03-S08'!$BA$18:$BA$199,2*(ROWS(P$135:P147)-1)+1),"")</f>
        <v>0</v>
      </c>
      <c r="Q147" s="37">
        <f>IFERROR(INDEX('M03-S08'!$BF$18:$BF$199,2*(ROWS(Q$135:Q147)-1)+1),"")</f>
        <v>0</v>
      </c>
      <c r="R147" s="14">
        <f>IFERROR(INDEX('M03-S08'!$AR$18:$AR$199,2*(ROWS(R$135:R147)-1)+1),"")</f>
        <v>0</v>
      </c>
      <c r="S147" s="207"/>
      <c r="T147" s="207"/>
      <c r="U147" s="207"/>
      <c r="V147" s="194"/>
      <c r="W147" s="218"/>
      <c r="X147" s="218"/>
      <c r="Y147" s="210"/>
      <c r="Z147" s="210"/>
      <c r="AA147" s="219"/>
      <c r="AB147" s="219"/>
      <c r="AC147" s="194"/>
      <c r="AD147" s="37">
        <f>IFERROR(INDEX('M03-S08'!$BB$18:$BB$199,2*(ROWS(AD$135:AD147)-1)+1),"")</f>
        <v>0</v>
      </c>
      <c r="AE147" s="37">
        <f>IFERROR(INDEX('M03-S08'!$BC$18:$BC$199,2*(ROWS(AE$135:AE147)-1)+1),"")</f>
        <v>0</v>
      </c>
      <c r="AF147" s="210"/>
      <c r="AG147" s="210"/>
      <c r="AH147" s="210"/>
      <c r="AI147">
        <f>IFERROR(INDEX('M03-S08'!$B$18:$B$199,2*(ROWS(AI$135:AI147)-1)+1),"")</f>
        <v>0</v>
      </c>
      <c r="AJ147" s="194"/>
      <c r="AK147">
        <f>IFERROR(INDEX('M03-S08'!$C$18:$C$199,2*(ROWS(AK$135:AK147)-1)+1),"")</f>
        <v>0</v>
      </c>
      <c r="AL147" s="194"/>
      <c r="AM147">
        <f>IFERROR(INDEX('M03-S08'!$X$18:$X$199,2*(ROWS(AM$135:AM147)-1)+1),"")</f>
        <v>0</v>
      </c>
      <c r="AN147" s="207"/>
      <c r="AO147" s="207"/>
      <c r="AP147">
        <f>IFERROR(INDEX('M03-S08'!$AY$18:$AY$199,2*(ROWS(AP$135:AP147)-1)+1),"")</f>
        <v>0</v>
      </c>
      <c r="AQ147" s="194"/>
      <c r="AR147" t="str">
        <f>IFERROR(INDEX(STDMOTORS[Reporting Methodology],MATCH(EXPORT!C147,STDMOTORS[Measure Number],0)),"")</f>
        <v/>
      </c>
      <c r="AS147" t="str">
        <f>IFERROR(INDEX(STDMOTORS[Primary Key],MATCH(C147,STDMOTORS[Measure Number],0)),"")</f>
        <v/>
      </c>
      <c r="AT147" s="14" cm="1">
        <f t="array" ref="AT147">_xlfn.LET(_xlpm.ROWS, 2*(ROWS(AT$135:AT147)-1)+1,IFERROR(INDEX('M03-S08'!$AR$18:$AR$199, _xlpm.ROWS)-INDEX('M03-S08'!$BQ$18:$BQ$199, _xlpm.ROWS),""))</f>
        <v>0</v>
      </c>
      <c r="BL147"/>
      <c r="BP147"/>
      <c r="BQ147"/>
      <c r="BR147"/>
      <c r="CD147"/>
      <c r="CE147"/>
      <c r="CF147"/>
      <c r="CQ147"/>
      <c r="CR147"/>
      <c r="CS147"/>
      <c r="DS147"/>
      <c r="DT147"/>
      <c r="DU147"/>
    </row>
    <row r="148" spans="1:125" hidden="1">
      <c r="A148" s="15">
        <f t="shared" si="10"/>
        <v>0</v>
      </c>
      <c r="B148" t="str">
        <f t="shared" si="12"/>
        <v/>
      </c>
      <c r="C148" t="str">
        <f>IFERROR(IF(R148&gt;0,INDEX('M03-S08'!$BH$18:$BH$199,2*(ROWS($C$135:C148)-1)+1),""),"")</f>
        <v/>
      </c>
      <c r="D148" t="s">
        <v>1320</v>
      </c>
      <c r="E148">
        <f>IFERROR(INDEX('M03-S08'!$BD$18:$BD$199,2*(ROWS($E$135:E148)-1)+1),"")</f>
        <v>0</v>
      </c>
      <c r="F148" s="210"/>
      <c r="G148">
        <f>IFERROR(INDEX('M03-S08'!$AE$18:$AE$199,2*(ROWS($G$135:G148)-1)+1),"")</f>
        <v>0</v>
      </c>
      <c r="H148" s="14">
        <f>IFERROR(ROUND(INDEX('M03-S08'!$AI$18:$AI$199,2*(ROWS(H$135:H148)-1)+1),2),"")</f>
        <v>0</v>
      </c>
      <c r="I148" s="14">
        <f>IFERROR(ROUND(INDEX('M03-S08'!$AK$18:$AK$199,2*(ROWS(I$135:I148)-1)+1),2),"")</f>
        <v>0</v>
      </c>
      <c r="J148" s="14">
        <f>IFERROR(ROUND(INDEX('M03-S08'!$AX$18:$AX$199,2*(ROWS(J$135:J148)-1)+1),2),"")</f>
        <v>0</v>
      </c>
      <c r="K148" t="s">
        <v>84</v>
      </c>
      <c r="L148" s="10">
        <f>IFERROR(
ROUND(INDEX('M03-S08'!$R$18:$R$199,2*(ROWS(L$135:L148)-1)+1),3)*
ROUND(INDEX('M03-S08'!$T$18:$T$199,2*(ROWS(L$135:L148)-1)+1),3),"")</f>
        <v>0</v>
      </c>
      <c r="M148" s="10">
        <f>IFERROR(
ROUND(INDEX('M03-S08'!$R$18:$R$199,2*(ROWS(M$135:M148)-1)+1),3)*
ROUND(INDEX('M03-S08'!$T$18:$T$199,2*(ROWS(M$135:M148)-1)+1),3),
"")</f>
        <v>0</v>
      </c>
      <c r="N148" s="37">
        <f>IFERROR(INDEX('M03-S08'!$AZ$18:$AZ$199,2*(ROWS(N$135:N148)-1)+1),"")</f>
        <v>0</v>
      </c>
      <c r="O148" s="37">
        <f>IFERROR(INDEX('M03-S08'!$BE$18:$BE$199,2*(ROWS(O$135:O148)-1)+1),"")</f>
        <v>0</v>
      </c>
      <c r="P148" s="37">
        <f>IFERROR(INDEX('M03-S08'!$BA$18:$BA$199,2*(ROWS(P$135:P148)-1)+1),"")</f>
        <v>0</v>
      </c>
      <c r="Q148" s="37">
        <f>IFERROR(INDEX('M03-S08'!$BF$18:$BF$199,2*(ROWS(Q$135:Q148)-1)+1),"")</f>
        <v>0</v>
      </c>
      <c r="R148" s="14">
        <f>IFERROR(INDEX('M03-S08'!$AR$18:$AR$199,2*(ROWS(R$135:R148)-1)+1),"")</f>
        <v>0</v>
      </c>
      <c r="S148" s="207"/>
      <c r="T148" s="207"/>
      <c r="U148" s="207"/>
      <c r="V148" s="194"/>
      <c r="W148" s="218"/>
      <c r="X148" s="218"/>
      <c r="Y148" s="210"/>
      <c r="Z148" s="210"/>
      <c r="AA148" s="219"/>
      <c r="AB148" s="219"/>
      <c r="AC148" s="194"/>
      <c r="AD148" s="37">
        <f>IFERROR(INDEX('M03-S08'!$BB$18:$BB$199,2*(ROWS(AD$135:AD148)-1)+1),"")</f>
        <v>0</v>
      </c>
      <c r="AE148" s="37">
        <f>IFERROR(INDEX('M03-S08'!$BC$18:$BC$199,2*(ROWS(AE$135:AE148)-1)+1),"")</f>
        <v>0</v>
      </c>
      <c r="AF148" s="210"/>
      <c r="AG148" s="210"/>
      <c r="AH148" s="210"/>
      <c r="AI148">
        <f>IFERROR(INDEX('M03-S08'!$B$18:$B$199,2*(ROWS(AI$135:AI148)-1)+1),"")</f>
        <v>0</v>
      </c>
      <c r="AJ148" s="194"/>
      <c r="AK148">
        <f>IFERROR(INDEX('M03-S08'!$C$18:$C$199,2*(ROWS(AK$135:AK148)-1)+1),"")</f>
        <v>0</v>
      </c>
      <c r="AL148" s="194"/>
      <c r="AM148">
        <f>IFERROR(INDEX('M03-S08'!$X$18:$X$199,2*(ROWS(AM$135:AM148)-1)+1),"")</f>
        <v>0</v>
      </c>
      <c r="AN148" s="207"/>
      <c r="AO148" s="207"/>
      <c r="AP148">
        <f>IFERROR(INDEX('M03-S08'!$AY$18:$AY$199,2*(ROWS(AP$135:AP148)-1)+1),"")</f>
        <v>0</v>
      </c>
      <c r="AQ148" s="194"/>
      <c r="AR148" t="str">
        <f>IFERROR(INDEX(STDMOTORS[Reporting Methodology],MATCH(EXPORT!C148,STDMOTORS[Measure Number],0)),"")</f>
        <v/>
      </c>
      <c r="AS148" t="str">
        <f>IFERROR(INDEX(STDMOTORS[Primary Key],MATCH(C148,STDMOTORS[Measure Number],0)),"")</f>
        <v/>
      </c>
      <c r="AT148" s="14" cm="1">
        <f t="array" ref="AT148">_xlfn.LET(_xlpm.ROWS, 2*(ROWS(AT$135:AT148)-1)+1,IFERROR(INDEX('M03-S08'!$AR$18:$AR$199, _xlpm.ROWS)-INDEX('M03-S08'!$BQ$18:$BQ$199, _xlpm.ROWS),""))</f>
        <v>0</v>
      </c>
      <c r="BL148"/>
      <c r="BP148"/>
      <c r="BQ148"/>
      <c r="BR148"/>
      <c r="CD148"/>
      <c r="CE148"/>
      <c r="CF148"/>
      <c r="CQ148"/>
      <c r="CR148"/>
      <c r="CS148"/>
      <c r="DS148"/>
      <c r="DT148"/>
      <c r="DU148"/>
    </row>
    <row r="149" spans="1:125" hidden="1">
      <c r="A149" s="15">
        <f t="shared" si="10"/>
        <v>0</v>
      </c>
      <c r="B149" t="str">
        <f t="shared" si="12"/>
        <v/>
      </c>
      <c r="C149" t="str">
        <f>IFERROR(IF(R149&gt;0,INDEX('M03-S08'!$BH$18:$BH$199,2*(ROWS($C$135:C149)-1)+1),""),"")</f>
        <v/>
      </c>
      <c r="D149" t="s">
        <v>1320</v>
      </c>
      <c r="E149">
        <f>IFERROR(INDEX('M03-S08'!$BD$18:$BD$199,2*(ROWS($E$135:E149)-1)+1),"")</f>
        <v>0</v>
      </c>
      <c r="F149" s="210"/>
      <c r="G149">
        <f>IFERROR(INDEX('M03-S08'!$AE$18:$AE$199,2*(ROWS($G$135:G149)-1)+1),"")</f>
        <v>0</v>
      </c>
      <c r="H149" s="14">
        <f>IFERROR(ROUND(INDEX('M03-S08'!$AI$18:$AI$199,2*(ROWS(H$135:H149)-1)+1),2),"")</f>
        <v>0</v>
      </c>
      <c r="I149" s="14">
        <f>IFERROR(ROUND(INDEX('M03-S08'!$AK$18:$AK$199,2*(ROWS(I$135:I149)-1)+1),2),"")</f>
        <v>0</v>
      </c>
      <c r="J149" s="14">
        <f>IFERROR(ROUND(INDEX('M03-S08'!$AX$18:$AX$199,2*(ROWS(J$135:J149)-1)+1),2),"")</f>
        <v>0</v>
      </c>
      <c r="K149" t="s">
        <v>84</v>
      </c>
      <c r="L149" s="10">
        <f>IFERROR(
ROUND(INDEX('M03-S08'!$R$18:$R$199,2*(ROWS(L$135:L149)-1)+1),3)*
ROUND(INDEX('M03-S08'!$T$18:$T$199,2*(ROWS(L$135:L149)-1)+1),3),"")</f>
        <v>0</v>
      </c>
      <c r="M149" s="10">
        <f>IFERROR(
ROUND(INDEX('M03-S08'!$R$18:$R$199,2*(ROWS(M$135:M149)-1)+1),3)*
ROUND(INDEX('M03-S08'!$T$18:$T$199,2*(ROWS(M$135:M149)-1)+1),3),
"")</f>
        <v>0</v>
      </c>
      <c r="N149" s="37">
        <f>IFERROR(INDEX('M03-S08'!$AZ$18:$AZ$199,2*(ROWS(N$135:N149)-1)+1),"")</f>
        <v>0</v>
      </c>
      <c r="O149" s="37">
        <f>IFERROR(INDEX('M03-S08'!$BE$18:$BE$199,2*(ROWS(O$135:O149)-1)+1),"")</f>
        <v>0</v>
      </c>
      <c r="P149" s="37">
        <f>IFERROR(INDEX('M03-S08'!$BA$18:$BA$199,2*(ROWS(P$135:P149)-1)+1),"")</f>
        <v>0</v>
      </c>
      <c r="Q149" s="37">
        <f>IFERROR(INDEX('M03-S08'!$BF$18:$BF$199,2*(ROWS(Q$135:Q149)-1)+1),"")</f>
        <v>0</v>
      </c>
      <c r="R149" s="14">
        <f>IFERROR(INDEX('M03-S08'!$AR$18:$AR$199,2*(ROWS(R$135:R149)-1)+1),"")</f>
        <v>0</v>
      </c>
      <c r="S149" s="207"/>
      <c r="T149" s="207"/>
      <c r="U149" s="207"/>
      <c r="V149" s="194"/>
      <c r="W149" s="218"/>
      <c r="X149" s="218"/>
      <c r="Y149" s="210"/>
      <c r="Z149" s="210"/>
      <c r="AA149" s="219"/>
      <c r="AB149" s="219"/>
      <c r="AC149" s="194"/>
      <c r="AD149" s="37">
        <f>IFERROR(INDEX('M03-S08'!$BB$18:$BB$199,2*(ROWS(AD$135:AD149)-1)+1),"")</f>
        <v>0</v>
      </c>
      <c r="AE149" s="37">
        <f>IFERROR(INDEX('M03-S08'!$BC$18:$BC$199,2*(ROWS(AE$135:AE149)-1)+1),"")</f>
        <v>0</v>
      </c>
      <c r="AF149" s="210"/>
      <c r="AG149" s="210"/>
      <c r="AH149" s="210"/>
      <c r="AI149">
        <f>IFERROR(INDEX('M03-S08'!$B$18:$B$199,2*(ROWS(AI$135:AI149)-1)+1),"")</f>
        <v>0</v>
      </c>
      <c r="AJ149" s="194"/>
      <c r="AK149">
        <f>IFERROR(INDEX('M03-S08'!$C$18:$C$199,2*(ROWS(AK$135:AK149)-1)+1),"")</f>
        <v>0</v>
      </c>
      <c r="AL149" s="194"/>
      <c r="AM149">
        <f>IFERROR(INDEX('M03-S08'!$X$18:$X$199,2*(ROWS(AM$135:AM149)-1)+1),"")</f>
        <v>0</v>
      </c>
      <c r="AN149" s="207"/>
      <c r="AO149" s="207"/>
      <c r="AP149">
        <f>IFERROR(INDEX('M03-S08'!$AY$18:$AY$199,2*(ROWS(AP$135:AP149)-1)+1),"")</f>
        <v>0</v>
      </c>
      <c r="AQ149" s="194"/>
      <c r="AR149" t="str">
        <f>IFERROR(INDEX(STDMOTORS[Reporting Methodology],MATCH(EXPORT!C149,STDMOTORS[Measure Number],0)),"")</f>
        <v/>
      </c>
      <c r="AS149" t="str">
        <f>IFERROR(INDEX(STDMOTORS[Primary Key],MATCH(C149,STDMOTORS[Measure Number],0)),"")</f>
        <v/>
      </c>
      <c r="AT149" s="14" cm="1">
        <f t="array" ref="AT149">_xlfn.LET(_xlpm.ROWS, 2*(ROWS(AT$135:AT149)-1)+1,IFERROR(INDEX('M03-S08'!$AR$18:$AR$199, _xlpm.ROWS)-INDEX('M03-S08'!$BQ$18:$BQ$199, _xlpm.ROWS),""))</f>
        <v>0</v>
      </c>
      <c r="BL149"/>
      <c r="BP149"/>
      <c r="BQ149"/>
      <c r="BR149"/>
      <c r="CD149"/>
      <c r="CE149"/>
      <c r="CF149"/>
      <c r="CQ149"/>
      <c r="CR149"/>
      <c r="CS149"/>
      <c r="DS149"/>
      <c r="DT149"/>
      <c r="DU149"/>
    </row>
    <row r="150" spans="1:125">
      <c r="A150" s="226" t="str">
        <f>"Custom "&amp;M4S2</f>
        <v>Custom Lighting</v>
      </c>
      <c r="B150" s="36"/>
      <c r="C150" s="36"/>
      <c r="D150" s="36"/>
      <c r="E150" s="36"/>
      <c r="F150" s="211"/>
      <c r="G150" s="36"/>
      <c r="H150" s="206"/>
      <c r="I150" s="206"/>
      <c r="J150" s="206"/>
      <c r="K150" s="36"/>
      <c r="L150" s="214"/>
      <c r="M150" s="214"/>
      <c r="N150" s="217"/>
      <c r="O150" s="217"/>
      <c r="P150" s="217"/>
      <c r="Q150" s="217"/>
      <c r="R150" s="206"/>
      <c r="S150" s="206"/>
      <c r="T150" s="206"/>
      <c r="U150" s="206"/>
      <c r="V150" s="36"/>
      <c r="W150" s="214"/>
      <c r="X150" s="214"/>
      <c r="Y150" s="211"/>
      <c r="Z150" s="211"/>
      <c r="AA150" s="217"/>
      <c r="AB150" s="217"/>
      <c r="AC150" s="36"/>
      <c r="AD150" s="217"/>
      <c r="AE150" s="217"/>
      <c r="AF150" s="211"/>
      <c r="AG150" s="211"/>
      <c r="AH150" s="211"/>
      <c r="AI150" s="36"/>
      <c r="AJ150" s="36"/>
      <c r="AK150" s="109"/>
      <c r="AL150" s="36"/>
      <c r="AM150" s="36"/>
      <c r="AN150" s="206"/>
      <c r="AO150" s="206"/>
      <c r="AP150" s="36"/>
      <c r="AQ150" s="36"/>
      <c r="AR150" s="36"/>
      <c r="AS150" s="36"/>
      <c r="AT150" s="36"/>
      <c r="BL150"/>
      <c r="BP150"/>
      <c r="BQ150"/>
      <c r="BR150"/>
      <c r="CD150"/>
      <c r="CE150"/>
      <c r="CF150"/>
      <c r="CQ150"/>
      <c r="CR150"/>
      <c r="CS150"/>
      <c r="DS150"/>
      <c r="DT150"/>
      <c r="DU150"/>
    </row>
    <row r="151" spans="1:125" hidden="1">
      <c r="A151" s="15">
        <f t="shared" ref="A151:A180" si="13">PROJID</f>
        <v>0</v>
      </c>
      <c r="B151" t="str">
        <f>IF(C151="","",CONCATENATE(ROW(),"-",C151))</f>
        <v/>
      </c>
      <c r="C151" t="str">
        <f>IFERROR(IF(INDEX('M04-S02'!$BJ$18:$BJ$199,2*(ROWS($C$151:C151)-1)+1)="","",INDEX('M04-S02'!$BJ$18:$BJ$199,2*(ROWS($C$151:C151)-1)+1)),"")</f>
        <v/>
      </c>
      <c r="D151" t="s">
        <v>135</v>
      </c>
      <c r="E151" t="str">
        <f>IFERROR(INDEX('M04-S02'!$BD$18:$BD$199,2*(ROWS(E$151:E151)-1)+1),"")</f>
        <v/>
      </c>
      <c r="F151" s="31">
        <f>IFERROR(INDEX('M04-S02'!$Q$18:$Q$199,2*(ROWS(F$151:F151)-1)+1),"")</f>
        <v>0</v>
      </c>
      <c r="G151" t="str">
        <f>IFERROR(INDEX('M04-S02'!$E$18:$E$199,2*(ROWS($G$151:G151)-1)+1)&amp;" - "&amp;INDEX('M04-S02'!$C$18:$C$199,2*(ROWS($G$151:G151)-1)+1),"")</f>
        <v xml:space="preserve"> - </v>
      </c>
      <c r="H151" s="14" t="str">
        <f ca="1">IFERROR(ROUND(IF(AC151&lt;&gt;"","",INDEX('M04-S02'!$AH$18:$AH$199,2*(ROWS(H$151:H151)-1)+1)),2),"")</f>
        <v/>
      </c>
      <c r="I151" s="14" t="str">
        <f ca="1">IFERROR(ROUND(IF(AC151&lt;&gt;"","",INDEX('M04-S02'!$AJ$18:$AJ$199,2*(ROWS(I$151:I151)-1)+1)),2),"")</f>
        <v/>
      </c>
      <c r="J151" s="14" t="str">
        <f ca="1">IFERROR(ROUND(IF(AC151&lt;&gt;"","",INDEX('M04-S02'!$AL$18:$AL$199,2*(ROWS(J$151:J151)-1)+1)),2),"")</f>
        <v/>
      </c>
      <c r="K151" t="str">
        <f t="shared" ref="K151:K180" ca="1" si="14">IFERROR(IF(AC151&lt;&gt;"","","Total"),"")</f>
        <v/>
      </c>
      <c r="L151" s="10" t="str">
        <f ca="1">IFERROR(IF(AC151&lt;&gt;"","",ROUND(INDEX('M04-S02'!$M$18:$M$199,2*(ROWS(L$151:L151)-1)+1),3)),"")</f>
        <v/>
      </c>
      <c r="M151" s="10" t="str">
        <f ca="1">IFERROR(IF(AC151&lt;&gt;"","",ROUND(INDEX('M04-S02'!$AD$18:$AD$199,2*(ROWS(M$151:M151)-1)+1),3)),"")</f>
        <v/>
      </c>
      <c r="N151" s="219"/>
      <c r="O151" s="37" t="str">
        <f ca="1">IFERROR(IF(AC151&lt;&gt;"","",INDEX('M04-S02'!$AO$18:$AO$199,2*(ROWS(O$151:O151)-1)+1)),"")</f>
        <v/>
      </c>
      <c r="P151" s="37" t="str">
        <f ca="1">IFERROR(IF(AC151&lt;&gt;"","",INDEX('M04-S02'!$BF$18:$BF$199,2*(ROWS(P$151:P151)-1)+1)),"")</f>
        <v/>
      </c>
      <c r="Q151" s="37" t="str">
        <f ca="1">IFERROR(IF(AC151&lt;&gt;"","",INDEX('M04-S02'!$BE$18:$BE$199,2*(ROWS(Q$151:Q151)-1)+1)),"")</f>
        <v/>
      </c>
      <c r="R151" s="14" t="str">
        <f ca="1">IFERROR(IF(AC151&lt;&gt;"","",INDEX('M04-S02'!$AR$18:$AR$199,2*(ROWS(R$151:R151)-1)+1)),"")</f>
        <v/>
      </c>
      <c r="S151" s="14">
        <f ca="1">IFERROR(ROUND(IF(AC151&lt;&gt;"",INDEX('M04-S02'!$AH$18:$AH$199,2*(ROWS(S$151:S151)-1)+1),""),2),"")</f>
        <v>0</v>
      </c>
      <c r="T151" s="14">
        <f ca="1">IFERROR(ROUND(IF(AC151&lt;&gt;"",INDEX('M04-S02'!$AJ$18:$AJ$199,2*(ROWS(T$151:T151)-1)+1),""),2),"")</f>
        <v>0</v>
      </c>
      <c r="U151" s="14" t="str">
        <f ca="1">IFERROR(ROUND(IF(AC151&lt;&gt;"",INDEX('M04-S02'!$AL$18:$AL$199,2*(ROWS(U$151:U151)-1)+1),""),2),"")</f>
        <v/>
      </c>
      <c r="V151" t="str">
        <f t="shared" ref="V151:V180" ca="1" si="15">IFERROR(IF(AC151&lt;&gt;"","Total",""),"")</f>
        <v>Total</v>
      </c>
      <c r="W151" s="10">
        <f ca="1">IFERROR(IF(AC151&lt;&gt;"",ROUND(INDEX('M04-S02'!$M$18:$M$199,2*(ROWS(W$151:W151)-1)+1),3),""),"")</f>
        <v>0</v>
      </c>
      <c r="X151" s="10">
        <f ca="1">IFERROR(IF(AC151&lt;&gt;"",ROUND(INDEX('M04-S02'!$AD$18:$AD$199,2*(ROWS(X$151:X151)-1)+1),3),""),"")</f>
        <v>0</v>
      </c>
      <c r="Y151" s="210"/>
      <c r="Z151" s="31" t="str">
        <f ca="1">IFERROR(IF(AC151&lt;&gt;"",INDEX('M04-S02'!$AO$18:$AO$199,2*(ROWS(Z$151:Z151)-1)+1),""),"")</f>
        <v/>
      </c>
      <c r="AA151" s="37" t="str">
        <f ca="1">IFERROR(IF(AC151&lt;&gt;"",INDEX('M04-S02'!$BF$18:$BF$199,2*(ROWS(AA$151:AA151)-1)+1),""),"")</f>
        <v/>
      </c>
      <c r="AB151" s="37" t="str">
        <f ca="1">IFERROR(IF(AC151&lt;&gt;"",INDEX('M04-S02'!$BE$18:$BE$199,2*(ROWS(AB$151:AB151)-1)+1),""),"")</f>
        <v/>
      </c>
      <c r="AC151" t="str">
        <f ca="1">IFERROR(INDEX('M04-S02'!$BL$18:$BL$199,2*(ROWS(AC$151:AC151)-1)+1),"")</f>
        <v>Enter Utility Rate (Building Info Tab)</v>
      </c>
      <c r="AD151" s="37" t="str" cm="1">
        <f t="array" ref="AD151">IFERROR(INDEX('M04-S02'!$BA$18:$BA$199,2*(ROWS(AD$151:AD151)-1)+1),"")</f>
        <v/>
      </c>
      <c r="AE151" s="37" t="str" cm="1">
        <f t="array" ref="AE151">IFERROR(INDEX('M04-S02'!$BB$18:$BB$199,2*(ROWS(AE$151:AE151)-1)+1),"")</f>
        <v/>
      </c>
      <c r="AF151" s="31" t="str">
        <f>IFERROR(INDEX('M04-S02'!$O$18:$O$199,2*(ROWS(AF$151:AF151)-1)+1),"")</f>
        <v/>
      </c>
      <c r="AG151" s="31">
        <f>IFERROR(INDEX('M04-S02'!$AF$18:$AF$199,2*(ROWS(AG$151:AG151)-1)+1),"")</f>
        <v>0</v>
      </c>
      <c r="AH151" s="210"/>
      <c r="AI151">
        <f>IFERROR(INDEX('M04-S02'!$B$18:$B$199,2*(ROWS(AI$151:AI151)-1)+1),"")</f>
        <v>1</v>
      </c>
      <c r="AJ151">
        <f>IFERROR(INDEX('M04-S02'!$G$18:$G$199,2*(ROWS(AJ$151:AJ151)-1)+1),"")</f>
        <v>0</v>
      </c>
      <c r="AK151">
        <f>IFERROR(INDEX('M04-S02'!$S$18:$S$199,2*(ROWS(AK$151:AK151)-1)+1),"")</f>
        <v>0</v>
      </c>
      <c r="AL151">
        <f>IFERROR(INDEX('M04-S02'!$K$18:$K$199,2*(ROWS(AL$151:AL151)-1)+1),"")</f>
        <v>0</v>
      </c>
      <c r="AM151">
        <f>IFERROR(INDEX('M04-S02'!$Z$18:$Z$199,2*(ROWS(AM$151:AM151)-1)+1),"")</f>
        <v>0</v>
      </c>
      <c r="AN151" s="14" t="str">
        <f>IFERROR(INDEX('M04-S02'!$AX$18:$AX$199,2*(ROWS(AN$151:AN151)-1)+1),"")</f>
        <v/>
      </c>
      <c r="AO151" s="14" t="str">
        <f>IFERROR(INDEX('M04-S02'!$AY$18:$AY$199,2*(ROWS(AO$151:AO151)-1)+1),"")</f>
        <v/>
      </c>
      <c r="AP151" t="str">
        <f>IFERROR(INDEX('M04-S02'!$AZ$18:$AZ$199,2*(ROWS(AP$151:AP151)-1)+1),"")</f>
        <v/>
      </c>
      <c r="AQ151" t="str">
        <f>IFERROR(INDEX('M04-S02'!$BC$18:$BC$199,2*(ROWS(AQ$151:AQ151)-1)+1),"")</f>
        <v/>
      </c>
      <c r="AR151" t="s">
        <v>1254</v>
      </c>
      <c r="AS151"/>
      <c r="BL151"/>
      <c r="BP151"/>
      <c r="BQ151"/>
      <c r="BR151"/>
      <c r="CD151"/>
      <c r="CE151"/>
      <c r="CF151"/>
      <c r="CQ151"/>
      <c r="CR151"/>
      <c r="CS151"/>
      <c r="DS151"/>
      <c r="DT151"/>
      <c r="DU151"/>
    </row>
    <row r="152" spans="1:125" hidden="1">
      <c r="A152" s="15">
        <f t="shared" si="13"/>
        <v>0</v>
      </c>
      <c r="B152" t="str">
        <f t="shared" ref="B152:B180" si="16">IF(C152="","",CONCATENATE(ROW(),"-",C152))</f>
        <v/>
      </c>
      <c r="C152" t="str">
        <f>IFERROR(IF(INDEX('M04-S02'!$BJ$18:$BJ$199,2*(ROWS($C$151:C152)-1)+1)="","",INDEX('M04-S02'!$BJ$18:$BJ$199,2*(ROWS($C$151:C152)-1)+1)),"")</f>
        <v/>
      </c>
      <c r="D152" t="s">
        <v>135</v>
      </c>
      <c r="E152" t="str">
        <f>IFERROR(INDEX('M04-S02'!$BD$18:$BD$199,2*(ROWS(E$151:E152)-1)+1),"")</f>
        <v/>
      </c>
      <c r="F152" s="31">
        <f>IFERROR(INDEX('M04-S02'!$Q$18:$Q$199,2*(ROWS(F$151:F152)-1)+1),"")</f>
        <v>0</v>
      </c>
      <c r="G152" t="str">
        <f>IFERROR(INDEX('M04-S02'!$E$18:$E$199,2*(ROWS($G$151:G152)-1)+1)&amp;" - "&amp;INDEX('M04-S02'!$C$18:$C$199,2*(ROWS($G$151:G152)-1)+1),"")</f>
        <v xml:space="preserve"> - </v>
      </c>
      <c r="H152" s="14" t="str">
        <f ca="1">IFERROR(ROUND(IF(AC152&lt;&gt;"","",INDEX('M04-S02'!$AH$18:$AH$199,2*(ROWS(H$151:H152)-1)+1)),2),"")</f>
        <v/>
      </c>
      <c r="I152" s="14" t="str">
        <f ca="1">IFERROR(ROUND(IF(AC152&lt;&gt;"","",INDEX('M04-S02'!$AJ$18:$AJ$199,2*(ROWS(I$151:I152)-1)+1)),2),"")</f>
        <v/>
      </c>
      <c r="J152" s="14" t="str">
        <f ca="1">IFERROR(ROUND(IF(AC152&lt;&gt;"","",INDEX('M04-S02'!$AL$18:$AL$199,2*(ROWS(J$151:J152)-1)+1)),2),"")</f>
        <v/>
      </c>
      <c r="K152" t="str">
        <f t="shared" ca="1" si="14"/>
        <v/>
      </c>
      <c r="L152" s="10" t="str">
        <f ca="1">IFERROR(IF(AC152&lt;&gt;"","",ROUND(INDEX('M04-S02'!$M$18:$M$199,2*(ROWS(L$151:L152)-1)+1),3)),"")</f>
        <v/>
      </c>
      <c r="M152" s="10" t="str">
        <f ca="1">IFERROR(IF(AC152&lt;&gt;"","",ROUND(INDEX('M04-S02'!$AD$18:$AD$199,2*(ROWS(M$151:M152)-1)+1),3)),"")</f>
        <v/>
      </c>
      <c r="N152" s="219"/>
      <c r="O152" s="37" t="str">
        <f ca="1">IFERROR(IF(AC152&lt;&gt;"","",INDEX('M04-S02'!$AO$18:$AO$199,2*(ROWS(O$151:O152)-1)+1)),"")</f>
        <v/>
      </c>
      <c r="P152" s="37" t="str">
        <f ca="1">IFERROR(IF(AC152&lt;&gt;"","",INDEX('M04-S02'!$BF$18:$BF$199,2*(ROWS(P$151:P152)-1)+1)),"")</f>
        <v/>
      </c>
      <c r="Q152" s="37" t="str">
        <f ca="1">IFERROR(IF(AC152&lt;&gt;"","",INDEX('M04-S02'!$BE$18:$BE$199,2*(ROWS(Q$151:Q152)-1)+1)),"")</f>
        <v/>
      </c>
      <c r="R152" s="14" t="str">
        <f ca="1">IFERROR(IF(AC152&lt;&gt;"","",INDEX('M04-S02'!$AR$18:$AR$199,2*(ROWS(R$151:R152)-1)+1)),"")</f>
        <v/>
      </c>
      <c r="S152" s="14">
        <f ca="1">IFERROR(ROUND(IF(AC152&lt;&gt;"",INDEX('M04-S02'!$AH$18:$AH$199,2*(ROWS(S$151:S152)-1)+1),""),2),"")</f>
        <v>0</v>
      </c>
      <c r="T152" s="14">
        <f ca="1">IFERROR(ROUND(IF(AC152&lt;&gt;"",INDEX('M04-S02'!$AJ$18:$AJ$199,2*(ROWS(T$151:T152)-1)+1),""),2),"")</f>
        <v>0</v>
      </c>
      <c r="U152" s="14" t="str">
        <f ca="1">IFERROR(ROUND(IF(AC152&lt;&gt;"",INDEX('M04-S02'!$AL$18:$AL$199,2*(ROWS(U$151:U152)-1)+1),""),2),"")</f>
        <v/>
      </c>
      <c r="V152" t="str">
        <f t="shared" ca="1" si="15"/>
        <v>Total</v>
      </c>
      <c r="W152" s="10">
        <f ca="1">IFERROR(IF(AC152&lt;&gt;"",ROUND(INDEX('M04-S02'!$M$18:$M$199,2*(ROWS(W$151:W152)-1)+1),3),""),"")</f>
        <v>0</v>
      </c>
      <c r="X152" s="10">
        <f ca="1">IFERROR(IF(AC152&lt;&gt;"",ROUND(INDEX('M04-S02'!$AD$18:$AD$199,2*(ROWS(X$151:X152)-1)+1),3),""),"")</f>
        <v>0</v>
      </c>
      <c r="Y152" s="210"/>
      <c r="Z152" s="31" t="str">
        <f ca="1">IFERROR(IF(AC152&lt;&gt;"",INDEX('M04-S02'!$AO$18:$AO$199,2*(ROWS(Z$151:Z152)-1)+1),""),"")</f>
        <v/>
      </c>
      <c r="AA152" s="37" t="str">
        <f ca="1">IFERROR(IF(AC152&lt;&gt;"",INDEX('M04-S02'!$BF$18:$BF$199,2*(ROWS(AA$151:AA152)-1)+1),""),"")</f>
        <v/>
      </c>
      <c r="AB152" s="37" t="str">
        <f ca="1">IFERROR(IF(AC152&lt;&gt;"",INDEX('M04-S02'!$BE$18:$BE$199,2*(ROWS(AB$151:AB152)-1)+1),""),"")</f>
        <v/>
      </c>
      <c r="AC152" t="str">
        <f ca="1">IFERROR(INDEX('M04-S02'!$BL$18:$BL$199,2*(ROWS(AC$151:AC152)-1)+1),"")</f>
        <v>Enter Utility Rate (Building Info Tab)</v>
      </c>
      <c r="AD152" s="37" t="str" cm="1">
        <f t="array" ref="AD152">IFERROR(INDEX('M04-S02'!$BA$18:$BA$199,2*(ROWS(AD$151:AD152)-1)+1),"")</f>
        <v/>
      </c>
      <c r="AE152" s="37" t="str" cm="1">
        <f t="array" ref="AE152">IFERROR(INDEX('M04-S02'!$BB$18:$BB$199,2*(ROWS(AE$151:AE152)-1)+1),"")</f>
        <v/>
      </c>
      <c r="AF152" s="31" t="str">
        <f>IFERROR(INDEX('M04-S02'!$O$18:$O$199,2*(ROWS(AF$151:AF152)-1)+1),"")</f>
        <v/>
      </c>
      <c r="AG152" s="31">
        <f>IFERROR(INDEX('M04-S02'!$AF$18:$AF$199,2*(ROWS(AG$151:AG152)-1)+1),"")</f>
        <v>0</v>
      </c>
      <c r="AH152" s="210"/>
      <c r="AI152">
        <f>IFERROR(INDEX('M04-S02'!$B$18:$B$199,2*(ROWS(AI$151:AI152)-1)+1),"")</f>
        <v>2</v>
      </c>
      <c r="AJ152">
        <f>IFERROR(INDEX('M04-S02'!$G$18:$G$199,2*(ROWS(AJ$151:AJ152)-1)+1),"")</f>
        <v>0</v>
      </c>
      <c r="AK152">
        <f>IFERROR(INDEX('M04-S02'!$S$18:$S$199,2*(ROWS(AK$151:AK152)-1)+1),"")</f>
        <v>0</v>
      </c>
      <c r="AL152">
        <f>IFERROR(INDEX('M04-S02'!$K$18:$K$199,2*(ROWS(AL$151:AL152)-1)+1),"")</f>
        <v>0</v>
      </c>
      <c r="AM152">
        <f>IFERROR(INDEX('M04-S02'!$Z$18:$Z$199,2*(ROWS(AM$151:AM152)-1)+1),"")</f>
        <v>0</v>
      </c>
      <c r="AN152" s="14" t="str">
        <f>IFERROR(INDEX('M04-S02'!$AX$18:$AX$199,2*(ROWS(AN$151:AN152)-1)+1),"")</f>
        <v/>
      </c>
      <c r="AO152" s="14" t="str">
        <f>IFERROR(INDEX('M04-S02'!$AY$18:$AY$199,2*(ROWS(AO$151:AO152)-1)+1),"")</f>
        <v/>
      </c>
      <c r="AP152" t="str">
        <f>IFERROR(INDEX('M04-S02'!$AZ$18:$AZ$199,2*(ROWS(AP$151:AP152)-1)+1),"")</f>
        <v/>
      </c>
      <c r="AQ152" t="str">
        <f>IFERROR(INDEX('M04-S02'!$BC$18:$BC$199,2*(ROWS(AQ$151:AQ152)-1)+1),"")</f>
        <v/>
      </c>
      <c r="AR152" t="s">
        <v>1254</v>
      </c>
      <c r="AS152"/>
      <c r="BL152"/>
      <c r="BP152"/>
      <c r="BQ152"/>
      <c r="BR152"/>
      <c r="CD152"/>
      <c r="CE152"/>
      <c r="CF152"/>
      <c r="CQ152"/>
      <c r="CR152"/>
      <c r="CS152"/>
      <c r="DS152"/>
      <c r="DT152"/>
      <c r="DU152"/>
    </row>
    <row r="153" spans="1:125" hidden="1">
      <c r="A153" s="15">
        <f t="shared" si="13"/>
        <v>0</v>
      </c>
      <c r="B153" t="str">
        <f t="shared" si="16"/>
        <v/>
      </c>
      <c r="C153" t="str">
        <f>IFERROR(IF(INDEX('M04-S02'!$BJ$18:$BJ$199,2*(ROWS($C$151:C153)-1)+1)="","",INDEX('M04-S02'!$BJ$18:$BJ$199,2*(ROWS($C$151:C153)-1)+1)),"")</f>
        <v/>
      </c>
      <c r="D153" t="s">
        <v>135</v>
      </c>
      <c r="E153" t="str">
        <f>IFERROR(INDEX('M04-S02'!$BD$18:$BD$199,2*(ROWS(E$151:E153)-1)+1),"")</f>
        <v/>
      </c>
      <c r="F153" s="31">
        <f>IFERROR(INDEX('M04-S02'!$Q$18:$Q$199,2*(ROWS(F$151:F153)-1)+1),"")</f>
        <v>0</v>
      </c>
      <c r="G153" t="str">
        <f>IFERROR(INDEX('M04-S02'!$E$18:$E$199,2*(ROWS($G$151:G153)-1)+1)&amp;" - "&amp;INDEX('M04-S02'!$C$18:$C$199,2*(ROWS($G$151:G153)-1)+1),"")</f>
        <v xml:space="preserve"> - </v>
      </c>
      <c r="H153" s="14" t="str">
        <f ca="1">IFERROR(ROUND(IF(AC153&lt;&gt;"","",INDEX('M04-S02'!$AH$18:$AH$199,2*(ROWS(H$151:H153)-1)+1)),2),"")</f>
        <v/>
      </c>
      <c r="I153" s="14" t="str">
        <f ca="1">IFERROR(ROUND(IF(AC153&lt;&gt;"","",INDEX('M04-S02'!$AJ$18:$AJ$199,2*(ROWS(I$151:I153)-1)+1)),2),"")</f>
        <v/>
      </c>
      <c r="J153" s="14" t="str">
        <f ca="1">IFERROR(ROUND(IF(AC153&lt;&gt;"","",INDEX('M04-S02'!$AL$18:$AL$199,2*(ROWS(J$151:J153)-1)+1)),2),"")</f>
        <v/>
      </c>
      <c r="K153" t="str">
        <f t="shared" ca="1" si="14"/>
        <v/>
      </c>
      <c r="L153" s="10" t="str">
        <f ca="1">IFERROR(IF(AC153&lt;&gt;"","",ROUND(INDEX('M04-S02'!$M$18:$M$199,2*(ROWS(L$151:L153)-1)+1),3)),"")</f>
        <v/>
      </c>
      <c r="M153" s="10" t="str">
        <f ca="1">IFERROR(IF(AC153&lt;&gt;"","",ROUND(INDEX('M04-S02'!$AD$18:$AD$199,2*(ROWS(M$151:M153)-1)+1),3)),"")</f>
        <v/>
      </c>
      <c r="N153" s="219"/>
      <c r="O153" s="37" t="str">
        <f ca="1">IFERROR(IF(AC153&lt;&gt;"","",INDEX('M04-S02'!$AO$18:$AO$199,2*(ROWS(O$151:O153)-1)+1)),"")</f>
        <v/>
      </c>
      <c r="P153" s="37" t="str">
        <f ca="1">IFERROR(IF(AC153&lt;&gt;"","",INDEX('M04-S02'!$BF$18:$BF$199,2*(ROWS(P$151:P153)-1)+1)),"")</f>
        <v/>
      </c>
      <c r="Q153" s="37" t="str">
        <f ca="1">IFERROR(IF(AC153&lt;&gt;"","",INDEX('M04-S02'!$BE$18:$BE$199,2*(ROWS(Q$151:Q153)-1)+1)),"")</f>
        <v/>
      </c>
      <c r="R153" s="14" t="str">
        <f ca="1">IFERROR(IF(AC153&lt;&gt;"","",INDEX('M04-S02'!$AR$18:$AR$199,2*(ROWS(R$151:R153)-1)+1)),"")</f>
        <v/>
      </c>
      <c r="S153" s="14">
        <f ca="1">IFERROR(ROUND(IF(AC153&lt;&gt;"",INDEX('M04-S02'!$AH$18:$AH$199,2*(ROWS(S$151:S153)-1)+1),""),2),"")</f>
        <v>0</v>
      </c>
      <c r="T153" s="14">
        <f ca="1">IFERROR(ROUND(IF(AC153&lt;&gt;"",INDEX('M04-S02'!$AJ$18:$AJ$199,2*(ROWS(T$151:T153)-1)+1),""),2),"")</f>
        <v>0</v>
      </c>
      <c r="U153" s="14" t="str">
        <f ca="1">IFERROR(ROUND(IF(AC153&lt;&gt;"",INDEX('M04-S02'!$AL$18:$AL$199,2*(ROWS(U$151:U153)-1)+1),""),2),"")</f>
        <v/>
      </c>
      <c r="V153" t="str">
        <f t="shared" ca="1" si="15"/>
        <v>Total</v>
      </c>
      <c r="W153" s="10">
        <f ca="1">IFERROR(IF(AC153&lt;&gt;"",ROUND(INDEX('M04-S02'!$M$18:$M$199,2*(ROWS(W$151:W153)-1)+1),3),""),"")</f>
        <v>0</v>
      </c>
      <c r="X153" s="10">
        <f ca="1">IFERROR(IF(AC153&lt;&gt;"",ROUND(INDEX('M04-S02'!$AD$18:$AD$199,2*(ROWS(X$151:X153)-1)+1),3),""),"")</f>
        <v>0</v>
      </c>
      <c r="Y153" s="210"/>
      <c r="Z153" s="31" t="str">
        <f ca="1">IFERROR(IF(AC153&lt;&gt;"",INDEX('M04-S02'!$AO$18:$AO$199,2*(ROWS(Z$151:Z153)-1)+1),""),"")</f>
        <v/>
      </c>
      <c r="AA153" s="37" t="str">
        <f ca="1">IFERROR(IF(AC153&lt;&gt;"",INDEX('M04-S02'!$BF$18:$BF$199,2*(ROWS(AA$151:AA153)-1)+1),""),"")</f>
        <v/>
      </c>
      <c r="AB153" s="37" t="str">
        <f ca="1">IFERROR(IF(AC153&lt;&gt;"",INDEX('M04-S02'!$BE$18:$BE$199,2*(ROWS(AB$151:AB153)-1)+1),""),"")</f>
        <v/>
      </c>
      <c r="AC153" t="str">
        <f ca="1">IFERROR(INDEX('M04-S02'!$BL$18:$BL$199,2*(ROWS(AC$151:AC153)-1)+1),"")</f>
        <v>Enter Utility Rate (Building Info Tab)</v>
      </c>
      <c r="AD153" s="37" t="str" cm="1">
        <f t="array" ref="AD153">IFERROR(INDEX('M04-S02'!$BA$18:$BA$199,2*(ROWS(AD$151:AD153)-1)+1),"")</f>
        <v/>
      </c>
      <c r="AE153" s="37" t="str" cm="1">
        <f t="array" ref="AE153">IFERROR(INDEX('M04-S02'!$BB$18:$BB$199,2*(ROWS(AE$151:AE153)-1)+1),"")</f>
        <v/>
      </c>
      <c r="AF153" s="31" t="str">
        <f>IFERROR(INDEX('M04-S02'!$O$18:$O$199,2*(ROWS(AF$151:AF153)-1)+1),"")</f>
        <v/>
      </c>
      <c r="AG153" s="31">
        <f>IFERROR(INDEX('M04-S02'!$AF$18:$AF$199,2*(ROWS(AG$151:AG153)-1)+1),"")</f>
        <v>0</v>
      </c>
      <c r="AH153" s="210"/>
      <c r="AI153">
        <f>IFERROR(INDEX('M04-S02'!$B$18:$B$199,2*(ROWS(AI$151:AI153)-1)+1),"")</f>
        <v>3</v>
      </c>
      <c r="AJ153">
        <f>IFERROR(INDEX('M04-S02'!$G$18:$G$199,2*(ROWS(AJ$151:AJ153)-1)+1),"")</f>
        <v>0</v>
      </c>
      <c r="AK153">
        <f>IFERROR(INDEX('M04-S02'!$S$18:$S$199,2*(ROWS(AK$151:AK153)-1)+1),"")</f>
        <v>0</v>
      </c>
      <c r="AL153">
        <f>IFERROR(INDEX('M04-S02'!$K$18:$K$199,2*(ROWS(AL$151:AL153)-1)+1),"")</f>
        <v>0</v>
      </c>
      <c r="AM153">
        <f>IFERROR(INDEX('M04-S02'!$Z$18:$Z$199,2*(ROWS(AM$151:AM153)-1)+1),"")</f>
        <v>0</v>
      </c>
      <c r="AN153" s="14" t="str">
        <f>IFERROR(INDEX('M04-S02'!$AX$18:$AX$199,2*(ROWS(AN$151:AN153)-1)+1),"")</f>
        <v/>
      </c>
      <c r="AO153" s="14" t="str">
        <f>IFERROR(INDEX('M04-S02'!$AY$18:$AY$199,2*(ROWS(AO$151:AO153)-1)+1),"")</f>
        <v/>
      </c>
      <c r="AP153" t="str">
        <f>IFERROR(INDEX('M04-S02'!$AZ$18:$AZ$199,2*(ROWS(AP$151:AP153)-1)+1),"")</f>
        <v/>
      </c>
      <c r="AQ153" t="str">
        <f>IFERROR(INDEX('M04-S02'!$BC$18:$BC$199,2*(ROWS(AQ$151:AQ153)-1)+1),"")</f>
        <v/>
      </c>
      <c r="AR153" t="s">
        <v>1254</v>
      </c>
      <c r="AS153"/>
      <c r="BL153"/>
      <c r="BP153"/>
      <c r="BQ153"/>
      <c r="BR153"/>
      <c r="CD153"/>
      <c r="CE153"/>
      <c r="CF153"/>
      <c r="CQ153"/>
      <c r="CR153"/>
      <c r="CS153"/>
      <c r="DS153"/>
      <c r="DT153"/>
      <c r="DU153"/>
    </row>
    <row r="154" spans="1:125" hidden="1">
      <c r="A154" s="15">
        <f t="shared" si="13"/>
        <v>0</v>
      </c>
      <c r="B154" t="str">
        <f t="shared" si="16"/>
        <v/>
      </c>
      <c r="C154" t="str">
        <f>IFERROR(IF(INDEX('M04-S02'!$BJ$18:$BJ$199,2*(ROWS($C$151:C154)-1)+1)="","",INDEX('M04-S02'!$BJ$18:$BJ$199,2*(ROWS($C$151:C154)-1)+1)),"")</f>
        <v/>
      </c>
      <c r="D154" t="s">
        <v>135</v>
      </c>
      <c r="E154" t="str">
        <f>IFERROR(INDEX('M04-S02'!$BD$18:$BD$199,2*(ROWS(E$151:E154)-1)+1),"")</f>
        <v/>
      </c>
      <c r="F154" s="31">
        <f>IFERROR(INDEX('M04-S02'!$Q$18:$Q$199,2*(ROWS(F$151:F154)-1)+1),"")</f>
        <v>0</v>
      </c>
      <c r="G154" t="str">
        <f>IFERROR(INDEX('M04-S02'!$E$18:$E$199,2*(ROWS($G$151:G154)-1)+1)&amp;" - "&amp;INDEX('M04-S02'!$C$18:$C$199,2*(ROWS($G$151:G154)-1)+1),"")</f>
        <v xml:space="preserve"> - </v>
      </c>
      <c r="H154" s="14" t="str">
        <f ca="1">IFERROR(ROUND(IF(AC154&lt;&gt;"","",INDEX('M04-S02'!$AH$18:$AH$199,2*(ROWS(H$151:H154)-1)+1)),2),"")</f>
        <v/>
      </c>
      <c r="I154" s="14" t="str">
        <f ca="1">IFERROR(ROUND(IF(AC154&lt;&gt;"","",INDEX('M04-S02'!$AJ$18:$AJ$199,2*(ROWS(I$151:I154)-1)+1)),2),"")</f>
        <v/>
      </c>
      <c r="J154" s="14" t="str">
        <f ca="1">IFERROR(ROUND(IF(AC154&lt;&gt;"","",INDEX('M04-S02'!$AL$18:$AL$199,2*(ROWS(J$151:J154)-1)+1)),2),"")</f>
        <v/>
      </c>
      <c r="K154" t="str">
        <f t="shared" ca="1" si="14"/>
        <v/>
      </c>
      <c r="L154" s="10" t="str">
        <f ca="1">IFERROR(IF(AC154&lt;&gt;"","",ROUND(INDEX('M04-S02'!$M$18:$M$199,2*(ROWS(L$151:L154)-1)+1),3)),"")</f>
        <v/>
      </c>
      <c r="M154" s="10" t="str">
        <f ca="1">IFERROR(IF(AC154&lt;&gt;"","",ROUND(INDEX('M04-S02'!$AD$18:$AD$199,2*(ROWS(M$151:M154)-1)+1),3)),"")</f>
        <v/>
      </c>
      <c r="N154" s="219"/>
      <c r="O154" s="37" t="str">
        <f ca="1">IFERROR(IF(AC154&lt;&gt;"","",INDEX('M04-S02'!$AO$18:$AO$199,2*(ROWS(O$151:O154)-1)+1)),"")</f>
        <v/>
      </c>
      <c r="P154" s="37" t="str">
        <f ca="1">IFERROR(IF(AC154&lt;&gt;"","",INDEX('M04-S02'!$BF$18:$BF$199,2*(ROWS(P$151:P154)-1)+1)),"")</f>
        <v/>
      </c>
      <c r="Q154" s="37" t="str">
        <f ca="1">IFERROR(IF(AC154&lt;&gt;"","",INDEX('M04-S02'!$BE$18:$BE$199,2*(ROWS(Q$151:Q154)-1)+1)),"")</f>
        <v/>
      </c>
      <c r="R154" s="14" t="str">
        <f ca="1">IFERROR(IF(AC154&lt;&gt;"","",INDEX('M04-S02'!$AR$18:$AR$199,2*(ROWS(R$151:R154)-1)+1)),"")</f>
        <v/>
      </c>
      <c r="S154" s="14">
        <f ca="1">IFERROR(ROUND(IF(AC154&lt;&gt;"",INDEX('M04-S02'!$AH$18:$AH$199,2*(ROWS(S$151:S154)-1)+1),""),2),"")</f>
        <v>0</v>
      </c>
      <c r="T154" s="14">
        <f ca="1">IFERROR(ROUND(IF(AC154&lt;&gt;"",INDEX('M04-S02'!$AJ$18:$AJ$199,2*(ROWS(T$151:T154)-1)+1),""),2),"")</f>
        <v>0</v>
      </c>
      <c r="U154" s="14" t="str">
        <f ca="1">IFERROR(ROUND(IF(AC154&lt;&gt;"",INDEX('M04-S02'!$AL$18:$AL$199,2*(ROWS(U$151:U154)-1)+1),""),2),"")</f>
        <v/>
      </c>
      <c r="V154" t="str">
        <f t="shared" ca="1" si="15"/>
        <v>Total</v>
      </c>
      <c r="W154" s="10">
        <f ca="1">IFERROR(IF(AC154&lt;&gt;"",ROUND(INDEX('M04-S02'!$M$18:$M$199,2*(ROWS(W$151:W154)-1)+1),3),""),"")</f>
        <v>0</v>
      </c>
      <c r="X154" s="10">
        <f ca="1">IFERROR(IF(AC154&lt;&gt;"",ROUND(INDEX('M04-S02'!$AD$18:$AD$199,2*(ROWS(X$151:X154)-1)+1),3),""),"")</f>
        <v>0</v>
      </c>
      <c r="Y154" s="210"/>
      <c r="Z154" s="31" t="str">
        <f ca="1">IFERROR(IF(AC154&lt;&gt;"",INDEX('M04-S02'!$AO$18:$AO$199,2*(ROWS(Z$151:Z154)-1)+1),""),"")</f>
        <v/>
      </c>
      <c r="AA154" s="37" t="str">
        <f ca="1">IFERROR(IF(AC154&lt;&gt;"",INDEX('M04-S02'!$BF$18:$BF$199,2*(ROWS(AA$151:AA154)-1)+1),""),"")</f>
        <v/>
      </c>
      <c r="AB154" s="37" t="str">
        <f ca="1">IFERROR(IF(AC154&lt;&gt;"",INDEX('M04-S02'!$BE$18:$BE$199,2*(ROWS(AB$151:AB154)-1)+1),""),"")</f>
        <v/>
      </c>
      <c r="AC154" t="str">
        <f ca="1">IFERROR(INDEX('M04-S02'!$BL$18:$BL$199,2*(ROWS(AC$151:AC154)-1)+1),"")</f>
        <v>Enter Utility Rate (Building Info Tab)</v>
      </c>
      <c r="AD154" s="37" t="str" cm="1">
        <f t="array" ref="AD154">IFERROR(INDEX('M04-S02'!$BA$18:$BA$199,2*(ROWS(AD$151:AD154)-1)+1),"")</f>
        <v/>
      </c>
      <c r="AE154" s="37" t="str" cm="1">
        <f t="array" ref="AE154">IFERROR(INDEX('M04-S02'!$BB$18:$BB$199,2*(ROWS(AE$151:AE154)-1)+1),"")</f>
        <v/>
      </c>
      <c r="AF154" s="31" t="str">
        <f>IFERROR(INDEX('M04-S02'!$O$18:$O$199,2*(ROWS(AF$151:AF154)-1)+1),"")</f>
        <v/>
      </c>
      <c r="AG154" s="31">
        <f>IFERROR(INDEX('M04-S02'!$AF$18:$AF$199,2*(ROWS(AG$151:AG154)-1)+1),"")</f>
        <v>0</v>
      </c>
      <c r="AH154" s="210"/>
      <c r="AI154">
        <f>IFERROR(INDEX('M04-S02'!$B$18:$B$199,2*(ROWS(AI$151:AI154)-1)+1),"")</f>
        <v>4</v>
      </c>
      <c r="AJ154">
        <f>IFERROR(INDEX('M04-S02'!$G$18:$G$199,2*(ROWS(AJ$151:AJ154)-1)+1),"")</f>
        <v>0</v>
      </c>
      <c r="AK154">
        <f>IFERROR(INDEX('M04-S02'!$S$18:$S$199,2*(ROWS(AK$151:AK154)-1)+1),"")</f>
        <v>0</v>
      </c>
      <c r="AL154">
        <f>IFERROR(INDEX('M04-S02'!$K$18:$K$199,2*(ROWS(AL$151:AL154)-1)+1),"")</f>
        <v>0</v>
      </c>
      <c r="AM154">
        <f>IFERROR(INDEX('M04-S02'!$Z$18:$Z$199,2*(ROWS(AM$151:AM154)-1)+1),"")</f>
        <v>0</v>
      </c>
      <c r="AN154" s="14" t="str">
        <f>IFERROR(INDEX('M04-S02'!$AX$18:$AX$199,2*(ROWS(AN$151:AN154)-1)+1),"")</f>
        <v/>
      </c>
      <c r="AO154" s="14" t="str">
        <f>IFERROR(INDEX('M04-S02'!$AY$18:$AY$199,2*(ROWS(AO$151:AO154)-1)+1),"")</f>
        <v/>
      </c>
      <c r="AP154" t="str">
        <f>IFERROR(INDEX('M04-S02'!$AZ$18:$AZ$199,2*(ROWS(AP$151:AP154)-1)+1),"")</f>
        <v/>
      </c>
      <c r="AQ154" t="str">
        <f>IFERROR(INDEX('M04-S02'!$BC$18:$BC$199,2*(ROWS(AQ$151:AQ154)-1)+1),"")</f>
        <v/>
      </c>
      <c r="AR154" t="s">
        <v>1254</v>
      </c>
      <c r="AS154"/>
      <c r="BL154"/>
      <c r="BP154"/>
      <c r="BQ154"/>
      <c r="BR154"/>
      <c r="CD154"/>
      <c r="CE154"/>
      <c r="CF154"/>
      <c r="CQ154"/>
      <c r="CR154"/>
      <c r="CS154"/>
      <c r="DS154"/>
      <c r="DT154"/>
      <c r="DU154"/>
    </row>
    <row r="155" spans="1:125" hidden="1">
      <c r="A155" s="15">
        <f t="shared" si="13"/>
        <v>0</v>
      </c>
      <c r="B155" t="str">
        <f t="shared" si="16"/>
        <v/>
      </c>
      <c r="C155" t="str">
        <f>IFERROR(IF(INDEX('M04-S02'!$BJ$18:$BJ$199,2*(ROWS($C$151:C155)-1)+1)="","",INDEX('M04-S02'!$BJ$18:$BJ$199,2*(ROWS($C$151:C155)-1)+1)),"")</f>
        <v/>
      </c>
      <c r="D155" t="s">
        <v>135</v>
      </c>
      <c r="E155" t="str">
        <f>IFERROR(INDEX('M04-S02'!$BD$18:$BD$199,2*(ROWS(E$151:E155)-1)+1),"")</f>
        <v/>
      </c>
      <c r="F155" s="31">
        <f>IFERROR(INDEX('M04-S02'!$Q$18:$Q$199,2*(ROWS(F$151:F155)-1)+1),"")</f>
        <v>0</v>
      </c>
      <c r="G155" t="str">
        <f>IFERROR(INDEX('M04-S02'!$E$18:$E$199,2*(ROWS($G$151:G155)-1)+1)&amp;" - "&amp;INDEX('M04-S02'!$C$18:$C$199,2*(ROWS($G$151:G155)-1)+1),"")</f>
        <v xml:space="preserve"> - </v>
      </c>
      <c r="H155" s="14" t="str">
        <f ca="1">IFERROR(ROUND(IF(AC155&lt;&gt;"","",INDEX('M04-S02'!$AH$18:$AH$199,2*(ROWS(H$151:H155)-1)+1)),2),"")</f>
        <v/>
      </c>
      <c r="I155" s="14" t="str">
        <f ca="1">IFERROR(ROUND(IF(AC155&lt;&gt;"","",INDEX('M04-S02'!$AJ$18:$AJ$199,2*(ROWS(I$151:I155)-1)+1)),2),"")</f>
        <v/>
      </c>
      <c r="J155" s="14" t="str">
        <f ca="1">IFERROR(ROUND(IF(AC155&lt;&gt;"","",INDEX('M04-S02'!$AL$18:$AL$199,2*(ROWS(J$151:J155)-1)+1)),2),"")</f>
        <v/>
      </c>
      <c r="K155" t="str">
        <f t="shared" ca="1" si="14"/>
        <v/>
      </c>
      <c r="L155" s="10" t="str">
        <f ca="1">IFERROR(IF(AC155&lt;&gt;"","",ROUND(INDEX('M04-S02'!$M$18:$M$199,2*(ROWS(L$151:L155)-1)+1),3)),"")</f>
        <v/>
      </c>
      <c r="M155" s="10" t="str">
        <f ca="1">IFERROR(IF(AC155&lt;&gt;"","",ROUND(INDEX('M04-S02'!$AD$18:$AD$199,2*(ROWS(M$151:M155)-1)+1),3)),"")</f>
        <v/>
      </c>
      <c r="N155" s="219"/>
      <c r="O155" s="37" t="str">
        <f ca="1">IFERROR(IF(AC155&lt;&gt;"","",INDEX('M04-S02'!$AO$18:$AO$199,2*(ROWS(O$151:O155)-1)+1)),"")</f>
        <v/>
      </c>
      <c r="P155" s="37" t="str">
        <f ca="1">IFERROR(IF(AC155&lt;&gt;"","",INDEX('M04-S02'!$BF$18:$BF$199,2*(ROWS(P$151:P155)-1)+1)),"")</f>
        <v/>
      </c>
      <c r="Q155" s="37" t="str">
        <f ca="1">IFERROR(IF(AC155&lt;&gt;"","",INDEX('M04-S02'!$BE$18:$BE$199,2*(ROWS(Q$151:Q155)-1)+1)),"")</f>
        <v/>
      </c>
      <c r="R155" s="14" t="str">
        <f ca="1">IFERROR(IF(AC155&lt;&gt;"","",INDEX('M04-S02'!$AR$18:$AR$199,2*(ROWS(R$151:R155)-1)+1)),"")</f>
        <v/>
      </c>
      <c r="S155" s="14">
        <f ca="1">IFERROR(ROUND(IF(AC155&lt;&gt;"",INDEX('M04-S02'!$AH$18:$AH$199,2*(ROWS(S$151:S155)-1)+1),""),2),"")</f>
        <v>0</v>
      </c>
      <c r="T155" s="14">
        <f ca="1">IFERROR(ROUND(IF(AC155&lt;&gt;"",INDEX('M04-S02'!$AJ$18:$AJ$199,2*(ROWS(T$151:T155)-1)+1),""),2),"")</f>
        <v>0</v>
      </c>
      <c r="U155" s="14" t="str">
        <f ca="1">IFERROR(ROUND(IF(AC155&lt;&gt;"",INDEX('M04-S02'!$AL$18:$AL$199,2*(ROWS(U$151:U155)-1)+1),""),2),"")</f>
        <v/>
      </c>
      <c r="V155" t="str">
        <f t="shared" ca="1" si="15"/>
        <v>Total</v>
      </c>
      <c r="W155" s="10">
        <f ca="1">IFERROR(IF(AC155&lt;&gt;"",ROUND(INDEX('M04-S02'!$M$18:$M$199,2*(ROWS(W$151:W155)-1)+1),3),""),"")</f>
        <v>0</v>
      </c>
      <c r="X155" s="10">
        <f ca="1">IFERROR(IF(AC155&lt;&gt;"",ROUND(INDEX('M04-S02'!$AD$18:$AD$199,2*(ROWS(X$151:X155)-1)+1),3),""),"")</f>
        <v>0</v>
      </c>
      <c r="Y155" s="210"/>
      <c r="Z155" s="31" t="str">
        <f ca="1">IFERROR(IF(AC155&lt;&gt;"",INDEX('M04-S02'!$AO$18:$AO$199,2*(ROWS(Z$151:Z155)-1)+1),""),"")</f>
        <v/>
      </c>
      <c r="AA155" s="37" t="str">
        <f ca="1">IFERROR(IF(AC155&lt;&gt;"",INDEX('M04-S02'!$BF$18:$BF$199,2*(ROWS(AA$151:AA155)-1)+1),""),"")</f>
        <v/>
      </c>
      <c r="AB155" s="37" t="str">
        <f ca="1">IFERROR(IF(AC155&lt;&gt;"",INDEX('M04-S02'!$BE$18:$BE$199,2*(ROWS(AB$151:AB155)-1)+1),""),"")</f>
        <v/>
      </c>
      <c r="AC155" t="str">
        <f ca="1">IFERROR(INDEX('M04-S02'!$BL$18:$BL$199,2*(ROWS(AC$151:AC155)-1)+1),"")</f>
        <v>Enter Utility Rate (Building Info Tab)</v>
      </c>
      <c r="AD155" s="37" t="str" cm="1">
        <f t="array" ref="AD155">IFERROR(INDEX('M04-S02'!$BA$18:$BA$199,2*(ROWS(AD$151:AD155)-1)+1),"")</f>
        <v/>
      </c>
      <c r="AE155" s="37" t="str" cm="1">
        <f t="array" ref="AE155">IFERROR(INDEX('M04-S02'!$BB$18:$BB$199,2*(ROWS(AE$151:AE155)-1)+1),"")</f>
        <v/>
      </c>
      <c r="AF155" s="31" t="str">
        <f>IFERROR(INDEX('M04-S02'!$O$18:$O$199,2*(ROWS(AF$151:AF155)-1)+1),"")</f>
        <v/>
      </c>
      <c r="AG155" s="31">
        <f>IFERROR(INDEX('M04-S02'!$AF$18:$AF$199,2*(ROWS(AG$151:AG155)-1)+1),"")</f>
        <v>0</v>
      </c>
      <c r="AH155" s="210"/>
      <c r="AI155">
        <f>IFERROR(INDEX('M04-S02'!$B$18:$B$199,2*(ROWS(AI$151:AI155)-1)+1),"")</f>
        <v>5</v>
      </c>
      <c r="AJ155">
        <f>IFERROR(INDEX('M04-S02'!$G$18:$G$199,2*(ROWS(AJ$151:AJ155)-1)+1),"")</f>
        <v>0</v>
      </c>
      <c r="AK155">
        <f>IFERROR(INDEX('M04-S02'!$S$18:$S$199,2*(ROWS(AK$151:AK155)-1)+1),"")</f>
        <v>0</v>
      </c>
      <c r="AL155">
        <f>IFERROR(INDEX('M04-S02'!$K$18:$K$199,2*(ROWS(AL$151:AL155)-1)+1),"")</f>
        <v>0</v>
      </c>
      <c r="AM155">
        <f>IFERROR(INDEX('M04-S02'!$Z$18:$Z$199,2*(ROWS(AM$151:AM155)-1)+1),"")</f>
        <v>0</v>
      </c>
      <c r="AN155" s="14" t="str">
        <f>IFERROR(INDEX('M04-S02'!$AX$18:$AX$199,2*(ROWS(AN$151:AN155)-1)+1),"")</f>
        <v/>
      </c>
      <c r="AO155" s="14" t="str">
        <f>IFERROR(INDEX('M04-S02'!$AY$18:$AY$199,2*(ROWS(AO$151:AO155)-1)+1),"")</f>
        <v/>
      </c>
      <c r="AP155" t="str">
        <f>IFERROR(INDEX('M04-S02'!$AZ$18:$AZ$199,2*(ROWS(AP$151:AP155)-1)+1),"")</f>
        <v/>
      </c>
      <c r="AQ155" t="str">
        <f>IFERROR(INDEX('M04-S02'!$BC$18:$BC$199,2*(ROWS(AQ$151:AQ155)-1)+1),"")</f>
        <v/>
      </c>
      <c r="AR155" t="s">
        <v>1254</v>
      </c>
      <c r="AS155"/>
      <c r="BL155"/>
      <c r="BP155"/>
      <c r="BQ155"/>
      <c r="BR155"/>
      <c r="CD155"/>
      <c r="CE155"/>
      <c r="CF155"/>
      <c r="CQ155"/>
      <c r="CR155"/>
      <c r="CS155"/>
      <c r="DS155"/>
      <c r="DT155"/>
      <c r="DU155"/>
    </row>
    <row r="156" spans="1:125" hidden="1">
      <c r="A156" s="15">
        <f t="shared" si="13"/>
        <v>0</v>
      </c>
      <c r="B156" t="str">
        <f t="shared" si="16"/>
        <v/>
      </c>
      <c r="C156" t="str">
        <f>IFERROR(IF(INDEX('M04-S02'!$BJ$18:$BJ$199,2*(ROWS($C$151:C156)-1)+1)="","",INDEX('M04-S02'!$BJ$18:$BJ$199,2*(ROWS($C$151:C156)-1)+1)),"")</f>
        <v/>
      </c>
      <c r="D156" t="s">
        <v>135</v>
      </c>
      <c r="E156" t="str">
        <f>IFERROR(INDEX('M04-S02'!$BD$18:$BD$199,2*(ROWS(E$151:E156)-1)+1),"")</f>
        <v/>
      </c>
      <c r="F156" s="31">
        <f>IFERROR(INDEX('M04-S02'!$Q$18:$Q$199,2*(ROWS(F$151:F156)-1)+1),"")</f>
        <v>0</v>
      </c>
      <c r="G156" t="str">
        <f>IFERROR(INDEX('M04-S02'!$E$18:$E$199,2*(ROWS($G$151:G156)-1)+1)&amp;" - "&amp;INDEX('M04-S02'!$C$18:$C$199,2*(ROWS($G$151:G156)-1)+1),"")</f>
        <v xml:space="preserve"> - </v>
      </c>
      <c r="H156" s="14" t="str">
        <f ca="1">IFERROR(ROUND(IF(AC156&lt;&gt;"","",INDEX('M04-S02'!$AH$18:$AH$199,2*(ROWS(H$151:H156)-1)+1)),2),"")</f>
        <v/>
      </c>
      <c r="I156" s="14" t="str">
        <f ca="1">IFERROR(ROUND(IF(AC156&lt;&gt;"","",INDEX('M04-S02'!$AJ$18:$AJ$199,2*(ROWS(I$151:I156)-1)+1)),2),"")</f>
        <v/>
      </c>
      <c r="J156" s="14" t="str">
        <f ca="1">IFERROR(ROUND(IF(AC156&lt;&gt;"","",INDEX('M04-S02'!$AL$18:$AL$199,2*(ROWS(J$151:J156)-1)+1)),2),"")</f>
        <v/>
      </c>
      <c r="K156" t="str">
        <f t="shared" ca="1" si="14"/>
        <v/>
      </c>
      <c r="L156" s="10" t="str">
        <f ca="1">IFERROR(IF(AC156&lt;&gt;"","",ROUND(INDEX('M04-S02'!$M$18:$M$199,2*(ROWS(L$151:L156)-1)+1),3)),"")</f>
        <v/>
      </c>
      <c r="M156" s="10" t="str">
        <f ca="1">IFERROR(IF(AC156&lt;&gt;"","",ROUND(INDEX('M04-S02'!$AD$18:$AD$199,2*(ROWS(M$151:M156)-1)+1),3)),"")</f>
        <v/>
      </c>
      <c r="N156" s="219"/>
      <c r="O156" s="37" t="str">
        <f ca="1">IFERROR(IF(AC156&lt;&gt;"","",INDEX('M04-S02'!$AO$18:$AO$199,2*(ROWS(O$151:O156)-1)+1)),"")</f>
        <v/>
      </c>
      <c r="P156" s="37" t="str">
        <f ca="1">IFERROR(IF(AC156&lt;&gt;"","",INDEX('M04-S02'!$BF$18:$BF$199,2*(ROWS(P$151:P156)-1)+1)),"")</f>
        <v/>
      </c>
      <c r="Q156" s="37" t="str">
        <f ca="1">IFERROR(IF(AC156&lt;&gt;"","",INDEX('M04-S02'!$BE$18:$BE$199,2*(ROWS(Q$151:Q156)-1)+1)),"")</f>
        <v/>
      </c>
      <c r="R156" s="14" t="str">
        <f ca="1">IFERROR(IF(AC156&lt;&gt;"","",INDEX('M04-S02'!$AR$18:$AR$199,2*(ROWS(R$151:R156)-1)+1)),"")</f>
        <v/>
      </c>
      <c r="S156" s="14">
        <f ca="1">IFERROR(ROUND(IF(AC156&lt;&gt;"",INDEX('M04-S02'!$AH$18:$AH$199,2*(ROWS(S$151:S156)-1)+1),""),2),"")</f>
        <v>0</v>
      </c>
      <c r="T156" s="14">
        <f ca="1">IFERROR(ROUND(IF(AC156&lt;&gt;"",INDEX('M04-S02'!$AJ$18:$AJ$199,2*(ROWS(T$151:T156)-1)+1),""),2),"")</f>
        <v>0</v>
      </c>
      <c r="U156" s="14" t="str">
        <f ca="1">IFERROR(ROUND(IF(AC156&lt;&gt;"",INDEX('M04-S02'!$AL$18:$AL$199,2*(ROWS(U$151:U156)-1)+1),""),2),"")</f>
        <v/>
      </c>
      <c r="V156" t="str">
        <f t="shared" ca="1" si="15"/>
        <v>Total</v>
      </c>
      <c r="W156" s="10">
        <f ca="1">IFERROR(IF(AC156&lt;&gt;"",ROUND(INDEX('M04-S02'!$M$18:$M$199,2*(ROWS(W$151:W156)-1)+1),3),""),"")</f>
        <v>0</v>
      </c>
      <c r="X156" s="10">
        <f ca="1">IFERROR(IF(AC156&lt;&gt;"",ROUND(INDEX('M04-S02'!$AD$18:$AD$199,2*(ROWS(X$151:X156)-1)+1),3),""),"")</f>
        <v>0</v>
      </c>
      <c r="Y156" s="210"/>
      <c r="Z156" s="31" t="str">
        <f ca="1">IFERROR(IF(AC156&lt;&gt;"",INDEX('M04-S02'!$AO$18:$AO$199,2*(ROWS(Z$151:Z156)-1)+1),""),"")</f>
        <v/>
      </c>
      <c r="AA156" s="37" t="str">
        <f ca="1">IFERROR(IF(AC156&lt;&gt;"",INDEX('M04-S02'!$BF$18:$BF$199,2*(ROWS(AA$151:AA156)-1)+1),""),"")</f>
        <v/>
      </c>
      <c r="AB156" s="37" t="str">
        <f ca="1">IFERROR(IF(AC156&lt;&gt;"",INDEX('M04-S02'!$BE$18:$BE$199,2*(ROWS(AB$151:AB156)-1)+1),""),"")</f>
        <v/>
      </c>
      <c r="AC156" t="str">
        <f ca="1">IFERROR(INDEX('M04-S02'!$BL$18:$BL$199,2*(ROWS(AC$151:AC156)-1)+1),"")</f>
        <v>Enter Utility Rate (Building Info Tab)</v>
      </c>
      <c r="AD156" s="37" t="str" cm="1">
        <f t="array" ref="AD156">IFERROR(INDEX('M04-S02'!$BA$18:$BA$199,2*(ROWS(AD$151:AD156)-1)+1),"")</f>
        <v/>
      </c>
      <c r="AE156" s="37" t="str" cm="1">
        <f t="array" ref="AE156">IFERROR(INDEX('M04-S02'!$BB$18:$BB$199,2*(ROWS(AE$151:AE156)-1)+1),"")</f>
        <v/>
      </c>
      <c r="AF156" s="31" t="str">
        <f>IFERROR(INDEX('M04-S02'!$O$18:$O$199,2*(ROWS(AF$151:AF156)-1)+1),"")</f>
        <v/>
      </c>
      <c r="AG156" s="31">
        <f>IFERROR(INDEX('M04-S02'!$AF$18:$AF$199,2*(ROWS(AG$151:AG156)-1)+1),"")</f>
        <v>0</v>
      </c>
      <c r="AH156" s="210"/>
      <c r="AI156">
        <f>IFERROR(INDEX('M04-S02'!$B$18:$B$199,2*(ROWS(AI$151:AI156)-1)+1),"")</f>
        <v>6</v>
      </c>
      <c r="AJ156">
        <f>IFERROR(INDEX('M04-S02'!$G$18:$G$199,2*(ROWS(AJ$151:AJ156)-1)+1),"")</f>
        <v>0</v>
      </c>
      <c r="AK156">
        <f>IFERROR(INDEX('M04-S02'!$S$18:$S$199,2*(ROWS(AK$151:AK156)-1)+1),"")</f>
        <v>0</v>
      </c>
      <c r="AL156">
        <f>IFERROR(INDEX('M04-S02'!$K$18:$K$199,2*(ROWS(AL$151:AL156)-1)+1),"")</f>
        <v>0</v>
      </c>
      <c r="AM156">
        <f>IFERROR(INDEX('M04-S02'!$Z$18:$Z$199,2*(ROWS(AM$151:AM156)-1)+1),"")</f>
        <v>0</v>
      </c>
      <c r="AN156" s="14" t="str">
        <f>IFERROR(INDEX('M04-S02'!$AX$18:$AX$199,2*(ROWS(AN$151:AN156)-1)+1),"")</f>
        <v/>
      </c>
      <c r="AO156" s="14" t="str">
        <f>IFERROR(INDEX('M04-S02'!$AY$18:$AY$199,2*(ROWS(AO$151:AO156)-1)+1),"")</f>
        <v/>
      </c>
      <c r="AP156" t="str">
        <f>IFERROR(INDEX('M04-S02'!$AZ$18:$AZ$199,2*(ROWS(AP$151:AP156)-1)+1),"")</f>
        <v/>
      </c>
      <c r="AQ156" t="str">
        <f>IFERROR(INDEX('M04-S02'!$BC$18:$BC$199,2*(ROWS(AQ$151:AQ156)-1)+1),"")</f>
        <v/>
      </c>
      <c r="AR156" t="s">
        <v>1254</v>
      </c>
      <c r="AS156"/>
      <c r="BL156"/>
      <c r="BP156"/>
      <c r="BQ156"/>
      <c r="BR156"/>
      <c r="CD156"/>
      <c r="CE156"/>
      <c r="CF156"/>
      <c r="CQ156"/>
      <c r="CR156"/>
      <c r="CS156"/>
      <c r="DS156"/>
      <c r="DT156"/>
      <c r="DU156"/>
    </row>
    <row r="157" spans="1:125" hidden="1">
      <c r="A157" s="15">
        <f t="shared" si="13"/>
        <v>0</v>
      </c>
      <c r="B157" t="str">
        <f t="shared" si="16"/>
        <v/>
      </c>
      <c r="C157" t="str">
        <f>IFERROR(IF(INDEX('M04-S02'!$BJ$18:$BJ$199,2*(ROWS($C$151:C157)-1)+1)="","",INDEX('M04-S02'!$BJ$18:$BJ$199,2*(ROWS($C$151:C157)-1)+1)),"")</f>
        <v/>
      </c>
      <c r="D157" t="s">
        <v>135</v>
      </c>
      <c r="E157" t="str">
        <f>IFERROR(INDEX('M04-S02'!$BD$18:$BD$199,2*(ROWS(E$151:E157)-1)+1),"")</f>
        <v/>
      </c>
      <c r="F157" s="31">
        <f>IFERROR(INDEX('M04-S02'!$Q$18:$Q$199,2*(ROWS(F$151:F157)-1)+1),"")</f>
        <v>0</v>
      </c>
      <c r="G157" t="str">
        <f>IFERROR(INDEX('M04-S02'!$E$18:$E$199,2*(ROWS($G$151:G157)-1)+1)&amp;" - "&amp;INDEX('M04-S02'!$C$18:$C$199,2*(ROWS($G$151:G157)-1)+1),"")</f>
        <v xml:space="preserve"> - </v>
      </c>
      <c r="H157" s="14" t="str">
        <f ca="1">IFERROR(ROUND(IF(AC157&lt;&gt;"","",INDEX('M04-S02'!$AH$18:$AH$199,2*(ROWS(H$151:H157)-1)+1)),2),"")</f>
        <v/>
      </c>
      <c r="I157" s="14" t="str">
        <f ca="1">IFERROR(ROUND(IF(AC157&lt;&gt;"","",INDEX('M04-S02'!$AJ$18:$AJ$199,2*(ROWS(I$151:I157)-1)+1)),2),"")</f>
        <v/>
      </c>
      <c r="J157" s="14" t="str">
        <f ca="1">IFERROR(ROUND(IF(AC157&lt;&gt;"","",INDEX('M04-S02'!$AL$18:$AL$199,2*(ROWS(J$151:J157)-1)+1)),2),"")</f>
        <v/>
      </c>
      <c r="K157" t="str">
        <f t="shared" ca="1" si="14"/>
        <v/>
      </c>
      <c r="L157" s="10" t="str">
        <f ca="1">IFERROR(IF(AC157&lt;&gt;"","",ROUND(INDEX('M04-S02'!$M$18:$M$199,2*(ROWS(L$151:L157)-1)+1),3)),"")</f>
        <v/>
      </c>
      <c r="M157" s="10" t="str">
        <f ca="1">IFERROR(IF(AC157&lt;&gt;"","",ROUND(INDEX('M04-S02'!$AD$18:$AD$199,2*(ROWS(M$151:M157)-1)+1),3)),"")</f>
        <v/>
      </c>
      <c r="N157" s="219"/>
      <c r="O157" s="37" t="str">
        <f ca="1">IFERROR(IF(AC157&lt;&gt;"","",INDEX('M04-S02'!$AO$18:$AO$199,2*(ROWS(O$151:O157)-1)+1)),"")</f>
        <v/>
      </c>
      <c r="P157" s="37" t="str">
        <f ca="1">IFERROR(IF(AC157&lt;&gt;"","",INDEX('M04-S02'!$BF$18:$BF$199,2*(ROWS(P$151:P157)-1)+1)),"")</f>
        <v/>
      </c>
      <c r="Q157" s="37" t="str">
        <f ca="1">IFERROR(IF(AC157&lt;&gt;"","",INDEX('M04-S02'!$BE$18:$BE$199,2*(ROWS(Q$151:Q157)-1)+1)),"")</f>
        <v/>
      </c>
      <c r="R157" s="14" t="str">
        <f ca="1">IFERROR(IF(AC157&lt;&gt;"","",INDEX('M04-S02'!$AR$18:$AR$199,2*(ROWS(R$151:R157)-1)+1)),"")</f>
        <v/>
      </c>
      <c r="S157" s="14">
        <f ca="1">IFERROR(ROUND(IF(AC157&lt;&gt;"",INDEX('M04-S02'!$AH$18:$AH$199,2*(ROWS(S$151:S157)-1)+1),""),2),"")</f>
        <v>0</v>
      </c>
      <c r="T157" s="14">
        <f ca="1">IFERROR(ROUND(IF(AC157&lt;&gt;"",INDEX('M04-S02'!$AJ$18:$AJ$199,2*(ROWS(T$151:T157)-1)+1),""),2),"")</f>
        <v>0</v>
      </c>
      <c r="U157" s="14" t="str">
        <f ca="1">IFERROR(ROUND(IF(AC157&lt;&gt;"",INDEX('M04-S02'!$AL$18:$AL$199,2*(ROWS(U$151:U157)-1)+1),""),2),"")</f>
        <v/>
      </c>
      <c r="V157" t="str">
        <f t="shared" ca="1" si="15"/>
        <v>Total</v>
      </c>
      <c r="W157" s="10">
        <f ca="1">IFERROR(IF(AC157&lt;&gt;"",ROUND(INDEX('M04-S02'!$M$18:$M$199,2*(ROWS(W$151:W157)-1)+1),3),""),"")</f>
        <v>0</v>
      </c>
      <c r="X157" s="10">
        <f ca="1">IFERROR(IF(AC157&lt;&gt;"",ROUND(INDEX('M04-S02'!$AD$18:$AD$199,2*(ROWS(X$151:X157)-1)+1),3),""),"")</f>
        <v>0</v>
      </c>
      <c r="Y157" s="210"/>
      <c r="Z157" s="31" t="str">
        <f ca="1">IFERROR(IF(AC157&lt;&gt;"",INDEX('M04-S02'!$AO$18:$AO$199,2*(ROWS(Z$151:Z157)-1)+1),""),"")</f>
        <v/>
      </c>
      <c r="AA157" s="37" t="str">
        <f ca="1">IFERROR(IF(AC157&lt;&gt;"",INDEX('M04-S02'!$BF$18:$BF$199,2*(ROWS(AA$151:AA157)-1)+1),""),"")</f>
        <v/>
      </c>
      <c r="AB157" s="37" t="str">
        <f ca="1">IFERROR(IF(AC157&lt;&gt;"",INDEX('M04-S02'!$BE$18:$BE$199,2*(ROWS(AB$151:AB157)-1)+1),""),"")</f>
        <v/>
      </c>
      <c r="AC157" t="str">
        <f ca="1">IFERROR(INDEX('M04-S02'!$BL$18:$BL$199,2*(ROWS(AC$151:AC157)-1)+1),"")</f>
        <v>Enter Utility Rate (Building Info Tab)</v>
      </c>
      <c r="AD157" s="37" t="str" cm="1">
        <f t="array" ref="AD157">IFERROR(INDEX('M04-S02'!$BA$18:$BA$199,2*(ROWS(AD$151:AD157)-1)+1),"")</f>
        <v/>
      </c>
      <c r="AE157" s="37" t="str" cm="1">
        <f t="array" ref="AE157">IFERROR(INDEX('M04-S02'!$BB$18:$BB$199,2*(ROWS(AE$151:AE157)-1)+1),"")</f>
        <v/>
      </c>
      <c r="AF157" s="31" t="str">
        <f>IFERROR(INDEX('M04-S02'!$O$18:$O$199,2*(ROWS(AF$151:AF157)-1)+1),"")</f>
        <v/>
      </c>
      <c r="AG157" s="31">
        <f>IFERROR(INDEX('M04-S02'!$AF$18:$AF$199,2*(ROWS(AG$151:AG157)-1)+1),"")</f>
        <v>0</v>
      </c>
      <c r="AH157" s="210"/>
      <c r="AI157">
        <f>IFERROR(INDEX('M04-S02'!$B$18:$B$199,2*(ROWS(AI$151:AI157)-1)+1),"")</f>
        <v>7</v>
      </c>
      <c r="AJ157">
        <f>IFERROR(INDEX('M04-S02'!$G$18:$G$199,2*(ROWS(AJ$151:AJ157)-1)+1),"")</f>
        <v>0</v>
      </c>
      <c r="AK157">
        <f>IFERROR(INDEX('M04-S02'!$S$18:$S$199,2*(ROWS(AK$151:AK157)-1)+1),"")</f>
        <v>0</v>
      </c>
      <c r="AL157">
        <f>IFERROR(INDEX('M04-S02'!$K$18:$K$199,2*(ROWS(AL$151:AL157)-1)+1),"")</f>
        <v>0</v>
      </c>
      <c r="AM157">
        <f>IFERROR(INDEX('M04-S02'!$Z$18:$Z$199,2*(ROWS(AM$151:AM157)-1)+1),"")</f>
        <v>0</v>
      </c>
      <c r="AN157" s="14" t="str">
        <f>IFERROR(INDEX('M04-S02'!$AX$18:$AX$199,2*(ROWS(AN$151:AN157)-1)+1),"")</f>
        <v/>
      </c>
      <c r="AO157" s="14" t="str">
        <f>IFERROR(INDEX('M04-S02'!$AY$18:$AY$199,2*(ROWS(AO$151:AO157)-1)+1),"")</f>
        <v/>
      </c>
      <c r="AP157" t="str">
        <f>IFERROR(INDEX('M04-S02'!$AZ$18:$AZ$199,2*(ROWS(AP$151:AP157)-1)+1),"")</f>
        <v/>
      </c>
      <c r="AQ157" t="str">
        <f>IFERROR(INDEX('M04-S02'!$BC$18:$BC$199,2*(ROWS(AQ$151:AQ157)-1)+1),"")</f>
        <v/>
      </c>
      <c r="AR157" t="s">
        <v>1254</v>
      </c>
      <c r="AS157"/>
      <c r="BL157"/>
      <c r="BP157"/>
      <c r="BQ157"/>
      <c r="BR157"/>
      <c r="CD157"/>
      <c r="CE157"/>
      <c r="CF157"/>
      <c r="CQ157"/>
      <c r="CR157"/>
      <c r="CS157"/>
      <c r="DS157"/>
      <c r="DT157"/>
      <c r="DU157"/>
    </row>
    <row r="158" spans="1:125" hidden="1">
      <c r="A158" s="15">
        <f t="shared" si="13"/>
        <v>0</v>
      </c>
      <c r="B158" t="str">
        <f t="shared" si="16"/>
        <v/>
      </c>
      <c r="C158" t="str">
        <f>IFERROR(IF(INDEX('M04-S02'!$BJ$18:$BJ$199,2*(ROWS($C$151:C158)-1)+1)="","",INDEX('M04-S02'!$BJ$18:$BJ$199,2*(ROWS($C$151:C158)-1)+1)),"")</f>
        <v/>
      </c>
      <c r="D158" t="s">
        <v>135</v>
      </c>
      <c r="E158" t="str">
        <f>IFERROR(INDEX('M04-S02'!$BD$18:$BD$199,2*(ROWS(E$151:E158)-1)+1),"")</f>
        <v/>
      </c>
      <c r="F158" s="31">
        <f>IFERROR(INDEX('M04-S02'!$Q$18:$Q$199,2*(ROWS(F$151:F158)-1)+1),"")</f>
        <v>0</v>
      </c>
      <c r="G158" t="str">
        <f>IFERROR(INDEX('M04-S02'!$E$18:$E$199,2*(ROWS($G$151:G158)-1)+1)&amp;" - "&amp;INDEX('M04-S02'!$C$18:$C$199,2*(ROWS($G$151:G158)-1)+1),"")</f>
        <v xml:space="preserve"> - </v>
      </c>
      <c r="H158" s="14" t="str">
        <f ca="1">IFERROR(ROUND(IF(AC158&lt;&gt;"","",INDEX('M04-S02'!$AH$18:$AH$199,2*(ROWS(H$151:H158)-1)+1)),2),"")</f>
        <v/>
      </c>
      <c r="I158" s="14" t="str">
        <f ca="1">IFERROR(ROUND(IF(AC158&lt;&gt;"","",INDEX('M04-S02'!$AJ$18:$AJ$199,2*(ROWS(I$151:I158)-1)+1)),2),"")</f>
        <v/>
      </c>
      <c r="J158" s="14" t="str">
        <f ca="1">IFERROR(ROUND(IF(AC158&lt;&gt;"","",INDEX('M04-S02'!$AL$18:$AL$199,2*(ROWS(J$151:J158)-1)+1)),2),"")</f>
        <v/>
      </c>
      <c r="K158" t="str">
        <f t="shared" ca="1" si="14"/>
        <v/>
      </c>
      <c r="L158" s="10" t="str">
        <f ca="1">IFERROR(IF(AC158&lt;&gt;"","",ROUND(INDEX('M04-S02'!$M$18:$M$199,2*(ROWS(L$151:L158)-1)+1),3)),"")</f>
        <v/>
      </c>
      <c r="M158" s="10" t="str">
        <f ca="1">IFERROR(IF(AC158&lt;&gt;"","",ROUND(INDEX('M04-S02'!$AD$18:$AD$199,2*(ROWS(M$151:M158)-1)+1),3)),"")</f>
        <v/>
      </c>
      <c r="N158" s="219"/>
      <c r="O158" s="37" t="str">
        <f ca="1">IFERROR(IF(AC158&lt;&gt;"","",INDEX('M04-S02'!$AO$18:$AO$199,2*(ROWS(O$151:O158)-1)+1)),"")</f>
        <v/>
      </c>
      <c r="P158" s="37" t="str">
        <f ca="1">IFERROR(IF(AC158&lt;&gt;"","",INDEX('M04-S02'!$BF$18:$BF$199,2*(ROWS(P$151:P158)-1)+1)),"")</f>
        <v/>
      </c>
      <c r="Q158" s="37" t="str">
        <f ca="1">IFERROR(IF(AC158&lt;&gt;"","",INDEX('M04-S02'!$BE$18:$BE$199,2*(ROWS(Q$151:Q158)-1)+1)),"")</f>
        <v/>
      </c>
      <c r="R158" s="14" t="str">
        <f ca="1">IFERROR(IF(AC158&lt;&gt;"","",INDEX('M04-S02'!$AR$18:$AR$199,2*(ROWS(R$151:R158)-1)+1)),"")</f>
        <v/>
      </c>
      <c r="S158" s="14">
        <f ca="1">IFERROR(ROUND(IF(AC158&lt;&gt;"",INDEX('M04-S02'!$AH$18:$AH$199,2*(ROWS(S$151:S158)-1)+1),""),2),"")</f>
        <v>0</v>
      </c>
      <c r="T158" s="14">
        <f ca="1">IFERROR(ROUND(IF(AC158&lt;&gt;"",INDEX('M04-S02'!$AJ$18:$AJ$199,2*(ROWS(T$151:T158)-1)+1),""),2),"")</f>
        <v>0</v>
      </c>
      <c r="U158" s="14" t="str">
        <f ca="1">IFERROR(ROUND(IF(AC158&lt;&gt;"",INDEX('M04-S02'!$AL$18:$AL$199,2*(ROWS(U$151:U158)-1)+1),""),2),"")</f>
        <v/>
      </c>
      <c r="V158" t="str">
        <f t="shared" ca="1" si="15"/>
        <v>Total</v>
      </c>
      <c r="W158" s="10">
        <f ca="1">IFERROR(IF(AC158&lt;&gt;"",ROUND(INDEX('M04-S02'!$M$18:$M$199,2*(ROWS(W$151:W158)-1)+1),3),""),"")</f>
        <v>0</v>
      </c>
      <c r="X158" s="10">
        <f ca="1">IFERROR(IF(AC158&lt;&gt;"",ROUND(INDEX('M04-S02'!$AD$18:$AD$199,2*(ROWS(X$151:X158)-1)+1),3),""),"")</f>
        <v>0</v>
      </c>
      <c r="Y158" s="210"/>
      <c r="Z158" s="31" t="str">
        <f ca="1">IFERROR(IF(AC158&lt;&gt;"",INDEX('M04-S02'!$AO$18:$AO$199,2*(ROWS(Z$151:Z158)-1)+1),""),"")</f>
        <v/>
      </c>
      <c r="AA158" s="37" t="str">
        <f ca="1">IFERROR(IF(AC158&lt;&gt;"",INDEX('M04-S02'!$BF$18:$BF$199,2*(ROWS(AA$151:AA158)-1)+1),""),"")</f>
        <v/>
      </c>
      <c r="AB158" s="37" t="str">
        <f ca="1">IFERROR(IF(AC158&lt;&gt;"",INDEX('M04-S02'!$BE$18:$BE$199,2*(ROWS(AB$151:AB158)-1)+1),""),"")</f>
        <v/>
      </c>
      <c r="AC158" t="str">
        <f ca="1">IFERROR(INDEX('M04-S02'!$BL$18:$BL$199,2*(ROWS(AC$151:AC158)-1)+1),"")</f>
        <v>Enter Utility Rate (Building Info Tab)</v>
      </c>
      <c r="AD158" s="37" t="str" cm="1">
        <f t="array" ref="AD158">IFERROR(INDEX('M04-S02'!$BA$18:$BA$199,2*(ROWS(AD$151:AD158)-1)+1),"")</f>
        <v/>
      </c>
      <c r="AE158" s="37" t="str" cm="1">
        <f t="array" ref="AE158">IFERROR(INDEX('M04-S02'!$BB$18:$BB$199,2*(ROWS(AE$151:AE158)-1)+1),"")</f>
        <v/>
      </c>
      <c r="AF158" s="31" t="str">
        <f>IFERROR(INDEX('M04-S02'!$O$18:$O$199,2*(ROWS(AF$151:AF158)-1)+1),"")</f>
        <v/>
      </c>
      <c r="AG158" s="31">
        <f>IFERROR(INDEX('M04-S02'!$AF$18:$AF$199,2*(ROWS(AG$151:AG158)-1)+1),"")</f>
        <v>0</v>
      </c>
      <c r="AH158" s="210"/>
      <c r="AI158">
        <f>IFERROR(INDEX('M04-S02'!$B$18:$B$199,2*(ROWS(AI$151:AI158)-1)+1),"")</f>
        <v>8</v>
      </c>
      <c r="AJ158">
        <f>IFERROR(INDEX('M04-S02'!$G$18:$G$199,2*(ROWS(AJ$151:AJ158)-1)+1),"")</f>
        <v>0</v>
      </c>
      <c r="AK158">
        <f>IFERROR(INDEX('M04-S02'!$S$18:$S$199,2*(ROWS(AK$151:AK158)-1)+1),"")</f>
        <v>0</v>
      </c>
      <c r="AL158">
        <f>IFERROR(INDEX('M04-S02'!$K$18:$K$199,2*(ROWS(AL$151:AL158)-1)+1),"")</f>
        <v>0</v>
      </c>
      <c r="AM158">
        <f>IFERROR(INDEX('M04-S02'!$Z$18:$Z$199,2*(ROWS(AM$151:AM158)-1)+1),"")</f>
        <v>0</v>
      </c>
      <c r="AN158" s="14" t="str">
        <f>IFERROR(INDEX('M04-S02'!$AX$18:$AX$199,2*(ROWS(AN$151:AN158)-1)+1),"")</f>
        <v/>
      </c>
      <c r="AO158" s="14" t="str">
        <f>IFERROR(INDEX('M04-S02'!$AY$18:$AY$199,2*(ROWS(AO$151:AO158)-1)+1),"")</f>
        <v/>
      </c>
      <c r="AP158" t="str">
        <f>IFERROR(INDEX('M04-S02'!$AZ$18:$AZ$199,2*(ROWS(AP$151:AP158)-1)+1),"")</f>
        <v/>
      </c>
      <c r="AQ158" t="str">
        <f>IFERROR(INDEX('M04-S02'!$BC$18:$BC$199,2*(ROWS(AQ$151:AQ158)-1)+1),"")</f>
        <v/>
      </c>
      <c r="AR158" t="s">
        <v>1254</v>
      </c>
      <c r="AS158"/>
      <c r="BL158"/>
      <c r="BP158"/>
      <c r="BQ158"/>
      <c r="BR158"/>
      <c r="CD158"/>
      <c r="CE158"/>
      <c r="CF158"/>
      <c r="CQ158"/>
      <c r="CR158"/>
      <c r="CS158"/>
      <c r="DS158"/>
      <c r="DT158"/>
      <c r="DU158"/>
    </row>
    <row r="159" spans="1:125" hidden="1">
      <c r="A159" s="15">
        <f t="shared" si="13"/>
        <v>0</v>
      </c>
      <c r="B159" t="str">
        <f t="shared" si="16"/>
        <v/>
      </c>
      <c r="C159" t="str">
        <f>IFERROR(IF(INDEX('M04-S02'!$BJ$18:$BJ$199,2*(ROWS($C$151:C159)-1)+1)="","",INDEX('M04-S02'!$BJ$18:$BJ$199,2*(ROWS($C$151:C159)-1)+1)),"")</f>
        <v/>
      </c>
      <c r="D159" t="s">
        <v>135</v>
      </c>
      <c r="E159" t="str">
        <f>IFERROR(INDEX('M04-S02'!$BD$18:$BD$199,2*(ROWS(E$151:E159)-1)+1),"")</f>
        <v/>
      </c>
      <c r="F159" s="31">
        <f>IFERROR(INDEX('M04-S02'!$Q$18:$Q$199,2*(ROWS(F$151:F159)-1)+1),"")</f>
        <v>0</v>
      </c>
      <c r="G159" t="str">
        <f>IFERROR(INDEX('M04-S02'!$E$18:$E$199,2*(ROWS($G$151:G159)-1)+1)&amp;" - "&amp;INDEX('M04-S02'!$C$18:$C$199,2*(ROWS($G$151:G159)-1)+1),"")</f>
        <v xml:space="preserve"> - </v>
      </c>
      <c r="H159" s="14" t="str">
        <f ca="1">IFERROR(ROUND(IF(AC159&lt;&gt;"","",INDEX('M04-S02'!$AH$18:$AH$199,2*(ROWS(H$151:H159)-1)+1)),2),"")</f>
        <v/>
      </c>
      <c r="I159" s="14" t="str">
        <f ca="1">IFERROR(ROUND(IF(AC159&lt;&gt;"","",INDEX('M04-S02'!$AJ$18:$AJ$199,2*(ROWS(I$151:I159)-1)+1)),2),"")</f>
        <v/>
      </c>
      <c r="J159" s="14" t="str">
        <f ca="1">IFERROR(ROUND(IF(AC159&lt;&gt;"","",INDEX('M04-S02'!$AL$18:$AL$199,2*(ROWS(J$151:J159)-1)+1)),2),"")</f>
        <v/>
      </c>
      <c r="K159" t="str">
        <f t="shared" ca="1" si="14"/>
        <v/>
      </c>
      <c r="L159" s="10" t="str">
        <f ca="1">IFERROR(IF(AC159&lt;&gt;"","",ROUND(INDEX('M04-S02'!$M$18:$M$199,2*(ROWS(L$151:L159)-1)+1),3)),"")</f>
        <v/>
      </c>
      <c r="M159" s="10" t="str">
        <f ca="1">IFERROR(IF(AC159&lt;&gt;"","",ROUND(INDEX('M04-S02'!$AD$18:$AD$199,2*(ROWS(M$151:M159)-1)+1),3)),"")</f>
        <v/>
      </c>
      <c r="N159" s="219"/>
      <c r="O159" s="37" t="str">
        <f ca="1">IFERROR(IF(AC159&lt;&gt;"","",INDEX('M04-S02'!$AO$18:$AO$199,2*(ROWS(O$151:O159)-1)+1)),"")</f>
        <v/>
      </c>
      <c r="P159" s="37" t="str">
        <f ca="1">IFERROR(IF(AC159&lt;&gt;"","",INDEX('M04-S02'!$BF$18:$BF$199,2*(ROWS(P$151:P159)-1)+1)),"")</f>
        <v/>
      </c>
      <c r="Q159" s="37" t="str">
        <f ca="1">IFERROR(IF(AC159&lt;&gt;"","",INDEX('M04-S02'!$BE$18:$BE$199,2*(ROWS(Q$151:Q159)-1)+1)),"")</f>
        <v/>
      </c>
      <c r="R159" s="14" t="str">
        <f ca="1">IFERROR(IF(AC159&lt;&gt;"","",INDEX('M04-S02'!$AR$18:$AR$199,2*(ROWS(R$151:R159)-1)+1)),"")</f>
        <v/>
      </c>
      <c r="S159" s="14">
        <f ca="1">IFERROR(ROUND(IF(AC159&lt;&gt;"",INDEX('M04-S02'!$AH$18:$AH$199,2*(ROWS(S$151:S159)-1)+1),""),2),"")</f>
        <v>0</v>
      </c>
      <c r="T159" s="14">
        <f ca="1">IFERROR(ROUND(IF(AC159&lt;&gt;"",INDEX('M04-S02'!$AJ$18:$AJ$199,2*(ROWS(T$151:T159)-1)+1),""),2),"")</f>
        <v>0</v>
      </c>
      <c r="U159" s="14" t="str">
        <f ca="1">IFERROR(ROUND(IF(AC159&lt;&gt;"",INDEX('M04-S02'!$AL$18:$AL$199,2*(ROWS(U$151:U159)-1)+1),""),2),"")</f>
        <v/>
      </c>
      <c r="V159" t="str">
        <f t="shared" ca="1" si="15"/>
        <v>Total</v>
      </c>
      <c r="W159" s="10">
        <f ca="1">IFERROR(IF(AC159&lt;&gt;"",ROUND(INDEX('M04-S02'!$M$18:$M$199,2*(ROWS(W$151:W159)-1)+1),3),""),"")</f>
        <v>0</v>
      </c>
      <c r="X159" s="10">
        <f ca="1">IFERROR(IF(AC159&lt;&gt;"",ROUND(INDEX('M04-S02'!$AD$18:$AD$199,2*(ROWS(X$151:X159)-1)+1),3),""),"")</f>
        <v>0</v>
      </c>
      <c r="Y159" s="210"/>
      <c r="Z159" s="31" t="str">
        <f ca="1">IFERROR(IF(AC159&lt;&gt;"",INDEX('M04-S02'!$AO$18:$AO$199,2*(ROWS(Z$151:Z159)-1)+1),""),"")</f>
        <v/>
      </c>
      <c r="AA159" s="37" t="str">
        <f ca="1">IFERROR(IF(AC159&lt;&gt;"",INDEX('M04-S02'!$BF$18:$BF$199,2*(ROWS(AA$151:AA159)-1)+1),""),"")</f>
        <v/>
      </c>
      <c r="AB159" s="37" t="str">
        <f ca="1">IFERROR(IF(AC159&lt;&gt;"",INDEX('M04-S02'!$BE$18:$BE$199,2*(ROWS(AB$151:AB159)-1)+1),""),"")</f>
        <v/>
      </c>
      <c r="AC159" t="str">
        <f ca="1">IFERROR(INDEX('M04-S02'!$BL$18:$BL$199,2*(ROWS(AC$151:AC159)-1)+1),"")</f>
        <v>Enter Utility Rate (Building Info Tab)</v>
      </c>
      <c r="AD159" s="37" t="str" cm="1">
        <f t="array" ref="AD159">IFERROR(INDEX('M04-S02'!$BA$18:$BA$199,2*(ROWS(AD$151:AD159)-1)+1),"")</f>
        <v/>
      </c>
      <c r="AE159" s="37" t="str" cm="1">
        <f t="array" ref="AE159">IFERROR(INDEX('M04-S02'!$BB$18:$BB$199,2*(ROWS(AE$151:AE159)-1)+1),"")</f>
        <v/>
      </c>
      <c r="AF159" s="31" t="str">
        <f>IFERROR(INDEX('M04-S02'!$O$18:$O$199,2*(ROWS(AF$151:AF159)-1)+1),"")</f>
        <v/>
      </c>
      <c r="AG159" s="31">
        <f>IFERROR(INDEX('M04-S02'!$AF$18:$AF$199,2*(ROWS(AG$151:AG159)-1)+1),"")</f>
        <v>0</v>
      </c>
      <c r="AH159" s="210"/>
      <c r="AI159">
        <f>IFERROR(INDEX('M04-S02'!$B$18:$B$199,2*(ROWS(AI$151:AI159)-1)+1),"")</f>
        <v>9</v>
      </c>
      <c r="AJ159">
        <f>IFERROR(INDEX('M04-S02'!$G$18:$G$199,2*(ROWS(AJ$151:AJ159)-1)+1),"")</f>
        <v>0</v>
      </c>
      <c r="AK159">
        <f>IFERROR(INDEX('M04-S02'!$S$18:$S$199,2*(ROWS(AK$151:AK159)-1)+1),"")</f>
        <v>0</v>
      </c>
      <c r="AL159">
        <f>IFERROR(INDEX('M04-S02'!$K$18:$K$199,2*(ROWS(AL$151:AL159)-1)+1),"")</f>
        <v>0</v>
      </c>
      <c r="AM159">
        <f>IFERROR(INDEX('M04-S02'!$Z$18:$Z$199,2*(ROWS(AM$151:AM159)-1)+1),"")</f>
        <v>0</v>
      </c>
      <c r="AN159" s="14" t="str">
        <f>IFERROR(INDEX('M04-S02'!$AX$18:$AX$199,2*(ROWS(AN$151:AN159)-1)+1),"")</f>
        <v/>
      </c>
      <c r="AO159" s="14" t="str">
        <f>IFERROR(INDEX('M04-S02'!$AY$18:$AY$199,2*(ROWS(AO$151:AO159)-1)+1),"")</f>
        <v/>
      </c>
      <c r="AP159" t="str">
        <f>IFERROR(INDEX('M04-S02'!$AZ$18:$AZ$199,2*(ROWS(AP$151:AP159)-1)+1),"")</f>
        <v/>
      </c>
      <c r="AQ159" t="str">
        <f>IFERROR(INDEX('M04-S02'!$BC$18:$BC$199,2*(ROWS(AQ$151:AQ159)-1)+1),"")</f>
        <v/>
      </c>
      <c r="AR159" t="s">
        <v>1254</v>
      </c>
      <c r="AS159"/>
      <c r="BL159"/>
      <c r="BP159"/>
      <c r="BQ159"/>
      <c r="BR159"/>
      <c r="CD159"/>
      <c r="CE159"/>
      <c r="CF159"/>
      <c r="CQ159"/>
      <c r="CR159"/>
      <c r="CS159"/>
      <c r="DS159"/>
      <c r="DT159"/>
      <c r="DU159"/>
    </row>
    <row r="160" spans="1:125" hidden="1">
      <c r="A160" s="15">
        <f t="shared" si="13"/>
        <v>0</v>
      </c>
      <c r="B160" t="str">
        <f t="shared" si="16"/>
        <v/>
      </c>
      <c r="C160" t="str">
        <f>IFERROR(IF(INDEX('M04-S02'!$BJ$18:$BJ$199,2*(ROWS($C$151:C160)-1)+1)="","",INDEX('M04-S02'!$BJ$18:$BJ$199,2*(ROWS($C$151:C160)-1)+1)),"")</f>
        <v/>
      </c>
      <c r="D160" t="s">
        <v>135</v>
      </c>
      <c r="E160" t="str">
        <f>IFERROR(INDEX('M04-S02'!$BD$18:$BD$199,2*(ROWS(E$151:E160)-1)+1),"")</f>
        <v/>
      </c>
      <c r="F160" s="31">
        <f>IFERROR(INDEX('M04-S02'!$Q$18:$Q$199,2*(ROWS(F$151:F160)-1)+1),"")</f>
        <v>0</v>
      </c>
      <c r="G160" t="str">
        <f>IFERROR(INDEX('M04-S02'!$E$18:$E$199,2*(ROWS($G$151:G160)-1)+1)&amp;" - "&amp;INDEX('M04-S02'!$C$18:$C$199,2*(ROWS($G$151:G160)-1)+1),"")</f>
        <v xml:space="preserve"> - </v>
      </c>
      <c r="H160" s="14" t="str">
        <f ca="1">IFERROR(ROUND(IF(AC160&lt;&gt;"","",INDEX('M04-S02'!$AH$18:$AH$199,2*(ROWS(H$151:H160)-1)+1)),2),"")</f>
        <v/>
      </c>
      <c r="I160" s="14" t="str">
        <f ca="1">IFERROR(ROUND(IF(AC160&lt;&gt;"","",INDEX('M04-S02'!$AJ$18:$AJ$199,2*(ROWS(I$151:I160)-1)+1)),2),"")</f>
        <v/>
      </c>
      <c r="J160" s="14" t="str">
        <f ca="1">IFERROR(ROUND(IF(AC160&lt;&gt;"","",INDEX('M04-S02'!$AL$18:$AL$199,2*(ROWS(J$151:J160)-1)+1)),2),"")</f>
        <v/>
      </c>
      <c r="K160" t="str">
        <f t="shared" ca="1" si="14"/>
        <v/>
      </c>
      <c r="L160" s="10" t="str">
        <f ca="1">IFERROR(IF(AC160&lt;&gt;"","",ROUND(INDEX('M04-S02'!$M$18:$M$199,2*(ROWS(L$151:L160)-1)+1),3)),"")</f>
        <v/>
      </c>
      <c r="M160" s="10" t="str">
        <f ca="1">IFERROR(IF(AC160&lt;&gt;"","",ROUND(INDEX('M04-S02'!$AD$18:$AD$199,2*(ROWS(M$151:M160)-1)+1),3)),"")</f>
        <v/>
      </c>
      <c r="N160" s="219"/>
      <c r="O160" s="37" t="str">
        <f ca="1">IFERROR(IF(AC160&lt;&gt;"","",INDEX('M04-S02'!$AO$18:$AO$199,2*(ROWS(O$151:O160)-1)+1)),"")</f>
        <v/>
      </c>
      <c r="P160" s="37" t="str">
        <f ca="1">IFERROR(IF(AC160&lt;&gt;"","",INDEX('M04-S02'!$BF$18:$BF$199,2*(ROWS(P$151:P160)-1)+1)),"")</f>
        <v/>
      </c>
      <c r="Q160" s="37" t="str">
        <f ca="1">IFERROR(IF(AC160&lt;&gt;"","",INDEX('M04-S02'!$BE$18:$BE$199,2*(ROWS(Q$151:Q160)-1)+1)),"")</f>
        <v/>
      </c>
      <c r="R160" s="14" t="str">
        <f ca="1">IFERROR(IF(AC160&lt;&gt;"","",INDEX('M04-S02'!$AR$18:$AR$199,2*(ROWS(R$151:R160)-1)+1)),"")</f>
        <v/>
      </c>
      <c r="S160" s="14">
        <f ca="1">IFERROR(ROUND(IF(AC160&lt;&gt;"",INDEX('M04-S02'!$AH$18:$AH$199,2*(ROWS(S$151:S160)-1)+1),""),2),"")</f>
        <v>0</v>
      </c>
      <c r="T160" s="14">
        <f ca="1">IFERROR(ROUND(IF(AC160&lt;&gt;"",INDEX('M04-S02'!$AJ$18:$AJ$199,2*(ROWS(T$151:T160)-1)+1),""),2),"")</f>
        <v>0</v>
      </c>
      <c r="U160" s="14" t="str">
        <f ca="1">IFERROR(ROUND(IF(AC160&lt;&gt;"",INDEX('M04-S02'!$AL$18:$AL$199,2*(ROWS(U$151:U160)-1)+1),""),2),"")</f>
        <v/>
      </c>
      <c r="V160" t="str">
        <f t="shared" ca="1" si="15"/>
        <v>Total</v>
      </c>
      <c r="W160" s="10">
        <f ca="1">IFERROR(IF(AC160&lt;&gt;"",ROUND(INDEX('M04-S02'!$M$18:$M$199,2*(ROWS(W$151:W160)-1)+1),3),""),"")</f>
        <v>0</v>
      </c>
      <c r="X160" s="10">
        <f ca="1">IFERROR(IF(AC160&lt;&gt;"",ROUND(INDEX('M04-S02'!$AD$18:$AD$199,2*(ROWS(X$151:X160)-1)+1),3),""),"")</f>
        <v>0</v>
      </c>
      <c r="Y160" s="210"/>
      <c r="Z160" s="31" t="str">
        <f ca="1">IFERROR(IF(AC160&lt;&gt;"",INDEX('M04-S02'!$AO$18:$AO$199,2*(ROWS(Z$151:Z160)-1)+1),""),"")</f>
        <v/>
      </c>
      <c r="AA160" s="37" t="str">
        <f ca="1">IFERROR(IF(AC160&lt;&gt;"",INDEX('M04-S02'!$BF$18:$BF$199,2*(ROWS(AA$151:AA160)-1)+1),""),"")</f>
        <v/>
      </c>
      <c r="AB160" s="37" t="str">
        <f ca="1">IFERROR(IF(AC160&lt;&gt;"",INDEX('M04-S02'!$BE$18:$BE$199,2*(ROWS(AB$151:AB160)-1)+1),""),"")</f>
        <v/>
      </c>
      <c r="AC160" t="str">
        <f ca="1">IFERROR(INDEX('M04-S02'!$BL$18:$BL$199,2*(ROWS(AC$151:AC160)-1)+1),"")</f>
        <v>Enter Utility Rate (Building Info Tab)</v>
      </c>
      <c r="AD160" s="37" t="str" cm="1">
        <f t="array" ref="AD160">IFERROR(INDEX('M04-S02'!$BA$18:$BA$199,2*(ROWS(AD$151:AD160)-1)+1),"")</f>
        <v/>
      </c>
      <c r="AE160" s="37" t="str" cm="1">
        <f t="array" ref="AE160">IFERROR(INDEX('M04-S02'!$BB$18:$BB$199,2*(ROWS(AE$151:AE160)-1)+1),"")</f>
        <v/>
      </c>
      <c r="AF160" s="31" t="str">
        <f>IFERROR(INDEX('M04-S02'!$O$18:$O$199,2*(ROWS(AF$151:AF160)-1)+1),"")</f>
        <v/>
      </c>
      <c r="AG160" s="31">
        <f>IFERROR(INDEX('M04-S02'!$AF$18:$AF$199,2*(ROWS(AG$151:AG160)-1)+1),"")</f>
        <v>0</v>
      </c>
      <c r="AH160" s="210"/>
      <c r="AI160">
        <f>IFERROR(INDEX('M04-S02'!$B$18:$B$199,2*(ROWS(AI$151:AI160)-1)+1),"")</f>
        <v>10</v>
      </c>
      <c r="AJ160">
        <f>IFERROR(INDEX('M04-S02'!$G$18:$G$199,2*(ROWS(AJ$151:AJ160)-1)+1),"")</f>
        <v>0</v>
      </c>
      <c r="AK160">
        <f>IFERROR(INDEX('M04-S02'!$S$18:$S$199,2*(ROWS(AK$151:AK160)-1)+1),"")</f>
        <v>0</v>
      </c>
      <c r="AL160">
        <f>IFERROR(INDEX('M04-S02'!$K$18:$K$199,2*(ROWS(AL$151:AL160)-1)+1),"")</f>
        <v>0</v>
      </c>
      <c r="AM160">
        <f>IFERROR(INDEX('M04-S02'!$Z$18:$Z$199,2*(ROWS(AM$151:AM160)-1)+1),"")</f>
        <v>0</v>
      </c>
      <c r="AN160" s="14" t="str">
        <f>IFERROR(INDEX('M04-S02'!$AX$18:$AX$199,2*(ROWS(AN$151:AN160)-1)+1),"")</f>
        <v/>
      </c>
      <c r="AO160" s="14" t="str">
        <f>IFERROR(INDEX('M04-S02'!$AY$18:$AY$199,2*(ROWS(AO$151:AO160)-1)+1),"")</f>
        <v/>
      </c>
      <c r="AP160" t="str">
        <f>IFERROR(INDEX('M04-S02'!$AZ$18:$AZ$199,2*(ROWS(AP$151:AP160)-1)+1),"")</f>
        <v/>
      </c>
      <c r="AQ160" t="str">
        <f>IFERROR(INDEX('M04-S02'!$BC$18:$BC$199,2*(ROWS(AQ$151:AQ160)-1)+1),"")</f>
        <v/>
      </c>
      <c r="AR160" t="s">
        <v>1254</v>
      </c>
      <c r="AS160"/>
      <c r="BL160"/>
      <c r="BP160"/>
      <c r="BQ160"/>
      <c r="BR160"/>
      <c r="CD160"/>
      <c r="CE160"/>
      <c r="CF160"/>
      <c r="CQ160"/>
      <c r="CR160"/>
      <c r="CS160"/>
      <c r="DS160"/>
      <c r="DT160"/>
      <c r="DU160"/>
    </row>
    <row r="161" spans="1:57" customFormat="1" hidden="1">
      <c r="A161" s="15">
        <f t="shared" si="13"/>
        <v>0</v>
      </c>
      <c r="B161" t="str">
        <f t="shared" si="16"/>
        <v/>
      </c>
      <c r="C161" t="str">
        <f>IFERROR(IF(INDEX('M04-S02'!$BJ$18:$BJ$199,2*(ROWS($C$151:C161)-1)+1)="","",INDEX('M04-S02'!$BJ$18:$BJ$199,2*(ROWS($C$151:C161)-1)+1)),"")</f>
        <v/>
      </c>
      <c r="D161" t="s">
        <v>135</v>
      </c>
      <c r="E161" t="str">
        <f>IFERROR(INDEX('M04-S02'!$BD$18:$BD$199,2*(ROWS(E$151:E161)-1)+1),"")</f>
        <v/>
      </c>
      <c r="F161" s="31">
        <f>IFERROR(INDEX('M04-S02'!$Q$18:$Q$199,2*(ROWS(F$151:F161)-1)+1),"")</f>
        <v>0</v>
      </c>
      <c r="G161" t="str">
        <f>IFERROR(INDEX('M04-S02'!$E$18:$E$199,2*(ROWS($G$151:G161)-1)+1)&amp;" - "&amp;INDEX('M04-S02'!$C$18:$C$199,2*(ROWS($G$151:G161)-1)+1),"")</f>
        <v xml:space="preserve"> - </v>
      </c>
      <c r="H161" s="14" t="str">
        <f ca="1">IFERROR(ROUND(IF(AC161&lt;&gt;"","",INDEX('M04-S02'!$AH$18:$AH$199,2*(ROWS(H$151:H161)-1)+1)),2),"")</f>
        <v/>
      </c>
      <c r="I161" s="14" t="str">
        <f ca="1">IFERROR(ROUND(IF(AC161&lt;&gt;"","",INDEX('M04-S02'!$AJ$18:$AJ$199,2*(ROWS(I$151:I161)-1)+1)),2),"")</f>
        <v/>
      </c>
      <c r="J161" s="14" t="str">
        <f ca="1">IFERROR(ROUND(IF(AC161&lt;&gt;"","",INDEX('M04-S02'!$AL$18:$AL$199,2*(ROWS(J$151:J161)-1)+1)),2),"")</f>
        <v/>
      </c>
      <c r="K161" t="str">
        <f t="shared" ca="1" si="14"/>
        <v/>
      </c>
      <c r="L161" s="10" t="str">
        <f ca="1">IFERROR(IF(AC161&lt;&gt;"","",ROUND(INDEX('M04-S02'!$M$18:$M$199,2*(ROWS(L$151:L161)-1)+1),3)),"")</f>
        <v/>
      </c>
      <c r="M161" s="10" t="str">
        <f ca="1">IFERROR(IF(AC161&lt;&gt;"","",ROUND(INDEX('M04-S02'!$AD$18:$AD$199,2*(ROWS(M$151:M161)-1)+1),3)),"")</f>
        <v/>
      </c>
      <c r="N161" s="219"/>
      <c r="O161" s="37" t="str">
        <f ca="1">IFERROR(IF(AC161&lt;&gt;"","",INDEX('M04-S02'!$AO$18:$AO$199,2*(ROWS(O$151:O161)-1)+1)),"")</f>
        <v/>
      </c>
      <c r="P161" s="37" t="str">
        <f ca="1">IFERROR(IF(AC161&lt;&gt;"","",INDEX('M04-S02'!$BF$18:$BF$199,2*(ROWS(P$151:P161)-1)+1)),"")</f>
        <v/>
      </c>
      <c r="Q161" s="37" t="str">
        <f ca="1">IFERROR(IF(AC161&lt;&gt;"","",INDEX('M04-S02'!$BE$18:$BE$199,2*(ROWS(Q$151:Q161)-1)+1)),"")</f>
        <v/>
      </c>
      <c r="R161" s="14" t="str">
        <f ca="1">IFERROR(IF(AC161&lt;&gt;"","",INDEX('M04-S02'!$AR$18:$AR$199,2*(ROWS(R$151:R161)-1)+1)),"")</f>
        <v/>
      </c>
      <c r="S161" s="14">
        <f ca="1">IFERROR(ROUND(IF(AC161&lt;&gt;"",INDEX('M04-S02'!$AH$18:$AH$199,2*(ROWS(S$151:S161)-1)+1),""),2),"")</f>
        <v>0</v>
      </c>
      <c r="T161" s="14">
        <f ca="1">IFERROR(ROUND(IF(AC161&lt;&gt;"",INDEX('M04-S02'!$AJ$18:$AJ$199,2*(ROWS(T$151:T161)-1)+1),""),2),"")</f>
        <v>0</v>
      </c>
      <c r="U161" s="14" t="str">
        <f ca="1">IFERROR(ROUND(IF(AC161&lt;&gt;"",INDEX('M04-S02'!$AL$18:$AL$199,2*(ROWS(U$151:U161)-1)+1),""),2),"")</f>
        <v/>
      </c>
      <c r="V161" t="str">
        <f t="shared" ca="1" si="15"/>
        <v>Total</v>
      </c>
      <c r="W161" s="10">
        <f ca="1">IFERROR(IF(AC161&lt;&gt;"",ROUND(INDEX('M04-S02'!$M$18:$M$199,2*(ROWS(W$151:W161)-1)+1),3),""),"")</f>
        <v>0</v>
      </c>
      <c r="X161" s="10">
        <f ca="1">IFERROR(IF(AC161&lt;&gt;"",ROUND(INDEX('M04-S02'!$AD$18:$AD$199,2*(ROWS(X$151:X161)-1)+1),3),""),"")</f>
        <v>0</v>
      </c>
      <c r="Y161" s="210"/>
      <c r="Z161" s="31" t="str">
        <f ca="1">IFERROR(IF(AC161&lt;&gt;"",INDEX('M04-S02'!$AO$18:$AO$199,2*(ROWS(Z$151:Z161)-1)+1),""),"")</f>
        <v/>
      </c>
      <c r="AA161" s="37" t="str">
        <f ca="1">IFERROR(IF(AC161&lt;&gt;"",INDEX('M04-S02'!$BF$18:$BF$199,2*(ROWS(AA$151:AA161)-1)+1),""),"")</f>
        <v/>
      </c>
      <c r="AB161" s="37" t="str">
        <f ca="1">IFERROR(IF(AC161&lt;&gt;"",INDEX('M04-S02'!$BE$18:$BE$199,2*(ROWS(AB$151:AB161)-1)+1),""),"")</f>
        <v/>
      </c>
      <c r="AC161" t="str">
        <f ca="1">IFERROR(INDEX('M04-S02'!$BL$18:$BL$199,2*(ROWS(AC$151:AC161)-1)+1),"")</f>
        <v>Enter Utility Rate (Building Info Tab)</v>
      </c>
      <c r="AD161" s="37" t="str" cm="1">
        <f t="array" ref="AD161">IFERROR(INDEX('M04-S02'!$BA$18:$BA$199,2*(ROWS(AD$151:AD161)-1)+1),"")</f>
        <v/>
      </c>
      <c r="AE161" s="37" t="str" cm="1">
        <f t="array" ref="AE161">IFERROR(INDEX('M04-S02'!$BB$18:$BB$199,2*(ROWS(AE$151:AE161)-1)+1),"")</f>
        <v/>
      </c>
      <c r="AF161" s="31" t="str">
        <f>IFERROR(INDEX('M04-S02'!$O$18:$O$199,2*(ROWS(AF$151:AF161)-1)+1),"")</f>
        <v/>
      </c>
      <c r="AG161" s="31">
        <f>IFERROR(INDEX('M04-S02'!$AF$18:$AF$199,2*(ROWS(AG$151:AG161)-1)+1),"")</f>
        <v>0</v>
      </c>
      <c r="AH161" s="210"/>
      <c r="AI161">
        <f>IFERROR(INDEX('M04-S02'!$B$18:$B$199,2*(ROWS(AI$151:AI161)-1)+1),"")</f>
        <v>11</v>
      </c>
      <c r="AJ161">
        <f>IFERROR(INDEX('M04-S02'!$G$18:$G$199,2*(ROWS(AJ$151:AJ161)-1)+1),"")</f>
        <v>0</v>
      </c>
      <c r="AK161">
        <f>IFERROR(INDEX('M04-S02'!$S$18:$S$199,2*(ROWS(AK$151:AK161)-1)+1),"")</f>
        <v>0</v>
      </c>
      <c r="AL161">
        <f>IFERROR(INDEX('M04-S02'!$K$18:$K$199,2*(ROWS(AL$151:AL161)-1)+1),"")</f>
        <v>0</v>
      </c>
      <c r="AM161">
        <f>IFERROR(INDEX('M04-S02'!$Z$18:$Z$199,2*(ROWS(AM$151:AM161)-1)+1),"")</f>
        <v>0</v>
      </c>
      <c r="AN161" s="14" t="str">
        <f>IFERROR(INDEX('M04-S02'!$AX$18:$AX$199,2*(ROWS(AN$151:AN161)-1)+1),"")</f>
        <v/>
      </c>
      <c r="AO161" s="14" t="str">
        <f>IFERROR(INDEX('M04-S02'!$AY$18:$AY$199,2*(ROWS(AO$151:AO161)-1)+1),"")</f>
        <v/>
      </c>
      <c r="AP161" t="str">
        <f>IFERROR(INDEX('M04-S02'!$AZ$18:$AZ$199,2*(ROWS(AP$151:AP161)-1)+1),"")</f>
        <v/>
      </c>
      <c r="AQ161" t="str">
        <f>IFERROR(INDEX('M04-S02'!$BC$18:$BC$199,2*(ROWS(AQ$151:AQ161)-1)+1),"")</f>
        <v/>
      </c>
      <c r="AR161" t="s">
        <v>1254</v>
      </c>
      <c r="AT161" s="176"/>
      <c r="AU161" s="176"/>
      <c r="AV161" s="176"/>
      <c r="AW161" s="176"/>
      <c r="AX161" s="176"/>
      <c r="AY161" s="176"/>
      <c r="AZ161" s="176"/>
      <c r="BA161" s="176"/>
      <c r="BB161" s="176"/>
      <c r="BC161" s="176"/>
      <c r="BD161" s="176"/>
      <c r="BE161" s="176"/>
    </row>
    <row r="162" spans="1:57" customFormat="1" hidden="1">
      <c r="A162" s="15">
        <f t="shared" si="13"/>
        <v>0</v>
      </c>
      <c r="B162" t="str">
        <f t="shared" si="16"/>
        <v/>
      </c>
      <c r="C162" t="str">
        <f>IFERROR(IF(INDEX('M04-S02'!$BJ$18:$BJ$199,2*(ROWS($C$151:C162)-1)+1)="","",INDEX('M04-S02'!$BJ$18:$BJ$199,2*(ROWS($C$151:C162)-1)+1)),"")</f>
        <v/>
      </c>
      <c r="D162" t="s">
        <v>135</v>
      </c>
      <c r="E162" t="str">
        <f>IFERROR(INDEX('M04-S02'!$BD$18:$BD$199,2*(ROWS(E$151:E162)-1)+1),"")</f>
        <v/>
      </c>
      <c r="F162" s="31">
        <f>IFERROR(INDEX('M04-S02'!$Q$18:$Q$199,2*(ROWS(F$151:F162)-1)+1),"")</f>
        <v>0</v>
      </c>
      <c r="G162" t="str">
        <f>IFERROR(INDEX('M04-S02'!$E$18:$E$199,2*(ROWS($G$151:G162)-1)+1)&amp;" - "&amp;INDEX('M04-S02'!$C$18:$C$199,2*(ROWS($G$151:G162)-1)+1),"")</f>
        <v xml:space="preserve"> - </v>
      </c>
      <c r="H162" s="14" t="str">
        <f ca="1">IFERROR(ROUND(IF(AC162&lt;&gt;"","",INDEX('M04-S02'!$AH$18:$AH$199,2*(ROWS(H$151:H162)-1)+1)),2),"")</f>
        <v/>
      </c>
      <c r="I162" s="14" t="str">
        <f ca="1">IFERROR(ROUND(IF(AC162&lt;&gt;"","",INDEX('M04-S02'!$AJ$18:$AJ$199,2*(ROWS(I$151:I162)-1)+1)),2),"")</f>
        <v/>
      </c>
      <c r="J162" s="14" t="str">
        <f ca="1">IFERROR(ROUND(IF(AC162&lt;&gt;"","",INDEX('M04-S02'!$AL$18:$AL$199,2*(ROWS(J$151:J162)-1)+1)),2),"")</f>
        <v/>
      </c>
      <c r="K162" t="str">
        <f t="shared" ca="1" si="14"/>
        <v/>
      </c>
      <c r="L162" s="10" t="str">
        <f ca="1">IFERROR(IF(AC162&lt;&gt;"","",ROUND(INDEX('M04-S02'!$M$18:$M$199,2*(ROWS(L$151:L162)-1)+1),3)),"")</f>
        <v/>
      </c>
      <c r="M162" s="10" t="str">
        <f ca="1">IFERROR(IF(AC162&lt;&gt;"","",ROUND(INDEX('M04-S02'!$AD$18:$AD$199,2*(ROWS(M$151:M162)-1)+1),3)),"")</f>
        <v/>
      </c>
      <c r="N162" s="219"/>
      <c r="O162" s="37" t="str">
        <f ca="1">IFERROR(IF(AC162&lt;&gt;"","",INDEX('M04-S02'!$AO$18:$AO$199,2*(ROWS(O$151:O162)-1)+1)),"")</f>
        <v/>
      </c>
      <c r="P162" s="37" t="str">
        <f ca="1">IFERROR(IF(AC162&lt;&gt;"","",INDEX('M04-S02'!$BF$18:$BF$199,2*(ROWS(P$151:P162)-1)+1)),"")</f>
        <v/>
      </c>
      <c r="Q162" s="37" t="str">
        <f ca="1">IFERROR(IF(AC162&lt;&gt;"","",INDEX('M04-S02'!$BE$18:$BE$199,2*(ROWS(Q$151:Q162)-1)+1)),"")</f>
        <v/>
      </c>
      <c r="R162" s="14" t="str">
        <f ca="1">IFERROR(IF(AC162&lt;&gt;"","",INDEX('M04-S02'!$AR$18:$AR$199,2*(ROWS(R$151:R162)-1)+1)),"")</f>
        <v/>
      </c>
      <c r="S162" s="14">
        <f ca="1">IFERROR(ROUND(IF(AC162&lt;&gt;"",INDEX('M04-S02'!$AH$18:$AH$199,2*(ROWS(S$151:S162)-1)+1),""),2),"")</f>
        <v>0</v>
      </c>
      <c r="T162" s="14">
        <f ca="1">IFERROR(ROUND(IF(AC162&lt;&gt;"",INDEX('M04-S02'!$AJ$18:$AJ$199,2*(ROWS(T$151:T162)-1)+1),""),2),"")</f>
        <v>0</v>
      </c>
      <c r="U162" s="14" t="str">
        <f ca="1">IFERROR(ROUND(IF(AC162&lt;&gt;"",INDEX('M04-S02'!$AL$18:$AL$199,2*(ROWS(U$151:U162)-1)+1),""),2),"")</f>
        <v/>
      </c>
      <c r="V162" t="str">
        <f t="shared" ca="1" si="15"/>
        <v>Total</v>
      </c>
      <c r="W162" s="10">
        <f ca="1">IFERROR(IF(AC162&lt;&gt;"",ROUND(INDEX('M04-S02'!$M$18:$M$199,2*(ROWS(W$151:W162)-1)+1),3),""),"")</f>
        <v>0</v>
      </c>
      <c r="X162" s="10">
        <f ca="1">IFERROR(IF(AC162&lt;&gt;"",ROUND(INDEX('M04-S02'!$AD$18:$AD$199,2*(ROWS(X$151:X162)-1)+1),3),""),"")</f>
        <v>0</v>
      </c>
      <c r="Y162" s="210"/>
      <c r="Z162" s="31" t="str">
        <f ca="1">IFERROR(IF(AC162&lt;&gt;"",INDEX('M04-S02'!$AO$18:$AO$199,2*(ROWS(Z$151:Z162)-1)+1),""),"")</f>
        <v/>
      </c>
      <c r="AA162" s="37" t="str">
        <f ca="1">IFERROR(IF(AC162&lt;&gt;"",INDEX('M04-S02'!$BF$18:$BF$199,2*(ROWS(AA$151:AA162)-1)+1),""),"")</f>
        <v/>
      </c>
      <c r="AB162" s="37" t="str">
        <f ca="1">IFERROR(IF(AC162&lt;&gt;"",INDEX('M04-S02'!$BE$18:$BE$199,2*(ROWS(AB$151:AB162)-1)+1),""),"")</f>
        <v/>
      </c>
      <c r="AC162" t="str">
        <f ca="1">IFERROR(INDEX('M04-S02'!$BL$18:$BL$199,2*(ROWS(AC$151:AC162)-1)+1),"")</f>
        <v>Enter Utility Rate (Building Info Tab)</v>
      </c>
      <c r="AD162" s="37" t="str" cm="1">
        <f t="array" ref="AD162">IFERROR(INDEX('M04-S02'!$BA$18:$BA$199,2*(ROWS(AD$151:AD162)-1)+1),"")</f>
        <v/>
      </c>
      <c r="AE162" s="37" t="str" cm="1">
        <f t="array" ref="AE162">IFERROR(INDEX('M04-S02'!$BB$18:$BB$199,2*(ROWS(AE$151:AE162)-1)+1),"")</f>
        <v/>
      </c>
      <c r="AF162" s="31" t="str">
        <f>IFERROR(INDEX('M04-S02'!$O$18:$O$199,2*(ROWS(AF$151:AF162)-1)+1),"")</f>
        <v/>
      </c>
      <c r="AG162" s="31">
        <f>IFERROR(INDEX('M04-S02'!$AF$18:$AF$199,2*(ROWS(AG$151:AG162)-1)+1),"")</f>
        <v>0</v>
      </c>
      <c r="AH162" s="210"/>
      <c r="AI162">
        <f>IFERROR(INDEX('M04-S02'!$B$18:$B$199,2*(ROWS(AI$151:AI162)-1)+1),"")</f>
        <v>12</v>
      </c>
      <c r="AJ162">
        <f>IFERROR(INDEX('M04-S02'!$G$18:$G$199,2*(ROWS(AJ$151:AJ162)-1)+1),"")</f>
        <v>0</v>
      </c>
      <c r="AK162">
        <f>IFERROR(INDEX('M04-S02'!$S$18:$S$199,2*(ROWS(AK$151:AK162)-1)+1),"")</f>
        <v>0</v>
      </c>
      <c r="AL162">
        <f>IFERROR(INDEX('M04-S02'!$K$18:$K$199,2*(ROWS(AL$151:AL162)-1)+1),"")</f>
        <v>0</v>
      </c>
      <c r="AM162">
        <f>IFERROR(INDEX('M04-S02'!$Z$18:$Z$199,2*(ROWS(AM$151:AM162)-1)+1),"")</f>
        <v>0</v>
      </c>
      <c r="AN162" s="14" t="str">
        <f>IFERROR(INDEX('M04-S02'!$AX$18:$AX$199,2*(ROWS(AN$151:AN162)-1)+1),"")</f>
        <v/>
      </c>
      <c r="AO162" s="14" t="str">
        <f>IFERROR(INDEX('M04-S02'!$AY$18:$AY$199,2*(ROWS(AO$151:AO162)-1)+1),"")</f>
        <v/>
      </c>
      <c r="AP162" t="str">
        <f>IFERROR(INDEX('M04-S02'!$AZ$18:$AZ$199,2*(ROWS(AP$151:AP162)-1)+1),"")</f>
        <v/>
      </c>
      <c r="AQ162" t="str">
        <f>IFERROR(INDEX('M04-S02'!$BC$18:$BC$199,2*(ROWS(AQ$151:AQ162)-1)+1),"")</f>
        <v/>
      </c>
      <c r="AR162" t="s">
        <v>1254</v>
      </c>
      <c r="AT162" s="176"/>
      <c r="AU162" s="176"/>
      <c r="AV162" s="176"/>
      <c r="AW162" s="176"/>
      <c r="AX162" s="176"/>
      <c r="AY162" s="176"/>
      <c r="AZ162" s="176"/>
      <c r="BA162" s="176"/>
      <c r="BB162" s="176"/>
      <c r="BC162" s="176"/>
      <c r="BD162" s="176"/>
      <c r="BE162" s="176"/>
    </row>
    <row r="163" spans="1:57" customFormat="1" hidden="1">
      <c r="A163" s="15">
        <f t="shared" si="13"/>
        <v>0</v>
      </c>
      <c r="B163" t="str">
        <f t="shared" si="16"/>
        <v/>
      </c>
      <c r="C163" t="str">
        <f>IFERROR(IF(INDEX('M04-S02'!$BJ$18:$BJ$199,2*(ROWS($C$151:C163)-1)+1)="","",INDEX('M04-S02'!$BJ$18:$BJ$199,2*(ROWS($C$151:C163)-1)+1)),"")</f>
        <v/>
      </c>
      <c r="D163" t="s">
        <v>135</v>
      </c>
      <c r="E163" t="str">
        <f>IFERROR(INDEX('M04-S02'!$BD$18:$BD$199,2*(ROWS(E$151:E163)-1)+1),"")</f>
        <v/>
      </c>
      <c r="F163" s="31">
        <f>IFERROR(INDEX('M04-S02'!$Q$18:$Q$199,2*(ROWS(F$151:F163)-1)+1),"")</f>
        <v>0</v>
      </c>
      <c r="G163" t="str">
        <f>IFERROR(INDEX('M04-S02'!$E$18:$E$199,2*(ROWS($G$151:G163)-1)+1)&amp;" - "&amp;INDEX('M04-S02'!$C$18:$C$199,2*(ROWS($G$151:G163)-1)+1),"")</f>
        <v xml:space="preserve"> - </v>
      </c>
      <c r="H163" s="14" t="str">
        <f ca="1">IFERROR(ROUND(IF(AC163&lt;&gt;"","",INDEX('M04-S02'!$AH$18:$AH$199,2*(ROWS(H$151:H163)-1)+1)),2),"")</f>
        <v/>
      </c>
      <c r="I163" s="14" t="str">
        <f ca="1">IFERROR(ROUND(IF(AC163&lt;&gt;"","",INDEX('M04-S02'!$AJ$18:$AJ$199,2*(ROWS(I$151:I163)-1)+1)),2),"")</f>
        <v/>
      </c>
      <c r="J163" s="14" t="str">
        <f ca="1">IFERROR(ROUND(IF(AC163&lt;&gt;"","",INDEX('M04-S02'!$AL$18:$AL$199,2*(ROWS(J$151:J163)-1)+1)),2),"")</f>
        <v/>
      </c>
      <c r="K163" t="str">
        <f t="shared" ca="1" si="14"/>
        <v/>
      </c>
      <c r="L163" s="10" t="str">
        <f ca="1">IFERROR(IF(AC163&lt;&gt;"","",ROUND(INDEX('M04-S02'!$M$18:$M$199,2*(ROWS(L$151:L163)-1)+1),3)),"")</f>
        <v/>
      </c>
      <c r="M163" s="10" t="str">
        <f ca="1">IFERROR(IF(AC163&lt;&gt;"","",ROUND(INDEX('M04-S02'!$AD$18:$AD$199,2*(ROWS(M$151:M163)-1)+1),3)),"")</f>
        <v/>
      </c>
      <c r="N163" s="219"/>
      <c r="O163" s="37" t="str">
        <f ca="1">IFERROR(IF(AC163&lt;&gt;"","",INDEX('M04-S02'!$AO$18:$AO$199,2*(ROWS(O$151:O163)-1)+1)),"")</f>
        <v/>
      </c>
      <c r="P163" s="37" t="str">
        <f ca="1">IFERROR(IF(AC163&lt;&gt;"","",INDEX('M04-S02'!$BF$18:$BF$199,2*(ROWS(P$151:P163)-1)+1)),"")</f>
        <v/>
      </c>
      <c r="Q163" s="37" t="str">
        <f ca="1">IFERROR(IF(AC163&lt;&gt;"","",INDEX('M04-S02'!$BE$18:$BE$199,2*(ROWS(Q$151:Q163)-1)+1)),"")</f>
        <v/>
      </c>
      <c r="R163" s="14" t="str">
        <f ca="1">IFERROR(IF(AC163&lt;&gt;"","",INDEX('M04-S02'!$AR$18:$AR$199,2*(ROWS(R$151:R163)-1)+1)),"")</f>
        <v/>
      </c>
      <c r="S163" s="14">
        <f ca="1">IFERROR(ROUND(IF(AC163&lt;&gt;"",INDEX('M04-S02'!$AH$18:$AH$199,2*(ROWS(S$151:S163)-1)+1),""),2),"")</f>
        <v>0</v>
      </c>
      <c r="T163" s="14">
        <f ca="1">IFERROR(ROUND(IF(AC163&lt;&gt;"",INDEX('M04-S02'!$AJ$18:$AJ$199,2*(ROWS(T$151:T163)-1)+1),""),2),"")</f>
        <v>0</v>
      </c>
      <c r="U163" s="14" t="str">
        <f ca="1">IFERROR(ROUND(IF(AC163&lt;&gt;"",INDEX('M04-S02'!$AL$18:$AL$199,2*(ROWS(U$151:U163)-1)+1),""),2),"")</f>
        <v/>
      </c>
      <c r="V163" t="str">
        <f t="shared" ca="1" si="15"/>
        <v>Total</v>
      </c>
      <c r="W163" s="10">
        <f ca="1">IFERROR(IF(AC163&lt;&gt;"",ROUND(INDEX('M04-S02'!$M$18:$M$199,2*(ROWS(W$151:W163)-1)+1),3),""),"")</f>
        <v>0</v>
      </c>
      <c r="X163" s="10">
        <f ca="1">IFERROR(IF(AC163&lt;&gt;"",ROUND(INDEX('M04-S02'!$AD$18:$AD$199,2*(ROWS(X$151:X163)-1)+1),3),""),"")</f>
        <v>0</v>
      </c>
      <c r="Y163" s="210"/>
      <c r="Z163" s="31" t="str">
        <f ca="1">IFERROR(IF(AC163&lt;&gt;"",INDEX('M04-S02'!$AO$18:$AO$199,2*(ROWS(Z$151:Z163)-1)+1),""),"")</f>
        <v/>
      </c>
      <c r="AA163" s="37" t="str">
        <f ca="1">IFERROR(IF(AC163&lt;&gt;"",INDEX('M04-S02'!$BF$18:$BF$199,2*(ROWS(AA$151:AA163)-1)+1),""),"")</f>
        <v/>
      </c>
      <c r="AB163" s="37" t="str">
        <f ca="1">IFERROR(IF(AC163&lt;&gt;"",INDEX('M04-S02'!$BE$18:$BE$199,2*(ROWS(AB$151:AB163)-1)+1),""),"")</f>
        <v/>
      </c>
      <c r="AC163" t="str">
        <f ca="1">IFERROR(INDEX('M04-S02'!$BL$18:$BL$199,2*(ROWS(AC$151:AC163)-1)+1),"")</f>
        <v>Enter Utility Rate (Building Info Tab)</v>
      </c>
      <c r="AD163" s="37" t="str" cm="1">
        <f t="array" ref="AD163">IFERROR(INDEX('M04-S02'!$BA$18:$BA$199,2*(ROWS(AD$151:AD163)-1)+1),"")</f>
        <v/>
      </c>
      <c r="AE163" s="37" t="str" cm="1">
        <f t="array" ref="AE163">IFERROR(INDEX('M04-S02'!$BB$18:$BB$199,2*(ROWS(AE$151:AE163)-1)+1),"")</f>
        <v/>
      </c>
      <c r="AF163" s="31" t="str">
        <f>IFERROR(INDEX('M04-S02'!$O$18:$O$199,2*(ROWS(AF$151:AF163)-1)+1),"")</f>
        <v/>
      </c>
      <c r="AG163" s="31">
        <f>IFERROR(INDEX('M04-S02'!$AF$18:$AF$199,2*(ROWS(AG$151:AG163)-1)+1),"")</f>
        <v>0</v>
      </c>
      <c r="AH163" s="210"/>
      <c r="AI163">
        <f>IFERROR(INDEX('M04-S02'!$B$18:$B$199,2*(ROWS(AI$151:AI163)-1)+1),"")</f>
        <v>13</v>
      </c>
      <c r="AJ163">
        <f>IFERROR(INDEX('M04-S02'!$G$18:$G$199,2*(ROWS(AJ$151:AJ163)-1)+1),"")</f>
        <v>0</v>
      </c>
      <c r="AK163">
        <f>IFERROR(INDEX('M04-S02'!$S$18:$S$199,2*(ROWS(AK$151:AK163)-1)+1),"")</f>
        <v>0</v>
      </c>
      <c r="AL163">
        <f>IFERROR(INDEX('M04-S02'!$K$18:$K$199,2*(ROWS(AL$151:AL163)-1)+1),"")</f>
        <v>0</v>
      </c>
      <c r="AM163">
        <f>IFERROR(INDEX('M04-S02'!$Z$18:$Z$199,2*(ROWS(AM$151:AM163)-1)+1),"")</f>
        <v>0</v>
      </c>
      <c r="AN163" s="14" t="str">
        <f>IFERROR(INDEX('M04-S02'!$AX$18:$AX$199,2*(ROWS(AN$151:AN163)-1)+1),"")</f>
        <v/>
      </c>
      <c r="AO163" s="14" t="str">
        <f>IFERROR(INDEX('M04-S02'!$AY$18:$AY$199,2*(ROWS(AO$151:AO163)-1)+1),"")</f>
        <v/>
      </c>
      <c r="AP163" t="str">
        <f>IFERROR(INDEX('M04-S02'!$AZ$18:$AZ$199,2*(ROWS(AP$151:AP163)-1)+1),"")</f>
        <v/>
      </c>
      <c r="AQ163" t="str">
        <f>IFERROR(INDEX('M04-S02'!$BC$18:$BC$199,2*(ROWS(AQ$151:AQ163)-1)+1),"")</f>
        <v/>
      </c>
      <c r="AR163" t="s">
        <v>1254</v>
      </c>
      <c r="AT163" s="176"/>
      <c r="AU163" s="176"/>
      <c r="AV163" s="176"/>
      <c r="AW163" s="176"/>
      <c r="AX163" s="176"/>
      <c r="AY163" s="176"/>
      <c r="AZ163" s="176"/>
      <c r="BA163" s="176"/>
      <c r="BB163" s="176"/>
      <c r="BC163" s="176"/>
      <c r="BD163" s="176"/>
      <c r="BE163" s="176"/>
    </row>
    <row r="164" spans="1:57" customFormat="1" hidden="1">
      <c r="A164" s="15">
        <f t="shared" si="13"/>
        <v>0</v>
      </c>
      <c r="B164" t="str">
        <f t="shared" si="16"/>
        <v/>
      </c>
      <c r="C164" t="str">
        <f>IFERROR(IF(INDEX('M04-S02'!$BJ$18:$BJ$199,2*(ROWS($C$151:C164)-1)+1)="","",INDEX('M04-S02'!$BJ$18:$BJ$199,2*(ROWS($C$151:C164)-1)+1)),"")</f>
        <v/>
      </c>
      <c r="D164" t="s">
        <v>135</v>
      </c>
      <c r="E164" t="str">
        <f>IFERROR(INDEX('M04-S02'!$BD$18:$BD$199,2*(ROWS(E$151:E164)-1)+1),"")</f>
        <v/>
      </c>
      <c r="F164" s="31">
        <f>IFERROR(INDEX('M04-S02'!$Q$18:$Q$199,2*(ROWS(F$151:F164)-1)+1),"")</f>
        <v>0</v>
      </c>
      <c r="G164" t="str">
        <f>IFERROR(INDEX('M04-S02'!$E$18:$E$199,2*(ROWS($G$151:G164)-1)+1)&amp;" - "&amp;INDEX('M04-S02'!$C$18:$C$199,2*(ROWS($G$151:G164)-1)+1),"")</f>
        <v xml:space="preserve"> - </v>
      </c>
      <c r="H164" s="14" t="str">
        <f ca="1">IFERROR(ROUND(IF(AC164&lt;&gt;"","",INDEX('M04-S02'!$AH$18:$AH$199,2*(ROWS(H$151:H164)-1)+1)),2),"")</f>
        <v/>
      </c>
      <c r="I164" s="14" t="str">
        <f ca="1">IFERROR(ROUND(IF(AC164&lt;&gt;"","",INDEX('M04-S02'!$AJ$18:$AJ$199,2*(ROWS(I$151:I164)-1)+1)),2),"")</f>
        <v/>
      </c>
      <c r="J164" s="14" t="str">
        <f ca="1">IFERROR(ROUND(IF(AC164&lt;&gt;"","",INDEX('M04-S02'!$AL$18:$AL$199,2*(ROWS(J$151:J164)-1)+1)),2),"")</f>
        <v/>
      </c>
      <c r="K164" t="str">
        <f t="shared" ca="1" si="14"/>
        <v/>
      </c>
      <c r="L164" s="10" t="str">
        <f ca="1">IFERROR(IF(AC164&lt;&gt;"","",ROUND(INDEX('M04-S02'!$M$18:$M$199,2*(ROWS(L$151:L164)-1)+1),3)),"")</f>
        <v/>
      </c>
      <c r="M164" s="10" t="str">
        <f ca="1">IFERROR(IF(AC164&lt;&gt;"","",ROUND(INDEX('M04-S02'!$AD$18:$AD$199,2*(ROWS(M$151:M164)-1)+1),3)),"")</f>
        <v/>
      </c>
      <c r="N164" s="219"/>
      <c r="O164" s="37" t="str">
        <f ca="1">IFERROR(IF(AC164&lt;&gt;"","",INDEX('M04-S02'!$AO$18:$AO$199,2*(ROWS(O$151:O164)-1)+1)),"")</f>
        <v/>
      </c>
      <c r="P164" s="37" t="str">
        <f ca="1">IFERROR(IF(AC164&lt;&gt;"","",INDEX('M04-S02'!$BF$18:$BF$199,2*(ROWS(P$151:P164)-1)+1)),"")</f>
        <v/>
      </c>
      <c r="Q164" s="37" t="str">
        <f ca="1">IFERROR(IF(AC164&lt;&gt;"","",INDEX('M04-S02'!$BE$18:$BE$199,2*(ROWS(Q$151:Q164)-1)+1)),"")</f>
        <v/>
      </c>
      <c r="R164" s="14" t="str">
        <f ca="1">IFERROR(IF(AC164&lt;&gt;"","",INDEX('M04-S02'!$AR$18:$AR$199,2*(ROWS(R$151:R164)-1)+1)),"")</f>
        <v/>
      </c>
      <c r="S164" s="14">
        <f ca="1">IFERROR(ROUND(IF(AC164&lt;&gt;"",INDEX('M04-S02'!$AH$18:$AH$199,2*(ROWS(S$151:S164)-1)+1),""),2),"")</f>
        <v>0</v>
      </c>
      <c r="T164" s="14">
        <f ca="1">IFERROR(ROUND(IF(AC164&lt;&gt;"",INDEX('M04-S02'!$AJ$18:$AJ$199,2*(ROWS(T$151:T164)-1)+1),""),2),"")</f>
        <v>0</v>
      </c>
      <c r="U164" s="14" t="str">
        <f ca="1">IFERROR(ROUND(IF(AC164&lt;&gt;"",INDEX('M04-S02'!$AL$18:$AL$199,2*(ROWS(U$151:U164)-1)+1),""),2),"")</f>
        <v/>
      </c>
      <c r="V164" t="str">
        <f t="shared" ca="1" si="15"/>
        <v>Total</v>
      </c>
      <c r="W164" s="10">
        <f ca="1">IFERROR(IF(AC164&lt;&gt;"",ROUND(INDEX('M04-S02'!$M$18:$M$199,2*(ROWS(W$151:W164)-1)+1),3),""),"")</f>
        <v>0</v>
      </c>
      <c r="X164" s="10">
        <f ca="1">IFERROR(IF(AC164&lt;&gt;"",ROUND(INDEX('M04-S02'!$AD$18:$AD$199,2*(ROWS(X$151:X164)-1)+1),3),""),"")</f>
        <v>0</v>
      </c>
      <c r="Y164" s="210"/>
      <c r="Z164" s="31" t="str">
        <f ca="1">IFERROR(IF(AC164&lt;&gt;"",INDEX('M04-S02'!$AO$18:$AO$199,2*(ROWS(Z$151:Z164)-1)+1),""),"")</f>
        <v/>
      </c>
      <c r="AA164" s="37" t="str">
        <f ca="1">IFERROR(IF(AC164&lt;&gt;"",INDEX('M04-S02'!$BF$18:$BF$199,2*(ROWS(AA$151:AA164)-1)+1),""),"")</f>
        <v/>
      </c>
      <c r="AB164" s="37" t="str">
        <f ca="1">IFERROR(IF(AC164&lt;&gt;"",INDEX('M04-S02'!$BE$18:$BE$199,2*(ROWS(AB$151:AB164)-1)+1),""),"")</f>
        <v/>
      </c>
      <c r="AC164" t="str">
        <f ca="1">IFERROR(INDEX('M04-S02'!$BL$18:$BL$199,2*(ROWS(AC$151:AC164)-1)+1),"")</f>
        <v>Enter Utility Rate (Building Info Tab)</v>
      </c>
      <c r="AD164" s="37" t="str" cm="1">
        <f t="array" ref="AD164">IFERROR(INDEX('M04-S02'!$BA$18:$BA$199,2*(ROWS(AD$151:AD164)-1)+1),"")</f>
        <v/>
      </c>
      <c r="AE164" s="37" t="str" cm="1">
        <f t="array" ref="AE164">IFERROR(INDEX('M04-S02'!$BB$18:$BB$199,2*(ROWS(AE$151:AE164)-1)+1),"")</f>
        <v/>
      </c>
      <c r="AF164" s="31" t="str">
        <f>IFERROR(INDEX('M04-S02'!$O$18:$O$199,2*(ROWS(AF$151:AF164)-1)+1),"")</f>
        <v/>
      </c>
      <c r="AG164" s="31">
        <f>IFERROR(INDEX('M04-S02'!$AF$18:$AF$199,2*(ROWS(AG$151:AG164)-1)+1),"")</f>
        <v>0</v>
      </c>
      <c r="AH164" s="210"/>
      <c r="AI164">
        <f>IFERROR(INDEX('M04-S02'!$B$18:$B$199,2*(ROWS(AI$151:AI164)-1)+1),"")</f>
        <v>14</v>
      </c>
      <c r="AJ164">
        <f>IFERROR(INDEX('M04-S02'!$G$18:$G$199,2*(ROWS(AJ$151:AJ164)-1)+1),"")</f>
        <v>0</v>
      </c>
      <c r="AK164">
        <f>IFERROR(INDEX('M04-S02'!$S$18:$S$199,2*(ROWS(AK$151:AK164)-1)+1),"")</f>
        <v>0</v>
      </c>
      <c r="AL164">
        <f>IFERROR(INDEX('M04-S02'!$K$18:$K$199,2*(ROWS(AL$151:AL164)-1)+1),"")</f>
        <v>0</v>
      </c>
      <c r="AM164">
        <f>IFERROR(INDEX('M04-S02'!$Z$18:$Z$199,2*(ROWS(AM$151:AM164)-1)+1),"")</f>
        <v>0</v>
      </c>
      <c r="AN164" s="14" t="str">
        <f>IFERROR(INDEX('M04-S02'!$AX$18:$AX$199,2*(ROWS(AN$151:AN164)-1)+1),"")</f>
        <v/>
      </c>
      <c r="AO164" s="14" t="str">
        <f>IFERROR(INDEX('M04-S02'!$AY$18:$AY$199,2*(ROWS(AO$151:AO164)-1)+1),"")</f>
        <v/>
      </c>
      <c r="AP164" t="str">
        <f>IFERROR(INDEX('M04-S02'!$AZ$18:$AZ$199,2*(ROWS(AP$151:AP164)-1)+1),"")</f>
        <v/>
      </c>
      <c r="AQ164" t="str">
        <f>IFERROR(INDEX('M04-S02'!$BC$18:$BC$199,2*(ROWS(AQ$151:AQ164)-1)+1),"")</f>
        <v/>
      </c>
      <c r="AR164" t="s">
        <v>1254</v>
      </c>
      <c r="AT164" s="176"/>
      <c r="AU164" s="176"/>
      <c r="AV164" s="176"/>
      <c r="AW164" s="176"/>
      <c r="AX164" s="176"/>
      <c r="AY164" s="176"/>
      <c r="AZ164" s="176"/>
      <c r="BA164" s="176"/>
      <c r="BB164" s="176"/>
      <c r="BC164" s="176"/>
      <c r="BD164" s="176"/>
      <c r="BE164" s="176"/>
    </row>
    <row r="165" spans="1:57" customFormat="1" hidden="1">
      <c r="A165" s="15">
        <f t="shared" si="13"/>
        <v>0</v>
      </c>
      <c r="B165" t="str">
        <f t="shared" si="16"/>
        <v/>
      </c>
      <c r="C165" t="str">
        <f>IFERROR(IF(INDEX('M04-S02'!$BJ$18:$BJ$199,2*(ROWS($C$151:C165)-1)+1)="","",INDEX('M04-S02'!$BJ$18:$BJ$199,2*(ROWS($C$151:C165)-1)+1)),"")</f>
        <v/>
      </c>
      <c r="D165" t="s">
        <v>135</v>
      </c>
      <c r="E165" t="str">
        <f>IFERROR(INDEX('M04-S02'!$BD$18:$BD$199,2*(ROWS(E$151:E165)-1)+1),"")</f>
        <v/>
      </c>
      <c r="F165" s="31">
        <f>IFERROR(INDEX('M04-S02'!$Q$18:$Q$199,2*(ROWS(F$151:F165)-1)+1),"")</f>
        <v>0</v>
      </c>
      <c r="G165" t="str">
        <f>IFERROR(INDEX('M04-S02'!$E$18:$E$199,2*(ROWS($G$151:G165)-1)+1)&amp;" - "&amp;INDEX('M04-S02'!$C$18:$C$199,2*(ROWS($G$151:G165)-1)+1),"")</f>
        <v xml:space="preserve"> - </v>
      </c>
      <c r="H165" s="14" t="str">
        <f ca="1">IFERROR(ROUND(IF(AC165&lt;&gt;"","",INDEX('M04-S02'!$AH$18:$AH$199,2*(ROWS(H$151:H165)-1)+1)),2),"")</f>
        <v/>
      </c>
      <c r="I165" s="14" t="str">
        <f ca="1">IFERROR(ROUND(IF(AC165&lt;&gt;"","",INDEX('M04-S02'!$AJ$18:$AJ$199,2*(ROWS(I$151:I165)-1)+1)),2),"")</f>
        <v/>
      </c>
      <c r="J165" s="14" t="str">
        <f ca="1">IFERROR(ROUND(IF(AC165&lt;&gt;"","",INDEX('M04-S02'!$AL$18:$AL$199,2*(ROWS(J$151:J165)-1)+1)),2),"")</f>
        <v/>
      </c>
      <c r="K165" t="str">
        <f t="shared" ca="1" si="14"/>
        <v/>
      </c>
      <c r="L165" s="10" t="str">
        <f ca="1">IFERROR(IF(AC165&lt;&gt;"","",ROUND(INDEX('M04-S02'!$M$18:$M$199,2*(ROWS(L$151:L165)-1)+1),3)),"")</f>
        <v/>
      </c>
      <c r="M165" s="10" t="str">
        <f ca="1">IFERROR(IF(AC165&lt;&gt;"","",ROUND(INDEX('M04-S02'!$AD$18:$AD$199,2*(ROWS(M$151:M165)-1)+1),3)),"")</f>
        <v/>
      </c>
      <c r="N165" s="219"/>
      <c r="O165" s="37" t="str">
        <f ca="1">IFERROR(IF(AC165&lt;&gt;"","",INDEX('M04-S02'!$AO$18:$AO$199,2*(ROWS(O$151:O165)-1)+1)),"")</f>
        <v/>
      </c>
      <c r="P165" s="37" t="str">
        <f ca="1">IFERROR(IF(AC165&lt;&gt;"","",INDEX('M04-S02'!$BF$18:$BF$199,2*(ROWS(P$151:P165)-1)+1)),"")</f>
        <v/>
      </c>
      <c r="Q165" s="37" t="str">
        <f ca="1">IFERROR(IF(AC165&lt;&gt;"","",INDEX('M04-S02'!$BE$18:$BE$199,2*(ROWS(Q$151:Q165)-1)+1)),"")</f>
        <v/>
      </c>
      <c r="R165" s="14" t="str">
        <f ca="1">IFERROR(IF(AC165&lt;&gt;"","",INDEX('M04-S02'!$AR$18:$AR$199,2*(ROWS(R$151:R165)-1)+1)),"")</f>
        <v/>
      </c>
      <c r="S165" s="14">
        <f ca="1">IFERROR(ROUND(IF(AC165&lt;&gt;"",INDEX('M04-S02'!$AH$18:$AH$199,2*(ROWS(S$151:S165)-1)+1),""),2),"")</f>
        <v>0</v>
      </c>
      <c r="T165" s="14">
        <f ca="1">IFERROR(ROUND(IF(AC165&lt;&gt;"",INDEX('M04-S02'!$AJ$18:$AJ$199,2*(ROWS(T$151:T165)-1)+1),""),2),"")</f>
        <v>0</v>
      </c>
      <c r="U165" s="14" t="str">
        <f ca="1">IFERROR(ROUND(IF(AC165&lt;&gt;"",INDEX('M04-S02'!$AL$18:$AL$199,2*(ROWS(U$151:U165)-1)+1),""),2),"")</f>
        <v/>
      </c>
      <c r="V165" t="str">
        <f t="shared" ca="1" si="15"/>
        <v>Total</v>
      </c>
      <c r="W165" s="10">
        <f ca="1">IFERROR(IF(AC165&lt;&gt;"",ROUND(INDEX('M04-S02'!$M$18:$M$199,2*(ROWS(W$151:W165)-1)+1),3),""),"")</f>
        <v>0</v>
      </c>
      <c r="X165" s="10">
        <f ca="1">IFERROR(IF(AC165&lt;&gt;"",ROUND(INDEX('M04-S02'!$AD$18:$AD$199,2*(ROWS(X$151:X165)-1)+1),3),""),"")</f>
        <v>0</v>
      </c>
      <c r="Y165" s="210"/>
      <c r="Z165" s="31" t="str">
        <f ca="1">IFERROR(IF(AC165&lt;&gt;"",INDEX('M04-S02'!$AO$18:$AO$199,2*(ROWS(Z$151:Z165)-1)+1),""),"")</f>
        <v/>
      </c>
      <c r="AA165" s="37" t="str">
        <f ca="1">IFERROR(IF(AC165&lt;&gt;"",INDEX('M04-S02'!$BF$18:$BF$199,2*(ROWS(AA$151:AA165)-1)+1),""),"")</f>
        <v/>
      </c>
      <c r="AB165" s="37" t="str">
        <f ca="1">IFERROR(IF(AC165&lt;&gt;"",INDEX('M04-S02'!$BE$18:$BE$199,2*(ROWS(AB$151:AB165)-1)+1),""),"")</f>
        <v/>
      </c>
      <c r="AC165" t="str">
        <f ca="1">IFERROR(INDEX('M04-S02'!$BL$18:$BL$199,2*(ROWS(AC$151:AC165)-1)+1),"")</f>
        <v>Enter Utility Rate (Building Info Tab)</v>
      </c>
      <c r="AD165" s="37" t="str" cm="1">
        <f t="array" ref="AD165">IFERROR(INDEX('M04-S02'!$BA$18:$BA$199,2*(ROWS(AD$151:AD165)-1)+1),"")</f>
        <v/>
      </c>
      <c r="AE165" s="37" t="str" cm="1">
        <f t="array" ref="AE165">IFERROR(INDEX('M04-S02'!$BB$18:$BB$199,2*(ROWS(AE$151:AE165)-1)+1),"")</f>
        <v/>
      </c>
      <c r="AF165" s="31" t="str">
        <f>IFERROR(INDEX('M04-S02'!$O$18:$O$199,2*(ROWS(AF$151:AF165)-1)+1),"")</f>
        <v/>
      </c>
      <c r="AG165" s="31">
        <f>IFERROR(INDEX('M04-S02'!$AF$18:$AF$199,2*(ROWS(AG$151:AG165)-1)+1),"")</f>
        <v>0</v>
      </c>
      <c r="AH165" s="210"/>
      <c r="AI165">
        <f>IFERROR(INDEX('M04-S02'!$B$18:$B$199,2*(ROWS(AI$151:AI165)-1)+1),"")</f>
        <v>15</v>
      </c>
      <c r="AJ165">
        <f>IFERROR(INDEX('M04-S02'!$G$18:$G$199,2*(ROWS(AJ$151:AJ165)-1)+1),"")</f>
        <v>0</v>
      </c>
      <c r="AK165">
        <f>IFERROR(INDEX('M04-S02'!$S$18:$S$199,2*(ROWS(AK$151:AK165)-1)+1),"")</f>
        <v>0</v>
      </c>
      <c r="AL165">
        <f>IFERROR(INDEX('M04-S02'!$K$18:$K$199,2*(ROWS(AL$151:AL165)-1)+1),"")</f>
        <v>0</v>
      </c>
      <c r="AM165">
        <f>IFERROR(INDEX('M04-S02'!$Z$18:$Z$199,2*(ROWS(AM$151:AM165)-1)+1),"")</f>
        <v>0</v>
      </c>
      <c r="AN165" s="14" t="str">
        <f>IFERROR(INDEX('M04-S02'!$AX$18:$AX$199,2*(ROWS(AN$151:AN165)-1)+1),"")</f>
        <v/>
      </c>
      <c r="AO165" s="14" t="str">
        <f>IFERROR(INDEX('M04-S02'!$AY$18:$AY$199,2*(ROWS(AO$151:AO165)-1)+1),"")</f>
        <v/>
      </c>
      <c r="AP165" t="str">
        <f>IFERROR(INDEX('M04-S02'!$AZ$18:$AZ$199,2*(ROWS(AP$151:AP165)-1)+1),"")</f>
        <v/>
      </c>
      <c r="AQ165" t="str">
        <f>IFERROR(INDEX('M04-S02'!$BC$18:$BC$199,2*(ROWS(AQ$151:AQ165)-1)+1),"")</f>
        <v/>
      </c>
      <c r="AR165" t="s">
        <v>1254</v>
      </c>
      <c r="AT165" s="176"/>
      <c r="AU165" s="176"/>
      <c r="AV165" s="176"/>
      <c r="AW165" s="176"/>
      <c r="AX165" s="176"/>
      <c r="AY165" s="176"/>
      <c r="AZ165" s="176"/>
      <c r="BA165" s="176"/>
      <c r="BB165" s="176"/>
      <c r="BC165" s="176"/>
      <c r="BD165" s="176"/>
      <c r="BE165" s="176"/>
    </row>
    <row r="166" spans="1:57" customFormat="1" hidden="1">
      <c r="A166" s="15">
        <f t="shared" si="13"/>
        <v>0</v>
      </c>
      <c r="B166" t="str">
        <f t="shared" si="16"/>
        <v/>
      </c>
      <c r="C166" t="str">
        <f>IFERROR(IF(INDEX('M04-S02'!$BJ$18:$BJ$199,2*(ROWS($C$151:C166)-1)+1)="","",INDEX('M04-S02'!$BJ$18:$BJ$199,2*(ROWS($C$151:C166)-1)+1)),"")</f>
        <v/>
      </c>
      <c r="D166" t="s">
        <v>135</v>
      </c>
      <c r="E166" t="str">
        <f>IFERROR(INDEX('M04-S02'!$BD$18:$BD$199,2*(ROWS(E$151:E166)-1)+1),"")</f>
        <v/>
      </c>
      <c r="F166" s="31">
        <f>IFERROR(INDEX('M04-S02'!$Q$18:$Q$199,2*(ROWS(F$151:F166)-1)+1),"")</f>
        <v>0</v>
      </c>
      <c r="G166" t="str">
        <f>IFERROR(INDEX('M04-S02'!$E$18:$E$199,2*(ROWS($G$151:G166)-1)+1)&amp;" - "&amp;INDEX('M04-S02'!$C$18:$C$199,2*(ROWS($G$151:G166)-1)+1),"")</f>
        <v xml:space="preserve"> - </v>
      </c>
      <c r="H166" s="14" t="str">
        <f ca="1">IFERROR(ROUND(IF(AC166&lt;&gt;"","",INDEX('M04-S02'!$AH$18:$AH$199,2*(ROWS(H$151:H166)-1)+1)),2),"")</f>
        <v/>
      </c>
      <c r="I166" s="14" t="str">
        <f ca="1">IFERROR(ROUND(IF(AC166&lt;&gt;"","",INDEX('M04-S02'!$AJ$18:$AJ$199,2*(ROWS(I$151:I166)-1)+1)),2),"")</f>
        <v/>
      </c>
      <c r="J166" s="14" t="str">
        <f ca="1">IFERROR(ROUND(IF(AC166&lt;&gt;"","",INDEX('M04-S02'!$AL$18:$AL$199,2*(ROWS(J$151:J166)-1)+1)),2),"")</f>
        <v/>
      </c>
      <c r="K166" t="str">
        <f t="shared" ca="1" si="14"/>
        <v/>
      </c>
      <c r="L166" s="10" t="str">
        <f ca="1">IFERROR(IF(AC166&lt;&gt;"","",ROUND(INDEX('M04-S02'!$M$18:$M$199,2*(ROWS(L$151:L166)-1)+1),3)),"")</f>
        <v/>
      </c>
      <c r="M166" s="10" t="str">
        <f ca="1">IFERROR(IF(AC166&lt;&gt;"","",ROUND(INDEX('M04-S02'!$AD$18:$AD$199,2*(ROWS(M$151:M166)-1)+1),3)),"")</f>
        <v/>
      </c>
      <c r="N166" s="219"/>
      <c r="O166" s="37" t="str">
        <f ca="1">IFERROR(IF(AC166&lt;&gt;"","",INDEX('M04-S02'!$AO$18:$AO$199,2*(ROWS(O$151:O166)-1)+1)),"")</f>
        <v/>
      </c>
      <c r="P166" s="37" t="str">
        <f ca="1">IFERROR(IF(AC166&lt;&gt;"","",INDEX('M04-S02'!$BF$18:$BF$199,2*(ROWS(P$151:P166)-1)+1)),"")</f>
        <v/>
      </c>
      <c r="Q166" s="37" t="str">
        <f ca="1">IFERROR(IF(AC166&lt;&gt;"","",INDEX('M04-S02'!$BE$18:$BE$199,2*(ROWS(Q$151:Q166)-1)+1)),"")</f>
        <v/>
      </c>
      <c r="R166" s="14" t="str">
        <f ca="1">IFERROR(IF(AC166&lt;&gt;"","",INDEX('M04-S02'!$AR$18:$AR$199,2*(ROWS(R$151:R166)-1)+1)),"")</f>
        <v/>
      </c>
      <c r="S166" s="14">
        <f ca="1">IFERROR(ROUND(IF(AC166&lt;&gt;"",INDEX('M04-S02'!$AH$18:$AH$199,2*(ROWS(S$151:S166)-1)+1),""),2),"")</f>
        <v>0</v>
      </c>
      <c r="T166" s="14">
        <f ca="1">IFERROR(ROUND(IF(AC166&lt;&gt;"",INDEX('M04-S02'!$AJ$18:$AJ$199,2*(ROWS(T$151:T166)-1)+1),""),2),"")</f>
        <v>0</v>
      </c>
      <c r="U166" s="14" t="str">
        <f ca="1">IFERROR(ROUND(IF(AC166&lt;&gt;"",INDEX('M04-S02'!$AL$18:$AL$199,2*(ROWS(U$151:U166)-1)+1),""),2),"")</f>
        <v/>
      </c>
      <c r="V166" t="str">
        <f t="shared" ca="1" si="15"/>
        <v>Total</v>
      </c>
      <c r="W166" s="10">
        <f ca="1">IFERROR(IF(AC166&lt;&gt;"",ROUND(INDEX('M04-S02'!$M$18:$M$199,2*(ROWS(W$151:W166)-1)+1),3),""),"")</f>
        <v>0</v>
      </c>
      <c r="X166" s="10">
        <f ca="1">IFERROR(IF(AC166&lt;&gt;"",ROUND(INDEX('M04-S02'!$AD$18:$AD$199,2*(ROWS(X$151:X166)-1)+1),3),""),"")</f>
        <v>0</v>
      </c>
      <c r="Y166" s="210"/>
      <c r="Z166" s="31" t="str">
        <f ca="1">IFERROR(IF(AC166&lt;&gt;"",INDEX('M04-S02'!$AO$18:$AO$199,2*(ROWS(Z$151:Z166)-1)+1),""),"")</f>
        <v/>
      </c>
      <c r="AA166" s="37" t="str">
        <f ca="1">IFERROR(IF(AC166&lt;&gt;"",INDEX('M04-S02'!$BF$18:$BF$199,2*(ROWS(AA$151:AA166)-1)+1),""),"")</f>
        <v/>
      </c>
      <c r="AB166" s="37" t="str">
        <f ca="1">IFERROR(IF(AC166&lt;&gt;"",INDEX('M04-S02'!$BE$18:$BE$199,2*(ROWS(AB$151:AB166)-1)+1),""),"")</f>
        <v/>
      </c>
      <c r="AC166" t="str">
        <f ca="1">IFERROR(INDEX('M04-S02'!$BL$18:$BL$199,2*(ROWS(AC$151:AC166)-1)+1),"")</f>
        <v>Enter Utility Rate (Building Info Tab)</v>
      </c>
      <c r="AD166" s="37" t="str" cm="1">
        <f t="array" ref="AD166">IFERROR(INDEX('M04-S02'!$BA$18:$BA$199,2*(ROWS(AD$151:AD166)-1)+1),"")</f>
        <v/>
      </c>
      <c r="AE166" s="37" t="str" cm="1">
        <f t="array" ref="AE166">IFERROR(INDEX('M04-S02'!$BB$18:$BB$199,2*(ROWS(AE$151:AE166)-1)+1),"")</f>
        <v/>
      </c>
      <c r="AF166" s="31" t="str">
        <f>IFERROR(INDEX('M04-S02'!$O$18:$O$199,2*(ROWS(AF$151:AF166)-1)+1),"")</f>
        <v/>
      </c>
      <c r="AG166" s="31">
        <f>IFERROR(INDEX('M04-S02'!$AF$18:$AF$199,2*(ROWS(AG$151:AG166)-1)+1),"")</f>
        <v>0</v>
      </c>
      <c r="AH166" s="210"/>
      <c r="AI166">
        <f>IFERROR(INDEX('M04-S02'!$B$18:$B$199,2*(ROWS(AI$151:AI166)-1)+1),"")</f>
        <v>16</v>
      </c>
      <c r="AJ166">
        <f>IFERROR(INDEX('M04-S02'!$G$18:$G$199,2*(ROWS(AJ$151:AJ166)-1)+1),"")</f>
        <v>0</v>
      </c>
      <c r="AK166">
        <f>IFERROR(INDEX('M04-S02'!$S$18:$S$199,2*(ROWS(AK$151:AK166)-1)+1),"")</f>
        <v>0</v>
      </c>
      <c r="AL166">
        <f>IFERROR(INDEX('M04-S02'!$K$18:$K$199,2*(ROWS(AL$151:AL166)-1)+1),"")</f>
        <v>0</v>
      </c>
      <c r="AM166">
        <f>IFERROR(INDEX('M04-S02'!$Z$18:$Z$199,2*(ROWS(AM$151:AM166)-1)+1),"")</f>
        <v>0</v>
      </c>
      <c r="AN166" s="14" t="str">
        <f>IFERROR(INDEX('M04-S02'!$AX$18:$AX$199,2*(ROWS(AN$151:AN166)-1)+1),"")</f>
        <v/>
      </c>
      <c r="AO166" s="14" t="str">
        <f>IFERROR(INDEX('M04-S02'!$AY$18:$AY$199,2*(ROWS(AO$151:AO166)-1)+1),"")</f>
        <v/>
      </c>
      <c r="AP166" t="str">
        <f>IFERROR(INDEX('M04-S02'!$AZ$18:$AZ$199,2*(ROWS(AP$151:AP166)-1)+1),"")</f>
        <v/>
      </c>
      <c r="AQ166" t="str">
        <f>IFERROR(INDEX('M04-S02'!$BC$18:$BC$199,2*(ROWS(AQ$151:AQ166)-1)+1),"")</f>
        <v/>
      </c>
      <c r="AR166" t="s">
        <v>1254</v>
      </c>
      <c r="AT166" s="176"/>
      <c r="AU166" s="176"/>
      <c r="AV166" s="176"/>
      <c r="AW166" s="176"/>
      <c r="AX166" s="176"/>
      <c r="AY166" s="176"/>
      <c r="AZ166" s="176"/>
      <c r="BA166" s="176"/>
      <c r="BB166" s="176"/>
      <c r="BC166" s="176"/>
      <c r="BD166" s="176"/>
      <c r="BE166" s="176"/>
    </row>
    <row r="167" spans="1:57" customFormat="1" hidden="1">
      <c r="A167" s="15">
        <f t="shared" si="13"/>
        <v>0</v>
      </c>
      <c r="B167" t="str">
        <f t="shared" si="16"/>
        <v/>
      </c>
      <c r="C167" t="str">
        <f>IFERROR(IF(INDEX('M04-S02'!$BJ$18:$BJ$199,2*(ROWS($C$151:C167)-1)+1)="","",INDEX('M04-S02'!$BJ$18:$BJ$199,2*(ROWS($C$151:C167)-1)+1)),"")</f>
        <v/>
      </c>
      <c r="D167" t="s">
        <v>135</v>
      </c>
      <c r="E167" t="str">
        <f>IFERROR(INDEX('M04-S02'!$BD$18:$BD$199,2*(ROWS(E$151:E167)-1)+1),"")</f>
        <v/>
      </c>
      <c r="F167" s="31">
        <f>IFERROR(INDEX('M04-S02'!$Q$18:$Q$199,2*(ROWS(F$151:F167)-1)+1),"")</f>
        <v>0</v>
      </c>
      <c r="G167" t="str">
        <f>IFERROR(INDEX('M04-S02'!$E$18:$E$199,2*(ROWS($G$151:G167)-1)+1)&amp;" - "&amp;INDEX('M04-S02'!$C$18:$C$199,2*(ROWS($G$151:G167)-1)+1),"")</f>
        <v xml:space="preserve"> - </v>
      </c>
      <c r="H167" s="14" t="str">
        <f ca="1">IFERROR(ROUND(IF(AC167&lt;&gt;"","",INDEX('M04-S02'!$AH$18:$AH$199,2*(ROWS(H$151:H167)-1)+1)),2),"")</f>
        <v/>
      </c>
      <c r="I167" s="14" t="str">
        <f ca="1">IFERROR(ROUND(IF(AC167&lt;&gt;"","",INDEX('M04-S02'!$AJ$18:$AJ$199,2*(ROWS(I$151:I167)-1)+1)),2),"")</f>
        <v/>
      </c>
      <c r="J167" s="14" t="str">
        <f ca="1">IFERROR(ROUND(IF(AC167&lt;&gt;"","",INDEX('M04-S02'!$AL$18:$AL$199,2*(ROWS(J$151:J167)-1)+1)),2),"")</f>
        <v/>
      </c>
      <c r="K167" t="str">
        <f t="shared" ca="1" si="14"/>
        <v/>
      </c>
      <c r="L167" s="10" t="str">
        <f ca="1">IFERROR(IF(AC167&lt;&gt;"","",ROUND(INDEX('M04-S02'!$M$18:$M$199,2*(ROWS(L$151:L167)-1)+1),3)),"")</f>
        <v/>
      </c>
      <c r="M167" s="10" t="str">
        <f ca="1">IFERROR(IF(AC167&lt;&gt;"","",ROUND(INDEX('M04-S02'!$AD$18:$AD$199,2*(ROWS(M$151:M167)-1)+1),3)),"")</f>
        <v/>
      </c>
      <c r="N167" s="219"/>
      <c r="O167" s="37" t="str">
        <f ca="1">IFERROR(IF(AC167&lt;&gt;"","",INDEX('M04-S02'!$AO$18:$AO$199,2*(ROWS(O$151:O167)-1)+1)),"")</f>
        <v/>
      </c>
      <c r="P167" s="37" t="str">
        <f ca="1">IFERROR(IF(AC167&lt;&gt;"","",INDEX('M04-S02'!$BF$18:$BF$199,2*(ROWS(P$151:P167)-1)+1)),"")</f>
        <v/>
      </c>
      <c r="Q167" s="37" t="str">
        <f ca="1">IFERROR(IF(AC167&lt;&gt;"","",INDEX('M04-S02'!$BE$18:$BE$199,2*(ROWS(Q$151:Q167)-1)+1)),"")</f>
        <v/>
      </c>
      <c r="R167" s="14" t="str">
        <f ca="1">IFERROR(IF(AC167&lt;&gt;"","",INDEX('M04-S02'!$AR$18:$AR$199,2*(ROWS(R$151:R167)-1)+1)),"")</f>
        <v/>
      </c>
      <c r="S167" s="14">
        <f ca="1">IFERROR(ROUND(IF(AC167&lt;&gt;"",INDEX('M04-S02'!$AH$18:$AH$199,2*(ROWS(S$151:S167)-1)+1),""),2),"")</f>
        <v>0</v>
      </c>
      <c r="T167" s="14">
        <f ca="1">IFERROR(ROUND(IF(AC167&lt;&gt;"",INDEX('M04-S02'!$AJ$18:$AJ$199,2*(ROWS(T$151:T167)-1)+1),""),2),"")</f>
        <v>0</v>
      </c>
      <c r="U167" s="14" t="str">
        <f ca="1">IFERROR(ROUND(IF(AC167&lt;&gt;"",INDEX('M04-S02'!$AL$18:$AL$199,2*(ROWS(U$151:U167)-1)+1),""),2),"")</f>
        <v/>
      </c>
      <c r="V167" t="str">
        <f t="shared" ca="1" si="15"/>
        <v>Total</v>
      </c>
      <c r="W167" s="10">
        <f ca="1">IFERROR(IF(AC167&lt;&gt;"",ROUND(INDEX('M04-S02'!$M$18:$M$199,2*(ROWS(W$151:W167)-1)+1),3),""),"")</f>
        <v>0</v>
      </c>
      <c r="X167" s="10">
        <f ca="1">IFERROR(IF(AC167&lt;&gt;"",ROUND(INDEX('M04-S02'!$AD$18:$AD$199,2*(ROWS(X$151:X167)-1)+1),3),""),"")</f>
        <v>0</v>
      </c>
      <c r="Y167" s="210"/>
      <c r="Z167" s="31" t="str">
        <f ca="1">IFERROR(IF(AC167&lt;&gt;"",INDEX('M04-S02'!$AO$18:$AO$199,2*(ROWS(Z$151:Z167)-1)+1),""),"")</f>
        <v/>
      </c>
      <c r="AA167" s="37" t="str">
        <f ca="1">IFERROR(IF(AC167&lt;&gt;"",INDEX('M04-S02'!$BF$18:$BF$199,2*(ROWS(AA$151:AA167)-1)+1),""),"")</f>
        <v/>
      </c>
      <c r="AB167" s="37" t="str">
        <f ca="1">IFERROR(IF(AC167&lt;&gt;"",INDEX('M04-S02'!$BE$18:$BE$199,2*(ROWS(AB$151:AB167)-1)+1),""),"")</f>
        <v/>
      </c>
      <c r="AC167" t="str">
        <f ca="1">IFERROR(INDEX('M04-S02'!$BL$18:$BL$199,2*(ROWS(AC$151:AC167)-1)+1),"")</f>
        <v>Enter Utility Rate (Building Info Tab)</v>
      </c>
      <c r="AD167" s="37" t="str" cm="1">
        <f t="array" ref="AD167">IFERROR(INDEX('M04-S02'!$BA$18:$BA$199,2*(ROWS(AD$151:AD167)-1)+1),"")</f>
        <v/>
      </c>
      <c r="AE167" s="37" t="str" cm="1">
        <f t="array" ref="AE167">IFERROR(INDEX('M04-S02'!$BB$18:$BB$199,2*(ROWS(AE$151:AE167)-1)+1),"")</f>
        <v/>
      </c>
      <c r="AF167" s="31" t="str">
        <f>IFERROR(INDEX('M04-S02'!$O$18:$O$199,2*(ROWS(AF$151:AF167)-1)+1),"")</f>
        <v/>
      </c>
      <c r="AG167" s="31">
        <f>IFERROR(INDEX('M04-S02'!$AF$18:$AF$199,2*(ROWS(AG$151:AG167)-1)+1),"")</f>
        <v>0</v>
      </c>
      <c r="AH167" s="210"/>
      <c r="AI167">
        <f>IFERROR(INDEX('M04-S02'!$B$18:$B$199,2*(ROWS(AI$151:AI167)-1)+1),"")</f>
        <v>17</v>
      </c>
      <c r="AJ167">
        <f>IFERROR(INDEX('M04-S02'!$G$18:$G$199,2*(ROWS(AJ$151:AJ167)-1)+1),"")</f>
        <v>0</v>
      </c>
      <c r="AK167">
        <f>IFERROR(INDEX('M04-S02'!$S$18:$S$199,2*(ROWS(AK$151:AK167)-1)+1),"")</f>
        <v>0</v>
      </c>
      <c r="AL167">
        <f>IFERROR(INDEX('M04-S02'!$K$18:$K$199,2*(ROWS(AL$151:AL167)-1)+1),"")</f>
        <v>0</v>
      </c>
      <c r="AM167">
        <f>IFERROR(INDEX('M04-S02'!$Z$18:$Z$199,2*(ROWS(AM$151:AM167)-1)+1),"")</f>
        <v>0</v>
      </c>
      <c r="AN167" s="14" t="str">
        <f>IFERROR(INDEX('M04-S02'!$AX$18:$AX$199,2*(ROWS(AN$151:AN167)-1)+1),"")</f>
        <v/>
      </c>
      <c r="AO167" s="14" t="str">
        <f>IFERROR(INDEX('M04-S02'!$AY$18:$AY$199,2*(ROWS(AO$151:AO167)-1)+1),"")</f>
        <v/>
      </c>
      <c r="AP167" t="str">
        <f>IFERROR(INDEX('M04-S02'!$AZ$18:$AZ$199,2*(ROWS(AP$151:AP167)-1)+1),"")</f>
        <v/>
      </c>
      <c r="AQ167" t="str">
        <f>IFERROR(INDEX('M04-S02'!$BC$18:$BC$199,2*(ROWS(AQ$151:AQ167)-1)+1),"")</f>
        <v/>
      </c>
      <c r="AR167" t="s">
        <v>1254</v>
      </c>
      <c r="AT167" s="176"/>
      <c r="AU167" s="176"/>
      <c r="AV167" s="176"/>
      <c r="AW167" s="176"/>
      <c r="AX167" s="176"/>
      <c r="AY167" s="176"/>
      <c r="AZ167" s="176"/>
      <c r="BA167" s="176"/>
      <c r="BB167" s="176"/>
      <c r="BC167" s="176"/>
      <c r="BD167" s="176"/>
      <c r="BE167" s="176"/>
    </row>
    <row r="168" spans="1:57" customFormat="1" hidden="1">
      <c r="A168" s="15">
        <f t="shared" si="13"/>
        <v>0</v>
      </c>
      <c r="B168" t="str">
        <f t="shared" si="16"/>
        <v/>
      </c>
      <c r="C168" t="str">
        <f>IFERROR(IF(INDEX('M04-S02'!$BJ$18:$BJ$199,2*(ROWS($C$151:C168)-1)+1)="","",INDEX('M04-S02'!$BJ$18:$BJ$199,2*(ROWS($C$151:C168)-1)+1)),"")</f>
        <v/>
      </c>
      <c r="D168" t="s">
        <v>135</v>
      </c>
      <c r="E168" t="str">
        <f>IFERROR(INDEX('M04-S02'!$BD$18:$BD$199,2*(ROWS(E$151:E168)-1)+1),"")</f>
        <v/>
      </c>
      <c r="F168" s="31">
        <f>IFERROR(INDEX('M04-S02'!$Q$18:$Q$199,2*(ROWS(F$151:F168)-1)+1),"")</f>
        <v>0</v>
      </c>
      <c r="G168" t="str">
        <f>IFERROR(INDEX('M04-S02'!$E$18:$E$199,2*(ROWS($G$151:G168)-1)+1)&amp;" - "&amp;INDEX('M04-S02'!$C$18:$C$199,2*(ROWS($G$151:G168)-1)+1),"")</f>
        <v xml:space="preserve"> - </v>
      </c>
      <c r="H168" s="14" t="str">
        <f ca="1">IFERROR(ROUND(IF(AC168&lt;&gt;"","",INDEX('M04-S02'!$AH$18:$AH$199,2*(ROWS(H$151:H168)-1)+1)),2),"")</f>
        <v/>
      </c>
      <c r="I168" s="14" t="str">
        <f ca="1">IFERROR(ROUND(IF(AC168&lt;&gt;"","",INDEX('M04-S02'!$AJ$18:$AJ$199,2*(ROWS(I$151:I168)-1)+1)),2),"")</f>
        <v/>
      </c>
      <c r="J168" s="14" t="str">
        <f ca="1">IFERROR(ROUND(IF(AC168&lt;&gt;"","",INDEX('M04-S02'!$AL$18:$AL$199,2*(ROWS(J$151:J168)-1)+1)),2),"")</f>
        <v/>
      </c>
      <c r="K168" t="str">
        <f t="shared" ca="1" si="14"/>
        <v/>
      </c>
      <c r="L168" s="10" t="str">
        <f ca="1">IFERROR(IF(AC168&lt;&gt;"","",ROUND(INDEX('M04-S02'!$M$18:$M$199,2*(ROWS(L$151:L168)-1)+1),3)),"")</f>
        <v/>
      </c>
      <c r="M168" s="10" t="str">
        <f ca="1">IFERROR(IF(AC168&lt;&gt;"","",ROUND(INDEX('M04-S02'!$AD$18:$AD$199,2*(ROWS(M$151:M168)-1)+1),3)),"")</f>
        <v/>
      </c>
      <c r="N168" s="219"/>
      <c r="O168" s="37" t="str">
        <f ca="1">IFERROR(IF(AC168&lt;&gt;"","",INDEX('M04-S02'!$AO$18:$AO$199,2*(ROWS(O$151:O168)-1)+1)),"")</f>
        <v/>
      </c>
      <c r="P168" s="37" t="str">
        <f ca="1">IFERROR(IF(AC168&lt;&gt;"","",INDEX('M04-S02'!$BF$18:$BF$199,2*(ROWS(P$151:P168)-1)+1)),"")</f>
        <v/>
      </c>
      <c r="Q168" s="37" t="str">
        <f ca="1">IFERROR(IF(AC168&lt;&gt;"","",INDEX('M04-S02'!$BE$18:$BE$199,2*(ROWS(Q$151:Q168)-1)+1)),"")</f>
        <v/>
      </c>
      <c r="R168" s="14" t="str">
        <f ca="1">IFERROR(IF(AC168&lt;&gt;"","",INDEX('M04-S02'!$AR$18:$AR$199,2*(ROWS(R$151:R168)-1)+1)),"")</f>
        <v/>
      </c>
      <c r="S168" s="14">
        <f ca="1">IFERROR(ROUND(IF(AC168&lt;&gt;"",INDEX('M04-S02'!$AH$18:$AH$199,2*(ROWS(S$151:S168)-1)+1),""),2),"")</f>
        <v>0</v>
      </c>
      <c r="T168" s="14">
        <f ca="1">IFERROR(ROUND(IF(AC168&lt;&gt;"",INDEX('M04-S02'!$AJ$18:$AJ$199,2*(ROWS(T$151:T168)-1)+1),""),2),"")</f>
        <v>0</v>
      </c>
      <c r="U168" s="14" t="str">
        <f ca="1">IFERROR(ROUND(IF(AC168&lt;&gt;"",INDEX('M04-S02'!$AL$18:$AL$199,2*(ROWS(U$151:U168)-1)+1),""),2),"")</f>
        <v/>
      </c>
      <c r="V168" t="str">
        <f t="shared" ca="1" si="15"/>
        <v>Total</v>
      </c>
      <c r="W168" s="10">
        <f ca="1">IFERROR(IF(AC168&lt;&gt;"",ROUND(INDEX('M04-S02'!$M$18:$M$199,2*(ROWS(W$151:W168)-1)+1),3),""),"")</f>
        <v>0</v>
      </c>
      <c r="X168" s="10">
        <f ca="1">IFERROR(IF(AC168&lt;&gt;"",ROUND(INDEX('M04-S02'!$AD$18:$AD$199,2*(ROWS(X$151:X168)-1)+1),3),""),"")</f>
        <v>0</v>
      </c>
      <c r="Y168" s="210"/>
      <c r="Z168" s="31" t="str">
        <f ca="1">IFERROR(IF(AC168&lt;&gt;"",INDEX('M04-S02'!$AO$18:$AO$199,2*(ROWS(Z$151:Z168)-1)+1),""),"")</f>
        <v/>
      </c>
      <c r="AA168" s="37" t="str">
        <f ca="1">IFERROR(IF(AC168&lt;&gt;"",INDEX('M04-S02'!$BF$18:$BF$199,2*(ROWS(AA$151:AA168)-1)+1),""),"")</f>
        <v/>
      </c>
      <c r="AB168" s="37" t="str">
        <f ca="1">IFERROR(IF(AC168&lt;&gt;"",INDEX('M04-S02'!$BE$18:$BE$199,2*(ROWS(AB$151:AB168)-1)+1),""),"")</f>
        <v/>
      </c>
      <c r="AC168" t="str">
        <f ca="1">IFERROR(INDEX('M04-S02'!$BL$18:$BL$199,2*(ROWS(AC$151:AC168)-1)+1),"")</f>
        <v>Enter Utility Rate (Building Info Tab)</v>
      </c>
      <c r="AD168" s="37" t="str" cm="1">
        <f t="array" ref="AD168">IFERROR(INDEX('M04-S02'!$BA$18:$BA$199,2*(ROWS(AD$151:AD168)-1)+1),"")</f>
        <v/>
      </c>
      <c r="AE168" s="37" t="str" cm="1">
        <f t="array" ref="AE168">IFERROR(INDEX('M04-S02'!$BB$18:$BB$199,2*(ROWS(AE$151:AE168)-1)+1),"")</f>
        <v/>
      </c>
      <c r="AF168" s="31" t="str">
        <f>IFERROR(INDEX('M04-S02'!$O$18:$O$199,2*(ROWS(AF$151:AF168)-1)+1),"")</f>
        <v/>
      </c>
      <c r="AG168" s="31">
        <f>IFERROR(INDEX('M04-S02'!$AF$18:$AF$199,2*(ROWS(AG$151:AG168)-1)+1),"")</f>
        <v>0</v>
      </c>
      <c r="AH168" s="210"/>
      <c r="AI168">
        <f>IFERROR(INDEX('M04-S02'!$B$18:$B$199,2*(ROWS(AI$151:AI168)-1)+1),"")</f>
        <v>18</v>
      </c>
      <c r="AJ168">
        <f>IFERROR(INDEX('M04-S02'!$G$18:$G$199,2*(ROWS(AJ$151:AJ168)-1)+1),"")</f>
        <v>0</v>
      </c>
      <c r="AK168">
        <f>IFERROR(INDEX('M04-S02'!$S$18:$S$199,2*(ROWS(AK$151:AK168)-1)+1),"")</f>
        <v>0</v>
      </c>
      <c r="AL168">
        <f>IFERROR(INDEX('M04-S02'!$K$18:$K$199,2*(ROWS(AL$151:AL168)-1)+1),"")</f>
        <v>0</v>
      </c>
      <c r="AM168">
        <f>IFERROR(INDEX('M04-S02'!$Z$18:$Z$199,2*(ROWS(AM$151:AM168)-1)+1),"")</f>
        <v>0</v>
      </c>
      <c r="AN168" s="14" t="str">
        <f>IFERROR(INDEX('M04-S02'!$AX$18:$AX$199,2*(ROWS(AN$151:AN168)-1)+1),"")</f>
        <v/>
      </c>
      <c r="AO168" s="14" t="str">
        <f>IFERROR(INDEX('M04-S02'!$AY$18:$AY$199,2*(ROWS(AO$151:AO168)-1)+1),"")</f>
        <v/>
      </c>
      <c r="AP168" t="str">
        <f>IFERROR(INDEX('M04-S02'!$AZ$18:$AZ$199,2*(ROWS(AP$151:AP168)-1)+1),"")</f>
        <v/>
      </c>
      <c r="AQ168" t="str">
        <f>IFERROR(INDEX('M04-S02'!$BC$18:$BC$199,2*(ROWS(AQ$151:AQ168)-1)+1),"")</f>
        <v/>
      </c>
      <c r="AR168" t="s">
        <v>1254</v>
      </c>
      <c r="AT168" s="176"/>
      <c r="AU168" s="176"/>
      <c r="AV168" s="176"/>
      <c r="AW168" s="176"/>
      <c r="AX168" s="176"/>
      <c r="AY168" s="176"/>
      <c r="AZ168" s="176"/>
      <c r="BA168" s="176"/>
      <c r="BB168" s="176"/>
      <c r="BC168" s="176"/>
      <c r="BD168" s="176"/>
      <c r="BE168" s="176"/>
    </row>
    <row r="169" spans="1:57" customFormat="1" hidden="1">
      <c r="A169" s="15">
        <f t="shared" si="13"/>
        <v>0</v>
      </c>
      <c r="B169" t="str">
        <f t="shared" si="16"/>
        <v/>
      </c>
      <c r="C169" t="str">
        <f>IFERROR(IF(INDEX('M04-S02'!$BJ$18:$BJ$199,2*(ROWS($C$151:C169)-1)+1)="","",INDEX('M04-S02'!$BJ$18:$BJ$199,2*(ROWS($C$151:C169)-1)+1)),"")</f>
        <v/>
      </c>
      <c r="D169" t="s">
        <v>135</v>
      </c>
      <c r="E169" t="str">
        <f>IFERROR(INDEX('M04-S02'!$BD$18:$BD$199,2*(ROWS(E$151:E169)-1)+1),"")</f>
        <v/>
      </c>
      <c r="F169" s="31">
        <f>IFERROR(INDEX('M04-S02'!$Q$18:$Q$199,2*(ROWS(F$151:F169)-1)+1),"")</f>
        <v>0</v>
      </c>
      <c r="G169" t="str">
        <f>IFERROR(INDEX('M04-S02'!$E$18:$E$199,2*(ROWS($G$151:G169)-1)+1)&amp;" - "&amp;INDEX('M04-S02'!$C$18:$C$199,2*(ROWS($G$151:G169)-1)+1),"")</f>
        <v xml:space="preserve"> - </v>
      </c>
      <c r="H169" s="14" t="str">
        <f ca="1">IFERROR(ROUND(IF(AC169&lt;&gt;"","",INDEX('M04-S02'!$AH$18:$AH$199,2*(ROWS(H$151:H169)-1)+1)),2),"")</f>
        <v/>
      </c>
      <c r="I169" s="14" t="str">
        <f ca="1">IFERROR(ROUND(IF(AC169&lt;&gt;"","",INDEX('M04-S02'!$AJ$18:$AJ$199,2*(ROWS(I$151:I169)-1)+1)),2),"")</f>
        <v/>
      </c>
      <c r="J169" s="14" t="str">
        <f ca="1">IFERROR(ROUND(IF(AC169&lt;&gt;"","",INDEX('M04-S02'!$AL$18:$AL$199,2*(ROWS(J$151:J169)-1)+1)),2),"")</f>
        <v/>
      </c>
      <c r="K169" t="str">
        <f t="shared" ca="1" si="14"/>
        <v/>
      </c>
      <c r="L169" s="10" t="str">
        <f ca="1">IFERROR(IF(AC169&lt;&gt;"","",ROUND(INDEX('M04-S02'!$M$18:$M$199,2*(ROWS(L$151:L169)-1)+1),3)),"")</f>
        <v/>
      </c>
      <c r="M169" s="10" t="str">
        <f ca="1">IFERROR(IF(AC169&lt;&gt;"","",ROUND(INDEX('M04-S02'!$AD$18:$AD$199,2*(ROWS(M$151:M169)-1)+1),3)),"")</f>
        <v/>
      </c>
      <c r="N169" s="219"/>
      <c r="O169" s="37" t="str">
        <f ca="1">IFERROR(IF(AC169&lt;&gt;"","",INDEX('M04-S02'!$AO$18:$AO$199,2*(ROWS(O$151:O169)-1)+1)),"")</f>
        <v/>
      </c>
      <c r="P169" s="37" t="str">
        <f ca="1">IFERROR(IF(AC169&lt;&gt;"","",INDEX('M04-S02'!$BF$18:$BF$199,2*(ROWS(P$151:P169)-1)+1)),"")</f>
        <v/>
      </c>
      <c r="Q169" s="37" t="str">
        <f ca="1">IFERROR(IF(AC169&lt;&gt;"","",INDEX('M04-S02'!$BE$18:$BE$199,2*(ROWS(Q$151:Q169)-1)+1)),"")</f>
        <v/>
      </c>
      <c r="R169" s="14" t="str">
        <f ca="1">IFERROR(IF(AC169&lt;&gt;"","",INDEX('M04-S02'!$AR$18:$AR$199,2*(ROWS(R$151:R169)-1)+1)),"")</f>
        <v/>
      </c>
      <c r="S169" s="14">
        <f ca="1">IFERROR(ROUND(IF(AC169&lt;&gt;"",INDEX('M04-S02'!$AH$18:$AH$199,2*(ROWS(S$151:S169)-1)+1),""),2),"")</f>
        <v>0</v>
      </c>
      <c r="T169" s="14">
        <f ca="1">IFERROR(ROUND(IF(AC169&lt;&gt;"",INDEX('M04-S02'!$AJ$18:$AJ$199,2*(ROWS(T$151:T169)-1)+1),""),2),"")</f>
        <v>0</v>
      </c>
      <c r="U169" s="14" t="str">
        <f ca="1">IFERROR(ROUND(IF(AC169&lt;&gt;"",INDEX('M04-S02'!$AL$18:$AL$199,2*(ROWS(U$151:U169)-1)+1),""),2),"")</f>
        <v/>
      </c>
      <c r="V169" t="str">
        <f t="shared" ca="1" si="15"/>
        <v>Total</v>
      </c>
      <c r="W169" s="10">
        <f ca="1">IFERROR(IF(AC169&lt;&gt;"",ROUND(INDEX('M04-S02'!$M$18:$M$199,2*(ROWS(W$151:W169)-1)+1),3),""),"")</f>
        <v>0</v>
      </c>
      <c r="X169" s="10">
        <f ca="1">IFERROR(IF(AC169&lt;&gt;"",ROUND(INDEX('M04-S02'!$AD$18:$AD$199,2*(ROWS(X$151:X169)-1)+1),3),""),"")</f>
        <v>0</v>
      </c>
      <c r="Y169" s="210"/>
      <c r="Z169" s="31" t="str">
        <f ca="1">IFERROR(IF(AC169&lt;&gt;"",INDEX('M04-S02'!$AO$18:$AO$199,2*(ROWS(Z$151:Z169)-1)+1),""),"")</f>
        <v/>
      </c>
      <c r="AA169" s="37" t="str">
        <f ca="1">IFERROR(IF(AC169&lt;&gt;"",INDEX('M04-S02'!$BF$18:$BF$199,2*(ROWS(AA$151:AA169)-1)+1),""),"")</f>
        <v/>
      </c>
      <c r="AB169" s="37" t="str">
        <f ca="1">IFERROR(IF(AC169&lt;&gt;"",INDEX('M04-S02'!$BE$18:$BE$199,2*(ROWS(AB$151:AB169)-1)+1),""),"")</f>
        <v/>
      </c>
      <c r="AC169" t="str">
        <f ca="1">IFERROR(INDEX('M04-S02'!$BL$18:$BL$199,2*(ROWS(AC$151:AC169)-1)+1),"")</f>
        <v>Enter Utility Rate (Building Info Tab)</v>
      </c>
      <c r="AD169" s="37" t="str" cm="1">
        <f t="array" ref="AD169">IFERROR(INDEX('M04-S02'!$BA$18:$BA$199,2*(ROWS(AD$151:AD169)-1)+1),"")</f>
        <v/>
      </c>
      <c r="AE169" s="37" t="str" cm="1">
        <f t="array" ref="AE169">IFERROR(INDEX('M04-S02'!$BB$18:$BB$199,2*(ROWS(AE$151:AE169)-1)+1),"")</f>
        <v/>
      </c>
      <c r="AF169" s="31" t="str">
        <f>IFERROR(INDEX('M04-S02'!$O$18:$O$199,2*(ROWS(AF$151:AF169)-1)+1),"")</f>
        <v/>
      </c>
      <c r="AG169" s="31">
        <f>IFERROR(INDEX('M04-S02'!$AF$18:$AF$199,2*(ROWS(AG$151:AG169)-1)+1),"")</f>
        <v>0</v>
      </c>
      <c r="AH169" s="210"/>
      <c r="AI169">
        <f>IFERROR(INDEX('M04-S02'!$B$18:$B$199,2*(ROWS(AI$151:AI169)-1)+1),"")</f>
        <v>19</v>
      </c>
      <c r="AJ169">
        <f>IFERROR(INDEX('M04-S02'!$G$18:$G$199,2*(ROWS(AJ$151:AJ169)-1)+1),"")</f>
        <v>0</v>
      </c>
      <c r="AK169">
        <f>IFERROR(INDEX('M04-S02'!$S$18:$S$199,2*(ROWS(AK$151:AK169)-1)+1),"")</f>
        <v>0</v>
      </c>
      <c r="AL169">
        <f>IFERROR(INDEX('M04-S02'!$K$18:$K$199,2*(ROWS(AL$151:AL169)-1)+1),"")</f>
        <v>0</v>
      </c>
      <c r="AM169">
        <f>IFERROR(INDEX('M04-S02'!$Z$18:$Z$199,2*(ROWS(AM$151:AM169)-1)+1),"")</f>
        <v>0</v>
      </c>
      <c r="AN169" s="14" t="str">
        <f>IFERROR(INDEX('M04-S02'!$AX$18:$AX$199,2*(ROWS(AN$151:AN169)-1)+1),"")</f>
        <v/>
      </c>
      <c r="AO169" s="14" t="str">
        <f>IFERROR(INDEX('M04-S02'!$AY$18:$AY$199,2*(ROWS(AO$151:AO169)-1)+1),"")</f>
        <v/>
      </c>
      <c r="AP169" t="str">
        <f>IFERROR(INDEX('M04-S02'!$AZ$18:$AZ$199,2*(ROWS(AP$151:AP169)-1)+1),"")</f>
        <v/>
      </c>
      <c r="AQ169" t="str">
        <f>IFERROR(INDEX('M04-S02'!$BC$18:$BC$199,2*(ROWS(AQ$151:AQ169)-1)+1),"")</f>
        <v/>
      </c>
      <c r="AR169" t="s">
        <v>1254</v>
      </c>
      <c r="AT169" s="176"/>
      <c r="AU169" s="176"/>
      <c r="AV169" s="176"/>
      <c r="AW169" s="176"/>
      <c r="AX169" s="176"/>
      <c r="AY169" s="176"/>
      <c r="AZ169" s="176"/>
      <c r="BA169" s="176"/>
      <c r="BB169" s="176"/>
      <c r="BC169" s="176"/>
      <c r="BD169" s="176"/>
      <c r="BE169" s="176"/>
    </row>
    <row r="170" spans="1:57" customFormat="1" hidden="1">
      <c r="A170" s="15">
        <f t="shared" si="13"/>
        <v>0</v>
      </c>
      <c r="B170" t="str">
        <f t="shared" si="16"/>
        <v/>
      </c>
      <c r="C170" t="str">
        <f>IFERROR(IF(INDEX('M04-S02'!$BJ$18:$BJ$199,2*(ROWS($C$151:C170)-1)+1)="","",INDEX('M04-S02'!$BJ$18:$BJ$199,2*(ROWS($C$151:C170)-1)+1)),"")</f>
        <v/>
      </c>
      <c r="D170" t="s">
        <v>135</v>
      </c>
      <c r="E170" t="str">
        <f>IFERROR(INDEX('M04-S02'!$BD$18:$BD$199,2*(ROWS(E$151:E170)-1)+1),"")</f>
        <v/>
      </c>
      <c r="F170" s="31">
        <f>IFERROR(INDEX('M04-S02'!$Q$18:$Q$199,2*(ROWS(F$151:F170)-1)+1),"")</f>
        <v>0</v>
      </c>
      <c r="G170" t="str">
        <f>IFERROR(INDEX('M04-S02'!$E$18:$E$199,2*(ROWS($G$151:G170)-1)+1)&amp;" - "&amp;INDEX('M04-S02'!$C$18:$C$199,2*(ROWS($G$151:G170)-1)+1),"")</f>
        <v xml:space="preserve"> - </v>
      </c>
      <c r="H170" s="14" t="str">
        <f ca="1">IFERROR(ROUND(IF(AC170&lt;&gt;"","",INDEX('M04-S02'!$AH$18:$AH$199,2*(ROWS(H$151:H170)-1)+1)),2),"")</f>
        <v/>
      </c>
      <c r="I170" s="14" t="str">
        <f ca="1">IFERROR(ROUND(IF(AC170&lt;&gt;"","",INDEX('M04-S02'!$AJ$18:$AJ$199,2*(ROWS(I$151:I170)-1)+1)),2),"")</f>
        <v/>
      </c>
      <c r="J170" s="14" t="str">
        <f ca="1">IFERROR(ROUND(IF(AC170&lt;&gt;"","",INDEX('M04-S02'!$AL$18:$AL$199,2*(ROWS(J$151:J170)-1)+1)),2),"")</f>
        <v/>
      </c>
      <c r="K170" t="str">
        <f t="shared" ca="1" si="14"/>
        <v/>
      </c>
      <c r="L170" s="10" t="str">
        <f ca="1">IFERROR(IF(AC170&lt;&gt;"","",ROUND(INDEX('M04-S02'!$M$18:$M$199,2*(ROWS(L$151:L170)-1)+1),3)),"")</f>
        <v/>
      </c>
      <c r="M170" s="10" t="str">
        <f ca="1">IFERROR(IF(AC170&lt;&gt;"","",ROUND(INDEX('M04-S02'!$AD$18:$AD$199,2*(ROWS(M$151:M170)-1)+1),3)),"")</f>
        <v/>
      </c>
      <c r="N170" s="219"/>
      <c r="O170" s="37" t="str">
        <f ca="1">IFERROR(IF(AC170&lt;&gt;"","",INDEX('M04-S02'!$AO$18:$AO$199,2*(ROWS(O$151:O170)-1)+1)),"")</f>
        <v/>
      </c>
      <c r="P170" s="37" t="str">
        <f ca="1">IFERROR(IF(AC170&lt;&gt;"","",INDEX('M04-S02'!$BF$18:$BF$199,2*(ROWS(P$151:P170)-1)+1)),"")</f>
        <v/>
      </c>
      <c r="Q170" s="37" t="str">
        <f ca="1">IFERROR(IF(AC170&lt;&gt;"","",INDEX('M04-S02'!$BE$18:$BE$199,2*(ROWS(Q$151:Q170)-1)+1)),"")</f>
        <v/>
      </c>
      <c r="R170" s="14" t="str">
        <f ca="1">IFERROR(IF(AC170&lt;&gt;"","",INDEX('M04-S02'!$AR$18:$AR$199,2*(ROWS(R$151:R170)-1)+1)),"")</f>
        <v/>
      </c>
      <c r="S170" s="14">
        <f ca="1">IFERROR(ROUND(IF(AC170&lt;&gt;"",INDEX('M04-S02'!$AH$18:$AH$199,2*(ROWS(S$151:S170)-1)+1),""),2),"")</f>
        <v>0</v>
      </c>
      <c r="T170" s="14">
        <f ca="1">IFERROR(ROUND(IF(AC170&lt;&gt;"",INDEX('M04-S02'!$AJ$18:$AJ$199,2*(ROWS(T$151:T170)-1)+1),""),2),"")</f>
        <v>0</v>
      </c>
      <c r="U170" s="14" t="str">
        <f ca="1">IFERROR(ROUND(IF(AC170&lt;&gt;"",INDEX('M04-S02'!$AL$18:$AL$199,2*(ROWS(U$151:U170)-1)+1),""),2),"")</f>
        <v/>
      </c>
      <c r="V170" t="str">
        <f t="shared" ca="1" si="15"/>
        <v>Total</v>
      </c>
      <c r="W170" s="10">
        <f ca="1">IFERROR(IF(AC170&lt;&gt;"",ROUND(INDEX('M04-S02'!$M$18:$M$199,2*(ROWS(W$151:W170)-1)+1),3),""),"")</f>
        <v>0</v>
      </c>
      <c r="X170" s="10">
        <f ca="1">IFERROR(IF(AC170&lt;&gt;"",ROUND(INDEX('M04-S02'!$AD$18:$AD$199,2*(ROWS(X$151:X170)-1)+1),3),""),"")</f>
        <v>0</v>
      </c>
      <c r="Y170" s="210"/>
      <c r="Z170" s="31" t="str">
        <f ca="1">IFERROR(IF(AC170&lt;&gt;"",INDEX('M04-S02'!$AO$18:$AO$199,2*(ROWS(Z$151:Z170)-1)+1),""),"")</f>
        <v/>
      </c>
      <c r="AA170" s="37" t="str">
        <f ca="1">IFERROR(IF(AC170&lt;&gt;"",INDEX('M04-S02'!$BF$18:$BF$199,2*(ROWS(AA$151:AA170)-1)+1),""),"")</f>
        <v/>
      </c>
      <c r="AB170" s="37" t="str">
        <f ca="1">IFERROR(IF(AC170&lt;&gt;"",INDEX('M04-S02'!$BE$18:$BE$199,2*(ROWS(AB$151:AB170)-1)+1),""),"")</f>
        <v/>
      </c>
      <c r="AC170" t="str">
        <f ca="1">IFERROR(INDEX('M04-S02'!$BL$18:$BL$199,2*(ROWS(AC$151:AC170)-1)+1),"")</f>
        <v>Enter Utility Rate (Building Info Tab)</v>
      </c>
      <c r="AD170" s="37" t="str" cm="1">
        <f t="array" ref="AD170">IFERROR(INDEX('M04-S02'!$BA$18:$BA$199,2*(ROWS(AD$151:AD170)-1)+1),"")</f>
        <v/>
      </c>
      <c r="AE170" s="37" t="str" cm="1">
        <f t="array" ref="AE170">IFERROR(INDEX('M04-S02'!$BB$18:$BB$199,2*(ROWS(AE$151:AE170)-1)+1),"")</f>
        <v/>
      </c>
      <c r="AF170" s="31" t="str">
        <f>IFERROR(INDEX('M04-S02'!$O$18:$O$199,2*(ROWS(AF$151:AF170)-1)+1),"")</f>
        <v/>
      </c>
      <c r="AG170" s="31">
        <f>IFERROR(INDEX('M04-S02'!$AF$18:$AF$199,2*(ROWS(AG$151:AG170)-1)+1),"")</f>
        <v>0</v>
      </c>
      <c r="AH170" s="210"/>
      <c r="AI170">
        <f>IFERROR(INDEX('M04-S02'!$B$18:$B$199,2*(ROWS(AI$151:AI170)-1)+1),"")</f>
        <v>20</v>
      </c>
      <c r="AJ170">
        <f>IFERROR(INDEX('M04-S02'!$G$18:$G$199,2*(ROWS(AJ$151:AJ170)-1)+1),"")</f>
        <v>0</v>
      </c>
      <c r="AK170">
        <f>IFERROR(INDEX('M04-S02'!$S$18:$S$199,2*(ROWS(AK$151:AK170)-1)+1),"")</f>
        <v>0</v>
      </c>
      <c r="AL170">
        <f>IFERROR(INDEX('M04-S02'!$K$18:$K$199,2*(ROWS(AL$151:AL170)-1)+1),"")</f>
        <v>0</v>
      </c>
      <c r="AM170">
        <f>IFERROR(INDEX('M04-S02'!$Z$18:$Z$199,2*(ROWS(AM$151:AM170)-1)+1),"")</f>
        <v>0</v>
      </c>
      <c r="AN170" s="14" t="str">
        <f>IFERROR(INDEX('M04-S02'!$AX$18:$AX$199,2*(ROWS(AN$151:AN170)-1)+1),"")</f>
        <v/>
      </c>
      <c r="AO170" s="14" t="str">
        <f>IFERROR(INDEX('M04-S02'!$AY$18:$AY$199,2*(ROWS(AO$151:AO170)-1)+1),"")</f>
        <v/>
      </c>
      <c r="AP170" t="str">
        <f>IFERROR(INDEX('M04-S02'!$AZ$18:$AZ$199,2*(ROWS(AP$151:AP170)-1)+1),"")</f>
        <v/>
      </c>
      <c r="AQ170" t="str">
        <f>IFERROR(INDEX('M04-S02'!$BC$18:$BC$199,2*(ROWS(AQ$151:AQ170)-1)+1),"")</f>
        <v/>
      </c>
      <c r="AR170" t="s">
        <v>1254</v>
      </c>
      <c r="AT170" s="176"/>
      <c r="AU170" s="176"/>
      <c r="AV170" s="176"/>
      <c r="AW170" s="176"/>
      <c r="AX170" s="176"/>
      <c r="AY170" s="176"/>
      <c r="AZ170" s="176"/>
      <c r="BA170" s="176"/>
      <c r="BB170" s="176"/>
      <c r="BC170" s="176"/>
      <c r="BD170" s="176"/>
      <c r="BE170" s="176"/>
    </row>
    <row r="171" spans="1:57" customFormat="1" hidden="1">
      <c r="A171" s="15">
        <f t="shared" si="13"/>
        <v>0</v>
      </c>
      <c r="B171" t="str">
        <f t="shared" si="16"/>
        <v/>
      </c>
      <c r="C171" t="str">
        <f>IFERROR(IF(INDEX('M04-S02'!$BJ$18:$BJ$199,2*(ROWS($C$151:C171)-1)+1)="","",INDEX('M04-S02'!$BJ$18:$BJ$199,2*(ROWS($C$151:C171)-1)+1)),"")</f>
        <v/>
      </c>
      <c r="D171" t="s">
        <v>135</v>
      </c>
      <c r="E171" t="str">
        <f>IFERROR(INDEX('M04-S02'!$BD$18:$BD$199,2*(ROWS(E$151:E171)-1)+1),"")</f>
        <v/>
      </c>
      <c r="F171" s="31">
        <f>IFERROR(INDEX('M04-S02'!$Q$18:$Q$199,2*(ROWS(F$151:F171)-1)+1),"")</f>
        <v>0</v>
      </c>
      <c r="G171" t="str">
        <f>IFERROR(INDEX('M04-S02'!$E$18:$E$199,2*(ROWS($G$151:G171)-1)+1)&amp;" - "&amp;INDEX('M04-S02'!$C$18:$C$199,2*(ROWS($G$151:G171)-1)+1),"")</f>
        <v xml:space="preserve"> - </v>
      </c>
      <c r="H171" s="14" t="str">
        <f ca="1">IFERROR(ROUND(IF(AC171&lt;&gt;"","",INDEX('M04-S02'!$AH$18:$AH$199,2*(ROWS(H$151:H171)-1)+1)),2),"")</f>
        <v/>
      </c>
      <c r="I171" s="14" t="str">
        <f ca="1">IFERROR(ROUND(IF(AC171&lt;&gt;"","",INDEX('M04-S02'!$AJ$18:$AJ$199,2*(ROWS(I$151:I171)-1)+1)),2),"")</f>
        <v/>
      </c>
      <c r="J171" s="14" t="str">
        <f ca="1">IFERROR(ROUND(IF(AC171&lt;&gt;"","",INDEX('M04-S02'!$AL$18:$AL$199,2*(ROWS(J$151:J171)-1)+1)),2),"")</f>
        <v/>
      </c>
      <c r="K171" t="str">
        <f t="shared" ca="1" si="14"/>
        <v/>
      </c>
      <c r="L171" s="10" t="str">
        <f ca="1">IFERROR(IF(AC171&lt;&gt;"","",ROUND(INDEX('M04-S02'!$M$18:$M$199,2*(ROWS(L$151:L171)-1)+1),3)),"")</f>
        <v/>
      </c>
      <c r="M171" s="10" t="str">
        <f ca="1">IFERROR(IF(AC171&lt;&gt;"","",ROUND(INDEX('M04-S02'!$AD$18:$AD$199,2*(ROWS(M$151:M171)-1)+1),3)),"")</f>
        <v/>
      </c>
      <c r="N171" s="219"/>
      <c r="O171" s="37" t="str">
        <f ca="1">IFERROR(IF(AC171&lt;&gt;"","",INDEX('M04-S02'!$AO$18:$AO$199,2*(ROWS(O$151:O171)-1)+1)),"")</f>
        <v/>
      </c>
      <c r="P171" s="37" t="str">
        <f ca="1">IFERROR(IF(AC171&lt;&gt;"","",INDEX('M04-S02'!$BF$18:$BF$199,2*(ROWS(P$151:P171)-1)+1)),"")</f>
        <v/>
      </c>
      <c r="Q171" s="37" t="str">
        <f ca="1">IFERROR(IF(AC171&lt;&gt;"","",INDEX('M04-S02'!$BE$18:$BE$199,2*(ROWS(Q$151:Q171)-1)+1)),"")</f>
        <v/>
      </c>
      <c r="R171" s="14" t="str">
        <f ca="1">IFERROR(IF(AC171&lt;&gt;"","",INDEX('M04-S02'!$AR$18:$AR$199,2*(ROWS(R$151:R171)-1)+1)),"")</f>
        <v/>
      </c>
      <c r="S171" s="14">
        <f ca="1">IFERROR(ROUND(IF(AC171&lt;&gt;"",INDEX('M04-S02'!$AH$18:$AH$199,2*(ROWS(S$151:S171)-1)+1),""),2),"")</f>
        <v>0</v>
      </c>
      <c r="T171" s="14">
        <f ca="1">IFERROR(ROUND(IF(AC171&lt;&gt;"",INDEX('M04-S02'!$AJ$18:$AJ$199,2*(ROWS(T$151:T171)-1)+1),""),2),"")</f>
        <v>0</v>
      </c>
      <c r="U171" s="14" t="str">
        <f ca="1">IFERROR(ROUND(IF(AC171&lt;&gt;"",INDEX('M04-S02'!$AL$18:$AL$199,2*(ROWS(U$151:U171)-1)+1),""),2),"")</f>
        <v/>
      </c>
      <c r="V171" t="str">
        <f t="shared" ca="1" si="15"/>
        <v>Total</v>
      </c>
      <c r="W171" s="10">
        <f ca="1">IFERROR(IF(AC171&lt;&gt;"",ROUND(INDEX('M04-S02'!$M$18:$M$199,2*(ROWS(W$151:W171)-1)+1),3),""),"")</f>
        <v>0</v>
      </c>
      <c r="X171" s="10">
        <f ca="1">IFERROR(IF(AC171&lt;&gt;"",ROUND(INDEX('M04-S02'!$AD$18:$AD$199,2*(ROWS(X$151:X171)-1)+1),3),""),"")</f>
        <v>0</v>
      </c>
      <c r="Y171" s="210"/>
      <c r="Z171" s="31" t="str">
        <f ca="1">IFERROR(IF(AC171&lt;&gt;"",INDEX('M04-S02'!$AO$18:$AO$199,2*(ROWS(Z$151:Z171)-1)+1),""),"")</f>
        <v/>
      </c>
      <c r="AA171" s="37" t="str">
        <f ca="1">IFERROR(IF(AC171&lt;&gt;"",INDEX('M04-S02'!$BF$18:$BF$199,2*(ROWS(AA$151:AA171)-1)+1),""),"")</f>
        <v/>
      </c>
      <c r="AB171" s="37" t="str">
        <f ca="1">IFERROR(IF(AC171&lt;&gt;"",INDEX('M04-S02'!$BE$18:$BE$199,2*(ROWS(AB$151:AB171)-1)+1),""),"")</f>
        <v/>
      </c>
      <c r="AC171" t="str">
        <f ca="1">IFERROR(INDEX('M04-S02'!$BL$18:$BL$199,2*(ROWS(AC$151:AC171)-1)+1),"")</f>
        <v>Enter Utility Rate (Building Info Tab)</v>
      </c>
      <c r="AD171" s="37" t="str" cm="1">
        <f t="array" ref="AD171">IFERROR(INDEX('M04-S02'!$BA$18:$BA$199,2*(ROWS(AD$151:AD171)-1)+1),"")</f>
        <v/>
      </c>
      <c r="AE171" s="37" t="str" cm="1">
        <f t="array" ref="AE171">IFERROR(INDEX('M04-S02'!$BB$18:$BB$199,2*(ROWS(AE$151:AE171)-1)+1),"")</f>
        <v/>
      </c>
      <c r="AF171" s="31" t="str">
        <f>IFERROR(INDEX('M04-S02'!$O$18:$O$199,2*(ROWS(AF$151:AF171)-1)+1),"")</f>
        <v/>
      </c>
      <c r="AG171" s="31">
        <f>IFERROR(INDEX('M04-S02'!$AF$18:$AF$199,2*(ROWS(AG$151:AG171)-1)+1),"")</f>
        <v>0</v>
      </c>
      <c r="AH171" s="210"/>
      <c r="AI171">
        <f>IFERROR(INDEX('M04-S02'!$B$18:$B$199,2*(ROWS(AI$151:AI171)-1)+1),"")</f>
        <v>21</v>
      </c>
      <c r="AJ171">
        <f>IFERROR(INDEX('M04-S02'!$G$18:$G$199,2*(ROWS(AJ$151:AJ171)-1)+1),"")</f>
        <v>0</v>
      </c>
      <c r="AK171">
        <f>IFERROR(INDEX('M04-S02'!$S$18:$S$199,2*(ROWS(AK$151:AK171)-1)+1),"")</f>
        <v>0</v>
      </c>
      <c r="AL171">
        <f>IFERROR(INDEX('M04-S02'!$K$18:$K$199,2*(ROWS(AL$151:AL171)-1)+1),"")</f>
        <v>0</v>
      </c>
      <c r="AM171">
        <f>IFERROR(INDEX('M04-S02'!$Z$18:$Z$199,2*(ROWS(AM$151:AM171)-1)+1),"")</f>
        <v>0</v>
      </c>
      <c r="AN171" s="14" t="str">
        <f>IFERROR(INDEX('M04-S02'!$AX$18:$AX$199,2*(ROWS(AN$151:AN171)-1)+1),"")</f>
        <v/>
      </c>
      <c r="AO171" s="14" t="str">
        <f>IFERROR(INDEX('M04-S02'!$AY$18:$AY$199,2*(ROWS(AO$151:AO171)-1)+1),"")</f>
        <v/>
      </c>
      <c r="AP171" t="str">
        <f>IFERROR(INDEX('M04-S02'!$AZ$18:$AZ$199,2*(ROWS(AP$151:AP171)-1)+1),"")</f>
        <v/>
      </c>
      <c r="AQ171" t="str">
        <f>IFERROR(INDEX('M04-S02'!$BC$18:$BC$199,2*(ROWS(AQ$151:AQ171)-1)+1),"")</f>
        <v/>
      </c>
      <c r="AR171" t="s">
        <v>1254</v>
      </c>
      <c r="AT171" s="176"/>
      <c r="AU171" s="176"/>
      <c r="AV171" s="176"/>
      <c r="AW171" s="176"/>
      <c r="AX171" s="176"/>
      <c r="AY171" s="176"/>
      <c r="AZ171" s="176"/>
      <c r="BA171" s="176"/>
      <c r="BB171" s="176"/>
      <c r="BC171" s="176"/>
      <c r="BD171" s="176"/>
      <c r="BE171" s="176"/>
    </row>
    <row r="172" spans="1:57" customFormat="1" hidden="1">
      <c r="A172" s="15">
        <f t="shared" si="13"/>
        <v>0</v>
      </c>
      <c r="B172" t="str">
        <f t="shared" si="16"/>
        <v/>
      </c>
      <c r="C172" t="str">
        <f>IFERROR(IF(INDEX('M04-S02'!$BJ$18:$BJ$199,2*(ROWS($C$151:C172)-1)+1)="","",INDEX('M04-S02'!$BJ$18:$BJ$199,2*(ROWS($C$151:C172)-1)+1)),"")</f>
        <v/>
      </c>
      <c r="D172" t="s">
        <v>135</v>
      </c>
      <c r="E172" t="str">
        <f>IFERROR(INDEX('M04-S02'!$BD$18:$BD$199,2*(ROWS(E$151:E172)-1)+1),"")</f>
        <v/>
      </c>
      <c r="F172" s="31">
        <f>IFERROR(INDEX('M04-S02'!$Q$18:$Q$199,2*(ROWS(F$151:F172)-1)+1),"")</f>
        <v>0</v>
      </c>
      <c r="G172" t="str">
        <f>IFERROR(INDEX('M04-S02'!$E$18:$E$199,2*(ROWS($G$151:G172)-1)+1)&amp;" - "&amp;INDEX('M04-S02'!$C$18:$C$199,2*(ROWS($G$151:G172)-1)+1),"")</f>
        <v xml:space="preserve"> - </v>
      </c>
      <c r="H172" s="14" t="str">
        <f ca="1">IFERROR(ROUND(IF(AC172&lt;&gt;"","",INDEX('M04-S02'!$AH$18:$AH$199,2*(ROWS(H$151:H172)-1)+1)),2),"")</f>
        <v/>
      </c>
      <c r="I172" s="14" t="str">
        <f ca="1">IFERROR(ROUND(IF(AC172&lt;&gt;"","",INDEX('M04-S02'!$AJ$18:$AJ$199,2*(ROWS(I$151:I172)-1)+1)),2),"")</f>
        <v/>
      </c>
      <c r="J172" s="14" t="str">
        <f ca="1">IFERROR(ROUND(IF(AC172&lt;&gt;"","",INDEX('M04-S02'!$AL$18:$AL$199,2*(ROWS(J$151:J172)-1)+1)),2),"")</f>
        <v/>
      </c>
      <c r="K172" t="str">
        <f t="shared" ca="1" si="14"/>
        <v/>
      </c>
      <c r="L172" s="10" t="str">
        <f ca="1">IFERROR(IF(AC172&lt;&gt;"","",ROUND(INDEX('M04-S02'!$M$18:$M$199,2*(ROWS(L$151:L172)-1)+1),3)),"")</f>
        <v/>
      </c>
      <c r="M172" s="10" t="str">
        <f ca="1">IFERROR(IF(AC172&lt;&gt;"","",ROUND(INDEX('M04-S02'!$AD$18:$AD$199,2*(ROWS(M$151:M172)-1)+1),3)),"")</f>
        <v/>
      </c>
      <c r="N172" s="219"/>
      <c r="O172" s="37" t="str">
        <f ca="1">IFERROR(IF(AC172&lt;&gt;"","",INDEX('M04-S02'!$AO$18:$AO$199,2*(ROWS(O$151:O172)-1)+1)),"")</f>
        <v/>
      </c>
      <c r="P172" s="37" t="str">
        <f ca="1">IFERROR(IF(AC172&lt;&gt;"","",INDEX('M04-S02'!$BF$18:$BF$199,2*(ROWS(P$151:P172)-1)+1)),"")</f>
        <v/>
      </c>
      <c r="Q172" s="37" t="str">
        <f ca="1">IFERROR(IF(AC172&lt;&gt;"","",INDEX('M04-S02'!$BE$18:$BE$199,2*(ROWS(Q$151:Q172)-1)+1)),"")</f>
        <v/>
      </c>
      <c r="R172" s="14" t="str">
        <f ca="1">IFERROR(IF(AC172&lt;&gt;"","",INDEX('M04-S02'!$AR$18:$AR$199,2*(ROWS(R$151:R172)-1)+1)),"")</f>
        <v/>
      </c>
      <c r="S172" s="14">
        <f ca="1">IFERROR(ROUND(IF(AC172&lt;&gt;"",INDEX('M04-S02'!$AH$18:$AH$199,2*(ROWS(S$151:S172)-1)+1),""),2),"")</f>
        <v>0</v>
      </c>
      <c r="T172" s="14">
        <f ca="1">IFERROR(ROUND(IF(AC172&lt;&gt;"",INDEX('M04-S02'!$AJ$18:$AJ$199,2*(ROWS(T$151:T172)-1)+1),""),2),"")</f>
        <v>0</v>
      </c>
      <c r="U172" s="14" t="str">
        <f ca="1">IFERROR(ROUND(IF(AC172&lt;&gt;"",INDEX('M04-S02'!$AL$18:$AL$199,2*(ROWS(U$151:U172)-1)+1),""),2),"")</f>
        <v/>
      </c>
      <c r="V172" t="str">
        <f t="shared" ca="1" si="15"/>
        <v>Total</v>
      </c>
      <c r="W172" s="10">
        <f ca="1">IFERROR(IF(AC172&lt;&gt;"",ROUND(INDEX('M04-S02'!$M$18:$M$199,2*(ROWS(W$151:W172)-1)+1),3),""),"")</f>
        <v>0</v>
      </c>
      <c r="X172" s="10">
        <f ca="1">IFERROR(IF(AC172&lt;&gt;"",ROUND(INDEX('M04-S02'!$AD$18:$AD$199,2*(ROWS(X$151:X172)-1)+1),3),""),"")</f>
        <v>0</v>
      </c>
      <c r="Y172" s="210"/>
      <c r="Z172" s="31" t="str">
        <f ca="1">IFERROR(IF(AC172&lt;&gt;"",INDEX('M04-S02'!$AO$18:$AO$199,2*(ROWS(Z$151:Z172)-1)+1),""),"")</f>
        <v/>
      </c>
      <c r="AA172" s="37" t="str">
        <f ca="1">IFERROR(IF(AC172&lt;&gt;"",INDEX('M04-S02'!$BF$18:$BF$199,2*(ROWS(AA$151:AA172)-1)+1),""),"")</f>
        <v/>
      </c>
      <c r="AB172" s="37" t="str">
        <f ca="1">IFERROR(IF(AC172&lt;&gt;"",INDEX('M04-S02'!$BE$18:$BE$199,2*(ROWS(AB$151:AB172)-1)+1),""),"")</f>
        <v/>
      </c>
      <c r="AC172" t="str">
        <f ca="1">IFERROR(INDEX('M04-S02'!$BL$18:$BL$199,2*(ROWS(AC$151:AC172)-1)+1),"")</f>
        <v>Enter Utility Rate (Building Info Tab)</v>
      </c>
      <c r="AD172" s="37" t="str" cm="1">
        <f t="array" ref="AD172">IFERROR(INDEX('M04-S02'!$BA$18:$BA$199,2*(ROWS(AD$151:AD172)-1)+1),"")</f>
        <v/>
      </c>
      <c r="AE172" s="37" t="str" cm="1">
        <f t="array" ref="AE172">IFERROR(INDEX('M04-S02'!$BB$18:$BB$199,2*(ROWS(AE$151:AE172)-1)+1),"")</f>
        <v/>
      </c>
      <c r="AF172" s="31" t="str">
        <f>IFERROR(INDEX('M04-S02'!$O$18:$O$199,2*(ROWS(AF$151:AF172)-1)+1),"")</f>
        <v/>
      </c>
      <c r="AG172" s="31">
        <f>IFERROR(INDEX('M04-S02'!$AF$18:$AF$199,2*(ROWS(AG$151:AG172)-1)+1),"")</f>
        <v>0</v>
      </c>
      <c r="AH172" s="210"/>
      <c r="AI172">
        <f>IFERROR(INDEX('M04-S02'!$B$18:$B$199,2*(ROWS(AI$151:AI172)-1)+1),"")</f>
        <v>22</v>
      </c>
      <c r="AJ172">
        <f>IFERROR(INDEX('M04-S02'!$G$18:$G$199,2*(ROWS(AJ$151:AJ172)-1)+1),"")</f>
        <v>0</v>
      </c>
      <c r="AK172">
        <f>IFERROR(INDEX('M04-S02'!$S$18:$S$199,2*(ROWS(AK$151:AK172)-1)+1),"")</f>
        <v>0</v>
      </c>
      <c r="AL172">
        <f>IFERROR(INDEX('M04-S02'!$K$18:$K$199,2*(ROWS(AL$151:AL172)-1)+1),"")</f>
        <v>0</v>
      </c>
      <c r="AM172">
        <f>IFERROR(INDEX('M04-S02'!$Z$18:$Z$199,2*(ROWS(AM$151:AM172)-1)+1),"")</f>
        <v>0</v>
      </c>
      <c r="AN172" s="14" t="str">
        <f>IFERROR(INDEX('M04-S02'!$AX$18:$AX$199,2*(ROWS(AN$151:AN172)-1)+1),"")</f>
        <v/>
      </c>
      <c r="AO172" s="14" t="str">
        <f>IFERROR(INDEX('M04-S02'!$AY$18:$AY$199,2*(ROWS(AO$151:AO172)-1)+1),"")</f>
        <v/>
      </c>
      <c r="AP172" t="str">
        <f>IFERROR(INDEX('M04-S02'!$AZ$18:$AZ$199,2*(ROWS(AP$151:AP172)-1)+1),"")</f>
        <v/>
      </c>
      <c r="AQ172" t="str">
        <f>IFERROR(INDEX('M04-S02'!$BC$18:$BC$199,2*(ROWS(AQ$151:AQ172)-1)+1),"")</f>
        <v/>
      </c>
      <c r="AR172" t="s">
        <v>1254</v>
      </c>
      <c r="AT172" s="176"/>
      <c r="AU172" s="176"/>
      <c r="AV172" s="176"/>
      <c r="AW172" s="176"/>
      <c r="AX172" s="176"/>
      <c r="AY172" s="176"/>
      <c r="AZ172" s="176"/>
      <c r="BA172" s="176"/>
      <c r="BB172" s="176"/>
      <c r="BC172" s="176"/>
      <c r="BD172" s="176"/>
      <c r="BE172" s="176"/>
    </row>
    <row r="173" spans="1:57" customFormat="1" hidden="1">
      <c r="A173" s="15">
        <f t="shared" si="13"/>
        <v>0</v>
      </c>
      <c r="B173" t="str">
        <f t="shared" si="16"/>
        <v/>
      </c>
      <c r="C173" t="str">
        <f>IFERROR(IF(INDEX('M04-S02'!$BJ$18:$BJ$199,2*(ROWS($C$151:C173)-1)+1)="","",INDEX('M04-S02'!$BJ$18:$BJ$199,2*(ROWS($C$151:C173)-1)+1)),"")</f>
        <v/>
      </c>
      <c r="D173" t="s">
        <v>135</v>
      </c>
      <c r="E173" t="str">
        <f>IFERROR(INDEX('M04-S02'!$BD$18:$BD$199,2*(ROWS(E$151:E173)-1)+1),"")</f>
        <v/>
      </c>
      <c r="F173" s="31">
        <f>IFERROR(INDEX('M04-S02'!$Q$18:$Q$199,2*(ROWS(F$151:F173)-1)+1),"")</f>
        <v>0</v>
      </c>
      <c r="G173" t="str">
        <f>IFERROR(INDEX('M04-S02'!$E$18:$E$199,2*(ROWS($G$151:G173)-1)+1)&amp;" - "&amp;INDEX('M04-S02'!$C$18:$C$199,2*(ROWS($G$151:G173)-1)+1),"")</f>
        <v xml:space="preserve"> - </v>
      </c>
      <c r="H173" s="14" t="str">
        <f ca="1">IFERROR(ROUND(IF(AC173&lt;&gt;"","",INDEX('M04-S02'!$AH$18:$AH$199,2*(ROWS(H$151:H173)-1)+1)),2),"")</f>
        <v/>
      </c>
      <c r="I173" s="14" t="str">
        <f ca="1">IFERROR(ROUND(IF(AC173&lt;&gt;"","",INDEX('M04-S02'!$AJ$18:$AJ$199,2*(ROWS(I$151:I173)-1)+1)),2),"")</f>
        <v/>
      </c>
      <c r="J173" s="14" t="str">
        <f ca="1">IFERROR(ROUND(IF(AC173&lt;&gt;"","",INDEX('M04-S02'!$AL$18:$AL$199,2*(ROWS(J$151:J173)-1)+1)),2),"")</f>
        <v/>
      </c>
      <c r="K173" t="str">
        <f t="shared" ca="1" si="14"/>
        <v/>
      </c>
      <c r="L173" s="10" t="str">
        <f ca="1">IFERROR(IF(AC173&lt;&gt;"","",ROUND(INDEX('M04-S02'!$M$18:$M$199,2*(ROWS(L$151:L173)-1)+1),3)),"")</f>
        <v/>
      </c>
      <c r="M173" s="10" t="str">
        <f ca="1">IFERROR(IF(AC173&lt;&gt;"","",ROUND(INDEX('M04-S02'!$AD$18:$AD$199,2*(ROWS(M$151:M173)-1)+1),3)),"")</f>
        <v/>
      </c>
      <c r="N173" s="219"/>
      <c r="O173" s="37" t="str">
        <f ca="1">IFERROR(IF(AC173&lt;&gt;"","",INDEX('M04-S02'!$AO$18:$AO$199,2*(ROWS(O$151:O173)-1)+1)),"")</f>
        <v/>
      </c>
      <c r="P173" s="37" t="str">
        <f ca="1">IFERROR(IF(AC173&lt;&gt;"","",INDEX('M04-S02'!$BF$18:$BF$199,2*(ROWS(P$151:P173)-1)+1)),"")</f>
        <v/>
      </c>
      <c r="Q173" s="37" t="str">
        <f ca="1">IFERROR(IF(AC173&lt;&gt;"","",INDEX('M04-S02'!$BE$18:$BE$199,2*(ROWS(Q$151:Q173)-1)+1)),"")</f>
        <v/>
      </c>
      <c r="R173" s="14" t="str">
        <f ca="1">IFERROR(IF(AC173&lt;&gt;"","",INDEX('M04-S02'!$AR$18:$AR$199,2*(ROWS(R$151:R173)-1)+1)),"")</f>
        <v/>
      </c>
      <c r="S173" s="14">
        <f ca="1">IFERROR(ROUND(IF(AC173&lt;&gt;"",INDEX('M04-S02'!$AH$18:$AH$199,2*(ROWS(S$151:S173)-1)+1),""),2),"")</f>
        <v>0</v>
      </c>
      <c r="T173" s="14">
        <f ca="1">IFERROR(ROUND(IF(AC173&lt;&gt;"",INDEX('M04-S02'!$AJ$18:$AJ$199,2*(ROWS(T$151:T173)-1)+1),""),2),"")</f>
        <v>0</v>
      </c>
      <c r="U173" s="14" t="str">
        <f ca="1">IFERROR(ROUND(IF(AC173&lt;&gt;"",INDEX('M04-S02'!$AL$18:$AL$199,2*(ROWS(U$151:U173)-1)+1),""),2),"")</f>
        <v/>
      </c>
      <c r="V173" t="str">
        <f t="shared" ca="1" si="15"/>
        <v>Total</v>
      </c>
      <c r="W173" s="10">
        <f ca="1">IFERROR(IF(AC173&lt;&gt;"",ROUND(INDEX('M04-S02'!$M$18:$M$199,2*(ROWS(W$151:W173)-1)+1),3),""),"")</f>
        <v>0</v>
      </c>
      <c r="X173" s="10">
        <f ca="1">IFERROR(IF(AC173&lt;&gt;"",ROUND(INDEX('M04-S02'!$AD$18:$AD$199,2*(ROWS(X$151:X173)-1)+1),3),""),"")</f>
        <v>0</v>
      </c>
      <c r="Y173" s="210"/>
      <c r="Z173" s="31" t="str">
        <f ca="1">IFERROR(IF(AC173&lt;&gt;"",INDEX('M04-S02'!$AO$18:$AO$199,2*(ROWS(Z$151:Z173)-1)+1),""),"")</f>
        <v/>
      </c>
      <c r="AA173" s="37" t="str">
        <f ca="1">IFERROR(IF(AC173&lt;&gt;"",INDEX('M04-S02'!$BF$18:$BF$199,2*(ROWS(AA$151:AA173)-1)+1),""),"")</f>
        <v/>
      </c>
      <c r="AB173" s="37" t="str">
        <f ca="1">IFERROR(IF(AC173&lt;&gt;"",INDEX('M04-S02'!$BE$18:$BE$199,2*(ROWS(AB$151:AB173)-1)+1),""),"")</f>
        <v/>
      </c>
      <c r="AC173" t="str">
        <f ca="1">IFERROR(INDEX('M04-S02'!$BL$18:$BL$199,2*(ROWS(AC$151:AC173)-1)+1),"")</f>
        <v>Enter Utility Rate (Building Info Tab)</v>
      </c>
      <c r="AD173" s="37" t="str" cm="1">
        <f t="array" ref="AD173">IFERROR(INDEX('M04-S02'!$BA$18:$BA$199,2*(ROWS(AD$151:AD173)-1)+1),"")</f>
        <v/>
      </c>
      <c r="AE173" s="37" t="str" cm="1">
        <f t="array" ref="AE173">IFERROR(INDEX('M04-S02'!$BB$18:$BB$199,2*(ROWS(AE$151:AE173)-1)+1),"")</f>
        <v/>
      </c>
      <c r="AF173" s="31" t="str">
        <f>IFERROR(INDEX('M04-S02'!$O$18:$O$199,2*(ROWS(AF$151:AF173)-1)+1),"")</f>
        <v/>
      </c>
      <c r="AG173" s="31">
        <f>IFERROR(INDEX('M04-S02'!$AF$18:$AF$199,2*(ROWS(AG$151:AG173)-1)+1),"")</f>
        <v>0</v>
      </c>
      <c r="AH173" s="210"/>
      <c r="AI173">
        <f>IFERROR(INDEX('M04-S02'!$B$18:$B$199,2*(ROWS(AI$151:AI173)-1)+1),"")</f>
        <v>23</v>
      </c>
      <c r="AJ173">
        <f>IFERROR(INDEX('M04-S02'!$G$18:$G$199,2*(ROWS(AJ$151:AJ173)-1)+1),"")</f>
        <v>0</v>
      </c>
      <c r="AK173">
        <f>IFERROR(INDEX('M04-S02'!$S$18:$S$199,2*(ROWS(AK$151:AK173)-1)+1),"")</f>
        <v>0</v>
      </c>
      <c r="AL173">
        <f>IFERROR(INDEX('M04-S02'!$K$18:$K$199,2*(ROWS(AL$151:AL173)-1)+1),"")</f>
        <v>0</v>
      </c>
      <c r="AM173">
        <f>IFERROR(INDEX('M04-S02'!$Z$18:$Z$199,2*(ROWS(AM$151:AM173)-1)+1),"")</f>
        <v>0</v>
      </c>
      <c r="AN173" s="14" t="str">
        <f>IFERROR(INDEX('M04-S02'!$AX$18:$AX$199,2*(ROWS(AN$151:AN173)-1)+1),"")</f>
        <v/>
      </c>
      <c r="AO173" s="14" t="str">
        <f>IFERROR(INDEX('M04-S02'!$AY$18:$AY$199,2*(ROWS(AO$151:AO173)-1)+1),"")</f>
        <v/>
      </c>
      <c r="AP173" t="str">
        <f>IFERROR(INDEX('M04-S02'!$AZ$18:$AZ$199,2*(ROWS(AP$151:AP173)-1)+1),"")</f>
        <v/>
      </c>
      <c r="AQ173" t="str">
        <f>IFERROR(INDEX('M04-S02'!$BC$18:$BC$199,2*(ROWS(AQ$151:AQ173)-1)+1),"")</f>
        <v/>
      </c>
      <c r="AR173" t="s">
        <v>1254</v>
      </c>
      <c r="AT173" s="176"/>
      <c r="AU173" s="176"/>
      <c r="AV173" s="176"/>
      <c r="AW173" s="176"/>
      <c r="AX173" s="176"/>
      <c r="AY173" s="176"/>
      <c r="AZ173" s="176"/>
      <c r="BA173" s="176"/>
      <c r="BB173" s="176"/>
      <c r="BC173" s="176"/>
      <c r="BD173" s="176"/>
      <c r="BE173" s="176"/>
    </row>
    <row r="174" spans="1:57" customFormat="1" hidden="1">
      <c r="A174" s="15">
        <f t="shared" si="13"/>
        <v>0</v>
      </c>
      <c r="B174" t="str">
        <f t="shared" si="16"/>
        <v/>
      </c>
      <c r="C174" t="str">
        <f>IFERROR(IF(INDEX('M04-S02'!$BJ$18:$BJ$199,2*(ROWS($C$151:C174)-1)+1)="","",INDEX('M04-S02'!$BJ$18:$BJ$199,2*(ROWS($C$151:C174)-1)+1)),"")</f>
        <v/>
      </c>
      <c r="D174" t="s">
        <v>135</v>
      </c>
      <c r="E174" t="str">
        <f>IFERROR(INDEX('M04-S02'!$BD$18:$BD$199,2*(ROWS(E$151:E174)-1)+1),"")</f>
        <v/>
      </c>
      <c r="F174" s="31">
        <f>IFERROR(INDEX('M04-S02'!$Q$18:$Q$199,2*(ROWS(F$151:F174)-1)+1),"")</f>
        <v>0</v>
      </c>
      <c r="G174" t="str">
        <f>IFERROR(INDEX('M04-S02'!$E$18:$E$199,2*(ROWS($G$151:G174)-1)+1)&amp;" - "&amp;INDEX('M04-S02'!$C$18:$C$199,2*(ROWS($G$151:G174)-1)+1),"")</f>
        <v xml:space="preserve"> - </v>
      </c>
      <c r="H174" s="14" t="str">
        <f ca="1">IFERROR(ROUND(IF(AC174&lt;&gt;"","",INDEX('M04-S02'!$AH$18:$AH$199,2*(ROWS(H$151:H174)-1)+1)),2),"")</f>
        <v/>
      </c>
      <c r="I174" s="14" t="str">
        <f ca="1">IFERROR(ROUND(IF(AC174&lt;&gt;"","",INDEX('M04-S02'!$AJ$18:$AJ$199,2*(ROWS(I$151:I174)-1)+1)),2),"")</f>
        <v/>
      </c>
      <c r="J174" s="14" t="str">
        <f ca="1">IFERROR(ROUND(IF(AC174&lt;&gt;"","",INDEX('M04-S02'!$AL$18:$AL$199,2*(ROWS(J$151:J174)-1)+1)),2),"")</f>
        <v/>
      </c>
      <c r="K174" t="str">
        <f t="shared" ca="1" si="14"/>
        <v/>
      </c>
      <c r="L174" s="10" t="str">
        <f ca="1">IFERROR(IF(AC174&lt;&gt;"","",ROUND(INDEX('M04-S02'!$M$18:$M$199,2*(ROWS(L$151:L174)-1)+1),3)),"")</f>
        <v/>
      </c>
      <c r="M174" s="10" t="str">
        <f ca="1">IFERROR(IF(AC174&lt;&gt;"","",ROUND(INDEX('M04-S02'!$AD$18:$AD$199,2*(ROWS(M$151:M174)-1)+1),3)),"")</f>
        <v/>
      </c>
      <c r="N174" s="219"/>
      <c r="O174" s="37" t="str">
        <f ca="1">IFERROR(IF(AC174&lt;&gt;"","",INDEX('M04-S02'!$AO$18:$AO$199,2*(ROWS(O$151:O174)-1)+1)),"")</f>
        <v/>
      </c>
      <c r="P174" s="37" t="str">
        <f ca="1">IFERROR(IF(AC174&lt;&gt;"","",INDEX('M04-S02'!$BF$18:$BF$199,2*(ROWS(P$151:P174)-1)+1)),"")</f>
        <v/>
      </c>
      <c r="Q174" s="37" t="str">
        <f ca="1">IFERROR(IF(AC174&lt;&gt;"","",INDEX('M04-S02'!$BE$18:$BE$199,2*(ROWS(Q$151:Q174)-1)+1)),"")</f>
        <v/>
      </c>
      <c r="R174" s="14" t="str">
        <f ca="1">IFERROR(IF(AC174&lt;&gt;"","",INDEX('M04-S02'!$AR$18:$AR$199,2*(ROWS(R$151:R174)-1)+1)),"")</f>
        <v/>
      </c>
      <c r="S174" s="14">
        <f ca="1">IFERROR(ROUND(IF(AC174&lt;&gt;"",INDEX('M04-S02'!$AH$18:$AH$199,2*(ROWS(S$151:S174)-1)+1),""),2),"")</f>
        <v>0</v>
      </c>
      <c r="T174" s="14">
        <f ca="1">IFERROR(ROUND(IF(AC174&lt;&gt;"",INDEX('M04-S02'!$AJ$18:$AJ$199,2*(ROWS(T$151:T174)-1)+1),""),2),"")</f>
        <v>0</v>
      </c>
      <c r="U174" s="14" t="str">
        <f ca="1">IFERROR(ROUND(IF(AC174&lt;&gt;"",INDEX('M04-S02'!$AL$18:$AL$199,2*(ROWS(U$151:U174)-1)+1),""),2),"")</f>
        <v/>
      </c>
      <c r="V174" t="str">
        <f t="shared" ca="1" si="15"/>
        <v>Total</v>
      </c>
      <c r="W174" s="10">
        <f ca="1">IFERROR(IF(AC174&lt;&gt;"",ROUND(INDEX('M04-S02'!$M$18:$M$199,2*(ROWS(W$151:W174)-1)+1),3),""),"")</f>
        <v>0</v>
      </c>
      <c r="X174" s="10">
        <f ca="1">IFERROR(IF(AC174&lt;&gt;"",ROUND(INDEX('M04-S02'!$AD$18:$AD$199,2*(ROWS(X$151:X174)-1)+1),3),""),"")</f>
        <v>0</v>
      </c>
      <c r="Y174" s="210"/>
      <c r="Z174" s="31" t="str">
        <f ca="1">IFERROR(IF(AC174&lt;&gt;"",INDEX('M04-S02'!$AO$18:$AO$199,2*(ROWS(Z$151:Z174)-1)+1),""),"")</f>
        <v/>
      </c>
      <c r="AA174" s="37" t="str">
        <f ca="1">IFERROR(IF(AC174&lt;&gt;"",INDEX('M04-S02'!$BF$18:$BF$199,2*(ROWS(AA$151:AA174)-1)+1),""),"")</f>
        <v/>
      </c>
      <c r="AB174" s="37" t="str">
        <f ca="1">IFERROR(IF(AC174&lt;&gt;"",INDEX('M04-S02'!$BE$18:$BE$199,2*(ROWS(AB$151:AB174)-1)+1),""),"")</f>
        <v/>
      </c>
      <c r="AC174" t="str">
        <f ca="1">IFERROR(INDEX('M04-S02'!$BL$18:$BL$199,2*(ROWS(AC$151:AC174)-1)+1),"")</f>
        <v>Enter Utility Rate (Building Info Tab)</v>
      </c>
      <c r="AD174" s="37" t="str" cm="1">
        <f t="array" ref="AD174">IFERROR(INDEX('M04-S02'!$BA$18:$BA$199,2*(ROWS(AD$151:AD174)-1)+1),"")</f>
        <v/>
      </c>
      <c r="AE174" s="37" t="str" cm="1">
        <f t="array" ref="AE174">IFERROR(INDEX('M04-S02'!$BB$18:$BB$199,2*(ROWS(AE$151:AE174)-1)+1),"")</f>
        <v/>
      </c>
      <c r="AF174" s="31" t="str">
        <f>IFERROR(INDEX('M04-S02'!$O$18:$O$199,2*(ROWS(AF$151:AF174)-1)+1),"")</f>
        <v/>
      </c>
      <c r="AG174" s="31">
        <f>IFERROR(INDEX('M04-S02'!$AF$18:$AF$199,2*(ROWS(AG$151:AG174)-1)+1),"")</f>
        <v>0</v>
      </c>
      <c r="AH174" s="210"/>
      <c r="AI174">
        <f>IFERROR(INDEX('M04-S02'!$B$18:$B$199,2*(ROWS(AI$151:AI174)-1)+1),"")</f>
        <v>24</v>
      </c>
      <c r="AJ174">
        <f>IFERROR(INDEX('M04-S02'!$G$18:$G$199,2*(ROWS(AJ$151:AJ174)-1)+1),"")</f>
        <v>0</v>
      </c>
      <c r="AK174">
        <f>IFERROR(INDEX('M04-S02'!$S$18:$S$199,2*(ROWS(AK$151:AK174)-1)+1),"")</f>
        <v>0</v>
      </c>
      <c r="AL174">
        <f>IFERROR(INDEX('M04-S02'!$K$18:$K$199,2*(ROWS(AL$151:AL174)-1)+1),"")</f>
        <v>0</v>
      </c>
      <c r="AM174">
        <f>IFERROR(INDEX('M04-S02'!$Z$18:$Z$199,2*(ROWS(AM$151:AM174)-1)+1),"")</f>
        <v>0</v>
      </c>
      <c r="AN174" s="14" t="str">
        <f>IFERROR(INDEX('M04-S02'!$AX$18:$AX$199,2*(ROWS(AN$151:AN174)-1)+1),"")</f>
        <v/>
      </c>
      <c r="AO174" s="14" t="str">
        <f>IFERROR(INDEX('M04-S02'!$AY$18:$AY$199,2*(ROWS(AO$151:AO174)-1)+1),"")</f>
        <v/>
      </c>
      <c r="AP174" t="str">
        <f>IFERROR(INDEX('M04-S02'!$AZ$18:$AZ$199,2*(ROWS(AP$151:AP174)-1)+1),"")</f>
        <v/>
      </c>
      <c r="AQ174" t="str">
        <f>IFERROR(INDEX('M04-S02'!$BC$18:$BC$199,2*(ROWS(AQ$151:AQ174)-1)+1),"")</f>
        <v/>
      </c>
      <c r="AR174" t="s">
        <v>1254</v>
      </c>
      <c r="AT174" s="176"/>
      <c r="AU174" s="176"/>
      <c r="AV174" s="176"/>
      <c r="AW174" s="176"/>
      <c r="AX174" s="176"/>
      <c r="AY174" s="176"/>
      <c r="AZ174" s="176"/>
      <c r="BA174" s="176"/>
      <c r="BB174" s="176"/>
      <c r="BC174" s="176"/>
      <c r="BD174" s="176"/>
      <c r="BE174" s="176"/>
    </row>
    <row r="175" spans="1:57" customFormat="1" hidden="1">
      <c r="A175" s="15">
        <f t="shared" si="13"/>
        <v>0</v>
      </c>
      <c r="B175" t="str">
        <f t="shared" si="16"/>
        <v/>
      </c>
      <c r="C175" t="str">
        <f>IFERROR(IF(INDEX('M04-S02'!$BJ$18:$BJ$199,2*(ROWS($C$151:C175)-1)+1)="","",INDEX('M04-S02'!$BJ$18:$BJ$199,2*(ROWS($C$151:C175)-1)+1)),"")</f>
        <v/>
      </c>
      <c r="D175" t="s">
        <v>135</v>
      </c>
      <c r="E175" t="str">
        <f>IFERROR(INDEX('M04-S02'!$BD$18:$BD$199,2*(ROWS(E$151:E175)-1)+1),"")</f>
        <v/>
      </c>
      <c r="F175" s="31">
        <f>IFERROR(INDEX('M04-S02'!$Q$18:$Q$199,2*(ROWS(F$151:F175)-1)+1),"")</f>
        <v>0</v>
      </c>
      <c r="G175" t="str">
        <f>IFERROR(INDEX('M04-S02'!$E$18:$E$199,2*(ROWS($G$151:G175)-1)+1)&amp;" - "&amp;INDEX('M04-S02'!$C$18:$C$199,2*(ROWS($G$151:G175)-1)+1),"")</f>
        <v xml:space="preserve"> - </v>
      </c>
      <c r="H175" s="14" t="str">
        <f ca="1">IFERROR(ROUND(IF(AC175&lt;&gt;"","",INDEX('M04-S02'!$AH$18:$AH$199,2*(ROWS(H$151:H175)-1)+1)),2),"")</f>
        <v/>
      </c>
      <c r="I175" s="14" t="str">
        <f ca="1">IFERROR(ROUND(IF(AC175&lt;&gt;"","",INDEX('M04-S02'!$AJ$18:$AJ$199,2*(ROWS(I$151:I175)-1)+1)),2),"")</f>
        <v/>
      </c>
      <c r="J175" s="14" t="str">
        <f ca="1">IFERROR(ROUND(IF(AC175&lt;&gt;"","",INDEX('M04-S02'!$AL$18:$AL$199,2*(ROWS(J$151:J175)-1)+1)),2),"")</f>
        <v/>
      </c>
      <c r="K175" t="str">
        <f t="shared" ca="1" si="14"/>
        <v/>
      </c>
      <c r="L175" s="10" t="str">
        <f ca="1">IFERROR(IF(AC175&lt;&gt;"","",ROUND(INDEX('M04-S02'!$M$18:$M$199,2*(ROWS(L$151:L175)-1)+1),3)),"")</f>
        <v/>
      </c>
      <c r="M175" s="10" t="str">
        <f ca="1">IFERROR(IF(AC175&lt;&gt;"","",ROUND(INDEX('M04-S02'!$AD$18:$AD$199,2*(ROWS(M$151:M175)-1)+1),3)),"")</f>
        <v/>
      </c>
      <c r="N175" s="219"/>
      <c r="O175" s="37" t="str">
        <f ca="1">IFERROR(IF(AC175&lt;&gt;"","",INDEX('M04-S02'!$AO$18:$AO$199,2*(ROWS(O$151:O175)-1)+1)),"")</f>
        <v/>
      </c>
      <c r="P175" s="37" t="str">
        <f ca="1">IFERROR(IF(AC175&lt;&gt;"","",INDEX('M04-S02'!$BF$18:$BF$199,2*(ROWS(P$151:P175)-1)+1)),"")</f>
        <v/>
      </c>
      <c r="Q175" s="37" t="str">
        <f ca="1">IFERROR(IF(AC175&lt;&gt;"","",INDEX('M04-S02'!$BE$18:$BE$199,2*(ROWS(Q$151:Q175)-1)+1)),"")</f>
        <v/>
      </c>
      <c r="R175" s="14" t="str">
        <f ca="1">IFERROR(IF(AC175&lt;&gt;"","",INDEX('M04-S02'!$AR$18:$AR$199,2*(ROWS(R$151:R175)-1)+1)),"")</f>
        <v/>
      </c>
      <c r="S175" s="14">
        <f ca="1">IFERROR(ROUND(IF(AC175&lt;&gt;"",INDEX('M04-S02'!$AH$18:$AH$199,2*(ROWS(S$151:S175)-1)+1),""),2),"")</f>
        <v>0</v>
      </c>
      <c r="T175" s="14">
        <f ca="1">IFERROR(ROUND(IF(AC175&lt;&gt;"",INDEX('M04-S02'!$AJ$18:$AJ$199,2*(ROWS(T$151:T175)-1)+1),""),2),"")</f>
        <v>0</v>
      </c>
      <c r="U175" s="14" t="str">
        <f ca="1">IFERROR(ROUND(IF(AC175&lt;&gt;"",INDEX('M04-S02'!$AL$18:$AL$199,2*(ROWS(U$151:U175)-1)+1),""),2),"")</f>
        <v/>
      </c>
      <c r="V175" t="str">
        <f t="shared" ca="1" si="15"/>
        <v>Total</v>
      </c>
      <c r="W175" s="10">
        <f ca="1">IFERROR(IF(AC175&lt;&gt;"",ROUND(INDEX('M04-S02'!$M$18:$M$199,2*(ROWS(W$151:W175)-1)+1),3),""),"")</f>
        <v>0</v>
      </c>
      <c r="X175" s="10">
        <f ca="1">IFERROR(IF(AC175&lt;&gt;"",ROUND(INDEX('M04-S02'!$AD$18:$AD$199,2*(ROWS(X$151:X175)-1)+1),3),""),"")</f>
        <v>0</v>
      </c>
      <c r="Y175" s="210"/>
      <c r="Z175" s="31" t="str">
        <f ca="1">IFERROR(IF(AC175&lt;&gt;"",INDEX('M04-S02'!$AO$18:$AO$199,2*(ROWS(Z$151:Z175)-1)+1),""),"")</f>
        <v/>
      </c>
      <c r="AA175" s="37" t="str">
        <f ca="1">IFERROR(IF(AC175&lt;&gt;"",INDEX('M04-S02'!$BF$18:$BF$199,2*(ROWS(AA$151:AA175)-1)+1),""),"")</f>
        <v/>
      </c>
      <c r="AB175" s="37" t="str">
        <f ca="1">IFERROR(IF(AC175&lt;&gt;"",INDEX('M04-S02'!$BE$18:$BE$199,2*(ROWS(AB$151:AB175)-1)+1),""),"")</f>
        <v/>
      </c>
      <c r="AC175" t="str">
        <f ca="1">IFERROR(INDEX('M04-S02'!$BL$18:$BL$199,2*(ROWS(AC$151:AC175)-1)+1),"")</f>
        <v>Enter Utility Rate (Building Info Tab)</v>
      </c>
      <c r="AD175" s="37" t="str" cm="1">
        <f t="array" ref="AD175">IFERROR(INDEX('M04-S02'!$BA$18:$BA$199,2*(ROWS(AD$151:AD175)-1)+1),"")</f>
        <v/>
      </c>
      <c r="AE175" s="37" t="str" cm="1">
        <f t="array" ref="AE175">IFERROR(INDEX('M04-S02'!$BB$18:$BB$199,2*(ROWS(AE$151:AE175)-1)+1),"")</f>
        <v/>
      </c>
      <c r="AF175" s="31" t="str">
        <f>IFERROR(INDEX('M04-S02'!$O$18:$O$199,2*(ROWS(AF$151:AF175)-1)+1),"")</f>
        <v/>
      </c>
      <c r="AG175" s="31">
        <f>IFERROR(INDEX('M04-S02'!$AF$18:$AF$199,2*(ROWS(AG$151:AG175)-1)+1),"")</f>
        <v>0</v>
      </c>
      <c r="AH175" s="210"/>
      <c r="AI175">
        <f>IFERROR(INDEX('M04-S02'!$B$18:$B$199,2*(ROWS(AI$151:AI175)-1)+1),"")</f>
        <v>25</v>
      </c>
      <c r="AJ175">
        <f>IFERROR(INDEX('M04-S02'!$G$18:$G$199,2*(ROWS(AJ$151:AJ175)-1)+1),"")</f>
        <v>0</v>
      </c>
      <c r="AK175">
        <f>IFERROR(INDEX('M04-S02'!$S$18:$S$199,2*(ROWS(AK$151:AK175)-1)+1),"")</f>
        <v>0</v>
      </c>
      <c r="AL175">
        <f>IFERROR(INDEX('M04-S02'!$K$18:$K$199,2*(ROWS(AL$151:AL175)-1)+1),"")</f>
        <v>0</v>
      </c>
      <c r="AM175">
        <f>IFERROR(INDEX('M04-S02'!$Z$18:$Z$199,2*(ROWS(AM$151:AM175)-1)+1),"")</f>
        <v>0</v>
      </c>
      <c r="AN175" s="14" t="str">
        <f>IFERROR(INDEX('M04-S02'!$AX$18:$AX$199,2*(ROWS(AN$151:AN175)-1)+1),"")</f>
        <v/>
      </c>
      <c r="AO175" s="14" t="str">
        <f>IFERROR(INDEX('M04-S02'!$AY$18:$AY$199,2*(ROWS(AO$151:AO175)-1)+1),"")</f>
        <v/>
      </c>
      <c r="AP175" t="str">
        <f>IFERROR(INDEX('M04-S02'!$AZ$18:$AZ$199,2*(ROWS(AP$151:AP175)-1)+1),"")</f>
        <v/>
      </c>
      <c r="AQ175" t="str">
        <f>IFERROR(INDEX('M04-S02'!$BC$18:$BC$199,2*(ROWS(AQ$151:AQ175)-1)+1),"")</f>
        <v/>
      </c>
      <c r="AR175" t="s">
        <v>1254</v>
      </c>
      <c r="AT175" s="176"/>
      <c r="AU175" s="176"/>
      <c r="AV175" s="176"/>
      <c r="AW175" s="176"/>
      <c r="AX175" s="176"/>
      <c r="AY175" s="176"/>
      <c r="AZ175" s="176"/>
      <c r="BA175" s="176"/>
      <c r="BB175" s="176"/>
      <c r="BC175" s="176"/>
      <c r="BD175" s="176"/>
      <c r="BE175" s="176"/>
    </row>
    <row r="176" spans="1:57" customFormat="1" hidden="1">
      <c r="A176" s="15">
        <f t="shared" si="13"/>
        <v>0</v>
      </c>
      <c r="B176" t="str">
        <f t="shared" si="16"/>
        <v/>
      </c>
      <c r="C176" t="str">
        <f>IFERROR(IF(INDEX('M04-S02'!$BJ$18:$BJ$199,2*(ROWS($C$151:C176)-1)+1)="","",INDEX('M04-S02'!$BJ$18:$BJ$199,2*(ROWS($C$151:C176)-1)+1)),"")</f>
        <v/>
      </c>
      <c r="D176" t="s">
        <v>135</v>
      </c>
      <c r="E176" t="str">
        <f>IFERROR(INDEX('M04-S02'!$BD$18:$BD$199,2*(ROWS(E$151:E176)-1)+1),"")</f>
        <v/>
      </c>
      <c r="F176" s="31">
        <f>IFERROR(INDEX('M04-S02'!$Q$18:$Q$199,2*(ROWS(F$151:F176)-1)+1),"")</f>
        <v>0</v>
      </c>
      <c r="G176" t="str">
        <f>IFERROR(INDEX('M04-S02'!$E$18:$E$199,2*(ROWS($G$151:G176)-1)+1)&amp;" - "&amp;INDEX('M04-S02'!$C$18:$C$199,2*(ROWS($G$151:G176)-1)+1),"")</f>
        <v xml:space="preserve"> - </v>
      </c>
      <c r="H176" s="14" t="str">
        <f ca="1">IFERROR(ROUND(IF(AC176&lt;&gt;"","",INDEX('M04-S02'!$AH$18:$AH$199,2*(ROWS(H$151:H176)-1)+1)),2),"")</f>
        <v/>
      </c>
      <c r="I176" s="14" t="str">
        <f ca="1">IFERROR(ROUND(IF(AC176&lt;&gt;"","",INDEX('M04-S02'!$AJ$18:$AJ$199,2*(ROWS(I$151:I176)-1)+1)),2),"")</f>
        <v/>
      </c>
      <c r="J176" s="14" t="str">
        <f ca="1">IFERROR(ROUND(IF(AC176&lt;&gt;"","",INDEX('M04-S02'!$AL$18:$AL$199,2*(ROWS(J$151:J176)-1)+1)),2),"")</f>
        <v/>
      </c>
      <c r="K176" t="str">
        <f t="shared" ca="1" si="14"/>
        <v/>
      </c>
      <c r="L176" s="10" t="str">
        <f ca="1">IFERROR(IF(AC176&lt;&gt;"","",ROUND(INDEX('M04-S02'!$M$18:$M$199,2*(ROWS(L$151:L176)-1)+1),3)),"")</f>
        <v/>
      </c>
      <c r="M176" s="10" t="str">
        <f ca="1">IFERROR(IF(AC176&lt;&gt;"","",ROUND(INDEX('M04-S02'!$AD$18:$AD$199,2*(ROWS(M$151:M176)-1)+1),3)),"")</f>
        <v/>
      </c>
      <c r="N176" s="219"/>
      <c r="O176" s="37" t="str">
        <f ca="1">IFERROR(IF(AC176&lt;&gt;"","",INDEX('M04-S02'!$AO$18:$AO$199,2*(ROWS(O$151:O176)-1)+1)),"")</f>
        <v/>
      </c>
      <c r="P176" s="37" t="str">
        <f ca="1">IFERROR(IF(AC176&lt;&gt;"","",INDEX('M04-S02'!$BF$18:$BF$199,2*(ROWS(P$151:P176)-1)+1)),"")</f>
        <v/>
      </c>
      <c r="Q176" s="37" t="str">
        <f ca="1">IFERROR(IF(AC176&lt;&gt;"","",INDEX('M04-S02'!$BE$18:$BE$199,2*(ROWS(Q$151:Q176)-1)+1)),"")</f>
        <v/>
      </c>
      <c r="R176" s="14" t="str">
        <f ca="1">IFERROR(IF(AC176&lt;&gt;"","",INDEX('M04-S02'!$AR$18:$AR$199,2*(ROWS(R$151:R176)-1)+1)),"")</f>
        <v/>
      </c>
      <c r="S176" s="14">
        <f ca="1">IFERROR(ROUND(IF(AC176&lt;&gt;"",INDEX('M04-S02'!$AH$18:$AH$199,2*(ROWS(S$151:S176)-1)+1),""),2),"")</f>
        <v>0</v>
      </c>
      <c r="T176" s="14">
        <f ca="1">IFERROR(ROUND(IF(AC176&lt;&gt;"",INDEX('M04-S02'!$AJ$18:$AJ$199,2*(ROWS(T$151:T176)-1)+1),""),2),"")</f>
        <v>0</v>
      </c>
      <c r="U176" s="14" t="str">
        <f ca="1">IFERROR(ROUND(IF(AC176&lt;&gt;"",INDEX('M04-S02'!$AL$18:$AL$199,2*(ROWS(U$151:U176)-1)+1),""),2),"")</f>
        <v/>
      </c>
      <c r="V176" t="str">
        <f t="shared" ca="1" si="15"/>
        <v>Total</v>
      </c>
      <c r="W176" s="10">
        <f ca="1">IFERROR(IF(AC176&lt;&gt;"",ROUND(INDEX('M04-S02'!$M$18:$M$199,2*(ROWS(W$151:W176)-1)+1),3),""),"")</f>
        <v>0</v>
      </c>
      <c r="X176" s="10">
        <f ca="1">IFERROR(IF(AC176&lt;&gt;"",ROUND(INDEX('M04-S02'!$AD$18:$AD$199,2*(ROWS(X$151:X176)-1)+1),3),""),"")</f>
        <v>0</v>
      </c>
      <c r="Y176" s="210"/>
      <c r="Z176" s="31" t="str">
        <f ca="1">IFERROR(IF(AC176&lt;&gt;"",INDEX('M04-S02'!$AO$18:$AO$199,2*(ROWS(Z$151:Z176)-1)+1),""),"")</f>
        <v/>
      </c>
      <c r="AA176" s="37" t="str">
        <f ca="1">IFERROR(IF(AC176&lt;&gt;"",INDEX('M04-S02'!$BF$18:$BF$199,2*(ROWS(AA$151:AA176)-1)+1),""),"")</f>
        <v/>
      </c>
      <c r="AB176" s="37" t="str">
        <f ca="1">IFERROR(IF(AC176&lt;&gt;"",INDEX('M04-S02'!$BE$18:$BE$199,2*(ROWS(AB$151:AB176)-1)+1),""),"")</f>
        <v/>
      </c>
      <c r="AC176" t="str">
        <f ca="1">IFERROR(INDEX('M04-S02'!$BL$18:$BL$199,2*(ROWS(AC$151:AC176)-1)+1),"")</f>
        <v>Enter Utility Rate (Building Info Tab)</v>
      </c>
      <c r="AD176" s="37" t="str" cm="1">
        <f t="array" ref="AD176">IFERROR(INDEX('M04-S02'!$BA$18:$BA$199,2*(ROWS(AD$151:AD176)-1)+1),"")</f>
        <v/>
      </c>
      <c r="AE176" s="37" t="str" cm="1">
        <f t="array" ref="AE176">IFERROR(INDEX('M04-S02'!$BB$18:$BB$199,2*(ROWS(AE$151:AE176)-1)+1),"")</f>
        <v/>
      </c>
      <c r="AF176" s="31" t="str">
        <f>IFERROR(INDEX('M04-S02'!$O$18:$O$199,2*(ROWS(AF$151:AF176)-1)+1),"")</f>
        <v/>
      </c>
      <c r="AG176" s="31">
        <f>IFERROR(INDEX('M04-S02'!$AF$18:$AF$199,2*(ROWS(AG$151:AG176)-1)+1),"")</f>
        <v>0</v>
      </c>
      <c r="AH176" s="210"/>
      <c r="AI176">
        <f>IFERROR(INDEX('M04-S02'!$B$18:$B$199,2*(ROWS(AI$151:AI176)-1)+1),"")</f>
        <v>26</v>
      </c>
      <c r="AJ176">
        <f>IFERROR(INDEX('M04-S02'!$G$18:$G$199,2*(ROWS(AJ$151:AJ176)-1)+1),"")</f>
        <v>0</v>
      </c>
      <c r="AK176">
        <f>IFERROR(INDEX('M04-S02'!$S$18:$S$199,2*(ROWS(AK$151:AK176)-1)+1),"")</f>
        <v>0</v>
      </c>
      <c r="AL176">
        <f>IFERROR(INDEX('M04-S02'!$K$18:$K$199,2*(ROWS(AL$151:AL176)-1)+1),"")</f>
        <v>0</v>
      </c>
      <c r="AM176">
        <f>IFERROR(INDEX('M04-S02'!$Z$18:$Z$199,2*(ROWS(AM$151:AM176)-1)+1),"")</f>
        <v>0</v>
      </c>
      <c r="AN176" s="14" t="str">
        <f>IFERROR(INDEX('M04-S02'!$AX$18:$AX$199,2*(ROWS(AN$151:AN176)-1)+1),"")</f>
        <v/>
      </c>
      <c r="AO176" s="14" t="str">
        <f>IFERROR(INDEX('M04-S02'!$AY$18:$AY$199,2*(ROWS(AO$151:AO176)-1)+1),"")</f>
        <v/>
      </c>
      <c r="AP176" t="str">
        <f>IFERROR(INDEX('M04-S02'!$AZ$18:$AZ$199,2*(ROWS(AP$151:AP176)-1)+1),"")</f>
        <v/>
      </c>
      <c r="AQ176" t="str">
        <f>IFERROR(INDEX('M04-S02'!$BC$18:$BC$199,2*(ROWS(AQ$151:AQ176)-1)+1),"")</f>
        <v/>
      </c>
      <c r="AR176" t="s">
        <v>1254</v>
      </c>
      <c r="AT176" s="176"/>
      <c r="AU176" s="176"/>
      <c r="AV176" s="176"/>
      <c r="AW176" s="176"/>
      <c r="AX176" s="176"/>
      <c r="AY176" s="176"/>
      <c r="AZ176" s="176"/>
      <c r="BA176" s="176"/>
      <c r="BB176" s="176"/>
      <c r="BC176" s="176"/>
      <c r="BD176" s="176"/>
      <c r="BE176" s="176"/>
    </row>
    <row r="177" spans="1:125" hidden="1">
      <c r="A177" s="15">
        <f t="shared" si="13"/>
        <v>0</v>
      </c>
      <c r="B177" t="str">
        <f t="shared" si="16"/>
        <v/>
      </c>
      <c r="C177" t="str">
        <f>IFERROR(IF(INDEX('M04-S02'!$BJ$18:$BJ$199,2*(ROWS($C$151:C177)-1)+1)="","",INDEX('M04-S02'!$BJ$18:$BJ$199,2*(ROWS($C$151:C177)-1)+1)),"")</f>
        <v/>
      </c>
      <c r="D177" t="s">
        <v>135</v>
      </c>
      <c r="E177" t="str">
        <f>IFERROR(INDEX('M04-S02'!$BD$18:$BD$199,2*(ROWS(E$151:E177)-1)+1),"")</f>
        <v/>
      </c>
      <c r="F177" s="31">
        <f>IFERROR(INDEX('M04-S02'!$Q$18:$Q$199,2*(ROWS(F$151:F177)-1)+1),"")</f>
        <v>0</v>
      </c>
      <c r="G177" t="str">
        <f>IFERROR(INDEX('M04-S02'!$E$18:$E$199,2*(ROWS($G$151:G177)-1)+1)&amp;" - "&amp;INDEX('M04-S02'!$C$18:$C$199,2*(ROWS($G$151:G177)-1)+1),"")</f>
        <v xml:space="preserve"> - </v>
      </c>
      <c r="H177" s="14" t="str">
        <f ca="1">IFERROR(ROUND(IF(AC177&lt;&gt;"","",INDEX('M04-S02'!$AH$18:$AH$199,2*(ROWS(H$151:H177)-1)+1)),2),"")</f>
        <v/>
      </c>
      <c r="I177" s="14" t="str">
        <f ca="1">IFERROR(ROUND(IF(AC177&lt;&gt;"","",INDEX('M04-S02'!$AJ$18:$AJ$199,2*(ROWS(I$151:I177)-1)+1)),2),"")</f>
        <v/>
      </c>
      <c r="J177" s="14" t="str">
        <f ca="1">IFERROR(ROUND(IF(AC177&lt;&gt;"","",INDEX('M04-S02'!$AL$18:$AL$199,2*(ROWS(J$151:J177)-1)+1)),2),"")</f>
        <v/>
      </c>
      <c r="K177" t="str">
        <f t="shared" ca="1" si="14"/>
        <v/>
      </c>
      <c r="L177" s="10" t="str">
        <f ca="1">IFERROR(IF(AC177&lt;&gt;"","",ROUND(INDEX('M04-S02'!$M$18:$M$199,2*(ROWS(L$151:L177)-1)+1),3)),"")</f>
        <v/>
      </c>
      <c r="M177" s="10" t="str">
        <f ca="1">IFERROR(IF(AC177&lt;&gt;"","",ROUND(INDEX('M04-S02'!$AD$18:$AD$199,2*(ROWS(M$151:M177)-1)+1),3)),"")</f>
        <v/>
      </c>
      <c r="N177" s="219"/>
      <c r="O177" s="37" t="str">
        <f ca="1">IFERROR(IF(AC177&lt;&gt;"","",INDEX('M04-S02'!$AO$18:$AO$199,2*(ROWS(O$151:O177)-1)+1)),"")</f>
        <v/>
      </c>
      <c r="P177" s="37" t="str">
        <f ca="1">IFERROR(IF(AC177&lt;&gt;"","",INDEX('M04-S02'!$BF$18:$BF$199,2*(ROWS(P$151:P177)-1)+1)),"")</f>
        <v/>
      </c>
      <c r="Q177" s="37" t="str">
        <f ca="1">IFERROR(IF(AC177&lt;&gt;"","",INDEX('M04-S02'!$BE$18:$BE$199,2*(ROWS(Q$151:Q177)-1)+1)),"")</f>
        <v/>
      </c>
      <c r="R177" s="14" t="str">
        <f ca="1">IFERROR(IF(AC177&lt;&gt;"","",INDEX('M04-S02'!$AR$18:$AR$199,2*(ROWS(R$151:R177)-1)+1)),"")</f>
        <v/>
      </c>
      <c r="S177" s="14">
        <f ca="1">IFERROR(ROUND(IF(AC177&lt;&gt;"",INDEX('M04-S02'!$AH$18:$AH$199,2*(ROWS(S$151:S177)-1)+1),""),2),"")</f>
        <v>0</v>
      </c>
      <c r="T177" s="14">
        <f ca="1">IFERROR(ROUND(IF(AC177&lt;&gt;"",INDEX('M04-S02'!$AJ$18:$AJ$199,2*(ROWS(T$151:T177)-1)+1),""),2),"")</f>
        <v>0</v>
      </c>
      <c r="U177" s="14" t="str">
        <f ca="1">IFERROR(ROUND(IF(AC177&lt;&gt;"",INDEX('M04-S02'!$AL$18:$AL$199,2*(ROWS(U$151:U177)-1)+1),""),2),"")</f>
        <v/>
      </c>
      <c r="V177" t="str">
        <f t="shared" ca="1" si="15"/>
        <v>Total</v>
      </c>
      <c r="W177" s="10">
        <f ca="1">IFERROR(IF(AC177&lt;&gt;"",ROUND(INDEX('M04-S02'!$M$18:$M$199,2*(ROWS(W$151:W177)-1)+1),3),""),"")</f>
        <v>0</v>
      </c>
      <c r="X177" s="10">
        <f ca="1">IFERROR(IF(AC177&lt;&gt;"",ROUND(INDEX('M04-S02'!$AD$18:$AD$199,2*(ROWS(X$151:X177)-1)+1),3),""),"")</f>
        <v>0</v>
      </c>
      <c r="Y177" s="210"/>
      <c r="Z177" s="31" t="str">
        <f ca="1">IFERROR(IF(AC177&lt;&gt;"",INDEX('M04-S02'!$AO$18:$AO$199,2*(ROWS(Z$151:Z177)-1)+1),""),"")</f>
        <v/>
      </c>
      <c r="AA177" s="37" t="str">
        <f ca="1">IFERROR(IF(AC177&lt;&gt;"",INDEX('M04-S02'!$BF$18:$BF$199,2*(ROWS(AA$151:AA177)-1)+1),""),"")</f>
        <v/>
      </c>
      <c r="AB177" s="37" t="str">
        <f ca="1">IFERROR(IF(AC177&lt;&gt;"",INDEX('M04-S02'!$BE$18:$BE$199,2*(ROWS(AB$151:AB177)-1)+1),""),"")</f>
        <v/>
      </c>
      <c r="AC177" t="str">
        <f ca="1">IFERROR(INDEX('M04-S02'!$BL$18:$BL$199,2*(ROWS(AC$151:AC177)-1)+1),"")</f>
        <v>Enter Utility Rate (Building Info Tab)</v>
      </c>
      <c r="AD177" s="37" t="str" cm="1">
        <f t="array" ref="AD177">IFERROR(INDEX('M04-S02'!$BA$18:$BA$199,2*(ROWS(AD$151:AD177)-1)+1),"")</f>
        <v/>
      </c>
      <c r="AE177" s="37" t="str" cm="1">
        <f t="array" ref="AE177">IFERROR(INDEX('M04-S02'!$BB$18:$BB$199,2*(ROWS(AE$151:AE177)-1)+1),"")</f>
        <v/>
      </c>
      <c r="AF177" s="31" t="str">
        <f>IFERROR(INDEX('M04-S02'!$O$18:$O$199,2*(ROWS(AF$151:AF177)-1)+1),"")</f>
        <v/>
      </c>
      <c r="AG177" s="31">
        <f>IFERROR(INDEX('M04-S02'!$AF$18:$AF$199,2*(ROWS(AG$151:AG177)-1)+1),"")</f>
        <v>0</v>
      </c>
      <c r="AH177" s="210"/>
      <c r="AI177">
        <f>IFERROR(INDEX('M04-S02'!$B$18:$B$199,2*(ROWS(AI$151:AI177)-1)+1),"")</f>
        <v>27</v>
      </c>
      <c r="AJ177">
        <f>IFERROR(INDEX('M04-S02'!$G$18:$G$199,2*(ROWS(AJ$151:AJ177)-1)+1),"")</f>
        <v>0</v>
      </c>
      <c r="AK177">
        <f>IFERROR(INDEX('M04-S02'!$S$18:$S$199,2*(ROWS(AK$151:AK177)-1)+1),"")</f>
        <v>0</v>
      </c>
      <c r="AL177">
        <f>IFERROR(INDEX('M04-S02'!$K$18:$K$199,2*(ROWS(AL$151:AL177)-1)+1),"")</f>
        <v>0</v>
      </c>
      <c r="AM177">
        <f>IFERROR(INDEX('M04-S02'!$Z$18:$Z$199,2*(ROWS(AM$151:AM177)-1)+1),"")</f>
        <v>0</v>
      </c>
      <c r="AN177" s="14" t="str">
        <f>IFERROR(INDEX('M04-S02'!$AX$18:$AX$199,2*(ROWS(AN$151:AN177)-1)+1),"")</f>
        <v/>
      </c>
      <c r="AO177" s="14" t="str">
        <f>IFERROR(INDEX('M04-S02'!$AY$18:$AY$199,2*(ROWS(AO$151:AO177)-1)+1),"")</f>
        <v/>
      </c>
      <c r="AP177" t="str">
        <f>IFERROR(INDEX('M04-S02'!$AZ$18:$AZ$199,2*(ROWS(AP$151:AP177)-1)+1),"")</f>
        <v/>
      </c>
      <c r="AQ177" t="str">
        <f>IFERROR(INDEX('M04-S02'!$BC$18:$BC$199,2*(ROWS(AQ$151:AQ177)-1)+1),"")</f>
        <v/>
      </c>
      <c r="AR177" t="s">
        <v>1254</v>
      </c>
      <c r="AS177"/>
      <c r="BL177"/>
      <c r="BP177"/>
      <c r="BQ177"/>
      <c r="BR177"/>
      <c r="CD177"/>
      <c r="CE177"/>
      <c r="CF177"/>
      <c r="CQ177"/>
      <c r="CR177"/>
      <c r="CS177"/>
      <c r="DS177"/>
      <c r="DT177"/>
      <c r="DU177"/>
    </row>
    <row r="178" spans="1:125" hidden="1">
      <c r="A178" s="15">
        <f t="shared" si="13"/>
        <v>0</v>
      </c>
      <c r="B178" t="str">
        <f t="shared" si="16"/>
        <v/>
      </c>
      <c r="C178" t="str">
        <f>IFERROR(IF(INDEX('M04-S02'!$BJ$18:$BJ$199,2*(ROWS($C$151:C178)-1)+1)="","",INDEX('M04-S02'!$BJ$18:$BJ$199,2*(ROWS($C$151:C178)-1)+1)),"")</f>
        <v/>
      </c>
      <c r="D178" t="s">
        <v>135</v>
      </c>
      <c r="E178" t="str">
        <f>IFERROR(INDEX('M04-S02'!$BD$18:$BD$199,2*(ROWS(E$151:E178)-1)+1),"")</f>
        <v/>
      </c>
      <c r="F178" s="31">
        <f>IFERROR(INDEX('M04-S02'!$Q$18:$Q$199,2*(ROWS(F$151:F178)-1)+1),"")</f>
        <v>0</v>
      </c>
      <c r="G178" t="str">
        <f>IFERROR(INDEX('M04-S02'!$E$18:$E$199,2*(ROWS($G$151:G178)-1)+1)&amp;" - "&amp;INDEX('M04-S02'!$C$18:$C$199,2*(ROWS($G$151:G178)-1)+1),"")</f>
        <v xml:space="preserve"> - </v>
      </c>
      <c r="H178" s="14" t="str">
        <f ca="1">IFERROR(ROUND(IF(AC178&lt;&gt;"","",INDEX('M04-S02'!$AH$18:$AH$199,2*(ROWS(H$151:H178)-1)+1)),2),"")</f>
        <v/>
      </c>
      <c r="I178" s="14" t="str">
        <f ca="1">IFERROR(ROUND(IF(AC178&lt;&gt;"","",INDEX('M04-S02'!$AJ$18:$AJ$199,2*(ROWS(I$151:I178)-1)+1)),2),"")</f>
        <v/>
      </c>
      <c r="J178" s="14" t="str">
        <f ca="1">IFERROR(ROUND(IF(AC178&lt;&gt;"","",INDEX('M04-S02'!$AL$18:$AL$199,2*(ROWS(J$151:J178)-1)+1)),2),"")</f>
        <v/>
      </c>
      <c r="K178" t="str">
        <f t="shared" ca="1" si="14"/>
        <v/>
      </c>
      <c r="L178" s="10" t="str">
        <f ca="1">IFERROR(IF(AC178&lt;&gt;"","",ROUND(INDEX('M04-S02'!$M$18:$M$199,2*(ROWS(L$151:L178)-1)+1),3)),"")</f>
        <v/>
      </c>
      <c r="M178" s="10" t="str">
        <f ca="1">IFERROR(IF(AC178&lt;&gt;"","",ROUND(INDEX('M04-S02'!$AD$18:$AD$199,2*(ROWS(M$151:M178)-1)+1),3)),"")</f>
        <v/>
      </c>
      <c r="N178" s="219"/>
      <c r="O178" s="37" t="str">
        <f ca="1">IFERROR(IF(AC178&lt;&gt;"","",INDEX('M04-S02'!$AO$18:$AO$199,2*(ROWS(O$151:O178)-1)+1)),"")</f>
        <v/>
      </c>
      <c r="P178" s="37" t="str">
        <f ca="1">IFERROR(IF(AC178&lt;&gt;"","",INDEX('M04-S02'!$BF$18:$BF$199,2*(ROWS(P$151:P178)-1)+1)),"")</f>
        <v/>
      </c>
      <c r="Q178" s="37" t="str">
        <f ca="1">IFERROR(IF(AC178&lt;&gt;"","",INDEX('M04-S02'!$BE$18:$BE$199,2*(ROWS(Q$151:Q178)-1)+1)),"")</f>
        <v/>
      </c>
      <c r="R178" s="14" t="str">
        <f ca="1">IFERROR(IF(AC178&lt;&gt;"","",INDEX('M04-S02'!$AR$18:$AR$199,2*(ROWS(R$151:R178)-1)+1)),"")</f>
        <v/>
      </c>
      <c r="S178" s="14">
        <f ca="1">IFERROR(ROUND(IF(AC178&lt;&gt;"",INDEX('M04-S02'!$AH$18:$AH$199,2*(ROWS(S$151:S178)-1)+1),""),2),"")</f>
        <v>0</v>
      </c>
      <c r="T178" s="14">
        <f ca="1">IFERROR(ROUND(IF(AC178&lt;&gt;"",INDEX('M04-S02'!$AJ$18:$AJ$199,2*(ROWS(T$151:T178)-1)+1),""),2),"")</f>
        <v>0</v>
      </c>
      <c r="U178" s="14" t="str">
        <f ca="1">IFERROR(ROUND(IF(AC178&lt;&gt;"",INDEX('M04-S02'!$AL$18:$AL$199,2*(ROWS(U$151:U178)-1)+1),""),2),"")</f>
        <v/>
      </c>
      <c r="V178" t="str">
        <f t="shared" ca="1" si="15"/>
        <v>Total</v>
      </c>
      <c r="W178" s="10">
        <f ca="1">IFERROR(IF(AC178&lt;&gt;"",ROUND(INDEX('M04-S02'!$M$18:$M$199,2*(ROWS(W$151:W178)-1)+1),3),""),"")</f>
        <v>0</v>
      </c>
      <c r="X178" s="10">
        <f ca="1">IFERROR(IF(AC178&lt;&gt;"",ROUND(INDEX('M04-S02'!$AD$18:$AD$199,2*(ROWS(X$151:X178)-1)+1),3),""),"")</f>
        <v>0</v>
      </c>
      <c r="Y178" s="210"/>
      <c r="Z178" s="31" t="str">
        <f ca="1">IFERROR(IF(AC178&lt;&gt;"",INDEX('M04-S02'!$AO$18:$AO$199,2*(ROWS(Z$151:Z178)-1)+1),""),"")</f>
        <v/>
      </c>
      <c r="AA178" s="37" t="str">
        <f ca="1">IFERROR(IF(AC178&lt;&gt;"",INDEX('M04-S02'!$BF$18:$BF$199,2*(ROWS(AA$151:AA178)-1)+1),""),"")</f>
        <v/>
      </c>
      <c r="AB178" s="37" t="str">
        <f ca="1">IFERROR(IF(AC178&lt;&gt;"",INDEX('M04-S02'!$BE$18:$BE$199,2*(ROWS(AB$151:AB178)-1)+1),""),"")</f>
        <v/>
      </c>
      <c r="AC178" t="str">
        <f ca="1">IFERROR(INDEX('M04-S02'!$BL$18:$BL$199,2*(ROWS(AC$151:AC178)-1)+1),"")</f>
        <v>Enter Utility Rate (Building Info Tab)</v>
      </c>
      <c r="AD178" s="37" t="str" cm="1">
        <f t="array" ref="AD178">IFERROR(INDEX('M04-S02'!$BA$18:$BA$199,2*(ROWS(AD$151:AD178)-1)+1),"")</f>
        <v/>
      </c>
      <c r="AE178" s="37" t="str" cm="1">
        <f t="array" ref="AE178">IFERROR(INDEX('M04-S02'!$BB$18:$BB$199,2*(ROWS(AE$151:AE178)-1)+1),"")</f>
        <v/>
      </c>
      <c r="AF178" s="31" t="str">
        <f>IFERROR(INDEX('M04-S02'!$O$18:$O$199,2*(ROWS(AF$151:AF178)-1)+1),"")</f>
        <v/>
      </c>
      <c r="AG178" s="31">
        <f>IFERROR(INDEX('M04-S02'!$AF$18:$AF$199,2*(ROWS(AG$151:AG178)-1)+1),"")</f>
        <v>0</v>
      </c>
      <c r="AH178" s="210"/>
      <c r="AI178">
        <f>IFERROR(INDEX('M04-S02'!$B$18:$B$199,2*(ROWS(AI$151:AI178)-1)+1),"")</f>
        <v>28</v>
      </c>
      <c r="AJ178">
        <f>IFERROR(INDEX('M04-S02'!$G$18:$G$199,2*(ROWS(AJ$151:AJ178)-1)+1),"")</f>
        <v>0</v>
      </c>
      <c r="AK178">
        <f>IFERROR(INDEX('M04-S02'!$S$18:$S$199,2*(ROWS(AK$151:AK178)-1)+1),"")</f>
        <v>0</v>
      </c>
      <c r="AL178">
        <f>IFERROR(INDEX('M04-S02'!$K$18:$K$199,2*(ROWS(AL$151:AL178)-1)+1),"")</f>
        <v>0</v>
      </c>
      <c r="AM178">
        <f>IFERROR(INDEX('M04-S02'!$Z$18:$Z$199,2*(ROWS(AM$151:AM178)-1)+1),"")</f>
        <v>0</v>
      </c>
      <c r="AN178" s="14" t="str">
        <f>IFERROR(INDEX('M04-S02'!$AX$18:$AX$199,2*(ROWS(AN$151:AN178)-1)+1),"")</f>
        <v/>
      </c>
      <c r="AO178" s="14" t="str">
        <f>IFERROR(INDEX('M04-S02'!$AY$18:$AY$199,2*(ROWS(AO$151:AO178)-1)+1),"")</f>
        <v/>
      </c>
      <c r="AP178" t="str">
        <f>IFERROR(INDEX('M04-S02'!$AZ$18:$AZ$199,2*(ROWS(AP$151:AP178)-1)+1),"")</f>
        <v/>
      </c>
      <c r="AQ178" t="str">
        <f>IFERROR(INDEX('M04-S02'!$BC$18:$BC$199,2*(ROWS(AQ$151:AQ178)-1)+1),"")</f>
        <v/>
      </c>
      <c r="AR178" t="s">
        <v>1254</v>
      </c>
      <c r="AS178"/>
      <c r="BL178"/>
      <c r="BP178"/>
      <c r="BQ178"/>
      <c r="BR178"/>
      <c r="CD178"/>
      <c r="CE178"/>
      <c r="CF178"/>
      <c r="CQ178"/>
      <c r="CR178"/>
      <c r="CS178"/>
      <c r="DS178"/>
      <c r="DT178"/>
      <c r="DU178"/>
    </row>
    <row r="179" spans="1:125" hidden="1">
      <c r="A179" s="15">
        <f t="shared" si="13"/>
        <v>0</v>
      </c>
      <c r="B179" t="str">
        <f t="shared" si="16"/>
        <v/>
      </c>
      <c r="C179" t="str">
        <f>IFERROR(IF(INDEX('M04-S02'!$BJ$18:$BJ$199,2*(ROWS($C$151:C179)-1)+1)="","",INDEX('M04-S02'!$BJ$18:$BJ$199,2*(ROWS($C$151:C179)-1)+1)),"")</f>
        <v/>
      </c>
      <c r="D179" t="s">
        <v>135</v>
      </c>
      <c r="E179" t="str">
        <f>IFERROR(INDEX('M04-S02'!$BD$18:$BD$199,2*(ROWS(E$151:E179)-1)+1),"")</f>
        <v/>
      </c>
      <c r="F179" s="31">
        <f>IFERROR(INDEX('M04-S02'!$Q$18:$Q$199,2*(ROWS(F$151:F179)-1)+1),"")</f>
        <v>0</v>
      </c>
      <c r="G179" t="str">
        <f>IFERROR(INDEX('M04-S02'!$E$18:$E$199,2*(ROWS($G$151:G179)-1)+1)&amp;" - "&amp;INDEX('M04-S02'!$C$18:$C$199,2*(ROWS($G$151:G179)-1)+1),"")</f>
        <v xml:space="preserve"> - </v>
      </c>
      <c r="H179" s="14" t="str">
        <f ca="1">IFERROR(ROUND(IF(AC179&lt;&gt;"","",INDEX('M04-S02'!$AH$18:$AH$199,2*(ROWS(H$151:H179)-1)+1)),2),"")</f>
        <v/>
      </c>
      <c r="I179" s="14" t="str">
        <f ca="1">IFERROR(ROUND(IF(AC179&lt;&gt;"","",INDEX('M04-S02'!$AJ$18:$AJ$199,2*(ROWS(I$151:I179)-1)+1)),2),"")</f>
        <v/>
      </c>
      <c r="J179" s="14" t="str">
        <f ca="1">IFERROR(ROUND(IF(AC179&lt;&gt;"","",INDEX('M04-S02'!$AL$18:$AL$199,2*(ROWS(J$151:J179)-1)+1)),2),"")</f>
        <v/>
      </c>
      <c r="K179" t="str">
        <f t="shared" ca="1" si="14"/>
        <v/>
      </c>
      <c r="L179" s="10" t="str">
        <f ca="1">IFERROR(IF(AC179&lt;&gt;"","",ROUND(INDEX('M04-S02'!$M$18:$M$199,2*(ROWS(L$151:L179)-1)+1),3)),"")</f>
        <v/>
      </c>
      <c r="M179" s="10" t="str">
        <f ca="1">IFERROR(IF(AC179&lt;&gt;"","",ROUND(INDEX('M04-S02'!$AD$18:$AD$199,2*(ROWS(M$151:M179)-1)+1),3)),"")</f>
        <v/>
      </c>
      <c r="N179" s="219"/>
      <c r="O179" s="37" t="str">
        <f ca="1">IFERROR(IF(AC179&lt;&gt;"","",INDEX('M04-S02'!$AO$18:$AO$199,2*(ROWS(O$151:O179)-1)+1)),"")</f>
        <v/>
      </c>
      <c r="P179" s="37" t="str">
        <f ca="1">IFERROR(IF(AC179&lt;&gt;"","",INDEX('M04-S02'!$BF$18:$BF$199,2*(ROWS(P$151:P179)-1)+1)),"")</f>
        <v/>
      </c>
      <c r="Q179" s="37" t="str">
        <f ca="1">IFERROR(IF(AC179&lt;&gt;"","",INDEX('M04-S02'!$BE$18:$BE$199,2*(ROWS(Q$151:Q179)-1)+1)),"")</f>
        <v/>
      </c>
      <c r="R179" s="14" t="str">
        <f ca="1">IFERROR(IF(AC179&lt;&gt;"","",INDEX('M04-S02'!$AR$18:$AR$199,2*(ROWS(R$151:R179)-1)+1)),"")</f>
        <v/>
      </c>
      <c r="S179" s="14">
        <f ca="1">IFERROR(ROUND(IF(AC179&lt;&gt;"",INDEX('M04-S02'!$AH$18:$AH$199,2*(ROWS(S$151:S179)-1)+1),""),2),"")</f>
        <v>0</v>
      </c>
      <c r="T179" s="14">
        <f ca="1">IFERROR(ROUND(IF(AC179&lt;&gt;"",INDEX('M04-S02'!$AJ$18:$AJ$199,2*(ROWS(T$151:T179)-1)+1),""),2),"")</f>
        <v>0</v>
      </c>
      <c r="U179" s="14" t="str">
        <f ca="1">IFERROR(ROUND(IF(AC179&lt;&gt;"",INDEX('M04-S02'!$AL$18:$AL$199,2*(ROWS(U$151:U179)-1)+1),""),2),"")</f>
        <v/>
      </c>
      <c r="V179" t="str">
        <f t="shared" ca="1" si="15"/>
        <v>Total</v>
      </c>
      <c r="W179" s="10">
        <f ca="1">IFERROR(IF(AC179&lt;&gt;"",ROUND(INDEX('M04-S02'!$M$18:$M$199,2*(ROWS(W$151:W179)-1)+1),3),""),"")</f>
        <v>0</v>
      </c>
      <c r="X179" s="10">
        <f ca="1">IFERROR(IF(AC179&lt;&gt;"",ROUND(INDEX('M04-S02'!$AD$18:$AD$199,2*(ROWS(X$151:X179)-1)+1),3),""),"")</f>
        <v>0</v>
      </c>
      <c r="Y179" s="210"/>
      <c r="Z179" s="31" t="str">
        <f ca="1">IFERROR(IF(AC179&lt;&gt;"",INDEX('M04-S02'!$AO$18:$AO$199,2*(ROWS(Z$151:Z179)-1)+1),""),"")</f>
        <v/>
      </c>
      <c r="AA179" s="37" t="str">
        <f ca="1">IFERROR(IF(AC179&lt;&gt;"",INDEX('M04-S02'!$BF$18:$BF$199,2*(ROWS(AA$151:AA179)-1)+1),""),"")</f>
        <v/>
      </c>
      <c r="AB179" s="37" t="str">
        <f ca="1">IFERROR(IF(AC179&lt;&gt;"",INDEX('M04-S02'!$BE$18:$BE$199,2*(ROWS(AB$151:AB179)-1)+1),""),"")</f>
        <v/>
      </c>
      <c r="AC179" t="str">
        <f ca="1">IFERROR(INDEX('M04-S02'!$BL$18:$BL$199,2*(ROWS(AC$151:AC179)-1)+1),"")</f>
        <v>Enter Utility Rate (Building Info Tab)</v>
      </c>
      <c r="AD179" s="37" t="str" cm="1">
        <f t="array" ref="AD179">IFERROR(INDEX('M04-S02'!$BA$18:$BA$199,2*(ROWS(AD$151:AD179)-1)+1),"")</f>
        <v/>
      </c>
      <c r="AE179" s="37" t="str" cm="1">
        <f t="array" ref="AE179">IFERROR(INDEX('M04-S02'!$BB$18:$BB$199,2*(ROWS(AE$151:AE179)-1)+1),"")</f>
        <v/>
      </c>
      <c r="AF179" s="31" t="str">
        <f>IFERROR(INDEX('M04-S02'!$O$18:$O$199,2*(ROWS(AF$151:AF179)-1)+1),"")</f>
        <v/>
      </c>
      <c r="AG179" s="31">
        <f>IFERROR(INDEX('M04-S02'!$AF$18:$AF$199,2*(ROWS(AG$151:AG179)-1)+1),"")</f>
        <v>0</v>
      </c>
      <c r="AH179" s="210"/>
      <c r="AI179">
        <f>IFERROR(INDEX('M04-S02'!$B$18:$B$199,2*(ROWS(AI$151:AI179)-1)+1),"")</f>
        <v>29</v>
      </c>
      <c r="AJ179">
        <f>IFERROR(INDEX('M04-S02'!$G$18:$G$199,2*(ROWS(AJ$151:AJ179)-1)+1),"")</f>
        <v>0</v>
      </c>
      <c r="AK179">
        <f>IFERROR(INDEX('M04-S02'!$S$18:$S$199,2*(ROWS(AK$151:AK179)-1)+1),"")</f>
        <v>0</v>
      </c>
      <c r="AL179">
        <f>IFERROR(INDEX('M04-S02'!$K$18:$K$199,2*(ROWS(AL$151:AL179)-1)+1),"")</f>
        <v>0</v>
      </c>
      <c r="AM179">
        <f>IFERROR(INDEX('M04-S02'!$Z$18:$Z$199,2*(ROWS(AM$151:AM179)-1)+1),"")</f>
        <v>0</v>
      </c>
      <c r="AN179" s="14" t="str">
        <f>IFERROR(INDEX('M04-S02'!$AX$18:$AX$199,2*(ROWS(AN$151:AN179)-1)+1),"")</f>
        <v/>
      </c>
      <c r="AO179" s="14" t="str">
        <f>IFERROR(INDEX('M04-S02'!$AY$18:$AY$199,2*(ROWS(AO$151:AO179)-1)+1),"")</f>
        <v/>
      </c>
      <c r="AP179" t="str">
        <f>IFERROR(INDEX('M04-S02'!$AZ$18:$AZ$199,2*(ROWS(AP$151:AP179)-1)+1),"")</f>
        <v/>
      </c>
      <c r="AQ179" t="str">
        <f>IFERROR(INDEX('M04-S02'!$BC$18:$BC$199,2*(ROWS(AQ$151:AQ179)-1)+1),"")</f>
        <v/>
      </c>
      <c r="AR179" t="s">
        <v>1254</v>
      </c>
      <c r="AS179"/>
      <c r="BL179"/>
      <c r="BP179"/>
      <c r="BQ179"/>
      <c r="BR179"/>
      <c r="CD179"/>
      <c r="CE179"/>
      <c r="CF179"/>
      <c r="CQ179"/>
      <c r="CR179"/>
      <c r="CS179"/>
      <c r="DS179"/>
      <c r="DT179"/>
      <c r="DU179"/>
    </row>
    <row r="180" spans="1:125" hidden="1">
      <c r="A180" s="15">
        <f t="shared" si="13"/>
        <v>0</v>
      </c>
      <c r="B180" t="str">
        <f t="shared" si="16"/>
        <v/>
      </c>
      <c r="C180" t="str">
        <f>IFERROR(IF(INDEX('M04-S02'!$BJ$18:$BJ$199,2*(ROWS($C$151:C180)-1)+1)="","",INDEX('M04-S02'!$BJ$18:$BJ$199,2*(ROWS($C$151:C180)-1)+1)),"")</f>
        <v/>
      </c>
      <c r="D180" t="s">
        <v>135</v>
      </c>
      <c r="E180" t="str">
        <f>IFERROR(INDEX('M04-S02'!$BD$18:$BD$199,2*(ROWS(E$151:E180)-1)+1),"")</f>
        <v/>
      </c>
      <c r="F180" s="31">
        <f>IFERROR(INDEX('M04-S02'!$Q$18:$Q$199,2*(ROWS(F$151:F180)-1)+1),"")</f>
        <v>0</v>
      </c>
      <c r="G180" t="str">
        <f>IFERROR(INDEX('M04-S02'!$E$18:$E$199,2*(ROWS($G$151:G180)-1)+1)&amp;" - "&amp;INDEX('M04-S02'!$C$18:$C$199,2*(ROWS($G$151:G180)-1)+1),"")</f>
        <v xml:space="preserve"> - </v>
      </c>
      <c r="H180" s="14" t="str">
        <f ca="1">IFERROR(ROUND(IF(AC180&lt;&gt;"","",INDEX('M04-S02'!$AH$18:$AH$199,2*(ROWS(H$151:H180)-1)+1)),2),"")</f>
        <v/>
      </c>
      <c r="I180" s="14" t="str">
        <f ca="1">IFERROR(ROUND(IF(AC180&lt;&gt;"","",INDEX('M04-S02'!$AJ$18:$AJ$199,2*(ROWS(I$151:I180)-1)+1)),2),"")</f>
        <v/>
      </c>
      <c r="J180" s="14" t="str">
        <f ca="1">IFERROR(ROUND(IF(AC180&lt;&gt;"","",INDEX('M04-S02'!$AL$18:$AL$199,2*(ROWS(J$151:J180)-1)+1)),2),"")</f>
        <v/>
      </c>
      <c r="K180" t="str">
        <f t="shared" ca="1" si="14"/>
        <v/>
      </c>
      <c r="L180" s="10" t="str">
        <f ca="1">IFERROR(IF(AC180&lt;&gt;"","",ROUND(INDEX('M04-S02'!$M$18:$M$199,2*(ROWS(L$151:L180)-1)+1),3)),"")</f>
        <v/>
      </c>
      <c r="M180" s="10" t="str">
        <f ca="1">IFERROR(IF(AC180&lt;&gt;"","",ROUND(INDEX('M04-S02'!$AD$18:$AD$199,2*(ROWS(M$151:M180)-1)+1),3)),"")</f>
        <v/>
      </c>
      <c r="N180" s="219"/>
      <c r="O180" s="37" t="str">
        <f ca="1">IFERROR(IF(AC180&lt;&gt;"","",INDEX('M04-S02'!$AO$18:$AO$199,2*(ROWS(O$151:O180)-1)+1)),"")</f>
        <v/>
      </c>
      <c r="P180" s="37" t="str">
        <f ca="1">IFERROR(IF(AC180&lt;&gt;"","",INDEX('M04-S02'!$BF$18:$BF$199,2*(ROWS(P$151:P180)-1)+1)),"")</f>
        <v/>
      </c>
      <c r="Q180" s="37" t="str">
        <f ca="1">IFERROR(IF(AC180&lt;&gt;"","",INDEX('M04-S02'!$BE$18:$BE$199,2*(ROWS(Q$151:Q180)-1)+1)),"")</f>
        <v/>
      </c>
      <c r="R180" s="14" t="str">
        <f ca="1">IFERROR(IF(AC180&lt;&gt;"","",INDEX('M04-S02'!$AR$18:$AR$199,2*(ROWS(R$151:R180)-1)+1)),"")</f>
        <v/>
      </c>
      <c r="S180" s="14">
        <f ca="1">IFERROR(ROUND(IF(AC180&lt;&gt;"",INDEX('M04-S02'!$AH$18:$AH$199,2*(ROWS(S$151:S180)-1)+1),""),2),"")</f>
        <v>0</v>
      </c>
      <c r="T180" s="14">
        <f ca="1">IFERROR(ROUND(IF(AC180&lt;&gt;"",INDEX('M04-S02'!$AJ$18:$AJ$199,2*(ROWS(T$151:T180)-1)+1),""),2),"")</f>
        <v>0</v>
      </c>
      <c r="U180" s="14" t="str">
        <f ca="1">IFERROR(ROUND(IF(AC180&lt;&gt;"",INDEX('M04-S02'!$AL$18:$AL$199,2*(ROWS(U$151:U180)-1)+1),""),2),"")</f>
        <v/>
      </c>
      <c r="V180" t="str">
        <f t="shared" ca="1" si="15"/>
        <v>Total</v>
      </c>
      <c r="W180" s="10">
        <f ca="1">IFERROR(IF(AC180&lt;&gt;"",ROUND(INDEX('M04-S02'!$M$18:$M$199,2*(ROWS(W$151:W180)-1)+1),3),""),"")</f>
        <v>0</v>
      </c>
      <c r="X180" s="10">
        <f ca="1">IFERROR(IF(AC180&lt;&gt;"",ROUND(INDEX('M04-S02'!$AD$18:$AD$199,2*(ROWS(X$151:X180)-1)+1),3),""),"")</f>
        <v>0</v>
      </c>
      <c r="Y180" s="210"/>
      <c r="Z180" s="31" t="str">
        <f ca="1">IFERROR(IF(AC180&lt;&gt;"",INDEX('M04-S02'!$AO$18:$AO$199,2*(ROWS(Z$151:Z180)-1)+1),""),"")</f>
        <v/>
      </c>
      <c r="AA180" s="37" t="str">
        <f ca="1">IFERROR(IF(AC180&lt;&gt;"",INDEX('M04-S02'!$BF$18:$BF$199,2*(ROWS(AA$151:AA180)-1)+1),""),"")</f>
        <v/>
      </c>
      <c r="AB180" s="37" t="str">
        <f ca="1">IFERROR(IF(AC180&lt;&gt;"",INDEX('M04-S02'!$BE$18:$BE$199,2*(ROWS(AB$151:AB180)-1)+1),""),"")</f>
        <v/>
      </c>
      <c r="AC180" t="str">
        <f ca="1">IFERROR(INDEX('M04-S02'!$BL$18:$BL$199,2*(ROWS(AC$151:AC180)-1)+1),"")</f>
        <v>Enter Utility Rate (Building Info Tab)</v>
      </c>
      <c r="AD180" s="37" t="str" cm="1">
        <f t="array" ref="AD180">IFERROR(INDEX('M04-S02'!$BA$18:$BA$199,2*(ROWS(AD$151:AD180)-1)+1),"")</f>
        <v/>
      </c>
      <c r="AE180" s="37" t="str" cm="1">
        <f t="array" ref="AE180">IFERROR(INDEX('M04-S02'!$BB$18:$BB$199,2*(ROWS(AE$151:AE180)-1)+1),"")</f>
        <v/>
      </c>
      <c r="AF180" s="31" t="str">
        <f>IFERROR(INDEX('M04-S02'!$O$18:$O$199,2*(ROWS(AF$151:AF180)-1)+1),"")</f>
        <v/>
      </c>
      <c r="AG180" s="31">
        <f>IFERROR(INDEX('M04-S02'!$AF$18:$AF$199,2*(ROWS(AG$151:AG180)-1)+1),"")</f>
        <v>0</v>
      </c>
      <c r="AH180" s="210"/>
      <c r="AI180">
        <f>IFERROR(INDEX('M04-S02'!$B$18:$B$199,2*(ROWS(AI$151:AI180)-1)+1),"")</f>
        <v>30</v>
      </c>
      <c r="AJ180">
        <f>IFERROR(INDEX('M04-S02'!$G$18:$G$199,2*(ROWS(AJ$151:AJ180)-1)+1),"")</f>
        <v>0</v>
      </c>
      <c r="AK180">
        <f>IFERROR(INDEX('M04-S02'!$S$18:$S$199,2*(ROWS(AK$151:AK180)-1)+1),"")</f>
        <v>0</v>
      </c>
      <c r="AL180">
        <f>IFERROR(INDEX('M04-S02'!$K$18:$K$199,2*(ROWS(AL$151:AL180)-1)+1),"")</f>
        <v>0</v>
      </c>
      <c r="AM180">
        <f>IFERROR(INDEX('M04-S02'!$Z$18:$Z$199,2*(ROWS(AM$151:AM180)-1)+1),"")</f>
        <v>0</v>
      </c>
      <c r="AN180" s="14" t="str">
        <f>IFERROR(INDEX('M04-S02'!$AX$18:$AX$199,2*(ROWS(AN$151:AN180)-1)+1),"")</f>
        <v/>
      </c>
      <c r="AO180" s="14" t="str">
        <f>IFERROR(INDEX('M04-S02'!$AY$18:$AY$199,2*(ROWS(AO$151:AO180)-1)+1),"")</f>
        <v/>
      </c>
      <c r="AP180" t="str">
        <f>IFERROR(INDEX('M04-S02'!$AZ$18:$AZ$199,2*(ROWS(AP$151:AP180)-1)+1),"")</f>
        <v/>
      </c>
      <c r="AQ180" t="str">
        <f>IFERROR(INDEX('M04-S02'!$BC$18:$BC$199,2*(ROWS(AQ$151:AQ180)-1)+1),"")</f>
        <v/>
      </c>
      <c r="AR180" t="s">
        <v>1254</v>
      </c>
      <c r="AS180"/>
      <c r="BL180"/>
      <c r="BP180"/>
      <c r="BQ180"/>
      <c r="BR180"/>
      <c r="CD180"/>
      <c r="CE180"/>
      <c r="CF180"/>
      <c r="CQ180"/>
      <c r="CR180"/>
      <c r="CS180"/>
      <c r="DS180"/>
      <c r="DT180"/>
      <c r="DU180"/>
    </row>
    <row r="181" spans="1:125">
      <c r="A181" s="226" t="str">
        <f>"Custom "&amp;M4S3</f>
        <v>Custom Lighting Controls</v>
      </c>
      <c r="B181" s="36"/>
      <c r="C181" s="36"/>
      <c r="D181" s="36"/>
      <c r="E181" s="36"/>
      <c r="F181" s="211"/>
      <c r="G181" s="36"/>
      <c r="H181" s="206"/>
      <c r="I181" s="206"/>
      <c r="J181" s="206"/>
      <c r="K181" s="36"/>
      <c r="L181" s="214"/>
      <c r="M181" s="214"/>
      <c r="N181" s="217"/>
      <c r="O181" s="217"/>
      <c r="P181" s="217"/>
      <c r="Q181" s="217"/>
      <c r="R181" s="206"/>
      <c r="S181" s="206"/>
      <c r="T181" s="206"/>
      <c r="U181" s="206"/>
      <c r="V181" s="36"/>
      <c r="W181" s="214"/>
      <c r="X181" s="214"/>
      <c r="Y181" s="211"/>
      <c r="Z181" s="211"/>
      <c r="AA181" s="217"/>
      <c r="AB181" s="217"/>
      <c r="AC181" s="36"/>
      <c r="AD181" s="217"/>
      <c r="AE181" s="217"/>
      <c r="AF181" s="211"/>
      <c r="AG181" s="211"/>
      <c r="AH181" s="211"/>
      <c r="AI181" s="36"/>
      <c r="AJ181" s="36"/>
      <c r="AK181" s="109"/>
      <c r="AL181" s="36"/>
      <c r="AM181" s="36"/>
      <c r="AN181" s="206"/>
      <c r="AO181" s="206"/>
      <c r="AP181" s="36"/>
      <c r="AQ181" s="36"/>
      <c r="AR181" s="36"/>
      <c r="AS181" s="36"/>
      <c r="AT181" s="36"/>
      <c r="BL181"/>
      <c r="BP181"/>
      <c r="BQ181"/>
      <c r="BR181"/>
      <c r="CD181"/>
      <c r="CE181"/>
      <c r="CF181"/>
      <c r="CQ181"/>
      <c r="CR181"/>
      <c r="CS181"/>
      <c r="DS181"/>
      <c r="DT181"/>
      <c r="DU181"/>
    </row>
    <row r="182" spans="1:125" hidden="1">
      <c r="A182" s="15">
        <f t="shared" ref="A182:A196" si="17">PROJID</f>
        <v>0</v>
      </c>
      <c r="B182" t="str">
        <f>IF(C182="","",CONCATENATE(ROW(),"-",C182))</f>
        <v/>
      </c>
      <c r="C182" t="str">
        <f>IFERROR(IF(INDEX('M04-S03'!$BJ$18:$BJ$199,2*(ROWS($C$182:C182)-1)+1)="","",INDEX('M04-S03'!$BJ$18:$BJ$199,2*(ROWS($C$182:C182)-1)+1)),"")</f>
        <v/>
      </c>
      <c r="D182" t="s">
        <v>135</v>
      </c>
      <c r="E182" t="str">
        <f>IFERROR(INDEX('M04-S03'!$BD$18:$BD$199,2*(ROWS(E$182:E182)-1)+1),"")</f>
        <v/>
      </c>
      <c r="F182" s="31">
        <f>IFERROR(INDEX('M04-S03'!$T$18:$T$199,2*(ROWS(G$182:G182)-1)+1),"")</f>
        <v>0</v>
      </c>
      <c r="G182">
        <f>IFERROR(INDEX('M04-S03'!$AE$18:$AE$199,2*(ROWS(G$182:G182)-1)+1),"")</f>
        <v>0</v>
      </c>
      <c r="H182" s="14" t="str">
        <f ca="1">IFERROR(ROUND(IF(AC182&lt;&gt;"","",INDEX('M04-S03'!$AH$18:$AH$199,2*(ROWS(H$182:H182)-1)+1)),2),"")</f>
        <v/>
      </c>
      <c r="I182" s="14" t="str">
        <f ca="1">IFERROR(ROUND(IF(AC182&lt;&gt;"","",INDEX('M04-S03'!$AJ$18:$AJ$199,2*(ROWS(I$182:I182)-1)+1)),2),"")</f>
        <v/>
      </c>
      <c r="J182" s="14" t="str">
        <f ca="1">IFERROR(ROUND(IF(AC182&lt;&gt;"","",INDEX('M04-S03'!$AL$18:$AL$199,2*(ROWS(J$182:J182)-1)+1)),2),"")</f>
        <v/>
      </c>
      <c r="K182" t="s">
        <v>84</v>
      </c>
      <c r="L182" s="10" t="str">
        <f ca="1">IFERROR(IF(AC182&lt;&gt;"","",ROUND(INDEX('M04-S03'!$O$18:$O$199,2*(ROWS(L$182:L182)-1)+1),3)),"")</f>
        <v/>
      </c>
      <c r="M182" s="10" t="str">
        <f ca="1">IFERROR(IF(AC182&lt;&gt;"","",ROUND(INDEX('M04-S03'!$O$18:$O$199,2*(ROWS(M$182:M182)-1)+1),3)),"")</f>
        <v/>
      </c>
      <c r="N182" s="219"/>
      <c r="O182" s="37" t="str">
        <f ca="1">IFERROR(IF(AC182&lt;&gt;"","",INDEX('M04-S03'!$AO$18:$AO$199,2*(ROWS(O$182:O182)-1)+1)),"")</f>
        <v/>
      </c>
      <c r="P182" s="37" t="str">
        <f ca="1">IFERROR(IF(AC182&lt;&gt;"","",INDEX('M04-S03'!$BF$18:$BF$199,2*(ROWS(P$182:P182)-1)+1)),"")</f>
        <v/>
      </c>
      <c r="Q182" s="37" t="str">
        <f ca="1">IFERROR(IF(AC182&lt;&gt;"","",INDEX('M04-S03'!$BE$18:$BE$199,2*(ROWS(Q$182:Q182)-1)+1)),"")</f>
        <v/>
      </c>
      <c r="R182" s="14" t="str">
        <f ca="1">IFERROR(IF(AC182&lt;&gt;"","",INDEX('M04-S03'!$AR$18:$AR$199,2*(ROWS(R$182:R182)-1)+1)),"")</f>
        <v/>
      </c>
      <c r="S182" s="14">
        <f ca="1">IFERROR(ROUND(IF(AC182&lt;&gt;"",INDEX('M04-S03'!$AH$18:$AH$199,2*(ROWS(S$182:S182)-1)+1),""),2),"")</f>
        <v>0</v>
      </c>
      <c r="T182" s="14">
        <f ca="1">IFERROR(ROUND(IF(AC182&lt;&gt;"",INDEX('M04-S03'!$AJ$18:$AJ$199,2*(ROWS(T$182:T182)-1)+1),""),2),"")</f>
        <v>0</v>
      </c>
      <c r="U182" s="14" t="str">
        <f ca="1">IFERROR(ROUND(IF(AC182&lt;&gt;"",INDEX('M04-S03'!$AL$18:$AL$199,2*(ROWS(U$182:U182)-1)+1),""),2),"")</f>
        <v/>
      </c>
      <c r="V182" t="str">
        <f ca="1">IFERROR(IF(AC182&lt;&gt;"","Total",""),"")</f>
        <v>Total</v>
      </c>
      <c r="W182" s="10">
        <f ca="1">IFERROR(IF(AC182&lt;&gt;"",ROUND(INDEX('M04-S03'!$O$18:$O$199,2*(ROWS(W$182:W182)-1)+1),3),""),"")</f>
        <v>0</v>
      </c>
      <c r="X182" s="10">
        <f ca="1">IFERROR(IF(AC182&lt;&gt;"",ROUND(INDEX('M04-S03'!$O$18:$O$199,2*(ROWS(X$182:X182)-1)+1),3),""),"")</f>
        <v>0</v>
      </c>
      <c r="Y182" s="210"/>
      <c r="Z182" s="31" t="str">
        <f ca="1">IFERROR(IF(AC182&lt;&gt;"",INDEX('M04-S03'!$AO$18:$AO$199,2*(ROWS(Z$182:Z182)-1)+1),""),"")</f>
        <v/>
      </c>
      <c r="AA182" s="37" t="str">
        <f ca="1">IFERROR(IF(AC182&lt;&gt;"",INDEX('M04-S03'!$BF$18:$BF$199,2*(ROWS(AA$182:AA182)-1)+1),""),"")</f>
        <v/>
      </c>
      <c r="AB182" s="37" t="str">
        <f ca="1">IFERROR(IF(AC182&lt;&gt;"",INDEX('M04-S03'!$BE$18:$BE$199,2*(ROWS(AB$182:AB182)-1)+1),""),"")</f>
        <v/>
      </c>
      <c r="AC182" t="str">
        <f ca="1">IFERROR(INDEX('M04-S03'!$BL$18:$BL$199,2*(ROWS(AC$182:AC182)-1)+1),"")</f>
        <v>Enter Utility Rate (Building Info Tab)</v>
      </c>
      <c r="AD182" s="37" t="str" cm="1">
        <f t="array" ref="AD182">IFERROR(INDEX('M04-S03'!$BA$18:$BA$199,2*(ROWS(AD$182:AD182)-1)+1),"")</f>
        <v/>
      </c>
      <c r="AE182" s="37" t="str" cm="1">
        <f t="array" ref="AE182">IFERROR(INDEX('M04-S03'!$BB$18:$BB$199,2*(ROWS(AE$182:AE182)-1)+1),"")</f>
        <v/>
      </c>
      <c r="AF182" s="210"/>
      <c r="AG182" s="210"/>
      <c r="AH182" s="31">
        <f>IFERROR(INDEX('M04-S03'!$Q$18:$Q$199,2*(ROWS(AH$182:AH182)-1)+1),"")</f>
        <v>0</v>
      </c>
      <c r="AI182">
        <f>IFERROR(INDEX('M04-S03'!$B$18:$B$199,2*(ROWS(AI$182:AI182)-1)+1),"")</f>
        <v>1</v>
      </c>
      <c r="AJ182" s="194"/>
      <c r="AK182">
        <f>IFERROR(INDEX('M04-S03'!$G$18:$G$199,2*(ROWS(AK$182:AK182)-1)+1),"")</f>
        <v>0</v>
      </c>
      <c r="AL182" s="194"/>
      <c r="AM182">
        <f>IFERROR(INDEX('M04-S03'!$AA$18:$AA$199,2*(ROWS(AM$182:AM182)-1)+1),"")</f>
        <v>0</v>
      </c>
      <c r="AN182" s="14" t="str">
        <f>IFERROR(INDEX('M04-S03'!$AX$18:$AX$199,2*(ROWS(AN$182:AN182)-1)+1),"")</f>
        <v/>
      </c>
      <c r="AO182" s="14" t="str">
        <f>IFERROR(INDEX('M04-S03'!$AY$18:$AY$199,2*(ROWS(AO$182:AO182)-1)+1),"")</f>
        <v/>
      </c>
      <c r="AP182" t="str">
        <f>IFERROR(INDEX('M04-S03'!$AZ$18:$AZ$199,2*(ROWS(AP$182:AP182)-1)+1),"")</f>
        <v/>
      </c>
      <c r="AQ182" t="str">
        <f>IFERROR(INDEX('M04-S03'!$BC$18:$BC$199,2*(ROWS(AQ$182:AQ182)-1)+1),"")</f>
        <v/>
      </c>
      <c r="AR182" t="s">
        <v>1254</v>
      </c>
      <c r="AS182"/>
      <c r="BL182"/>
      <c r="BP182"/>
      <c r="BQ182"/>
      <c r="BR182"/>
      <c r="CD182"/>
      <c r="CE182"/>
      <c r="CF182"/>
      <c r="CQ182"/>
      <c r="CR182"/>
      <c r="CS182"/>
      <c r="DS182"/>
      <c r="DT182"/>
      <c r="DU182"/>
    </row>
    <row r="183" spans="1:125" hidden="1">
      <c r="A183" s="15">
        <f t="shared" si="17"/>
        <v>0</v>
      </c>
      <c r="B183" t="str">
        <f t="shared" ref="B183:B196" si="18">IF(C183="","",CONCATENATE(ROW(),"-",C183))</f>
        <v/>
      </c>
      <c r="C183" t="str">
        <f>IFERROR(IF(INDEX('M04-S03'!$BJ$18:$BJ$199,2*(ROWS($C$182:C183)-1)+1)="","",INDEX('M04-S03'!$BJ$18:$BJ$199,2*(ROWS($C$182:C183)-1)+1)),"")</f>
        <v/>
      </c>
      <c r="D183" t="s">
        <v>135</v>
      </c>
      <c r="E183" t="str">
        <f>IFERROR(INDEX('M04-S03'!$BD$18:$BD$199,2*(ROWS(E$182:E183)-1)+1),"")</f>
        <v/>
      </c>
      <c r="F183" s="31">
        <f>IFERROR(INDEX('M04-S03'!$T$18:$T$199,2*(ROWS(G$182:G183)-1)+1),"")</f>
        <v>0</v>
      </c>
      <c r="G183">
        <f>IFERROR(INDEX('M04-S03'!$AE$18:$AE$199,2*(ROWS(G$182:G183)-1)+1),"")</f>
        <v>0</v>
      </c>
      <c r="H183" s="14" t="str">
        <f ca="1">IFERROR(ROUND(IF(AC183&lt;&gt;"","",INDEX('M04-S03'!$AH$18:$AH$199,2*(ROWS(H$182:H183)-1)+1)),2),"")</f>
        <v/>
      </c>
      <c r="I183" s="14" t="str">
        <f ca="1">IFERROR(ROUND(IF(AC183&lt;&gt;"","",INDEX('M04-S03'!$AJ$18:$AJ$199,2*(ROWS(I$182:I183)-1)+1)),2),"")</f>
        <v/>
      </c>
      <c r="J183" s="14" t="str">
        <f ca="1">IFERROR(ROUND(IF(AC183&lt;&gt;"","",INDEX('M04-S03'!$AL$18:$AL$199,2*(ROWS(J$182:J183)-1)+1)),2),"")</f>
        <v/>
      </c>
      <c r="K183" t="s">
        <v>84</v>
      </c>
      <c r="L183" s="10" t="str">
        <f ca="1">IFERROR(IF(AC183&lt;&gt;"","",ROUND(INDEX('M04-S03'!$O$18:$O$199,2*(ROWS(L$182:L183)-1)+1),3)),"")</f>
        <v/>
      </c>
      <c r="M183" s="10" t="str">
        <f ca="1">IFERROR(IF(AC183&lt;&gt;"","",ROUND(INDEX('M04-S03'!$O$18:$O$199,2*(ROWS(M$182:M183)-1)+1),3)),"")</f>
        <v/>
      </c>
      <c r="N183" s="219"/>
      <c r="O183" s="37" t="str">
        <f ca="1">IFERROR(IF(AC183&lt;&gt;"","",INDEX('M04-S03'!$AO$18:$AO$199,2*(ROWS(O$182:O183)-1)+1)),"")</f>
        <v/>
      </c>
      <c r="P183" s="37" t="str">
        <f ca="1">IFERROR(IF(AC183&lt;&gt;"","",INDEX('M04-S03'!$BF$18:$BF$199,2*(ROWS(P$182:P183)-1)+1)),"")</f>
        <v/>
      </c>
      <c r="Q183" s="37" t="str">
        <f ca="1">IFERROR(IF(AC183&lt;&gt;"","",INDEX('M04-S03'!$BE$18:$BE$199,2*(ROWS(Q$182:Q183)-1)+1)),"")</f>
        <v/>
      </c>
      <c r="R183" s="14" t="str">
        <f ca="1">IFERROR(IF(AC183&lt;&gt;"","",INDEX('M04-S03'!$AR$18:$AR$199,2*(ROWS(R$182:R183)-1)+1)),"")</f>
        <v/>
      </c>
      <c r="S183" s="14">
        <f ca="1">IFERROR(ROUND(IF(AC183&lt;&gt;"",INDEX('M04-S03'!$AH$18:$AH$199,2*(ROWS(S$182:S183)-1)+1),""),2),"")</f>
        <v>0</v>
      </c>
      <c r="T183" s="14">
        <f ca="1">IFERROR(ROUND(IF(AC183&lt;&gt;"",INDEX('M04-S03'!$AJ$18:$AJ$199,2*(ROWS(T$182:T183)-1)+1),""),2),"")</f>
        <v>0</v>
      </c>
      <c r="U183" s="14" t="str">
        <f ca="1">IFERROR(ROUND(IF(AC183&lt;&gt;"",INDEX('M04-S03'!$AL$18:$AL$199,2*(ROWS(U$182:U183)-1)+1),""),2),"")</f>
        <v/>
      </c>
      <c r="V183" t="str">
        <f t="shared" ref="V183:V196" ca="1" si="19">IFERROR(IF(AC183&lt;&gt;"","Total",""),"")</f>
        <v>Total</v>
      </c>
      <c r="W183" s="10">
        <f ca="1">IFERROR(IF(AC183&lt;&gt;"",ROUND(INDEX('M04-S03'!$O$18:$O$199,2*(ROWS(W$182:W183)-1)+1),3),""),"")</f>
        <v>0</v>
      </c>
      <c r="X183" s="10">
        <f ca="1">IFERROR(IF(AC183&lt;&gt;"",ROUND(INDEX('M04-S03'!$O$18:$O$199,2*(ROWS(X$182:X183)-1)+1),3),""),"")</f>
        <v>0</v>
      </c>
      <c r="Y183" s="210"/>
      <c r="Z183" s="31" t="str">
        <f ca="1">IFERROR(IF(AC183&lt;&gt;"",INDEX('M04-S03'!$AO$18:$AO$199,2*(ROWS(Z$182:Z183)-1)+1),""),"")</f>
        <v/>
      </c>
      <c r="AA183" s="37" t="str">
        <f ca="1">IFERROR(IF(AC183&lt;&gt;"",INDEX('M04-S03'!$BF$18:$BF$199,2*(ROWS(AA$182:AA183)-1)+1),""),"")</f>
        <v/>
      </c>
      <c r="AB183" s="37" t="str">
        <f ca="1">IFERROR(IF(AC183&lt;&gt;"",INDEX('M04-S03'!$BE$18:$BE$199,2*(ROWS(AB$182:AB183)-1)+1),""),"")</f>
        <v/>
      </c>
      <c r="AC183" t="str">
        <f ca="1">IFERROR(INDEX('M04-S03'!$BL$18:$BL$199,2*(ROWS(AC$182:AC183)-1)+1),"")</f>
        <v>Enter Utility Rate (Building Info Tab)</v>
      </c>
      <c r="AD183" s="37" t="str" cm="1">
        <f t="array" ref="AD183">IFERROR(INDEX('M04-S03'!$BA$18:$BA$199,2*(ROWS(AD$182:AD183)-1)+1),"")</f>
        <v/>
      </c>
      <c r="AE183" s="37" t="str" cm="1">
        <f t="array" ref="AE183">IFERROR(INDEX('M04-S03'!$BB$18:$BB$199,2*(ROWS(AE$182:AE183)-1)+1),"")</f>
        <v/>
      </c>
      <c r="AF183" s="210"/>
      <c r="AG183" s="210"/>
      <c r="AH183" s="31">
        <f>IFERROR(INDEX('M04-S03'!$Q$18:$Q$199,2*(ROWS(AH$182:AH183)-1)+1),"")</f>
        <v>0</v>
      </c>
      <c r="AI183">
        <f>IFERROR(INDEX('M04-S03'!$B$18:$B$199,2*(ROWS(AI$182:AI183)-1)+1),"")</f>
        <v>2</v>
      </c>
      <c r="AJ183" s="194"/>
      <c r="AK183">
        <f>IFERROR(INDEX('M04-S03'!$G$18:$G$199,2*(ROWS(AK$182:AK183)-1)+1),"")</f>
        <v>0</v>
      </c>
      <c r="AL183" s="194"/>
      <c r="AM183">
        <f>IFERROR(INDEX('M04-S03'!$AA$18:$AA$199,2*(ROWS(AM$182:AM183)-1)+1),"")</f>
        <v>0</v>
      </c>
      <c r="AN183" s="14" t="str">
        <f>IFERROR(INDEX('M04-S03'!$AX$18:$AX$199,2*(ROWS(AN$182:AN183)-1)+1),"")</f>
        <v/>
      </c>
      <c r="AO183" s="14" t="str">
        <f>IFERROR(INDEX('M04-S03'!$AY$18:$AY$199,2*(ROWS(AO$182:AO183)-1)+1),"")</f>
        <v/>
      </c>
      <c r="AP183" t="str">
        <f>IFERROR(INDEX('M04-S03'!$AZ$18:$AZ$199,2*(ROWS(AP$182:AP183)-1)+1),"")</f>
        <v/>
      </c>
      <c r="AQ183" t="str">
        <f>IFERROR(INDEX('M04-S03'!$BC$18:$BC$199,2*(ROWS(AQ$182:AQ183)-1)+1),"")</f>
        <v/>
      </c>
      <c r="AR183" t="s">
        <v>1254</v>
      </c>
      <c r="AS183"/>
      <c r="BL183"/>
      <c r="BP183"/>
      <c r="BQ183"/>
      <c r="BR183"/>
      <c r="CD183"/>
      <c r="CE183"/>
      <c r="CF183"/>
      <c r="CQ183"/>
      <c r="CR183"/>
      <c r="CS183"/>
      <c r="DS183"/>
      <c r="DT183"/>
      <c r="DU183"/>
    </row>
    <row r="184" spans="1:125" hidden="1">
      <c r="A184" s="15">
        <f t="shared" si="17"/>
        <v>0</v>
      </c>
      <c r="B184" t="str">
        <f t="shared" si="18"/>
        <v/>
      </c>
      <c r="C184" t="str">
        <f>IFERROR(IF(INDEX('M04-S03'!$BJ$18:$BJ$199,2*(ROWS($C$182:C184)-1)+1)="","",INDEX('M04-S03'!$BJ$18:$BJ$199,2*(ROWS($C$182:C184)-1)+1)),"")</f>
        <v/>
      </c>
      <c r="D184" t="s">
        <v>135</v>
      </c>
      <c r="E184" t="str">
        <f>IFERROR(INDEX('M04-S03'!$BD$18:$BD$199,2*(ROWS(E$182:E184)-1)+1),"")</f>
        <v/>
      </c>
      <c r="F184" s="31">
        <f>IFERROR(INDEX('M04-S03'!$T$18:$T$199,2*(ROWS(G$182:G184)-1)+1),"")</f>
        <v>0</v>
      </c>
      <c r="G184">
        <f>IFERROR(INDEX('M04-S03'!$AE$18:$AE$199,2*(ROWS(G$182:G184)-1)+1),"")</f>
        <v>0</v>
      </c>
      <c r="H184" s="14" t="str">
        <f ca="1">IFERROR(ROUND(IF(AC184&lt;&gt;"","",INDEX('M04-S03'!$AH$18:$AH$199,2*(ROWS(H$182:H184)-1)+1)),2),"")</f>
        <v/>
      </c>
      <c r="I184" s="14" t="str">
        <f ca="1">IFERROR(ROUND(IF(AC184&lt;&gt;"","",INDEX('M04-S03'!$AJ$18:$AJ$199,2*(ROWS(I$182:I184)-1)+1)),2),"")</f>
        <v/>
      </c>
      <c r="J184" s="14" t="str">
        <f ca="1">IFERROR(ROUND(IF(AC184&lt;&gt;"","",INDEX('M04-S03'!$AL$18:$AL$199,2*(ROWS(J$182:J184)-1)+1)),2),"")</f>
        <v/>
      </c>
      <c r="K184" t="s">
        <v>84</v>
      </c>
      <c r="L184" s="10" t="str">
        <f ca="1">IFERROR(IF(AC184&lt;&gt;"","",ROUND(INDEX('M04-S03'!$O$18:$O$199,2*(ROWS(L$182:L184)-1)+1),3)),"")</f>
        <v/>
      </c>
      <c r="M184" s="10" t="str">
        <f ca="1">IFERROR(IF(AC184&lt;&gt;"","",ROUND(INDEX('M04-S03'!$O$18:$O$199,2*(ROWS(M$182:M184)-1)+1),3)),"")</f>
        <v/>
      </c>
      <c r="N184" s="219"/>
      <c r="O184" s="37" t="str">
        <f ca="1">IFERROR(IF(AC184&lt;&gt;"","",INDEX('M04-S03'!$AO$18:$AO$199,2*(ROWS(O$182:O184)-1)+1)),"")</f>
        <v/>
      </c>
      <c r="P184" s="37" t="str">
        <f ca="1">IFERROR(IF(AC184&lt;&gt;"","",INDEX('M04-S03'!$BF$18:$BF$199,2*(ROWS(P$182:P184)-1)+1)),"")</f>
        <v/>
      </c>
      <c r="Q184" s="37" t="str">
        <f ca="1">IFERROR(IF(AC184&lt;&gt;"","",INDEX('M04-S03'!$BE$18:$BE$199,2*(ROWS(Q$182:Q184)-1)+1)),"")</f>
        <v/>
      </c>
      <c r="R184" s="14" t="str">
        <f ca="1">IFERROR(IF(AC184&lt;&gt;"","",INDEX('M04-S03'!$AR$18:$AR$199,2*(ROWS(R$182:R184)-1)+1)),"")</f>
        <v/>
      </c>
      <c r="S184" s="14">
        <f ca="1">IFERROR(ROUND(IF(AC184&lt;&gt;"",INDEX('M04-S03'!$AH$18:$AH$199,2*(ROWS(S$182:S184)-1)+1),""),2),"")</f>
        <v>0</v>
      </c>
      <c r="T184" s="14">
        <f ca="1">IFERROR(ROUND(IF(AC184&lt;&gt;"",INDEX('M04-S03'!$AJ$18:$AJ$199,2*(ROWS(T$182:T184)-1)+1),""),2),"")</f>
        <v>0</v>
      </c>
      <c r="U184" s="14" t="str">
        <f ca="1">IFERROR(ROUND(IF(AC184&lt;&gt;"",INDEX('M04-S03'!$AL$18:$AL$199,2*(ROWS(U$182:U184)-1)+1),""),2),"")</f>
        <v/>
      </c>
      <c r="V184" t="str">
        <f t="shared" ca="1" si="19"/>
        <v>Total</v>
      </c>
      <c r="W184" s="10">
        <f ca="1">IFERROR(IF(AC184&lt;&gt;"",ROUND(INDEX('M04-S03'!$O$18:$O$199,2*(ROWS(W$182:W184)-1)+1),3),""),"")</f>
        <v>0</v>
      </c>
      <c r="X184" s="10">
        <f ca="1">IFERROR(IF(AC184&lt;&gt;"",ROUND(INDEX('M04-S03'!$O$18:$O$199,2*(ROWS(X$182:X184)-1)+1),3),""),"")</f>
        <v>0</v>
      </c>
      <c r="Y184" s="210"/>
      <c r="Z184" s="31" t="str">
        <f ca="1">IFERROR(IF(AC184&lt;&gt;"",INDEX('M04-S03'!$AO$18:$AO$199,2*(ROWS(Z$182:Z184)-1)+1),""),"")</f>
        <v/>
      </c>
      <c r="AA184" s="37" t="str">
        <f ca="1">IFERROR(IF(AC184&lt;&gt;"",INDEX('M04-S03'!$BF$18:$BF$199,2*(ROWS(AA$182:AA184)-1)+1),""),"")</f>
        <v/>
      </c>
      <c r="AB184" s="37" t="str">
        <f ca="1">IFERROR(IF(AC184&lt;&gt;"",INDEX('M04-S03'!$BE$18:$BE$199,2*(ROWS(AB$182:AB184)-1)+1),""),"")</f>
        <v/>
      </c>
      <c r="AC184" t="str">
        <f ca="1">IFERROR(INDEX('M04-S03'!$BL$18:$BL$199,2*(ROWS(AC$182:AC184)-1)+1),"")</f>
        <v>Enter Utility Rate (Building Info Tab)</v>
      </c>
      <c r="AD184" s="37" t="str" cm="1">
        <f t="array" ref="AD184">IFERROR(INDEX('M04-S03'!$BA$18:$BA$199,2*(ROWS(AD$182:AD184)-1)+1),"")</f>
        <v/>
      </c>
      <c r="AE184" s="37" t="str" cm="1">
        <f t="array" ref="AE184">IFERROR(INDEX('M04-S03'!$BB$18:$BB$199,2*(ROWS(AE$182:AE184)-1)+1),"")</f>
        <v/>
      </c>
      <c r="AF184" s="210"/>
      <c r="AG184" s="210"/>
      <c r="AH184" s="31">
        <f>IFERROR(INDEX('M04-S03'!$Q$18:$Q$199,2*(ROWS(AH$182:AH184)-1)+1),"")</f>
        <v>0</v>
      </c>
      <c r="AI184">
        <f>IFERROR(INDEX('M04-S03'!$B$18:$B$199,2*(ROWS(AI$182:AI184)-1)+1),"")</f>
        <v>3</v>
      </c>
      <c r="AJ184" s="194"/>
      <c r="AK184">
        <f>IFERROR(INDEX('M04-S03'!$G$18:$G$199,2*(ROWS(AK$182:AK184)-1)+1),"")</f>
        <v>0</v>
      </c>
      <c r="AL184" s="194"/>
      <c r="AM184">
        <f>IFERROR(INDEX('M04-S03'!$AA$18:$AA$199,2*(ROWS(AM$182:AM184)-1)+1),"")</f>
        <v>0</v>
      </c>
      <c r="AN184" s="14" t="str">
        <f>IFERROR(INDEX('M04-S03'!$AX$18:$AX$199,2*(ROWS(AN$182:AN184)-1)+1),"")</f>
        <v/>
      </c>
      <c r="AO184" s="14" t="str">
        <f>IFERROR(INDEX('M04-S03'!$AY$18:$AY$199,2*(ROWS(AO$182:AO184)-1)+1),"")</f>
        <v/>
      </c>
      <c r="AP184" t="str">
        <f>IFERROR(INDEX('M04-S03'!$AZ$18:$AZ$199,2*(ROWS(AP$182:AP184)-1)+1),"")</f>
        <v/>
      </c>
      <c r="AQ184" t="str">
        <f>IFERROR(INDEX('M04-S03'!$BC$18:$BC$199,2*(ROWS(AQ$182:AQ184)-1)+1),"")</f>
        <v/>
      </c>
      <c r="AR184" t="s">
        <v>1254</v>
      </c>
      <c r="AS184"/>
      <c r="BL184"/>
      <c r="BP184"/>
      <c r="BQ184"/>
      <c r="BR184"/>
      <c r="CD184"/>
      <c r="CE184"/>
      <c r="CF184"/>
      <c r="CQ184"/>
      <c r="CR184"/>
      <c r="CS184"/>
      <c r="DS184"/>
      <c r="DT184"/>
      <c r="DU184"/>
    </row>
    <row r="185" spans="1:125" hidden="1">
      <c r="A185" s="15">
        <f t="shared" si="17"/>
        <v>0</v>
      </c>
      <c r="B185" t="str">
        <f t="shared" si="18"/>
        <v/>
      </c>
      <c r="C185" t="str">
        <f>IFERROR(IF(INDEX('M04-S03'!$BJ$18:$BJ$199,2*(ROWS($C$182:C185)-1)+1)="","",INDEX('M04-S03'!$BJ$18:$BJ$199,2*(ROWS($C$182:C185)-1)+1)),"")</f>
        <v/>
      </c>
      <c r="D185" t="s">
        <v>135</v>
      </c>
      <c r="E185" t="str">
        <f>IFERROR(INDEX('M04-S03'!$BD$18:$BD$199,2*(ROWS(E$182:E185)-1)+1),"")</f>
        <v/>
      </c>
      <c r="F185" s="31">
        <f>IFERROR(INDEX('M04-S03'!$T$18:$T$199,2*(ROWS(G$182:G185)-1)+1),"")</f>
        <v>0</v>
      </c>
      <c r="G185">
        <f>IFERROR(INDEX('M04-S03'!$AE$18:$AE$199,2*(ROWS(G$182:G185)-1)+1),"")</f>
        <v>0</v>
      </c>
      <c r="H185" s="14" t="str">
        <f ca="1">IFERROR(ROUND(IF(AC185&lt;&gt;"","",INDEX('M04-S03'!$AH$18:$AH$199,2*(ROWS(H$182:H185)-1)+1)),2),"")</f>
        <v/>
      </c>
      <c r="I185" s="14" t="str">
        <f ca="1">IFERROR(ROUND(IF(AC185&lt;&gt;"","",INDEX('M04-S03'!$AJ$18:$AJ$199,2*(ROWS(I$182:I185)-1)+1)),2),"")</f>
        <v/>
      </c>
      <c r="J185" s="14" t="str">
        <f ca="1">IFERROR(ROUND(IF(AC185&lt;&gt;"","",INDEX('M04-S03'!$AL$18:$AL$199,2*(ROWS(J$182:J185)-1)+1)),2),"")</f>
        <v/>
      </c>
      <c r="K185" t="s">
        <v>84</v>
      </c>
      <c r="L185" s="10" t="str">
        <f ca="1">IFERROR(IF(AC185&lt;&gt;"","",ROUND(INDEX('M04-S03'!$O$18:$O$199,2*(ROWS(L$182:L185)-1)+1),3)),"")</f>
        <v/>
      </c>
      <c r="M185" s="10" t="str">
        <f ca="1">IFERROR(IF(AC185&lt;&gt;"","",ROUND(INDEX('M04-S03'!$O$18:$O$199,2*(ROWS(M$182:M185)-1)+1),3)),"")</f>
        <v/>
      </c>
      <c r="N185" s="219"/>
      <c r="O185" s="37" t="str">
        <f ca="1">IFERROR(IF(AC185&lt;&gt;"","",INDEX('M04-S03'!$AO$18:$AO$199,2*(ROWS(O$182:O185)-1)+1)),"")</f>
        <v/>
      </c>
      <c r="P185" s="37" t="str">
        <f ca="1">IFERROR(IF(AC185&lt;&gt;"","",INDEX('M04-S03'!$BF$18:$BF$199,2*(ROWS(P$182:P185)-1)+1)),"")</f>
        <v/>
      </c>
      <c r="Q185" s="37" t="str">
        <f ca="1">IFERROR(IF(AC185&lt;&gt;"","",INDEX('M04-S03'!$BE$18:$BE$199,2*(ROWS(Q$182:Q185)-1)+1)),"")</f>
        <v/>
      </c>
      <c r="R185" s="14" t="str">
        <f ca="1">IFERROR(IF(AC185&lt;&gt;"","",INDEX('M04-S03'!$AR$18:$AR$199,2*(ROWS(R$182:R185)-1)+1)),"")</f>
        <v/>
      </c>
      <c r="S185" s="14">
        <f ca="1">IFERROR(ROUND(IF(AC185&lt;&gt;"",INDEX('M04-S03'!$AH$18:$AH$199,2*(ROWS(S$182:S185)-1)+1),""),2),"")</f>
        <v>0</v>
      </c>
      <c r="T185" s="14">
        <f ca="1">IFERROR(ROUND(IF(AC185&lt;&gt;"",INDEX('M04-S03'!$AJ$18:$AJ$199,2*(ROWS(T$182:T185)-1)+1),""),2),"")</f>
        <v>0</v>
      </c>
      <c r="U185" s="14" t="str">
        <f ca="1">IFERROR(ROUND(IF(AC185&lt;&gt;"",INDEX('M04-S03'!$AL$18:$AL$199,2*(ROWS(U$182:U185)-1)+1),""),2),"")</f>
        <v/>
      </c>
      <c r="V185" t="str">
        <f t="shared" ca="1" si="19"/>
        <v>Total</v>
      </c>
      <c r="W185" s="10">
        <f ca="1">IFERROR(IF(AC185&lt;&gt;"",ROUND(INDEX('M04-S03'!$O$18:$O$199,2*(ROWS(W$182:W185)-1)+1),3),""),"")</f>
        <v>0</v>
      </c>
      <c r="X185" s="10">
        <f ca="1">IFERROR(IF(AC185&lt;&gt;"",ROUND(INDEX('M04-S03'!$O$18:$O$199,2*(ROWS(X$182:X185)-1)+1),3),""),"")</f>
        <v>0</v>
      </c>
      <c r="Y185" s="210"/>
      <c r="Z185" s="31" t="str">
        <f ca="1">IFERROR(IF(AC185&lt;&gt;"",INDEX('M04-S03'!$AO$18:$AO$199,2*(ROWS(Z$182:Z185)-1)+1),""),"")</f>
        <v/>
      </c>
      <c r="AA185" s="37" t="str">
        <f ca="1">IFERROR(IF(AC185&lt;&gt;"",INDEX('M04-S03'!$BF$18:$BF$199,2*(ROWS(AA$182:AA185)-1)+1),""),"")</f>
        <v/>
      </c>
      <c r="AB185" s="37" t="str">
        <f ca="1">IFERROR(IF(AC185&lt;&gt;"",INDEX('M04-S03'!$BE$18:$BE$199,2*(ROWS(AB$182:AB185)-1)+1),""),"")</f>
        <v/>
      </c>
      <c r="AC185" t="str">
        <f ca="1">IFERROR(INDEX('M04-S03'!$BL$18:$BL$199,2*(ROWS(AC$182:AC185)-1)+1),"")</f>
        <v>Enter Utility Rate (Building Info Tab)</v>
      </c>
      <c r="AD185" s="37" t="str" cm="1">
        <f t="array" ref="AD185">IFERROR(INDEX('M04-S03'!$BA$18:$BA$199,2*(ROWS(AD$182:AD185)-1)+1),"")</f>
        <v/>
      </c>
      <c r="AE185" s="37" t="str" cm="1">
        <f t="array" ref="AE185">IFERROR(INDEX('M04-S03'!$BB$18:$BB$199,2*(ROWS(AE$182:AE185)-1)+1),"")</f>
        <v/>
      </c>
      <c r="AF185" s="210"/>
      <c r="AG185" s="210"/>
      <c r="AH185" s="31">
        <f>IFERROR(INDEX('M04-S03'!$Q$18:$Q$199,2*(ROWS(AH$182:AH185)-1)+1),"")</f>
        <v>0</v>
      </c>
      <c r="AI185">
        <f>IFERROR(INDEX('M04-S03'!$B$18:$B$199,2*(ROWS(AI$182:AI185)-1)+1),"")</f>
        <v>4</v>
      </c>
      <c r="AJ185" s="194"/>
      <c r="AK185">
        <f>IFERROR(INDEX('M04-S03'!$G$18:$G$199,2*(ROWS(AK$182:AK185)-1)+1),"")</f>
        <v>0</v>
      </c>
      <c r="AL185" s="194"/>
      <c r="AM185">
        <f>IFERROR(INDEX('M04-S03'!$AA$18:$AA$199,2*(ROWS(AM$182:AM185)-1)+1),"")</f>
        <v>0</v>
      </c>
      <c r="AN185" s="14" t="str">
        <f>IFERROR(INDEX('M04-S03'!$AX$18:$AX$199,2*(ROWS(AN$182:AN185)-1)+1),"")</f>
        <v/>
      </c>
      <c r="AO185" s="14" t="str">
        <f>IFERROR(INDEX('M04-S03'!$AY$18:$AY$199,2*(ROWS(AO$182:AO185)-1)+1),"")</f>
        <v/>
      </c>
      <c r="AP185" t="str">
        <f>IFERROR(INDEX('M04-S03'!$AZ$18:$AZ$199,2*(ROWS(AP$182:AP185)-1)+1),"")</f>
        <v/>
      </c>
      <c r="AQ185" t="str">
        <f>IFERROR(INDEX('M04-S03'!$BC$18:$BC$199,2*(ROWS(AQ$182:AQ185)-1)+1),"")</f>
        <v/>
      </c>
      <c r="AR185" t="s">
        <v>1254</v>
      </c>
      <c r="AS185"/>
      <c r="BL185"/>
      <c r="BP185"/>
      <c r="BQ185"/>
      <c r="BR185"/>
      <c r="CD185"/>
      <c r="CE185"/>
      <c r="CF185"/>
      <c r="CQ185"/>
      <c r="CR185"/>
      <c r="CS185"/>
      <c r="DS185"/>
      <c r="DT185"/>
      <c r="DU185"/>
    </row>
    <row r="186" spans="1:125" hidden="1">
      <c r="A186" s="15">
        <f t="shared" si="17"/>
        <v>0</v>
      </c>
      <c r="B186" t="str">
        <f t="shared" si="18"/>
        <v/>
      </c>
      <c r="C186" t="str">
        <f>IFERROR(IF(INDEX('M04-S03'!$BJ$18:$BJ$199,2*(ROWS($C$182:C186)-1)+1)="","",INDEX('M04-S03'!$BJ$18:$BJ$199,2*(ROWS($C$182:C186)-1)+1)),"")</f>
        <v/>
      </c>
      <c r="D186" t="s">
        <v>135</v>
      </c>
      <c r="E186" t="str">
        <f>IFERROR(INDEX('M04-S03'!$BD$18:$BD$199,2*(ROWS(E$182:E186)-1)+1),"")</f>
        <v/>
      </c>
      <c r="F186" s="31">
        <f>IFERROR(INDEX('M04-S03'!$T$18:$T$199,2*(ROWS(G$182:G186)-1)+1),"")</f>
        <v>0</v>
      </c>
      <c r="G186">
        <f>IFERROR(INDEX('M04-S03'!$AE$18:$AE$199,2*(ROWS(G$182:G186)-1)+1),"")</f>
        <v>0</v>
      </c>
      <c r="H186" s="14" t="str">
        <f ca="1">IFERROR(ROUND(IF(AC186&lt;&gt;"","",INDEX('M04-S03'!$AH$18:$AH$199,2*(ROWS(H$182:H186)-1)+1)),2),"")</f>
        <v/>
      </c>
      <c r="I186" s="14" t="str">
        <f ca="1">IFERROR(ROUND(IF(AC186&lt;&gt;"","",INDEX('M04-S03'!$AJ$18:$AJ$199,2*(ROWS(I$182:I186)-1)+1)),2),"")</f>
        <v/>
      </c>
      <c r="J186" s="14" t="str">
        <f ca="1">IFERROR(ROUND(IF(AC186&lt;&gt;"","",INDEX('M04-S03'!$AL$18:$AL$199,2*(ROWS(J$182:J186)-1)+1)),2),"")</f>
        <v/>
      </c>
      <c r="K186" t="s">
        <v>84</v>
      </c>
      <c r="L186" s="10" t="str">
        <f ca="1">IFERROR(IF(AC186&lt;&gt;"","",ROUND(INDEX('M04-S03'!$O$18:$O$199,2*(ROWS(L$182:L186)-1)+1),3)),"")</f>
        <v/>
      </c>
      <c r="M186" s="10" t="str">
        <f ca="1">IFERROR(IF(AC186&lt;&gt;"","",ROUND(INDEX('M04-S03'!$O$18:$O$199,2*(ROWS(M$182:M186)-1)+1),3)),"")</f>
        <v/>
      </c>
      <c r="N186" s="219"/>
      <c r="O186" s="37" t="str">
        <f ca="1">IFERROR(IF(AC186&lt;&gt;"","",INDEX('M04-S03'!$AO$18:$AO$199,2*(ROWS(O$182:O186)-1)+1)),"")</f>
        <v/>
      </c>
      <c r="P186" s="37" t="str">
        <f ca="1">IFERROR(IF(AC186&lt;&gt;"","",INDEX('M04-S03'!$BF$18:$BF$199,2*(ROWS(P$182:P186)-1)+1)),"")</f>
        <v/>
      </c>
      <c r="Q186" s="37" t="str">
        <f ca="1">IFERROR(IF(AC186&lt;&gt;"","",INDEX('M04-S03'!$BE$18:$BE$199,2*(ROWS(Q$182:Q186)-1)+1)),"")</f>
        <v/>
      </c>
      <c r="R186" s="14" t="str">
        <f ca="1">IFERROR(IF(AC186&lt;&gt;"","",INDEX('M04-S03'!$AR$18:$AR$199,2*(ROWS(R$182:R186)-1)+1)),"")</f>
        <v/>
      </c>
      <c r="S186" s="14">
        <f ca="1">IFERROR(ROUND(IF(AC186&lt;&gt;"",INDEX('M04-S03'!$AH$18:$AH$199,2*(ROWS(S$182:S186)-1)+1),""),2),"")</f>
        <v>0</v>
      </c>
      <c r="T186" s="14">
        <f ca="1">IFERROR(ROUND(IF(AC186&lt;&gt;"",INDEX('M04-S03'!$AJ$18:$AJ$199,2*(ROWS(T$182:T186)-1)+1),""),2),"")</f>
        <v>0</v>
      </c>
      <c r="U186" s="14" t="str">
        <f ca="1">IFERROR(ROUND(IF(AC186&lt;&gt;"",INDEX('M04-S03'!$AL$18:$AL$199,2*(ROWS(U$182:U186)-1)+1),""),2),"")</f>
        <v/>
      </c>
      <c r="V186" t="str">
        <f t="shared" ca="1" si="19"/>
        <v>Total</v>
      </c>
      <c r="W186" s="10">
        <f ca="1">IFERROR(IF(AC186&lt;&gt;"",ROUND(INDEX('M04-S03'!$O$18:$O$199,2*(ROWS(W$182:W186)-1)+1),3),""),"")</f>
        <v>0</v>
      </c>
      <c r="X186" s="10">
        <f ca="1">IFERROR(IF(AC186&lt;&gt;"",ROUND(INDEX('M04-S03'!$O$18:$O$199,2*(ROWS(X$182:X186)-1)+1),3),""),"")</f>
        <v>0</v>
      </c>
      <c r="Y186" s="210"/>
      <c r="Z186" s="31" t="str">
        <f ca="1">IFERROR(IF(AC186&lt;&gt;"",INDEX('M04-S03'!$AO$18:$AO$199,2*(ROWS(Z$182:Z186)-1)+1),""),"")</f>
        <v/>
      </c>
      <c r="AA186" s="37" t="str">
        <f ca="1">IFERROR(IF(AC186&lt;&gt;"",INDEX('M04-S03'!$BF$18:$BF$199,2*(ROWS(AA$182:AA186)-1)+1),""),"")</f>
        <v/>
      </c>
      <c r="AB186" s="37" t="str">
        <f ca="1">IFERROR(IF(AC186&lt;&gt;"",INDEX('M04-S03'!$BE$18:$BE$199,2*(ROWS(AB$182:AB186)-1)+1),""),"")</f>
        <v/>
      </c>
      <c r="AC186" t="str">
        <f ca="1">IFERROR(INDEX('M04-S03'!$BL$18:$BL$199,2*(ROWS(AC$182:AC186)-1)+1),"")</f>
        <v>Enter Utility Rate (Building Info Tab)</v>
      </c>
      <c r="AD186" s="37" t="str" cm="1">
        <f t="array" ref="AD186">IFERROR(INDEX('M04-S03'!$BA$18:$BA$199,2*(ROWS(AD$182:AD186)-1)+1),"")</f>
        <v/>
      </c>
      <c r="AE186" s="37" t="str" cm="1">
        <f t="array" ref="AE186">IFERROR(INDEX('M04-S03'!$BB$18:$BB$199,2*(ROWS(AE$182:AE186)-1)+1),"")</f>
        <v/>
      </c>
      <c r="AF186" s="210"/>
      <c r="AG186" s="210"/>
      <c r="AH186" s="31">
        <f>IFERROR(INDEX('M04-S03'!$Q$18:$Q$199,2*(ROWS(AH$182:AH186)-1)+1),"")</f>
        <v>0</v>
      </c>
      <c r="AI186">
        <f>IFERROR(INDEX('M04-S03'!$B$18:$B$199,2*(ROWS(AI$182:AI186)-1)+1),"")</f>
        <v>5</v>
      </c>
      <c r="AJ186" s="194"/>
      <c r="AK186">
        <f>IFERROR(INDEX('M04-S03'!$G$18:$G$199,2*(ROWS(AK$182:AK186)-1)+1),"")</f>
        <v>0</v>
      </c>
      <c r="AL186" s="194"/>
      <c r="AM186">
        <f>IFERROR(INDEX('M04-S03'!$AA$18:$AA$199,2*(ROWS(AM$182:AM186)-1)+1),"")</f>
        <v>0</v>
      </c>
      <c r="AN186" s="14" t="str">
        <f>IFERROR(INDEX('M04-S03'!$AX$18:$AX$199,2*(ROWS(AN$182:AN186)-1)+1),"")</f>
        <v/>
      </c>
      <c r="AO186" s="14" t="str">
        <f>IFERROR(INDEX('M04-S03'!$AY$18:$AY$199,2*(ROWS(AO$182:AO186)-1)+1),"")</f>
        <v/>
      </c>
      <c r="AP186" t="str">
        <f>IFERROR(INDEX('M04-S03'!$AZ$18:$AZ$199,2*(ROWS(AP$182:AP186)-1)+1),"")</f>
        <v/>
      </c>
      <c r="AQ186" t="str">
        <f>IFERROR(INDEX('M04-S03'!$BC$18:$BC$199,2*(ROWS(AQ$182:AQ186)-1)+1),"")</f>
        <v/>
      </c>
      <c r="AR186" t="s">
        <v>1254</v>
      </c>
      <c r="AS186"/>
      <c r="BL186"/>
      <c r="BP186"/>
      <c r="BQ186"/>
      <c r="BR186"/>
      <c r="CD186"/>
      <c r="CE186"/>
      <c r="CF186"/>
      <c r="CQ186"/>
      <c r="CR186"/>
      <c r="CS186"/>
      <c r="DS186"/>
      <c r="DT186"/>
      <c r="DU186"/>
    </row>
    <row r="187" spans="1:125" hidden="1">
      <c r="A187" s="15">
        <f t="shared" si="17"/>
        <v>0</v>
      </c>
      <c r="B187" t="str">
        <f t="shared" si="18"/>
        <v/>
      </c>
      <c r="C187" t="str">
        <f>IFERROR(IF(INDEX('M04-S03'!$BJ$18:$BJ$199,2*(ROWS($C$182:C187)-1)+1)="","",INDEX('M04-S03'!$BJ$18:$BJ$199,2*(ROWS($C$182:C187)-1)+1)),"")</f>
        <v/>
      </c>
      <c r="D187" t="s">
        <v>135</v>
      </c>
      <c r="E187" t="str">
        <f>IFERROR(INDEX('M04-S03'!$BD$18:$BD$199,2*(ROWS(E$182:E187)-1)+1),"")</f>
        <v/>
      </c>
      <c r="F187" s="31">
        <f>IFERROR(INDEX('M04-S03'!$T$18:$T$199,2*(ROWS(G$182:G187)-1)+1),"")</f>
        <v>0</v>
      </c>
      <c r="G187">
        <f>IFERROR(INDEX('M04-S03'!$AE$18:$AE$199,2*(ROWS(G$182:G187)-1)+1),"")</f>
        <v>0</v>
      </c>
      <c r="H187" s="14" t="str">
        <f ca="1">IFERROR(ROUND(IF(AC187&lt;&gt;"","",INDEX('M04-S03'!$AH$18:$AH$199,2*(ROWS(H$182:H187)-1)+1)),2),"")</f>
        <v/>
      </c>
      <c r="I187" s="14" t="str">
        <f ca="1">IFERROR(ROUND(IF(AC187&lt;&gt;"","",INDEX('M04-S03'!$AJ$18:$AJ$199,2*(ROWS(I$182:I187)-1)+1)),2),"")</f>
        <v/>
      </c>
      <c r="J187" s="14" t="str">
        <f ca="1">IFERROR(ROUND(IF(AC187&lt;&gt;"","",INDEX('M04-S03'!$AL$18:$AL$199,2*(ROWS(J$182:J187)-1)+1)),2),"")</f>
        <v/>
      </c>
      <c r="K187" t="s">
        <v>84</v>
      </c>
      <c r="L187" s="10" t="str">
        <f ca="1">IFERROR(IF(AC187&lt;&gt;"","",ROUND(INDEX('M04-S03'!$O$18:$O$199,2*(ROWS(L$182:L187)-1)+1),3)),"")</f>
        <v/>
      </c>
      <c r="M187" s="10" t="str">
        <f ca="1">IFERROR(IF(AC187&lt;&gt;"","",ROUND(INDEX('M04-S03'!$O$18:$O$199,2*(ROWS(M$182:M187)-1)+1),3)),"")</f>
        <v/>
      </c>
      <c r="N187" s="219"/>
      <c r="O187" s="37" t="str">
        <f ca="1">IFERROR(IF(AC187&lt;&gt;"","",INDEX('M04-S03'!$AO$18:$AO$199,2*(ROWS(O$182:O187)-1)+1)),"")</f>
        <v/>
      </c>
      <c r="P187" s="37" t="str">
        <f ca="1">IFERROR(IF(AC187&lt;&gt;"","",INDEX('M04-S03'!$BF$18:$BF$199,2*(ROWS(P$182:P187)-1)+1)),"")</f>
        <v/>
      </c>
      <c r="Q187" s="37" t="str">
        <f ca="1">IFERROR(IF(AC187&lt;&gt;"","",INDEX('M04-S03'!$BE$18:$BE$199,2*(ROWS(Q$182:Q187)-1)+1)),"")</f>
        <v/>
      </c>
      <c r="R187" s="14" t="str">
        <f ca="1">IFERROR(IF(AC187&lt;&gt;"","",INDEX('M04-S03'!$AR$18:$AR$199,2*(ROWS(R$182:R187)-1)+1)),"")</f>
        <v/>
      </c>
      <c r="S187" s="14">
        <f ca="1">IFERROR(ROUND(IF(AC187&lt;&gt;"",INDEX('M04-S03'!$AH$18:$AH$199,2*(ROWS(S$182:S187)-1)+1),""),2),"")</f>
        <v>0</v>
      </c>
      <c r="T187" s="14">
        <f ca="1">IFERROR(ROUND(IF(AC187&lt;&gt;"",INDEX('M04-S03'!$AJ$18:$AJ$199,2*(ROWS(T$182:T187)-1)+1),""),2),"")</f>
        <v>0</v>
      </c>
      <c r="U187" s="14" t="str">
        <f ca="1">IFERROR(ROUND(IF(AC187&lt;&gt;"",INDEX('M04-S03'!$AL$18:$AL$199,2*(ROWS(U$182:U187)-1)+1),""),2),"")</f>
        <v/>
      </c>
      <c r="V187" t="str">
        <f t="shared" ca="1" si="19"/>
        <v>Total</v>
      </c>
      <c r="W187" s="10">
        <f ca="1">IFERROR(IF(AC187&lt;&gt;"",ROUND(INDEX('M04-S03'!$O$18:$O$199,2*(ROWS(W$182:W187)-1)+1),3),""),"")</f>
        <v>0</v>
      </c>
      <c r="X187" s="10">
        <f ca="1">IFERROR(IF(AC187&lt;&gt;"",ROUND(INDEX('M04-S03'!$O$18:$O$199,2*(ROWS(X$182:X187)-1)+1),3),""),"")</f>
        <v>0</v>
      </c>
      <c r="Y187" s="210"/>
      <c r="Z187" s="31" t="str">
        <f ca="1">IFERROR(IF(AC187&lt;&gt;"",INDEX('M04-S03'!$AO$18:$AO$199,2*(ROWS(Z$182:Z187)-1)+1),""),"")</f>
        <v/>
      </c>
      <c r="AA187" s="37" t="str">
        <f ca="1">IFERROR(IF(AC187&lt;&gt;"",INDEX('M04-S03'!$BF$18:$BF$199,2*(ROWS(AA$182:AA187)-1)+1),""),"")</f>
        <v/>
      </c>
      <c r="AB187" s="37" t="str">
        <f ca="1">IFERROR(IF(AC187&lt;&gt;"",INDEX('M04-S03'!$BE$18:$BE$199,2*(ROWS(AB$182:AB187)-1)+1),""),"")</f>
        <v/>
      </c>
      <c r="AC187" t="str">
        <f ca="1">IFERROR(INDEX('M04-S03'!$BL$18:$BL$199,2*(ROWS(AC$182:AC187)-1)+1),"")</f>
        <v>Enter Utility Rate (Building Info Tab)</v>
      </c>
      <c r="AD187" s="37" t="str" cm="1">
        <f t="array" ref="AD187">IFERROR(INDEX('M04-S03'!$BA$18:$BA$199,2*(ROWS(AD$182:AD187)-1)+1),"")</f>
        <v/>
      </c>
      <c r="AE187" s="37" t="str" cm="1">
        <f t="array" ref="AE187">IFERROR(INDEX('M04-S03'!$BB$18:$BB$199,2*(ROWS(AE$182:AE187)-1)+1),"")</f>
        <v/>
      </c>
      <c r="AF187" s="210"/>
      <c r="AG187" s="210"/>
      <c r="AH187" s="31">
        <f>IFERROR(INDEX('M04-S03'!$Q$18:$Q$199,2*(ROWS(AH$182:AH187)-1)+1),"")</f>
        <v>0</v>
      </c>
      <c r="AI187">
        <f>IFERROR(INDEX('M04-S03'!$B$18:$B$199,2*(ROWS(AI$182:AI187)-1)+1),"")</f>
        <v>6</v>
      </c>
      <c r="AJ187" s="194"/>
      <c r="AK187">
        <f>IFERROR(INDEX('M04-S03'!$G$18:$G$199,2*(ROWS(AK$182:AK187)-1)+1),"")</f>
        <v>0</v>
      </c>
      <c r="AL187" s="194"/>
      <c r="AM187">
        <f>IFERROR(INDEX('M04-S03'!$AA$18:$AA$199,2*(ROWS(AM$182:AM187)-1)+1),"")</f>
        <v>0</v>
      </c>
      <c r="AN187" s="14" t="str">
        <f>IFERROR(INDEX('M04-S03'!$AX$18:$AX$199,2*(ROWS(AN$182:AN187)-1)+1),"")</f>
        <v/>
      </c>
      <c r="AO187" s="14" t="str">
        <f>IFERROR(INDEX('M04-S03'!$AY$18:$AY$199,2*(ROWS(AO$182:AO187)-1)+1),"")</f>
        <v/>
      </c>
      <c r="AP187" t="str">
        <f>IFERROR(INDEX('M04-S03'!$AZ$18:$AZ$199,2*(ROWS(AP$182:AP187)-1)+1),"")</f>
        <v/>
      </c>
      <c r="AQ187" t="str">
        <f>IFERROR(INDEX('M04-S03'!$BC$18:$BC$199,2*(ROWS(AQ$182:AQ187)-1)+1),"")</f>
        <v/>
      </c>
      <c r="AR187" t="s">
        <v>1254</v>
      </c>
      <c r="AS187"/>
      <c r="BL187"/>
      <c r="BP187"/>
      <c r="BQ187"/>
      <c r="BR187"/>
      <c r="CD187"/>
      <c r="CE187"/>
      <c r="CF187"/>
      <c r="CQ187"/>
      <c r="CR187"/>
      <c r="CS187"/>
      <c r="DS187"/>
      <c r="DT187"/>
      <c r="DU187"/>
    </row>
    <row r="188" spans="1:125" hidden="1">
      <c r="A188" s="15">
        <f t="shared" si="17"/>
        <v>0</v>
      </c>
      <c r="B188" t="str">
        <f t="shared" si="18"/>
        <v/>
      </c>
      <c r="C188" t="str">
        <f>IFERROR(IF(INDEX('M04-S03'!$BJ$18:$BJ$199,2*(ROWS($C$182:C188)-1)+1)="","",INDEX('M04-S03'!$BJ$18:$BJ$199,2*(ROWS($C$182:C188)-1)+1)),"")</f>
        <v/>
      </c>
      <c r="D188" t="s">
        <v>135</v>
      </c>
      <c r="E188" t="str">
        <f>IFERROR(INDEX('M04-S03'!$BD$18:$BD$199,2*(ROWS(E$182:E188)-1)+1),"")</f>
        <v/>
      </c>
      <c r="F188" s="31">
        <f>IFERROR(INDEX('M04-S03'!$T$18:$T$199,2*(ROWS(G$182:G188)-1)+1),"")</f>
        <v>0</v>
      </c>
      <c r="G188">
        <f>IFERROR(INDEX('M04-S03'!$AE$18:$AE$199,2*(ROWS(G$182:G188)-1)+1),"")</f>
        <v>0</v>
      </c>
      <c r="H188" s="14" t="str">
        <f ca="1">IFERROR(ROUND(IF(AC188&lt;&gt;"","",INDEX('M04-S03'!$AH$18:$AH$199,2*(ROWS(H$182:H188)-1)+1)),2),"")</f>
        <v/>
      </c>
      <c r="I188" s="14" t="str">
        <f ca="1">IFERROR(ROUND(IF(AC188&lt;&gt;"","",INDEX('M04-S03'!$AJ$18:$AJ$199,2*(ROWS(I$182:I188)-1)+1)),2),"")</f>
        <v/>
      </c>
      <c r="J188" s="14" t="str">
        <f ca="1">IFERROR(ROUND(IF(AC188&lt;&gt;"","",INDEX('M04-S03'!$AL$18:$AL$199,2*(ROWS(J$182:J188)-1)+1)),2),"")</f>
        <v/>
      </c>
      <c r="K188" t="s">
        <v>84</v>
      </c>
      <c r="L188" s="10" t="str">
        <f ca="1">IFERROR(IF(AC188&lt;&gt;"","",ROUND(INDEX('M04-S03'!$O$18:$O$199,2*(ROWS(L$182:L188)-1)+1),3)),"")</f>
        <v/>
      </c>
      <c r="M188" s="10" t="str">
        <f ca="1">IFERROR(IF(AC188&lt;&gt;"","",ROUND(INDEX('M04-S03'!$O$18:$O$199,2*(ROWS(M$182:M188)-1)+1),3)),"")</f>
        <v/>
      </c>
      <c r="N188" s="219"/>
      <c r="O188" s="37" t="str">
        <f ca="1">IFERROR(IF(AC188&lt;&gt;"","",INDEX('M04-S03'!$AO$18:$AO$199,2*(ROWS(O$182:O188)-1)+1)),"")</f>
        <v/>
      </c>
      <c r="P188" s="37" t="str">
        <f ca="1">IFERROR(IF(AC188&lt;&gt;"","",INDEX('M04-S03'!$BF$18:$BF$199,2*(ROWS(P$182:P188)-1)+1)),"")</f>
        <v/>
      </c>
      <c r="Q188" s="37" t="str">
        <f ca="1">IFERROR(IF(AC188&lt;&gt;"","",INDEX('M04-S03'!$BE$18:$BE$199,2*(ROWS(Q$182:Q188)-1)+1)),"")</f>
        <v/>
      </c>
      <c r="R188" s="14" t="str">
        <f ca="1">IFERROR(IF(AC188&lt;&gt;"","",INDEX('M04-S03'!$AR$18:$AR$199,2*(ROWS(R$182:R188)-1)+1)),"")</f>
        <v/>
      </c>
      <c r="S188" s="14">
        <f ca="1">IFERROR(ROUND(IF(AC188&lt;&gt;"",INDEX('M04-S03'!$AH$18:$AH$199,2*(ROWS(S$182:S188)-1)+1),""),2),"")</f>
        <v>0</v>
      </c>
      <c r="T188" s="14">
        <f ca="1">IFERROR(ROUND(IF(AC188&lt;&gt;"",INDEX('M04-S03'!$AJ$18:$AJ$199,2*(ROWS(T$182:T188)-1)+1),""),2),"")</f>
        <v>0</v>
      </c>
      <c r="U188" s="14" t="str">
        <f ca="1">IFERROR(ROUND(IF(AC188&lt;&gt;"",INDEX('M04-S03'!$AL$18:$AL$199,2*(ROWS(U$182:U188)-1)+1),""),2),"")</f>
        <v/>
      </c>
      <c r="V188" t="str">
        <f t="shared" ca="1" si="19"/>
        <v>Total</v>
      </c>
      <c r="W188" s="10">
        <f ca="1">IFERROR(IF(AC188&lt;&gt;"",ROUND(INDEX('M04-S03'!$O$18:$O$199,2*(ROWS(W$182:W188)-1)+1),3),""),"")</f>
        <v>0</v>
      </c>
      <c r="X188" s="10">
        <f ca="1">IFERROR(IF(AC188&lt;&gt;"",ROUND(INDEX('M04-S03'!$O$18:$O$199,2*(ROWS(X$182:X188)-1)+1),3),""),"")</f>
        <v>0</v>
      </c>
      <c r="Y188" s="210"/>
      <c r="Z188" s="31" t="str">
        <f ca="1">IFERROR(IF(AC188&lt;&gt;"",INDEX('M04-S03'!$AO$18:$AO$199,2*(ROWS(Z$182:Z188)-1)+1),""),"")</f>
        <v/>
      </c>
      <c r="AA188" s="37" t="str">
        <f ca="1">IFERROR(IF(AC188&lt;&gt;"",INDEX('M04-S03'!$BF$18:$BF$199,2*(ROWS(AA$182:AA188)-1)+1),""),"")</f>
        <v/>
      </c>
      <c r="AB188" s="37" t="str">
        <f ca="1">IFERROR(IF(AC188&lt;&gt;"",INDEX('M04-S03'!$BE$18:$BE$199,2*(ROWS(AB$182:AB188)-1)+1),""),"")</f>
        <v/>
      </c>
      <c r="AC188" t="str">
        <f ca="1">IFERROR(INDEX('M04-S03'!$BL$18:$BL$199,2*(ROWS(AC$182:AC188)-1)+1),"")</f>
        <v>Enter Utility Rate (Building Info Tab)</v>
      </c>
      <c r="AD188" s="37" t="str" cm="1">
        <f t="array" ref="AD188">IFERROR(INDEX('M04-S03'!$BA$18:$BA$199,2*(ROWS(AD$182:AD188)-1)+1),"")</f>
        <v/>
      </c>
      <c r="AE188" s="37" t="str" cm="1">
        <f t="array" ref="AE188">IFERROR(INDEX('M04-S03'!$BB$18:$BB$199,2*(ROWS(AE$182:AE188)-1)+1),"")</f>
        <v/>
      </c>
      <c r="AF188" s="210"/>
      <c r="AG188" s="210"/>
      <c r="AH188" s="31">
        <f>IFERROR(INDEX('M04-S03'!$Q$18:$Q$199,2*(ROWS(AH$182:AH188)-1)+1),"")</f>
        <v>0</v>
      </c>
      <c r="AI188">
        <f>IFERROR(INDEX('M04-S03'!$B$18:$B$199,2*(ROWS(AI$182:AI188)-1)+1),"")</f>
        <v>7</v>
      </c>
      <c r="AJ188" s="194"/>
      <c r="AK188">
        <f>IFERROR(INDEX('M04-S03'!$G$18:$G$199,2*(ROWS(AK$182:AK188)-1)+1),"")</f>
        <v>0</v>
      </c>
      <c r="AL188" s="194"/>
      <c r="AM188">
        <f>IFERROR(INDEX('M04-S03'!$AA$18:$AA$199,2*(ROWS(AM$182:AM188)-1)+1),"")</f>
        <v>0</v>
      </c>
      <c r="AN188" s="14" t="str">
        <f>IFERROR(INDEX('M04-S03'!$AX$18:$AX$199,2*(ROWS(AN$182:AN188)-1)+1),"")</f>
        <v/>
      </c>
      <c r="AO188" s="14" t="str">
        <f>IFERROR(INDEX('M04-S03'!$AY$18:$AY$199,2*(ROWS(AO$182:AO188)-1)+1),"")</f>
        <v/>
      </c>
      <c r="AP188" t="str">
        <f>IFERROR(INDEX('M04-S03'!$AZ$18:$AZ$199,2*(ROWS(AP$182:AP188)-1)+1),"")</f>
        <v/>
      </c>
      <c r="AQ188" t="str">
        <f>IFERROR(INDEX('M04-S03'!$BC$18:$BC$199,2*(ROWS(AQ$182:AQ188)-1)+1),"")</f>
        <v/>
      </c>
      <c r="AR188" t="s">
        <v>1254</v>
      </c>
      <c r="AS188"/>
      <c r="BL188"/>
      <c r="BP188"/>
      <c r="BQ188"/>
      <c r="BR188"/>
      <c r="CD188"/>
      <c r="CE188"/>
      <c r="CF188"/>
      <c r="CQ188"/>
      <c r="CR188"/>
      <c r="CS188"/>
      <c r="DS188"/>
      <c r="DT188"/>
      <c r="DU188"/>
    </row>
    <row r="189" spans="1:125" hidden="1">
      <c r="A189" s="15">
        <f t="shared" si="17"/>
        <v>0</v>
      </c>
      <c r="B189" t="str">
        <f t="shared" si="18"/>
        <v/>
      </c>
      <c r="C189" t="str">
        <f>IFERROR(IF(INDEX('M04-S03'!$BJ$18:$BJ$199,2*(ROWS($C$182:C189)-1)+1)="","",INDEX('M04-S03'!$BJ$18:$BJ$199,2*(ROWS($C$182:C189)-1)+1)),"")</f>
        <v/>
      </c>
      <c r="D189" t="s">
        <v>135</v>
      </c>
      <c r="E189" t="str">
        <f>IFERROR(INDEX('M04-S03'!$BD$18:$BD$199,2*(ROWS(E$182:E189)-1)+1),"")</f>
        <v/>
      </c>
      <c r="F189" s="31">
        <f>IFERROR(INDEX('M04-S03'!$T$18:$T$199,2*(ROWS(G$182:G189)-1)+1),"")</f>
        <v>0</v>
      </c>
      <c r="G189">
        <f>IFERROR(INDEX('M04-S03'!$AE$18:$AE$199,2*(ROWS(G$182:G189)-1)+1),"")</f>
        <v>0</v>
      </c>
      <c r="H189" s="14" t="str">
        <f ca="1">IFERROR(ROUND(IF(AC189&lt;&gt;"","",INDEX('M04-S03'!$AH$18:$AH$199,2*(ROWS(H$182:H189)-1)+1)),2),"")</f>
        <v/>
      </c>
      <c r="I189" s="14" t="str">
        <f ca="1">IFERROR(ROUND(IF(AC189&lt;&gt;"","",INDEX('M04-S03'!$AJ$18:$AJ$199,2*(ROWS(I$182:I189)-1)+1)),2),"")</f>
        <v/>
      </c>
      <c r="J189" s="14" t="str">
        <f ca="1">IFERROR(ROUND(IF(AC189&lt;&gt;"","",INDEX('M04-S03'!$AL$18:$AL$199,2*(ROWS(J$182:J189)-1)+1)),2),"")</f>
        <v/>
      </c>
      <c r="K189" t="s">
        <v>84</v>
      </c>
      <c r="L189" s="10" t="str">
        <f ca="1">IFERROR(IF(AC189&lt;&gt;"","",ROUND(INDEX('M04-S03'!$O$18:$O$199,2*(ROWS(L$182:L189)-1)+1),3)),"")</f>
        <v/>
      </c>
      <c r="M189" s="10" t="str">
        <f ca="1">IFERROR(IF(AC189&lt;&gt;"","",ROUND(INDEX('M04-S03'!$O$18:$O$199,2*(ROWS(M$182:M189)-1)+1),3)),"")</f>
        <v/>
      </c>
      <c r="N189" s="219"/>
      <c r="O189" s="37" t="str">
        <f ca="1">IFERROR(IF(AC189&lt;&gt;"","",INDEX('M04-S03'!$AO$18:$AO$199,2*(ROWS(O$182:O189)-1)+1)),"")</f>
        <v/>
      </c>
      <c r="P189" s="37" t="str">
        <f ca="1">IFERROR(IF(AC189&lt;&gt;"","",INDEX('M04-S03'!$BF$18:$BF$199,2*(ROWS(P$182:P189)-1)+1)),"")</f>
        <v/>
      </c>
      <c r="Q189" s="37" t="str">
        <f ca="1">IFERROR(IF(AC189&lt;&gt;"","",INDEX('M04-S03'!$BE$18:$BE$199,2*(ROWS(Q$182:Q189)-1)+1)),"")</f>
        <v/>
      </c>
      <c r="R189" s="14" t="str">
        <f ca="1">IFERROR(IF(AC189&lt;&gt;"","",INDEX('M04-S03'!$AR$18:$AR$199,2*(ROWS(R$182:R189)-1)+1)),"")</f>
        <v/>
      </c>
      <c r="S189" s="14">
        <f ca="1">IFERROR(ROUND(IF(AC189&lt;&gt;"",INDEX('M04-S03'!$AH$18:$AH$199,2*(ROWS(S$182:S189)-1)+1),""),2),"")</f>
        <v>0</v>
      </c>
      <c r="T189" s="14">
        <f ca="1">IFERROR(ROUND(IF(AC189&lt;&gt;"",INDEX('M04-S03'!$AJ$18:$AJ$199,2*(ROWS(T$182:T189)-1)+1),""),2),"")</f>
        <v>0</v>
      </c>
      <c r="U189" s="14" t="str">
        <f ca="1">IFERROR(ROUND(IF(AC189&lt;&gt;"",INDEX('M04-S03'!$AL$18:$AL$199,2*(ROWS(U$182:U189)-1)+1),""),2),"")</f>
        <v/>
      </c>
      <c r="V189" t="str">
        <f t="shared" ca="1" si="19"/>
        <v>Total</v>
      </c>
      <c r="W189" s="10">
        <f ca="1">IFERROR(IF(AC189&lt;&gt;"",ROUND(INDEX('M04-S03'!$O$18:$O$199,2*(ROWS(W$182:W189)-1)+1),3),""),"")</f>
        <v>0</v>
      </c>
      <c r="X189" s="10">
        <f ca="1">IFERROR(IF(AC189&lt;&gt;"",ROUND(INDEX('M04-S03'!$O$18:$O$199,2*(ROWS(X$182:X189)-1)+1),3),""),"")</f>
        <v>0</v>
      </c>
      <c r="Y189" s="210"/>
      <c r="Z189" s="31" t="str">
        <f ca="1">IFERROR(IF(AC189&lt;&gt;"",INDEX('M04-S03'!$AO$18:$AO$199,2*(ROWS(Z$182:Z189)-1)+1),""),"")</f>
        <v/>
      </c>
      <c r="AA189" s="37" t="str">
        <f ca="1">IFERROR(IF(AC189&lt;&gt;"",INDEX('M04-S03'!$BF$18:$BF$199,2*(ROWS(AA$182:AA189)-1)+1),""),"")</f>
        <v/>
      </c>
      <c r="AB189" s="37" t="str">
        <f ca="1">IFERROR(IF(AC189&lt;&gt;"",INDEX('M04-S03'!$BE$18:$BE$199,2*(ROWS(AB$182:AB189)-1)+1),""),"")</f>
        <v/>
      </c>
      <c r="AC189" t="str">
        <f ca="1">IFERROR(INDEX('M04-S03'!$BL$18:$BL$199,2*(ROWS(AC$182:AC189)-1)+1),"")</f>
        <v>Enter Utility Rate (Building Info Tab)</v>
      </c>
      <c r="AD189" s="37" t="str" cm="1">
        <f t="array" ref="AD189">IFERROR(INDEX('M04-S03'!$BA$18:$BA$199,2*(ROWS(AD$182:AD189)-1)+1),"")</f>
        <v/>
      </c>
      <c r="AE189" s="37" t="str" cm="1">
        <f t="array" ref="AE189">IFERROR(INDEX('M04-S03'!$BB$18:$BB$199,2*(ROWS(AE$182:AE189)-1)+1),"")</f>
        <v/>
      </c>
      <c r="AF189" s="210"/>
      <c r="AG189" s="210"/>
      <c r="AH189" s="31">
        <f>IFERROR(INDEX('M04-S03'!$Q$18:$Q$199,2*(ROWS(AH$182:AH189)-1)+1),"")</f>
        <v>0</v>
      </c>
      <c r="AI189">
        <f>IFERROR(INDEX('M04-S03'!$B$18:$B$199,2*(ROWS(AI$182:AI189)-1)+1),"")</f>
        <v>8</v>
      </c>
      <c r="AJ189" s="194"/>
      <c r="AK189">
        <f>IFERROR(INDEX('M04-S03'!$G$18:$G$199,2*(ROWS(AK$182:AK189)-1)+1),"")</f>
        <v>0</v>
      </c>
      <c r="AL189" s="194"/>
      <c r="AM189">
        <f>IFERROR(INDEX('M04-S03'!$AA$18:$AA$199,2*(ROWS(AM$182:AM189)-1)+1),"")</f>
        <v>0</v>
      </c>
      <c r="AN189" s="14" t="str">
        <f>IFERROR(INDEX('M04-S03'!$AX$18:$AX$199,2*(ROWS(AN$182:AN189)-1)+1),"")</f>
        <v/>
      </c>
      <c r="AO189" s="14" t="str">
        <f>IFERROR(INDEX('M04-S03'!$AY$18:$AY$199,2*(ROWS(AO$182:AO189)-1)+1),"")</f>
        <v/>
      </c>
      <c r="AP189" t="str">
        <f>IFERROR(INDEX('M04-S03'!$AZ$18:$AZ$199,2*(ROWS(AP$182:AP189)-1)+1),"")</f>
        <v/>
      </c>
      <c r="AQ189" t="str">
        <f>IFERROR(INDEX('M04-S03'!$BC$18:$BC$199,2*(ROWS(AQ$182:AQ189)-1)+1),"")</f>
        <v/>
      </c>
      <c r="AR189" t="s">
        <v>1254</v>
      </c>
      <c r="AS189"/>
      <c r="BL189"/>
      <c r="BP189"/>
      <c r="BQ189"/>
      <c r="BR189"/>
      <c r="CD189"/>
      <c r="CE189"/>
      <c r="CF189"/>
      <c r="CQ189"/>
      <c r="CR189"/>
      <c r="CS189"/>
      <c r="DS189"/>
      <c r="DT189"/>
      <c r="DU189"/>
    </row>
    <row r="190" spans="1:125" hidden="1">
      <c r="A190" s="15">
        <f t="shared" si="17"/>
        <v>0</v>
      </c>
      <c r="B190" t="str">
        <f t="shared" si="18"/>
        <v/>
      </c>
      <c r="C190" t="str">
        <f>IFERROR(IF(INDEX('M04-S03'!$BJ$18:$BJ$199,2*(ROWS($C$182:C190)-1)+1)="","",INDEX('M04-S03'!$BJ$18:$BJ$199,2*(ROWS($C$182:C190)-1)+1)),"")</f>
        <v/>
      </c>
      <c r="D190" t="s">
        <v>135</v>
      </c>
      <c r="E190" t="str">
        <f>IFERROR(INDEX('M04-S03'!$BD$18:$BD$199,2*(ROWS(E$182:E190)-1)+1),"")</f>
        <v/>
      </c>
      <c r="F190" s="31">
        <f>IFERROR(INDEX('M04-S03'!$T$18:$T$199,2*(ROWS(G$182:G190)-1)+1),"")</f>
        <v>0</v>
      </c>
      <c r="G190">
        <f>IFERROR(INDEX('M04-S03'!$AE$18:$AE$199,2*(ROWS(G$182:G190)-1)+1),"")</f>
        <v>0</v>
      </c>
      <c r="H190" s="14" t="str">
        <f ca="1">IFERROR(ROUND(IF(AC190&lt;&gt;"","",INDEX('M04-S03'!$AH$18:$AH$199,2*(ROWS(H$182:H190)-1)+1)),2),"")</f>
        <v/>
      </c>
      <c r="I190" s="14" t="str">
        <f ca="1">IFERROR(ROUND(IF(AC190&lt;&gt;"","",INDEX('M04-S03'!$AJ$18:$AJ$199,2*(ROWS(I$182:I190)-1)+1)),2),"")</f>
        <v/>
      </c>
      <c r="J190" s="14" t="str">
        <f ca="1">IFERROR(ROUND(IF(AC190&lt;&gt;"","",INDEX('M04-S03'!$AL$18:$AL$199,2*(ROWS(J$182:J190)-1)+1)),2),"")</f>
        <v/>
      </c>
      <c r="K190" t="s">
        <v>84</v>
      </c>
      <c r="L190" s="10" t="str">
        <f ca="1">IFERROR(IF(AC190&lt;&gt;"","",ROUND(INDEX('M04-S03'!$O$18:$O$199,2*(ROWS(L$182:L190)-1)+1),3)),"")</f>
        <v/>
      </c>
      <c r="M190" s="10" t="str">
        <f ca="1">IFERROR(IF(AC190&lt;&gt;"","",ROUND(INDEX('M04-S03'!$O$18:$O$199,2*(ROWS(M$182:M190)-1)+1),3)),"")</f>
        <v/>
      </c>
      <c r="N190" s="219"/>
      <c r="O190" s="37" t="str">
        <f ca="1">IFERROR(IF(AC190&lt;&gt;"","",INDEX('M04-S03'!$AO$18:$AO$199,2*(ROWS(O$182:O190)-1)+1)),"")</f>
        <v/>
      </c>
      <c r="P190" s="37" t="str">
        <f ca="1">IFERROR(IF(AC190&lt;&gt;"","",INDEX('M04-S03'!$BF$18:$BF$199,2*(ROWS(P$182:P190)-1)+1)),"")</f>
        <v/>
      </c>
      <c r="Q190" s="37" t="str">
        <f ca="1">IFERROR(IF(AC190&lt;&gt;"","",INDEX('M04-S03'!$BE$18:$BE$199,2*(ROWS(Q$182:Q190)-1)+1)),"")</f>
        <v/>
      </c>
      <c r="R190" s="14" t="str">
        <f ca="1">IFERROR(IF(AC190&lt;&gt;"","",INDEX('M04-S03'!$AR$18:$AR$199,2*(ROWS(R$182:R190)-1)+1)),"")</f>
        <v/>
      </c>
      <c r="S190" s="14">
        <f ca="1">IFERROR(ROUND(IF(AC190&lt;&gt;"",INDEX('M04-S03'!$AH$18:$AH$199,2*(ROWS(S$182:S190)-1)+1),""),2),"")</f>
        <v>0</v>
      </c>
      <c r="T190" s="14">
        <f ca="1">IFERROR(ROUND(IF(AC190&lt;&gt;"",INDEX('M04-S03'!$AJ$18:$AJ$199,2*(ROWS(T$182:T190)-1)+1),""),2),"")</f>
        <v>0</v>
      </c>
      <c r="U190" s="14" t="str">
        <f ca="1">IFERROR(ROUND(IF(AC190&lt;&gt;"",INDEX('M04-S03'!$AL$18:$AL$199,2*(ROWS(U$182:U190)-1)+1),""),2),"")</f>
        <v/>
      </c>
      <c r="V190" t="str">
        <f t="shared" ca="1" si="19"/>
        <v>Total</v>
      </c>
      <c r="W190" s="10">
        <f ca="1">IFERROR(IF(AC190&lt;&gt;"",ROUND(INDEX('M04-S03'!$O$18:$O$199,2*(ROWS(W$182:W190)-1)+1),3),""),"")</f>
        <v>0</v>
      </c>
      <c r="X190" s="10">
        <f ca="1">IFERROR(IF(AC190&lt;&gt;"",ROUND(INDEX('M04-S03'!$O$18:$O$199,2*(ROWS(X$182:X190)-1)+1),3),""),"")</f>
        <v>0</v>
      </c>
      <c r="Y190" s="210"/>
      <c r="Z190" s="31" t="str">
        <f ca="1">IFERROR(IF(AC190&lt;&gt;"",INDEX('M04-S03'!$AO$18:$AO$199,2*(ROWS(Z$182:Z190)-1)+1),""),"")</f>
        <v/>
      </c>
      <c r="AA190" s="37" t="str">
        <f ca="1">IFERROR(IF(AC190&lt;&gt;"",INDEX('M04-S03'!$BF$18:$BF$199,2*(ROWS(AA$182:AA190)-1)+1),""),"")</f>
        <v/>
      </c>
      <c r="AB190" s="37" t="str">
        <f ca="1">IFERROR(IF(AC190&lt;&gt;"",INDEX('M04-S03'!$BE$18:$BE$199,2*(ROWS(AB$182:AB190)-1)+1),""),"")</f>
        <v/>
      </c>
      <c r="AC190" t="str">
        <f ca="1">IFERROR(INDEX('M04-S03'!$BL$18:$BL$199,2*(ROWS(AC$182:AC190)-1)+1),"")</f>
        <v>Enter Utility Rate (Building Info Tab)</v>
      </c>
      <c r="AD190" s="37" t="str" cm="1">
        <f t="array" ref="AD190">IFERROR(INDEX('M04-S03'!$BA$18:$BA$199,2*(ROWS(AD$182:AD190)-1)+1),"")</f>
        <v/>
      </c>
      <c r="AE190" s="37" t="str" cm="1">
        <f t="array" ref="AE190">IFERROR(INDEX('M04-S03'!$BB$18:$BB$199,2*(ROWS(AE$182:AE190)-1)+1),"")</f>
        <v/>
      </c>
      <c r="AF190" s="210"/>
      <c r="AG190" s="210"/>
      <c r="AH190" s="31">
        <f>IFERROR(INDEX('M04-S03'!$Q$18:$Q$199,2*(ROWS(AH$182:AH190)-1)+1),"")</f>
        <v>0</v>
      </c>
      <c r="AI190">
        <f>IFERROR(INDEX('M04-S03'!$B$18:$B$199,2*(ROWS(AI$182:AI190)-1)+1),"")</f>
        <v>9</v>
      </c>
      <c r="AJ190" s="194"/>
      <c r="AK190">
        <f>IFERROR(INDEX('M04-S03'!$G$18:$G$199,2*(ROWS(AK$182:AK190)-1)+1),"")</f>
        <v>0</v>
      </c>
      <c r="AL190" s="194"/>
      <c r="AM190">
        <f>IFERROR(INDEX('M04-S03'!$AA$18:$AA$199,2*(ROWS(AM$182:AM190)-1)+1),"")</f>
        <v>0</v>
      </c>
      <c r="AN190" s="14" t="str">
        <f>IFERROR(INDEX('M04-S03'!$AX$18:$AX$199,2*(ROWS(AN$182:AN190)-1)+1),"")</f>
        <v/>
      </c>
      <c r="AO190" s="14" t="str">
        <f>IFERROR(INDEX('M04-S03'!$AY$18:$AY$199,2*(ROWS(AO$182:AO190)-1)+1),"")</f>
        <v/>
      </c>
      <c r="AP190" t="str">
        <f>IFERROR(INDEX('M04-S03'!$AZ$18:$AZ$199,2*(ROWS(AP$182:AP190)-1)+1),"")</f>
        <v/>
      </c>
      <c r="AQ190" t="str">
        <f>IFERROR(INDEX('M04-S03'!$BC$18:$BC$199,2*(ROWS(AQ$182:AQ190)-1)+1),"")</f>
        <v/>
      </c>
      <c r="AR190" t="s">
        <v>1254</v>
      </c>
      <c r="AS190"/>
      <c r="BL190"/>
      <c r="BP190"/>
      <c r="BQ190"/>
      <c r="BR190"/>
      <c r="CD190"/>
      <c r="CE190"/>
      <c r="CF190"/>
      <c r="CQ190"/>
      <c r="CR190"/>
      <c r="CS190"/>
      <c r="DS190"/>
      <c r="DT190"/>
      <c r="DU190"/>
    </row>
    <row r="191" spans="1:125" hidden="1">
      <c r="A191" s="15">
        <f t="shared" si="17"/>
        <v>0</v>
      </c>
      <c r="B191" t="str">
        <f t="shared" si="18"/>
        <v/>
      </c>
      <c r="C191" t="str">
        <f>IFERROR(IF(INDEX('M04-S03'!$BJ$18:$BJ$199,2*(ROWS($C$182:C191)-1)+1)="","",INDEX('M04-S03'!$BJ$18:$BJ$199,2*(ROWS($C$182:C191)-1)+1)),"")</f>
        <v/>
      </c>
      <c r="D191" t="s">
        <v>135</v>
      </c>
      <c r="E191" t="str">
        <f>IFERROR(INDEX('M04-S03'!$BD$18:$BD$199,2*(ROWS(E$182:E191)-1)+1),"")</f>
        <v/>
      </c>
      <c r="F191" s="31">
        <f>IFERROR(INDEX('M04-S03'!$T$18:$T$199,2*(ROWS(G$182:G191)-1)+1),"")</f>
        <v>0</v>
      </c>
      <c r="G191">
        <f>IFERROR(INDEX('M04-S03'!$AE$18:$AE$199,2*(ROWS(G$182:G191)-1)+1),"")</f>
        <v>0</v>
      </c>
      <c r="H191" s="14" t="str">
        <f ca="1">IFERROR(ROUND(IF(AC191&lt;&gt;"","",INDEX('M04-S03'!$AH$18:$AH$199,2*(ROWS(H$182:H191)-1)+1)),2),"")</f>
        <v/>
      </c>
      <c r="I191" s="14" t="str">
        <f ca="1">IFERROR(ROUND(IF(AC191&lt;&gt;"","",INDEX('M04-S03'!$AJ$18:$AJ$199,2*(ROWS(I$182:I191)-1)+1)),2),"")</f>
        <v/>
      </c>
      <c r="J191" s="14" t="str">
        <f ca="1">IFERROR(ROUND(IF(AC191&lt;&gt;"","",INDEX('M04-S03'!$AL$18:$AL$199,2*(ROWS(J$182:J191)-1)+1)),2),"")</f>
        <v/>
      </c>
      <c r="K191" t="s">
        <v>84</v>
      </c>
      <c r="L191" s="10" t="str">
        <f ca="1">IFERROR(IF(AC191&lt;&gt;"","",ROUND(INDEX('M04-S03'!$O$18:$O$199,2*(ROWS(L$182:L191)-1)+1),3)),"")</f>
        <v/>
      </c>
      <c r="M191" s="10" t="str">
        <f ca="1">IFERROR(IF(AC191&lt;&gt;"","",ROUND(INDEX('M04-S03'!$O$18:$O$199,2*(ROWS(M$182:M191)-1)+1),3)),"")</f>
        <v/>
      </c>
      <c r="N191" s="219"/>
      <c r="O191" s="37" t="str">
        <f ca="1">IFERROR(IF(AC191&lt;&gt;"","",INDEX('M04-S03'!$AO$18:$AO$199,2*(ROWS(O$182:O191)-1)+1)),"")</f>
        <v/>
      </c>
      <c r="P191" s="37" t="str">
        <f ca="1">IFERROR(IF(AC191&lt;&gt;"","",INDEX('M04-S03'!$BF$18:$BF$199,2*(ROWS(P$182:P191)-1)+1)),"")</f>
        <v/>
      </c>
      <c r="Q191" s="37" t="str">
        <f ca="1">IFERROR(IF(AC191&lt;&gt;"","",INDEX('M04-S03'!$BE$18:$BE$199,2*(ROWS(Q$182:Q191)-1)+1)),"")</f>
        <v/>
      </c>
      <c r="R191" s="14" t="str">
        <f ca="1">IFERROR(IF(AC191&lt;&gt;"","",INDEX('M04-S03'!$AR$18:$AR$199,2*(ROWS(R$182:R191)-1)+1)),"")</f>
        <v/>
      </c>
      <c r="S191" s="14">
        <f ca="1">IFERROR(ROUND(IF(AC191&lt;&gt;"",INDEX('M04-S03'!$AH$18:$AH$199,2*(ROWS(S$182:S191)-1)+1),""),2),"")</f>
        <v>0</v>
      </c>
      <c r="T191" s="14">
        <f ca="1">IFERROR(ROUND(IF(AC191&lt;&gt;"",INDEX('M04-S03'!$AJ$18:$AJ$199,2*(ROWS(T$182:T191)-1)+1),""),2),"")</f>
        <v>0</v>
      </c>
      <c r="U191" s="14" t="str">
        <f ca="1">IFERROR(ROUND(IF(AC191&lt;&gt;"",INDEX('M04-S03'!$AL$18:$AL$199,2*(ROWS(U$182:U191)-1)+1),""),2),"")</f>
        <v/>
      </c>
      <c r="V191" t="str">
        <f t="shared" ca="1" si="19"/>
        <v>Total</v>
      </c>
      <c r="W191" s="10">
        <f ca="1">IFERROR(IF(AC191&lt;&gt;"",ROUND(INDEX('M04-S03'!$O$18:$O$199,2*(ROWS(W$182:W191)-1)+1),3),""),"")</f>
        <v>0</v>
      </c>
      <c r="X191" s="10">
        <f ca="1">IFERROR(IF(AC191&lt;&gt;"",ROUND(INDEX('M04-S03'!$O$18:$O$199,2*(ROWS(X$182:X191)-1)+1),3),""),"")</f>
        <v>0</v>
      </c>
      <c r="Y191" s="210"/>
      <c r="Z191" s="31" t="str">
        <f ca="1">IFERROR(IF(AC191&lt;&gt;"",INDEX('M04-S03'!$AO$18:$AO$199,2*(ROWS(Z$182:Z191)-1)+1),""),"")</f>
        <v/>
      </c>
      <c r="AA191" s="37" t="str">
        <f ca="1">IFERROR(IF(AC191&lt;&gt;"",INDEX('M04-S03'!$BF$18:$BF$199,2*(ROWS(AA$182:AA191)-1)+1),""),"")</f>
        <v/>
      </c>
      <c r="AB191" s="37" t="str">
        <f ca="1">IFERROR(IF(AC191&lt;&gt;"",INDEX('M04-S03'!$BE$18:$BE$199,2*(ROWS(AB$182:AB191)-1)+1),""),"")</f>
        <v/>
      </c>
      <c r="AC191" t="str">
        <f ca="1">IFERROR(INDEX('M04-S03'!$BL$18:$BL$199,2*(ROWS(AC$182:AC191)-1)+1),"")</f>
        <v>Enter Utility Rate (Building Info Tab)</v>
      </c>
      <c r="AD191" s="37" t="str" cm="1">
        <f t="array" ref="AD191">IFERROR(INDEX('M04-S03'!$BA$18:$BA$199,2*(ROWS(AD$182:AD191)-1)+1),"")</f>
        <v/>
      </c>
      <c r="AE191" s="37" t="str" cm="1">
        <f t="array" ref="AE191">IFERROR(INDEX('M04-S03'!$BB$18:$BB$199,2*(ROWS(AE$182:AE191)-1)+1),"")</f>
        <v/>
      </c>
      <c r="AF191" s="210"/>
      <c r="AG191" s="210"/>
      <c r="AH191" s="31">
        <f>IFERROR(INDEX('M04-S03'!$Q$18:$Q$199,2*(ROWS(AH$182:AH191)-1)+1),"")</f>
        <v>0</v>
      </c>
      <c r="AI191">
        <f>IFERROR(INDEX('M04-S03'!$B$18:$B$199,2*(ROWS(AI$182:AI191)-1)+1),"")</f>
        <v>10</v>
      </c>
      <c r="AJ191" s="194"/>
      <c r="AK191">
        <f>IFERROR(INDEX('M04-S03'!$G$18:$G$199,2*(ROWS(AK$182:AK191)-1)+1),"")</f>
        <v>0</v>
      </c>
      <c r="AL191" s="194"/>
      <c r="AM191">
        <f>IFERROR(INDEX('M04-S03'!$AA$18:$AA$199,2*(ROWS(AM$182:AM191)-1)+1),"")</f>
        <v>0</v>
      </c>
      <c r="AN191" s="14" t="str">
        <f>IFERROR(INDEX('M04-S03'!$AX$18:$AX$199,2*(ROWS(AN$182:AN191)-1)+1),"")</f>
        <v/>
      </c>
      <c r="AO191" s="14" t="str">
        <f>IFERROR(INDEX('M04-S03'!$AY$18:$AY$199,2*(ROWS(AO$182:AO191)-1)+1),"")</f>
        <v/>
      </c>
      <c r="AP191" t="str">
        <f>IFERROR(INDEX('M04-S03'!$AZ$18:$AZ$199,2*(ROWS(AP$182:AP191)-1)+1),"")</f>
        <v/>
      </c>
      <c r="AQ191" t="str">
        <f>IFERROR(INDEX('M04-S03'!$BC$18:$BC$199,2*(ROWS(AQ$182:AQ191)-1)+1),"")</f>
        <v/>
      </c>
      <c r="AR191" t="s">
        <v>1254</v>
      </c>
      <c r="AS191"/>
      <c r="BL191"/>
      <c r="BP191"/>
      <c r="BQ191"/>
      <c r="BR191"/>
      <c r="CD191"/>
      <c r="CE191"/>
      <c r="CF191"/>
      <c r="CQ191"/>
      <c r="CR191"/>
      <c r="CS191"/>
      <c r="DS191"/>
      <c r="DT191"/>
      <c r="DU191"/>
    </row>
    <row r="192" spans="1:125" hidden="1">
      <c r="A192" s="15">
        <f t="shared" si="17"/>
        <v>0</v>
      </c>
      <c r="B192" t="str">
        <f t="shared" si="18"/>
        <v/>
      </c>
      <c r="C192" t="str">
        <f>IFERROR(IF(INDEX('M04-S03'!$BJ$18:$BJ$199,2*(ROWS($C$182:C192)-1)+1)="","",INDEX('M04-S03'!$BJ$18:$BJ$199,2*(ROWS($C$182:C192)-1)+1)),"")</f>
        <v/>
      </c>
      <c r="D192" t="s">
        <v>135</v>
      </c>
      <c r="E192">
        <f>IFERROR(INDEX('M04-S03'!$BD$18:$BD$199,2*(ROWS(E$182:E192)-1)+1),"")</f>
        <v>0</v>
      </c>
      <c r="F192" s="31">
        <f>IFERROR(INDEX('M04-S03'!$T$18:$T$199,2*(ROWS(G$182:G192)-1)+1),"")</f>
        <v>0</v>
      </c>
      <c r="G192">
        <f>IFERROR(INDEX('M04-S03'!$AE$18:$AE$199,2*(ROWS(G$182:G192)-1)+1),"")</f>
        <v>0</v>
      </c>
      <c r="H192" s="14" t="str">
        <f>IFERROR(ROUND(IF(AC192&lt;&gt;"","",INDEX('M04-S03'!$AH$18:$AH$199,2*(ROWS(H$182:H192)-1)+1)),2),"")</f>
        <v/>
      </c>
      <c r="I192" s="14" t="str">
        <f>IFERROR(ROUND(IF(AC192&lt;&gt;"","",INDEX('M04-S03'!$AJ$18:$AJ$199,2*(ROWS(I$182:I192)-1)+1)),2),"")</f>
        <v/>
      </c>
      <c r="J192" s="14" t="str">
        <f>IFERROR(ROUND(IF(AC192&lt;&gt;"","",INDEX('M04-S03'!$AL$18:$AL$199,2*(ROWS(J$182:J192)-1)+1)),2),"")</f>
        <v/>
      </c>
      <c r="K192" t="s">
        <v>84</v>
      </c>
      <c r="L192" s="10" t="str">
        <f>IFERROR(IF(AC192&lt;&gt;"","",ROUND(INDEX('M04-S03'!$O$18:$O$199,2*(ROWS(L$182:L192)-1)+1),3)),"")</f>
        <v/>
      </c>
      <c r="M192" s="10" t="str">
        <f>IFERROR(IF(AC192&lt;&gt;"","",ROUND(INDEX('M04-S03'!$O$18:$O$199,2*(ROWS(M$182:M192)-1)+1),3)),"")</f>
        <v/>
      </c>
      <c r="N192" s="219"/>
      <c r="O192" s="37" t="str">
        <f>IFERROR(IF(AC192&lt;&gt;"","",INDEX('M04-S03'!$AO$18:$AO$199,2*(ROWS(O$182:O192)-1)+1)),"")</f>
        <v/>
      </c>
      <c r="P192" s="37" t="str">
        <f>IFERROR(IF(AC192&lt;&gt;"","",INDEX('M04-S03'!$BF$18:$BF$199,2*(ROWS(P$182:P192)-1)+1)),"")</f>
        <v/>
      </c>
      <c r="Q192" s="37" t="str">
        <f>IFERROR(IF(AC192&lt;&gt;"","",INDEX('M04-S03'!$BE$18:$BE$199,2*(ROWS(Q$182:Q192)-1)+1)),"")</f>
        <v/>
      </c>
      <c r="R192" s="14" t="str">
        <f>IFERROR(IF(AC192&lt;&gt;"","",INDEX('M04-S03'!$AR$18:$AR$199,2*(ROWS(R$182:R192)-1)+1)),"")</f>
        <v/>
      </c>
      <c r="S192" s="14">
        <f>IFERROR(ROUND(IF(AC192&lt;&gt;"",INDEX('M04-S03'!$AH$18:$AH$199,2*(ROWS(S$182:S192)-1)+1),""),2),"")</f>
        <v>0</v>
      </c>
      <c r="T192" s="14">
        <f>IFERROR(ROUND(IF(AC192&lt;&gt;"",INDEX('M04-S03'!$AJ$18:$AJ$199,2*(ROWS(T$182:T192)-1)+1),""),2),"")</f>
        <v>0</v>
      </c>
      <c r="U192" s="14">
        <f>IFERROR(ROUND(IF(AC192&lt;&gt;"",INDEX('M04-S03'!$AL$18:$AL$199,2*(ROWS(U$182:U192)-1)+1),""),2),"")</f>
        <v>0</v>
      </c>
      <c r="V192" t="str">
        <f t="shared" si="19"/>
        <v>Total</v>
      </c>
      <c r="W192" s="10">
        <f>IFERROR(IF(AC192&lt;&gt;"",ROUND(INDEX('M04-S03'!$O$18:$O$199,2*(ROWS(W$182:W192)-1)+1),3),""),"")</f>
        <v>0</v>
      </c>
      <c r="X192" s="10">
        <f>IFERROR(IF(AC192&lt;&gt;"",ROUND(INDEX('M04-S03'!$O$18:$O$199,2*(ROWS(X$182:X192)-1)+1),3),""),"")</f>
        <v>0</v>
      </c>
      <c r="Y192" s="210"/>
      <c r="Z192" s="31">
        <f>IFERROR(IF(AC192&lt;&gt;"",INDEX('M04-S03'!$AO$18:$AO$199,2*(ROWS(Z$182:Z192)-1)+1),""),"")</f>
        <v>0</v>
      </c>
      <c r="AA192" s="37">
        <f>IFERROR(IF(AC192&lt;&gt;"",INDEX('M04-S03'!$BF$18:$BF$199,2*(ROWS(AA$182:AA192)-1)+1),""),"")</f>
        <v>0</v>
      </c>
      <c r="AB192" s="37">
        <f>IFERROR(IF(AC192&lt;&gt;"",INDEX('M04-S03'!$BE$18:$BE$199,2*(ROWS(AB$182:AB192)-1)+1),""),"")</f>
        <v>0</v>
      </c>
      <c r="AC192">
        <f>IFERROR(INDEX('M04-S03'!$BL$18:$BL$199,2*(ROWS(AC$182:AC192)-1)+1),"")</f>
        <v>0</v>
      </c>
      <c r="AD192" s="37" cm="1">
        <f t="array" ref="AD192">IFERROR(INDEX('M04-S03'!$BA$18:$BA$199,2*(ROWS(AD$182:AD192)-1)+1),"")</f>
        <v>0</v>
      </c>
      <c r="AE192" s="37" cm="1">
        <f t="array" ref="AE192">IFERROR(INDEX('M04-S03'!$BB$18:$BB$199,2*(ROWS(AE$182:AE192)-1)+1),"")</f>
        <v>0</v>
      </c>
      <c r="AF192" s="210"/>
      <c r="AG192" s="210"/>
      <c r="AH192" s="31">
        <f>IFERROR(INDEX('M04-S03'!$Q$18:$Q$199,2*(ROWS(AH$182:AH192)-1)+1),"")</f>
        <v>0</v>
      </c>
      <c r="AI192">
        <f>IFERROR(INDEX('M04-S03'!$B$18:$B$199,2*(ROWS(AI$182:AI192)-1)+1),"")</f>
        <v>0</v>
      </c>
      <c r="AJ192" s="194"/>
      <c r="AK192">
        <f>IFERROR(INDEX('M04-S03'!$G$18:$G$199,2*(ROWS(AK$182:AK192)-1)+1),"")</f>
        <v>0</v>
      </c>
      <c r="AL192" s="194"/>
      <c r="AM192">
        <f>IFERROR(INDEX('M04-S03'!$AA$18:$AA$199,2*(ROWS(AM$182:AM192)-1)+1),"")</f>
        <v>0</v>
      </c>
      <c r="AN192" s="14">
        <f>IFERROR(INDEX('M04-S03'!$AX$18:$AX$199,2*(ROWS(AN$182:AN192)-1)+1),"")</f>
        <v>0</v>
      </c>
      <c r="AO192" s="14">
        <f>IFERROR(INDEX('M04-S03'!$AY$18:$AY$199,2*(ROWS(AO$182:AO192)-1)+1),"")</f>
        <v>0</v>
      </c>
      <c r="AP192">
        <f>IFERROR(INDEX('M04-S03'!$AZ$18:$AZ$199,2*(ROWS(AP$182:AP192)-1)+1),"")</f>
        <v>0</v>
      </c>
      <c r="AQ192">
        <f>IFERROR(INDEX('M04-S03'!$BC$18:$BC$199,2*(ROWS(AQ$182:AQ192)-1)+1),"")</f>
        <v>0</v>
      </c>
      <c r="AR192" t="s">
        <v>1254</v>
      </c>
      <c r="AS192"/>
      <c r="BL192"/>
      <c r="BP192"/>
      <c r="BQ192"/>
      <c r="BR192"/>
      <c r="CD192"/>
      <c r="CE192"/>
      <c r="CF192"/>
      <c r="CQ192"/>
      <c r="CR192"/>
      <c r="CS192"/>
      <c r="DS192"/>
      <c r="DT192"/>
      <c r="DU192"/>
    </row>
    <row r="193" spans="1:125" hidden="1">
      <c r="A193" s="15">
        <f t="shared" si="17"/>
        <v>0</v>
      </c>
      <c r="B193" t="str">
        <f t="shared" si="18"/>
        <v/>
      </c>
      <c r="C193" t="str">
        <f>IFERROR(IF(INDEX('M04-S03'!$BJ$18:$BJ$199,2*(ROWS($C$182:C193)-1)+1)="","",INDEX('M04-S03'!$BJ$18:$BJ$199,2*(ROWS($C$182:C193)-1)+1)),"")</f>
        <v/>
      </c>
      <c r="D193" t="s">
        <v>135</v>
      </c>
      <c r="E193">
        <f>IFERROR(INDEX('M04-S03'!$BD$18:$BD$199,2*(ROWS(E$182:E193)-1)+1),"")</f>
        <v>0</v>
      </c>
      <c r="F193" s="31">
        <f>IFERROR(INDEX('M04-S03'!$T$18:$T$199,2*(ROWS(G$182:G193)-1)+1),"")</f>
        <v>0</v>
      </c>
      <c r="G193">
        <f>IFERROR(INDEX('M04-S03'!$AE$18:$AE$199,2*(ROWS(G$182:G193)-1)+1),"")</f>
        <v>0</v>
      </c>
      <c r="H193" s="14" t="str">
        <f>IFERROR(ROUND(IF(AC193&lt;&gt;"","",INDEX('M04-S03'!$AH$18:$AH$199,2*(ROWS(H$182:H193)-1)+1)),2),"")</f>
        <v/>
      </c>
      <c r="I193" s="14" t="str">
        <f>IFERROR(ROUND(IF(AC193&lt;&gt;"","",INDEX('M04-S03'!$AJ$18:$AJ$199,2*(ROWS(I$182:I193)-1)+1)),2),"")</f>
        <v/>
      </c>
      <c r="J193" s="14" t="str">
        <f>IFERROR(ROUND(IF(AC193&lt;&gt;"","",INDEX('M04-S03'!$AL$18:$AL$199,2*(ROWS(J$182:J193)-1)+1)),2),"")</f>
        <v/>
      </c>
      <c r="K193" t="s">
        <v>84</v>
      </c>
      <c r="L193" s="10" t="str">
        <f>IFERROR(IF(AC193&lt;&gt;"","",ROUND(INDEX('M04-S03'!$O$18:$O$199,2*(ROWS(L$182:L193)-1)+1),3)),"")</f>
        <v/>
      </c>
      <c r="M193" s="10" t="str">
        <f>IFERROR(IF(AC193&lt;&gt;"","",ROUND(INDEX('M04-S03'!$O$18:$O$199,2*(ROWS(M$182:M193)-1)+1),3)),"")</f>
        <v/>
      </c>
      <c r="N193" s="219"/>
      <c r="O193" s="37" t="str">
        <f>IFERROR(IF(AC193&lt;&gt;"","",INDEX('M04-S03'!$AO$18:$AO$199,2*(ROWS(O$182:O193)-1)+1)),"")</f>
        <v/>
      </c>
      <c r="P193" s="37" t="str">
        <f>IFERROR(IF(AC193&lt;&gt;"","",INDEX('M04-S03'!$BF$18:$BF$199,2*(ROWS(P$182:P193)-1)+1)),"")</f>
        <v/>
      </c>
      <c r="Q193" s="37" t="str">
        <f>IFERROR(IF(AC193&lt;&gt;"","",INDEX('M04-S03'!$BE$18:$BE$199,2*(ROWS(Q$182:Q193)-1)+1)),"")</f>
        <v/>
      </c>
      <c r="R193" s="14" t="str">
        <f>IFERROR(IF(AC193&lt;&gt;"","",INDEX('M04-S03'!$AR$18:$AR$199,2*(ROWS(R$182:R193)-1)+1)),"")</f>
        <v/>
      </c>
      <c r="S193" s="14">
        <f>IFERROR(ROUND(IF(AC193&lt;&gt;"",INDEX('M04-S03'!$AH$18:$AH$199,2*(ROWS(S$182:S193)-1)+1),""),2),"")</f>
        <v>0</v>
      </c>
      <c r="T193" s="14">
        <f>IFERROR(ROUND(IF(AC193&lt;&gt;"",INDEX('M04-S03'!$AJ$18:$AJ$199,2*(ROWS(T$182:T193)-1)+1),""),2),"")</f>
        <v>0</v>
      </c>
      <c r="U193" s="14">
        <f>IFERROR(ROUND(IF(AC193&lt;&gt;"",INDEX('M04-S03'!$AL$18:$AL$199,2*(ROWS(U$182:U193)-1)+1),""),2),"")</f>
        <v>0</v>
      </c>
      <c r="V193" t="str">
        <f t="shared" si="19"/>
        <v>Total</v>
      </c>
      <c r="W193" s="10">
        <f>IFERROR(IF(AC193&lt;&gt;"",ROUND(INDEX('M04-S03'!$O$18:$O$199,2*(ROWS(W$182:W193)-1)+1),3),""),"")</f>
        <v>0</v>
      </c>
      <c r="X193" s="10">
        <f>IFERROR(IF(AC193&lt;&gt;"",ROUND(INDEX('M04-S03'!$O$18:$O$199,2*(ROWS(X$182:X193)-1)+1),3),""),"")</f>
        <v>0</v>
      </c>
      <c r="Y193" s="210"/>
      <c r="Z193" s="31">
        <f>IFERROR(IF(AC193&lt;&gt;"",INDEX('M04-S03'!$AO$18:$AO$199,2*(ROWS(Z$182:Z193)-1)+1),""),"")</f>
        <v>0</v>
      </c>
      <c r="AA193" s="37">
        <f>IFERROR(IF(AC193&lt;&gt;"",INDEX('M04-S03'!$BF$18:$BF$199,2*(ROWS(AA$182:AA193)-1)+1),""),"")</f>
        <v>0</v>
      </c>
      <c r="AB193" s="37">
        <f>IFERROR(IF(AC193&lt;&gt;"",INDEX('M04-S03'!$BE$18:$BE$199,2*(ROWS(AB$182:AB193)-1)+1),""),"")</f>
        <v>0</v>
      </c>
      <c r="AC193">
        <f>IFERROR(INDEX('M04-S03'!$BL$18:$BL$199,2*(ROWS(AC$182:AC193)-1)+1),"")</f>
        <v>0</v>
      </c>
      <c r="AD193" s="37" cm="1">
        <f t="array" ref="AD193">IFERROR(INDEX('M04-S03'!$BA$18:$BA$199,2*(ROWS(AD$182:AD193)-1)+1),"")</f>
        <v>0</v>
      </c>
      <c r="AE193" s="37" cm="1">
        <f t="array" ref="AE193">IFERROR(INDEX('M04-S03'!$BB$18:$BB$199,2*(ROWS(AE$182:AE193)-1)+1),"")</f>
        <v>0</v>
      </c>
      <c r="AF193" s="210"/>
      <c r="AG193" s="210"/>
      <c r="AH193" s="31">
        <f>IFERROR(INDEX('M04-S03'!$Q$18:$Q$199,2*(ROWS(AH$182:AH193)-1)+1),"")</f>
        <v>0</v>
      </c>
      <c r="AI193">
        <f>IFERROR(INDEX('M04-S03'!$B$18:$B$199,2*(ROWS(AI$182:AI193)-1)+1),"")</f>
        <v>0</v>
      </c>
      <c r="AJ193" s="194"/>
      <c r="AK193">
        <f>IFERROR(INDEX('M04-S03'!$G$18:$G$199,2*(ROWS(AK$182:AK193)-1)+1),"")</f>
        <v>0</v>
      </c>
      <c r="AL193" s="194"/>
      <c r="AM193">
        <f>IFERROR(INDEX('M04-S03'!$AA$18:$AA$199,2*(ROWS(AM$182:AM193)-1)+1),"")</f>
        <v>0</v>
      </c>
      <c r="AN193" s="14">
        <f>IFERROR(INDEX('M04-S03'!$AX$18:$AX$199,2*(ROWS(AN$182:AN193)-1)+1),"")</f>
        <v>0</v>
      </c>
      <c r="AO193" s="14">
        <f>IFERROR(INDEX('M04-S03'!$AY$18:$AY$199,2*(ROWS(AO$182:AO193)-1)+1),"")</f>
        <v>0</v>
      </c>
      <c r="AP193">
        <f>IFERROR(INDEX('M04-S03'!$AZ$18:$AZ$199,2*(ROWS(AP$182:AP193)-1)+1),"")</f>
        <v>0</v>
      </c>
      <c r="AQ193">
        <f>IFERROR(INDEX('M04-S03'!$BC$18:$BC$199,2*(ROWS(AQ$182:AQ193)-1)+1),"")</f>
        <v>0</v>
      </c>
      <c r="AR193" t="s">
        <v>1254</v>
      </c>
      <c r="AS193"/>
      <c r="BL193"/>
      <c r="BP193"/>
      <c r="BQ193"/>
      <c r="BR193"/>
      <c r="CD193"/>
      <c r="CE193"/>
      <c r="CF193"/>
      <c r="CQ193"/>
      <c r="CR193"/>
      <c r="CS193"/>
      <c r="DS193"/>
      <c r="DT193"/>
      <c r="DU193"/>
    </row>
    <row r="194" spans="1:125" hidden="1">
      <c r="A194" s="15">
        <f t="shared" si="17"/>
        <v>0</v>
      </c>
      <c r="B194" t="str">
        <f t="shared" si="18"/>
        <v/>
      </c>
      <c r="C194" t="str">
        <f>IFERROR(IF(INDEX('M04-S03'!$BJ$18:$BJ$199,2*(ROWS($C$182:C194)-1)+1)="","",INDEX('M04-S03'!$BJ$18:$BJ$199,2*(ROWS($C$182:C194)-1)+1)),"")</f>
        <v/>
      </c>
      <c r="D194" t="s">
        <v>135</v>
      </c>
      <c r="E194">
        <f>IFERROR(INDEX('M04-S03'!$BD$18:$BD$199,2*(ROWS(E$182:E194)-1)+1),"")</f>
        <v>0</v>
      </c>
      <c r="F194" s="31">
        <f>IFERROR(INDEX('M04-S03'!$T$18:$T$199,2*(ROWS(G$182:G194)-1)+1),"")</f>
        <v>0</v>
      </c>
      <c r="G194">
        <f>IFERROR(INDEX('M04-S03'!$AE$18:$AE$199,2*(ROWS(G$182:G194)-1)+1),"")</f>
        <v>0</v>
      </c>
      <c r="H194" s="14" t="str">
        <f>IFERROR(ROUND(IF(AC194&lt;&gt;"","",INDEX('M04-S03'!$AH$18:$AH$199,2*(ROWS(H$182:H194)-1)+1)),2),"")</f>
        <v/>
      </c>
      <c r="I194" s="14" t="str">
        <f>IFERROR(ROUND(IF(AC194&lt;&gt;"","",INDEX('M04-S03'!$AJ$18:$AJ$199,2*(ROWS(I$182:I194)-1)+1)),2),"")</f>
        <v/>
      </c>
      <c r="J194" s="14" t="str">
        <f>IFERROR(ROUND(IF(AC194&lt;&gt;"","",INDEX('M04-S03'!$AL$18:$AL$199,2*(ROWS(J$182:J194)-1)+1)),2),"")</f>
        <v/>
      </c>
      <c r="K194" t="s">
        <v>84</v>
      </c>
      <c r="L194" s="10" t="str">
        <f>IFERROR(IF(AC194&lt;&gt;"","",ROUND(INDEX('M04-S03'!$O$18:$O$199,2*(ROWS(L$182:L194)-1)+1),3)),"")</f>
        <v/>
      </c>
      <c r="M194" s="10" t="str">
        <f>IFERROR(IF(AC194&lt;&gt;"","",ROUND(INDEX('M04-S03'!$O$18:$O$199,2*(ROWS(M$182:M194)-1)+1),3)),"")</f>
        <v/>
      </c>
      <c r="N194" s="219"/>
      <c r="O194" s="37" t="str">
        <f>IFERROR(IF(AC194&lt;&gt;"","",INDEX('M04-S03'!$AO$18:$AO$199,2*(ROWS(O$182:O194)-1)+1)),"")</f>
        <v/>
      </c>
      <c r="P194" s="37" t="str">
        <f>IFERROR(IF(AC194&lt;&gt;"","",INDEX('M04-S03'!$BF$18:$BF$199,2*(ROWS(P$182:P194)-1)+1)),"")</f>
        <v/>
      </c>
      <c r="Q194" s="37" t="str">
        <f>IFERROR(IF(AC194&lt;&gt;"","",INDEX('M04-S03'!$BE$18:$BE$199,2*(ROWS(Q$182:Q194)-1)+1)),"")</f>
        <v/>
      </c>
      <c r="R194" s="14" t="str">
        <f>IFERROR(IF(AC194&lt;&gt;"","",INDEX('M04-S03'!$AR$18:$AR$199,2*(ROWS(R$182:R194)-1)+1)),"")</f>
        <v/>
      </c>
      <c r="S194" s="14">
        <f>IFERROR(ROUND(IF(AC194&lt;&gt;"",INDEX('M04-S03'!$AH$18:$AH$199,2*(ROWS(S$182:S194)-1)+1),""),2),"")</f>
        <v>0</v>
      </c>
      <c r="T194" s="14">
        <f>IFERROR(ROUND(IF(AC194&lt;&gt;"",INDEX('M04-S03'!$AJ$18:$AJ$199,2*(ROWS(T$182:T194)-1)+1),""),2),"")</f>
        <v>0</v>
      </c>
      <c r="U194" s="14">
        <f>IFERROR(ROUND(IF(AC194&lt;&gt;"",INDEX('M04-S03'!$AL$18:$AL$199,2*(ROWS(U$182:U194)-1)+1),""),2),"")</f>
        <v>0</v>
      </c>
      <c r="V194" t="str">
        <f t="shared" si="19"/>
        <v>Total</v>
      </c>
      <c r="W194" s="10">
        <f>IFERROR(IF(AC194&lt;&gt;"",ROUND(INDEX('M04-S03'!$O$18:$O$199,2*(ROWS(W$182:W194)-1)+1),3),""),"")</f>
        <v>0</v>
      </c>
      <c r="X194" s="10">
        <f>IFERROR(IF(AC194&lt;&gt;"",ROUND(INDEX('M04-S03'!$O$18:$O$199,2*(ROWS(X$182:X194)-1)+1),3),""),"")</f>
        <v>0</v>
      </c>
      <c r="Y194" s="210"/>
      <c r="Z194" s="31">
        <f>IFERROR(IF(AC194&lt;&gt;"",INDEX('M04-S03'!$AO$18:$AO$199,2*(ROWS(Z$182:Z194)-1)+1),""),"")</f>
        <v>0</v>
      </c>
      <c r="AA194" s="37">
        <f>IFERROR(IF(AC194&lt;&gt;"",INDEX('M04-S03'!$BF$18:$BF$199,2*(ROWS(AA$182:AA194)-1)+1),""),"")</f>
        <v>0</v>
      </c>
      <c r="AB194" s="37">
        <f>IFERROR(IF(AC194&lt;&gt;"",INDEX('M04-S03'!$BE$18:$BE$199,2*(ROWS(AB$182:AB194)-1)+1),""),"")</f>
        <v>0</v>
      </c>
      <c r="AC194">
        <f>IFERROR(INDEX('M04-S03'!$BL$18:$BL$199,2*(ROWS(AC$182:AC194)-1)+1),"")</f>
        <v>0</v>
      </c>
      <c r="AD194" s="37" cm="1">
        <f t="array" ref="AD194">IFERROR(INDEX('M04-S03'!$BA$18:$BA$199,2*(ROWS(AD$182:AD194)-1)+1),"")</f>
        <v>0</v>
      </c>
      <c r="AE194" s="37" cm="1">
        <f t="array" ref="AE194">IFERROR(INDEX('M04-S03'!$BB$18:$BB$199,2*(ROWS(AE$182:AE194)-1)+1),"")</f>
        <v>0</v>
      </c>
      <c r="AF194" s="210"/>
      <c r="AG194" s="210"/>
      <c r="AH194" s="31">
        <f>IFERROR(INDEX('M04-S03'!$Q$18:$Q$199,2*(ROWS(AH$182:AH194)-1)+1),"")</f>
        <v>0</v>
      </c>
      <c r="AI194">
        <f>IFERROR(INDEX('M04-S03'!$B$18:$B$199,2*(ROWS(AI$182:AI194)-1)+1),"")</f>
        <v>0</v>
      </c>
      <c r="AJ194" s="194"/>
      <c r="AK194">
        <f>IFERROR(INDEX('M04-S03'!$G$18:$G$199,2*(ROWS(AK$182:AK194)-1)+1),"")</f>
        <v>0</v>
      </c>
      <c r="AL194" s="194"/>
      <c r="AM194">
        <f>IFERROR(INDEX('M04-S03'!$AA$18:$AA$199,2*(ROWS(AM$182:AM194)-1)+1),"")</f>
        <v>0</v>
      </c>
      <c r="AN194" s="14">
        <f>IFERROR(INDEX('M04-S03'!$AX$18:$AX$199,2*(ROWS(AN$182:AN194)-1)+1),"")</f>
        <v>0</v>
      </c>
      <c r="AO194" s="14">
        <f>IFERROR(INDEX('M04-S03'!$AY$18:$AY$199,2*(ROWS(AO$182:AO194)-1)+1),"")</f>
        <v>0</v>
      </c>
      <c r="AP194">
        <f>IFERROR(INDEX('M04-S03'!$AZ$18:$AZ$199,2*(ROWS(AP$182:AP194)-1)+1),"")</f>
        <v>0</v>
      </c>
      <c r="AQ194">
        <f>IFERROR(INDEX('M04-S03'!$BC$18:$BC$199,2*(ROWS(AQ$182:AQ194)-1)+1),"")</f>
        <v>0</v>
      </c>
      <c r="AR194" t="s">
        <v>1254</v>
      </c>
      <c r="AS194"/>
      <c r="BL194"/>
      <c r="BP194"/>
      <c r="BQ194"/>
      <c r="BR194"/>
      <c r="CD194"/>
      <c r="CE194"/>
      <c r="CF194"/>
      <c r="CQ194"/>
      <c r="CR194"/>
      <c r="CS194"/>
      <c r="DS194"/>
      <c r="DT194"/>
      <c r="DU194"/>
    </row>
    <row r="195" spans="1:125" hidden="1">
      <c r="A195" s="15">
        <f t="shared" si="17"/>
        <v>0</v>
      </c>
      <c r="B195" t="str">
        <f t="shared" si="18"/>
        <v/>
      </c>
      <c r="C195" t="str">
        <f>IFERROR(IF(INDEX('M04-S03'!$BJ$18:$BJ$199,2*(ROWS($C$182:C195)-1)+1)="","",INDEX('M04-S03'!$BJ$18:$BJ$199,2*(ROWS($C$182:C195)-1)+1)),"")</f>
        <v/>
      </c>
      <c r="D195" t="s">
        <v>135</v>
      </c>
      <c r="E195">
        <f>IFERROR(INDEX('M04-S03'!$BD$18:$BD$199,2*(ROWS(E$182:E195)-1)+1),"")</f>
        <v>0</v>
      </c>
      <c r="F195" s="31">
        <f>IFERROR(INDEX('M04-S03'!$T$18:$T$199,2*(ROWS(G$182:G195)-1)+1),"")</f>
        <v>0</v>
      </c>
      <c r="G195">
        <f>IFERROR(INDEX('M04-S03'!$AE$18:$AE$199,2*(ROWS(G$182:G195)-1)+1),"")</f>
        <v>0</v>
      </c>
      <c r="H195" s="14" t="str">
        <f>IFERROR(ROUND(IF(AC195&lt;&gt;"","",INDEX('M04-S03'!$AH$18:$AH$199,2*(ROWS(H$182:H195)-1)+1)),2),"")</f>
        <v/>
      </c>
      <c r="I195" s="14" t="str">
        <f>IFERROR(ROUND(IF(AC195&lt;&gt;"","",INDEX('M04-S03'!$AJ$18:$AJ$199,2*(ROWS(I$182:I195)-1)+1)),2),"")</f>
        <v/>
      </c>
      <c r="J195" s="14" t="str">
        <f>IFERROR(ROUND(IF(AC195&lt;&gt;"","",INDEX('M04-S03'!$AL$18:$AL$199,2*(ROWS(J$182:J195)-1)+1)),2),"")</f>
        <v/>
      </c>
      <c r="K195" t="s">
        <v>84</v>
      </c>
      <c r="L195" s="10" t="str">
        <f>IFERROR(IF(AC195&lt;&gt;"","",ROUND(INDEX('M04-S03'!$O$18:$O$199,2*(ROWS(L$182:L195)-1)+1),3)),"")</f>
        <v/>
      </c>
      <c r="M195" s="10" t="str">
        <f>IFERROR(IF(AC195&lt;&gt;"","",ROUND(INDEX('M04-S03'!$O$18:$O$199,2*(ROWS(M$182:M195)-1)+1),3)),"")</f>
        <v/>
      </c>
      <c r="N195" s="219"/>
      <c r="O195" s="37" t="str">
        <f>IFERROR(IF(AC195&lt;&gt;"","",INDEX('M04-S03'!$AO$18:$AO$199,2*(ROWS(O$182:O195)-1)+1)),"")</f>
        <v/>
      </c>
      <c r="P195" s="37" t="str">
        <f>IFERROR(IF(AC195&lt;&gt;"","",INDEX('M04-S03'!$BF$18:$BF$199,2*(ROWS(P$182:P195)-1)+1)),"")</f>
        <v/>
      </c>
      <c r="Q195" s="37" t="str">
        <f>IFERROR(IF(AC195&lt;&gt;"","",INDEX('M04-S03'!$BE$18:$BE$199,2*(ROWS(Q$182:Q195)-1)+1)),"")</f>
        <v/>
      </c>
      <c r="R195" s="14" t="str">
        <f>IFERROR(IF(AC195&lt;&gt;"","",INDEX('M04-S03'!$AR$18:$AR$199,2*(ROWS(R$182:R195)-1)+1)),"")</f>
        <v/>
      </c>
      <c r="S195" s="14">
        <f>IFERROR(ROUND(IF(AC195&lt;&gt;"",INDEX('M04-S03'!$AH$18:$AH$199,2*(ROWS(S$182:S195)-1)+1),""),2),"")</f>
        <v>0</v>
      </c>
      <c r="T195" s="14">
        <f>IFERROR(ROUND(IF(AC195&lt;&gt;"",INDEX('M04-S03'!$AJ$18:$AJ$199,2*(ROWS(T$182:T195)-1)+1),""),2),"")</f>
        <v>0</v>
      </c>
      <c r="U195" s="14">
        <f>IFERROR(ROUND(IF(AC195&lt;&gt;"",INDEX('M04-S03'!$AL$18:$AL$199,2*(ROWS(U$182:U195)-1)+1),""),2),"")</f>
        <v>0</v>
      </c>
      <c r="V195" t="str">
        <f t="shared" si="19"/>
        <v>Total</v>
      </c>
      <c r="W195" s="10">
        <f>IFERROR(IF(AC195&lt;&gt;"",ROUND(INDEX('M04-S03'!$O$18:$O$199,2*(ROWS(W$182:W195)-1)+1),3),""),"")</f>
        <v>0</v>
      </c>
      <c r="X195" s="10">
        <f>IFERROR(IF(AC195&lt;&gt;"",ROUND(INDEX('M04-S03'!$O$18:$O$199,2*(ROWS(X$182:X195)-1)+1),3),""),"")</f>
        <v>0</v>
      </c>
      <c r="Y195" s="210"/>
      <c r="Z195" s="31">
        <f>IFERROR(IF(AC195&lt;&gt;"",INDEX('M04-S03'!$AO$18:$AO$199,2*(ROWS(Z$182:Z195)-1)+1),""),"")</f>
        <v>0</v>
      </c>
      <c r="AA195" s="37">
        <f>IFERROR(IF(AC195&lt;&gt;"",INDEX('M04-S03'!$BF$18:$BF$199,2*(ROWS(AA$182:AA195)-1)+1),""),"")</f>
        <v>0</v>
      </c>
      <c r="AB195" s="37">
        <f>IFERROR(IF(AC195&lt;&gt;"",INDEX('M04-S03'!$BE$18:$BE$199,2*(ROWS(AB$182:AB195)-1)+1),""),"")</f>
        <v>0</v>
      </c>
      <c r="AC195">
        <f>IFERROR(INDEX('M04-S03'!$BL$18:$BL$199,2*(ROWS(AC$182:AC195)-1)+1),"")</f>
        <v>0</v>
      </c>
      <c r="AD195" s="37" cm="1">
        <f t="array" ref="AD195">IFERROR(INDEX('M04-S03'!$BA$18:$BA$199,2*(ROWS(AD$182:AD195)-1)+1),"")</f>
        <v>0</v>
      </c>
      <c r="AE195" s="37" cm="1">
        <f t="array" ref="AE195">IFERROR(INDEX('M04-S03'!$BB$18:$BB$199,2*(ROWS(AE$182:AE195)-1)+1),"")</f>
        <v>0</v>
      </c>
      <c r="AF195" s="210"/>
      <c r="AG195" s="210"/>
      <c r="AH195" s="31">
        <f>IFERROR(INDEX('M04-S03'!$Q$18:$Q$199,2*(ROWS(AH$182:AH195)-1)+1),"")</f>
        <v>0</v>
      </c>
      <c r="AI195">
        <f>IFERROR(INDEX('M04-S03'!$B$18:$B$199,2*(ROWS(AI$182:AI195)-1)+1),"")</f>
        <v>0</v>
      </c>
      <c r="AJ195" s="194"/>
      <c r="AK195">
        <f>IFERROR(INDEX('M04-S03'!$G$18:$G$199,2*(ROWS(AK$182:AK195)-1)+1),"")</f>
        <v>0</v>
      </c>
      <c r="AL195" s="194"/>
      <c r="AM195">
        <f>IFERROR(INDEX('M04-S03'!$AA$18:$AA$199,2*(ROWS(AM$182:AM195)-1)+1),"")</f>
        <v>0</v>
      </c>
      <c r="AN195" s="14">
        <f>IFERROR(INDEX('M04-S03'!$AX$18:$AX$199,2*(ROWS(AN$182:AN195)-1)+1),"")</f>
        <v>0</v>
      </c>
      <c r="AO195" s="14">
        <f>IFERROR(INDEX('M04-S03'!$AY$18:$AY$199,2*(ROWS(AO$182:AO195)-1)+1),"")</f>
        <v>0</v>
      </c>
      <c r="AP195">
        <f>IFERROR(INDEX('M04-S03'!$AZ$18:$AZ$199,2*(ROWS(AP$182:AP195)-1)+1),"")</f>
        <v>0</v>
      </c>
      <c r="AQ195">
        <f>IFERROR(INDEX('M04-S03'!$BC$18:$BC$199,2*(ROWS(AQ$182:AQ195)-1)+1),"")</f>
        <v>0</v>
      </c>
      <c r="AR195" t="s">
        <v>1254</v>
      </c>
      <c r="AS195"/>
      <c r="BL195"/>
      <c r="BP195"/>
      <c r="BQ195"/>
      <c r="BR195"/>
      <c r="CD195"/>
      <c r="CE195"/>
      <c r="CF195"/>
      <c r="CQ195"/>
      <c r="CR195"/>
      <c r="CS195"/>
      <c r="DS195"/>
      <c r="DT195"/>
      <c r="DU195"/>
    </row>
    <row r="196" spans="1:125" hidden="1">
      <c r="A196" s="15">
        <f t="shared" si="17"/>
        <v>0</v>
      </c>
      <c r="B196" t="str">
        <f t="shared" si="18"/>
        <v/>
      </c>
      <c r="C196" t="str">
        <f>IFERROR(IF(INDEX('M04-S03'!$BJ$18:$BJ$199,2*(ROWS($C$182:C196)-1)+1)="","",INDEX('M04-S03'!$BJ$18:$BJ$199,2*(ROWS($C$182:C196)-1)+1)),"")</f>
        <v/>
      </c>
      <c r="D196" t="s">
        <v>135</v>
      </c>
      <c r="E196">
        <f>IFERROR(INDEX('M04-S03'!$BD$18:$BD$199,2*(ROWS(E$182:E196)-1)+1),"")</f>
        <v>0</v>
      </c>
      <c r="F196" s="31">
        <f>IFERROR(INDEX('M04-S03'!$T$18:$T$199,2*(ROWS(G$182:G196)-1)+1),"")</f>
        <v>0</v>
      </c>
      <c r="G196">
        <f>IFERROR(INDEX('M04-S03'!$AE$18:$AE$199,2*(ROWS(G$182:G196)-1)+1),"")</f>
        <v>0</v>
      </c>
      <c r="H196" s="14" t="str">
        <f>IFERROR(ROUND(IF(AC196&lt;&gt;"","",INDEX('M04-S03'!$AH$18:$AH$199,2*(ROWS(H$182:H196)-1)+1)),2),"")</f>
        <v/>
      </c>
      <c r="I196" s="14" t="str">
        <f>IFERROR(ROUND(IF(AC196&lt;&gt;"","",INDEX('M04-S03'!$AJ$18:$AJ$199,2*(ROWS(I$182:I196)-1)+1)),2),"")</f>
        <v/>
      </c>
      <c r="J196" s="14" t="str">
        <f>IFERROR(ROUND(IF(AC196&lt;&gt;"","",INDEX('M04-S03'!$AL$18:$AL$199,2*(ROWS(J$182:J196)-1)+1)),2),"")</f>
        <v/>
      </c>
      <c r="K196" t="s">
        <v>84</v>
      </c>
      <c r="L196" s="10" t="str">
        <f>IFERROR(IF(AC196&lt;&gt;"","",ROUND(INDEX('M04-S03'!$O$18:$O$199,2*(ROWS(L$182:L196)-1)+1),3)),"")</f>
        <v/>
      </c>
      <c r="M196" s="10" t="str">
        <f>IFERROR(IF(AC196&lt;&gt;"","",ROUND(INDEX('M04-S03'!$O$18:$O$199,2*(ROWS(M$182:M196)-1)+1),3)),"")</f>
        <v/>
      </c>
      <c r="N196" s="219"/>
      <c r="O196" s="37" t="str">
        <f>IFERROR(IF(AC196&lt;&gt;"","",INDEX('M04-S03'!$AO$18:$AO$199,2*(ROWS(O$182:O196)-1)+1)),"")</f>
        <v/>
      </c>
      <c r="P196" s="37" t="str">
        <f>IFERROR(IF(AC196&lt;&gt;"","",INDEX('M04-S03'!$BF$18:$BF$199,2*(ROWS(P$182:P196)-1)+1)),"")</f>
        <v/>
      </c>
      <c r="Q196" s="37" t="str">
        <f>IFERROR(IF(AC196&lt;&gt;"","",INDEX('M04-S03'!$BE$18:$BE$199,2*(ROWS(Q$182:Q196)-1)+1)),"")</f>
        <v/>
      </c>
      <c r="R196" s="14" t="str">
        <f>IFERROR(IF(AC196&lt;&gt;"","",INDEX('M04-S03'!$AR$18:$AR$199,2*(ROWS(R$182:R196)-1)+1)),"")</f>
        <v/>
      </c>
      <c r="S196" s="14">
        <f>IFERROR(ROUND(IF(AC196&lt;&gt;"",INDEX('M04-S03'!$AH$18:$AH$199,2*(ROWS(S$182:S196)-1)+1),""),2),"")</f>
        <v>0</v>
      </c>
      <c r="T196" s="14">
        <f>IFERROR(ROUND(IF(AC196&lt;&gt;"",INDEX('M04-S03'!$AJ$18:$AJ$199,2*(ROWS(T$182:T196)-1)+1),""),2),"")</f>
        <v>0</v>
      </c>
      <c r="U196" s="14">
        <f>IFERROR(ROUND(IF(AC196&lt;&gt;"",INDEX('M04-S03'!$AL$18:$AL$199,2*(ROWS(U$182:U196)-1)+1),""),2),"")</f>
        <v>0</v>
      </c>
      <c r="V196" t="str">
        <f t="shared" si="19"/>
        <v>Total</v>
      </c>
      <c r="W196" s="10">
        <f>IFERROR(IF(AC196&lt;&gt;"",ROUND(INDEX('M04-S03'!$O$18:$O$199,2*(ROWS(W$182:W196)-1)+1),3),""),"")</f>
        <v>0</v>
      </c>
      <c r="X196" s="10">
        <f>IFERROR(IF(AC196&lt;&gt;"",ROUND(INDEX('M04-S03'!$O$18:$O$199,2*(ROWS(X$182:X196)-1)+1),3),""),"")</f>
        <v>0</v>
      </c>
      <c r="Y196" s="210"/>
      <c r="Z196" s="31">
        <f>IFERROR(IF(AC196&lt;&gt;"",INDEX('M04-S03'!$AO$18:$AO$199,2*(ROWS(Z$182:Z196)-1)+1),""),"")</f>
        <v>0</v>
      </c>
      <c r="AA196" s="37">
        <f>IFERROR(IF(AC196&lt;&gt;"",INDEX('M04-S03'!$BF$18:$BF$199,2*(ROWS(AA$182:AA196)-1)+1),""),"")</f>
        <v>0</v>
      </c>
      <c r="AB196" s="37">
        <f>IFERROR(IF(AC196&lt;&gt;"",INDEX('M04-S03'!$BE$18:$BE$199,2*(ROWS(AB$182:AB196)-1)+1),""),"")</f>
        <v>0</v>
      </c>
      <c r="AC196">
        <f>IFERROR(INDEX('M04-S03'!$BL$18:$BL$199,2*(ROWS(AC$182:AC196)-1)+1),"")</f>
        <v>0</v>
      </c>
      <c r="AD196" s="37" cm="1">
        <f t="array" ref="AD196">IFERROR(INDEX('M04-S03'!$BA$18:$BA$199,2*(ROWS(AD$182:AD196)-1)+1),"")</f>
        <v>0</v>
      </c>
      <c r="AE196" s="37" cm="1">
        <f t="array" ref="AE196">IFERROR(INDEX('M04-S03'!$BB$18:$BB$199,2*(ROWS(AE$182:AE196)-1)+1),"")</f>
        <v>0</v>
      </c>
      <c r="AF196" s="210"/>
      <c r="AG196" s="210"/>
      <c r="AH196" s="31">
        <f>IFERROR(INDEX('M04-S03'!$Q$18:$Q$199,2*(ROWS(AH$182:AH196)-1)+1),"")</f>
        <v>0</v>
      </c>
      <c r="AI196">
        <f>IFERROR(INDEX('M04-S03'!$B$18:$B$199,2*(ROWS(AI$182:AI196)-1)+1),"")</f>
        <v>0</v>
      </c>
      <c r="AJ196" s="194"/>
      <c r="AK196">
        <f>IFERROR(INDEX('M04-S03'!$G$18:$G$199,2*(ROWS(AK$182:AK196)-1)+1),"")</f>
        <v>0</v>
      </c>
      <c r="AL196" s="194"/>
      <c r="AM196">
        <f>IFERROR(INDEX('M04-S03'!$AA$18:$AA$199,2*(ROWS(AM$182:AM196)-1)+1),"")</f>
        <v>0</v>
      </c>
      <c r="AN196" s="14">
        <f>IFERROR(INDEX('M04-S03'!$AX$18:$AX$199,2*(ROWS(AN$182:AN196)-1)+1),"")</f>
        <v>0</v>
      </c>
      <c r="AO196" s="14">
        <f>IFERROR(INDEX('M04-S03'!$AY$18:$AY$199,2*(ROWS(AO$182:AO196)-1)+1),"")</f>
        <v>0</v>
      </c>
      <c r="AP196">
        <f>IFERROR(INDEX('M04-S03'!$AZ$18:$AZ$199,2*(ROWS(AP$182:AP196)-1)+1),"")</f>
        <v>0</v>
      </c>
      <c r="AQ196">
        <f>IFERROR(INDEX('M04-S03'!$BC$18:$BC$199,2*(ROWS(AQ$182:AQ196)-1)+1),"")</f>
        <v>0</v>
      </c>
      <c r="AR196" t="s">
        <v>1254</v>
      </c>
      <c r="AS196"/>
      <c r="BL196"/>
      <c r="BP196"/>
      <c r="BQ196"/>
      <c r="BR196"/>
      <c r="CD196"/>
      <c r="CE196"/>
      <c r="CF196"/>
      <c r="CQ196"/>
      <c r="CR196"/>
      <c r="CS196"/>
      <c r="DS196"/>
      <c r="DT196"/>
      <c r="DU196"/>
    </row>
    <row r="197" spans="1:125">
      <c r="A197" s="226" t="str">
        <f>"Custom "&amp;M4S4</f>
        <v>Custom Refrigeration</v>
      </c>
      <c r="B197" s="36"/>
      <c r="C197" s="36"/>
      <c r="D197" s="36"/>
      <c r="E197" s="36"/>
      <c r="F197" s="211"/>
      <c r="G197" s="36"/>
      <c r="H197" s="206"/>
      <c r="I197" s="206"/>
      <c r="J197" s="206"/>
      <c r="K197" s="36"/>
      <c r="L197" s="214"/>
      <c r="M197" s="214"/>
      <c r="N197" s="217"/>
      <c r="O197" s="217"/>
      <c r="P197" s="217"/>
      <c r="Q197" s="217"/>
      <c r="R197" s="206"/>
      <c r="S197" s="206"/>
      <c r="T197" s="206"/>
      <c r="U197" s="206"/>
      <c r="V197" s="36"/>
      <c r="W197" s="214"/>
      <c r="X197" s="214"/>
      <c r="Y197" s="211"/>
      <c r="Z197" s="211"/>
      <c r="AA197" s="217"/>
      <c r="AB197" s="217"/>
      <c r="AC197" s="36"/>
      <c r="AD197" s="217"/>
      <c r="AE197" s="217"/>
      <c r="AF197" s="211"/>
      <c r="AG197" s="211"/>
      <c r="AH197" s="211"/>
      <c r="AI197" s="36"/>
      <c r="AJ197" s="36"/>
      <c r="AK197" s="109"/>
      <c r="AL197" s="36"/>
      <c r="AM197" s="36"/>
      <c r="AN197" s="206"/>
      <c r="AO197" s="206"/>
      <c r="AP197" s="36"/>
      <c r="AQ197" s="36"/>
      <c r="AR197" s="36"/>
      <c r="AS197" s="36"/>
      <c r="AT197" s="36"/>
      <c r="BL197"/>
      <c r="BP197"/>
      <c r="BQ197"/>
      <c r="BR197"/>
      <c r="CD197"/>
      <c r="CE197"/>
      <c r="CF197"/>
      <c r="CQ197"/>
      <c r="CR197"/>
      <c r="CS197"/>
      <c r="DS197"/>
      <c r="DT197"/>
      <c r="DU197"/>
    </row>
    <row r="198" spans="1:125" hidden="1">
      <c r="A198" s="15">
        <f t="shared" ref="A198:A212" si="20">PROJID</f>
        <v>0</v>
      </c>
      <c r="B198" t="str">
        <f>IF(C198="","",CONCATENATE(ROW(),"-",C198))</f>
        <v/>
      </c>
      <c r="C198" t="str">
        <f>IFERROR(IF(INDEX('M04-S04'!$BL$18:$BL$199,2*(ROWS($C$198:C198)-1)+1)="","",INDEX('M04-S04'!$BL$18:$BL$199,2*(ROWS($C$198:C198)-1)+1)),"")</f>
        <v/>
      </c>
      <c r="D198" t="s">
        <v>135</v>
      </c>
      <c r="E198" t="str">
        <f>IFERROR(INDEX('M04-S04'!$BF$18:$BF$199,2*(ROWS(E$198:E198)-1)+1),"")</f>
        <v/>
      </c>
      <c r="F198" s="210"/>
      <c r="G198" s="194"/>
      <c r="H198" s="14" t="str">
        <f ca="1">IFERROR(ROUND(IF(AC198&lt;&gt;"","",INDEX('M04-S04'!$AH$18:$AH$199,2*(ROWS(H$198:H198)-1)+1)),2),"")</f>
        <v/>
      </c>
      <c r="I198" s="14" t="str">
        <f ca="1">IFERROR(ROUND(IF(AC198&lt;&gt;"","",INDEX('M04-S04'!$AJ$18:$AJ$199,2*(ROWS(I$198:I198)-1)+1)),2),"")</f>
        <v/>
      </c>
      <c r="J198" s="14" t="str">
        <f ca="1">IFERROR(ROUND(IF(AC198&lt;&gt;"","",INDEX('M04-S04'!$AL$18:$AL$199,2*(ROWS(J$198:J198)-1)+1)),2),"")</f>
        <v/>
      </c>
      <c r="K198" t="str">
        <f ca="1">IFERROR(IF(AC198&lt;&gt;"","",INDEX('M04-S04'!$AF$38:$AF$199,2*(ROWS(J$198:J198)-1)+1)),"")</f>
        <v/>
      </c>
      <c r="L198" s="10" t="str">
        <f ca="1">IFERROR(IF(AC198&lt;&gt;"","",ROUND(INDEX('M04-S04'!$BA$18:$BA$199,2*(ROWS(L$198:L198)-1)+1),3)),"")</f>
        <v/>
      </c>
      <c r="M198" s="10" t="str">
        <f ca="1">IFERROR(IF(AC198&lt;&gt;"","",ROUND(INDEX('M04-S04'!$BB$18:$BB$199,2*(ROWS(M$198:M198)-1)+1),3)),"")</f>
        <v/>
      </c>
      <c r="N198" s="219"/>
      <c r="O198" s="37" t="str">
        <f ca="1">IFERROR(IF(AC198&lt;&gt;"","",INDEX('M04-S04'!$AO$18:$AO$199,2*(ROWS(O$198:O198)-1)+1)),"")</f>
        <v/>
      </c>
      <c r="P198" s="37" t="str">
        <f ca="1">IFERROR(IF(AC198&lt;&gt;"","",INDEX('M04-S04'!$BH$18:$BH$199,2*(ROWS(P$198:P198)-1)+1)),"")</f>
        <v/>
      </c>
      <c r="Q198" s="37" t="str">
        <f ca="1">IFERROR(IF(AC198&lt;&gt;"","",INDEX('M04-S04'!$BG$18:$BG$199,2*(ROWS(Q$198:Q198)-1)+1)),"")</f>
        <v/>
      </c>
      <c r="R198" s="14" t="str">
        <f ca="1">IFERROR(IF(AC198&lt;&gt;"","",INDEX('M04-S04'!$AR$18:$AR$199,2*(ROWS(R$198:R198)-1)+1)),"")</f>
        <v/>
      </c>
      <c r="S198" s="14">
        <f ca="1">IFERROR(ROUND(IF(AC198&lt;&gt;"",INDEX('M04-S04'!$AH$18:$AH$199,2*(ROWS(S$198:S198)-1)+1),""),2),"")</f>
        <v>0</v>
      </c>
      <c r="T198" s="14" t="str">
        <f ca="1">IFERROR(ROUND(IF(AC198&lt;&gt;"",INDEX('M04-S04'!$AJ$18:$AJ$199,2*(ROWS(T$198:T198)-1)+1),""),2),"")</f>
        <v/>
      </c>
      <c r="U198" s="14" t="str">
        <f ca="1">IFERROR(ROUND(IF(AC198&lt;&gt;"",INDEX('M04-S04'!$AL$18:$AL$199,2*(ROWS(U$198:U198)-1)+1),""),2),"")</f>
        <v/>
      </c>
      <c r="V198">
        <f ca="1">IFERROR(IF(AC198&lt;&gt;"",INDEX('M04-S04'!$AF$38:$AF$199,2*(ROWS(V$198:V198)-1)+1),""),"")</f>
        <v>0</v>
      </c>
      <c r="W198" s="10" t="str">
        <f ca="1">IFERROR(IF(AC198&lt;&gt;"",ROUND(INDEX('M04-S04'!$BA$18:$BA$199,2*(ROWS(W$198:W198)-1)+1),3),""),"")</f>
        <v/>
      </c>
      <c r="X198" s="10" t="str">
        <f ca="1">IFERROR(IF(AC198&lt;&gt;"",ROUND(INDEX('M04-S04'!$BB$18:$BB$199,2*(ROWS(X$198:X198)-1)+1),3),""),"")</f>
        <v/>
      </c>
      <c r="Y198" s="210"/>
      <c r="Z198" s="31" t="str">
        <f ca="1">IFERROR(IF(AC198&lt;&gt;"",INDEX('M04-S04'!$AO$18:$AO$199,2*(ROWS(Z$198:Z198)-1)+1),""),"")</f>
        <v/>
      </c>
      <c r="AA198" s="37">
        <f ca="1">IFERROR(IF(AC198&lt;&gt;"",INDEX('M04-S04'!$BH$18:$BH$199,2*(ROWS(AA$198:AA198)-1)+1),""),"")</f>
        <v>0</v>
      </c>
      <c r="AB198" s="37" t="str">
        <f ca="1">IFERROR(IF(AC198&lt;&gt;"",INDEX('M04-S04'!$BG$18:$BG$199,2*(ROWS(AB$198:AB198)-1)+1),""),"")</f>
        <v/>
      </c>
      <c r="AC198" t="str">
        <f ca="1">IFERROR(INDEX('M04-S04'!$BN$18:$BN$199,2*(ROWS(AC$198:AC198)-1)+1),"")</f>
        <v>Submit for Review</v>
      </c>
      <c r="AD198" s="37" t="str" cm="1">
        <f t="array" ref="AD198">IFERROR(INDEX('M04-S04'!$BC$18:$BC$199,2*(ROWS(AD$198:AD198)-1)+1),"")</f>
        <v/>
      </c>
      <c r="AE198" s="37" t="str" cm="1">
        <f t="array" ref="AE198">IFERROR(INDEX('M04-S04'!$BD$18:$BD$199,2*(ROWS(AE$198:AE198)-1)+1),"")</f>
        <v/>
      </c>
      <c r="AF198" s="210"/>
      <c r="AG198" s="210"/>
      <c r="AH198" s="210"/>
      <c r="AI198">
        <f>IFERROR(INDEX('M04-S04'!$B$18:$B$199,2*(ROWS(AI$198:AI198)-1)+1),"")</f>
        <v>1</v>
      </c>
      <c r="AJ198" s="194"/>
      <c r="AK198">
        <f>IFERROR(INDEX('M04-S04'!$H$18:$H$199,2*(ROWS(AK$198:AK198)-1)+1),"")</f>
        <v>0</v>
      </c>
      <c r="AL198">
        <f>IFERROR(INDEX('M04-S04'!$N$18:$N$199,2*(ROWS(AL$198:AL198)-1)+1),"")</f>
        <v>0</v>
      </c>
      <c r="AM198">
        <f>IFERROR(INDEX('M04-S04'!$W$18:$W$199,2*(ROWS(AM$198:AM198)-1)+1),"")</f>
        <v>0</v>
      </c>
      <c r="AN198" s="14" t="str">
        <f>IFERROR(INDEX('M04-S04'!$AX$18:$AX$199,2*(ROWS(AN$198:AN198)-1)+1),"")</f>
        <v/>
      </c>
      <c r="AO198" s="14" t="str">
        <f>IFERROR(INDEX('M04-S04'!$AY$18:$AY$199,2*(ROWS(AO$198:AO198)-1)+1),"")</f>
        <v/>
      </c>
      <c r="AP198" t="str">
        <f>IFERROR(INDEX('M04-S04'!$AZ$18:$AZ$199,2*(ROWS(AP$198:AP198)-1)+1),"")</f>
        <v/>
      </c>
      <c r="AQ198" t="str">
        <f>IFERROR(INDEX('M04-S04'!$BE$18:$BE$199,2*(ROWS(AQ$198:AQ198)-1)+1),"")</f>
        <v/>
      </c>
      <c r="AR198" t="s">
        <v>1254</v>
      </c>
      <c r="AS198"/>
      <c r="BL198"/>
      <c r="BP198"/>
      <c r="BQ198"/>
      <c r="BR198"/>
      <c r="CD198"/>
      <c r="CE198"/>
      <c r="CF198"/>
      <c r="CQ198"/>
      <c r="CR198"/>
      <c r="CS198"/>
      <c r="DS198"/>
      <c r="DT198"/>
      <c r="DU198"/>
    </row>
    <row r="199" spans="1:125" hidden="1">
      <c r="A199" s="15">
        <f t="shared" si="20"/>
        <v>0</v>
      </c>
      <c r="B199" t="str">
        <f t="shared" ref="B199:B212" si="21">IF(C199="","",CONCATENATE(ROW(),"-",C199))</f>
        <v/>
      </c>
      <c r="C199" t="str">
        <f>IFERROR(IF(INDEX('M04-S04'!$BL$18:$BL$199,2*(ROWS($C$198:C199)-1)+1)="","",INDEX('M04-S04'!$BL$18:$BL$199,2*(ROWS($C$198:C199)-1)+1)),"")</f>
        <v/>
      </c>
      <c r="D199" t="s">
        <v>135</v>
      </c>
      <c r="E199" t="str">
        <f>IFERROR(INDEX('M04-S04'!$BF$18:$BF$199,2*(ROWS(E$198:E199)-1)+1),"")</f>
        <v/>
      </c>
      <c r="F199" s="210"/>
      <c r="G199" s="194"/>
      <c r="H199" s="14" t="str">
        <f ca="1">IFERROR(ROUND(IF(AC199&lt;&gt;"","",INDEX('M04-S04'!$AH$18:$AH$199,2*(ROWS(H$198:H199)-1)+1)),2),"")</f>
        <v/>
      </c>
      <c r="I199" s="14" t="str">
        <f ca="1">IFERROR(ROUND(IF(AC199&lt;&gt;"","",INDEX('M04-S04'!$AJ$18:$AJ$199,2*(ROWS(I$198:I199)-1)+1)),2),"")</f>
        <v/>
      </c>
      <c r="J199" s="14" t="str">
        <f ca="1">IFERROR(ROUND(IF(AC199&lt;&gt;"","",INDEX('M04-S04'!$AL$18:$AL$199,2*(ROWS(J$198:J199)-1)+1)),2),"")</f>
        <v/>
      </c>
      <c r="K199" t="str">
        <f ca="1">IFERROR(IF(AC199&lt;&gt;"","",INDEX('M04-S04'!$AF$38:$AF$199,2*(ROWS(J$198:J199)-1)+1)),"")</f>
        <v/>
      </c>
      <c r="L199" s="10" t="str">
        <f ca="1">IFERROR(IF(AC199&lt;&gt;"","",ROUND(INDEX('M04-S04'!$BA$18:$BA$199,2*(ROWS(L$198:L199)-1)+1),3)),"")</f>
        <v/>
      </c>
      <c r="M199" s="10" t="str">
        <f ca="1">IFERROR(IF(AC199&lt;&gt;"","",ROUND(INDEX('M04-S04'!$BB$18:$BB$199,2*(ROWS(M$198:M199)-1)+1),3)),"")</f>
        <v/>
      </c>
      <c r="N199" s="219"/>
      <c r="O199" s="37" t="str">
        <f ca="1">IFERROR(IF(AC199&lt;&gt;"","",INDEX('M04-S04'!$AO$18:$AO$199,2*(ROWS(O$198:O199)-1)+1)),"")</f>
        <v/>
      </c>
      <c r="P199" s="37" t="str">
        <f ca="1">IFERROR(IF(AC199&lt;&gt;"","",INDEX('M04-S04'!$BH$18:$BH$199,2*(ROWS(P$198:P199)-1)+1)),"")</f>
        <v/>
      </c>
      <c r="Q199" s="37" t="str">
        <f ca="1">IFERROR(IF(AC199&lt;&gt;"","",INDEX('M04-S04'!$BG$18:$BG$199,2*(ROWS(Q$198:Q199)-1)+1)),"")</f>
        <v/>
      </c>
      <c r="R199" s="14" t="str">
        <f ca="1">IFERROR(IF(AC199&lt;&gt;"","",INDEX('M04-S04'!$AR$18:$AR$199,2*(ROWS(R$198:R199)-1)+1)),"")</f>
        <v/>
      </c>
      <c r="S199" s="14">
        <f ca="1">IFERROR(ROUND(IF(AC199&lt;&gt;"",INDEX('M04-S04'!$AH$18:$AH$199,2*(ROWS(S$198:S199)-1)+1),""),2),"")</f>
        <v>0</v>
      </c>
      <c r="T199" s="14" t="str">
        <f ca="1">IFERROR(ROUND(IF(AC199&lt;&gt;"",INDEX('M04-S04'!$AJ$18:$AJ$199,2*(ROWS(T$198:T199)-1)+1),""),2),"")</f>
        <v/>
      </c>
      <c r="U199" s="14" t="str">
        <f ca="1">IFERROR(ROUND(IF(AC199&lt;&gt;"",INDEX('M04-S04'!$AL$18:$AL$199,2*(ROWS(U$198:U199)-1)+1),""),2),"")</f>
        <v/>
      </c>
      <c r="V199">
        <f ca="1">IFERROR(IF(AC199&lt;&gt;"",INDEX('M04-S04'!$AF$38:$AF$199,2*(ROWS(V$198:V199)-1)+1),""),"")</f>
        <v>0</v>
      </c>
      <c r="W199" s="10" t="str">
        <f ca="1">IFERROR(IF(AC199&lt;&gt;"",ROUND(INDEX('M04-S04'!$BA$18:$BA$199,2*(ROWS(W$198:W199)-1)+1),3),""),"")</f>
        <v/>
      </c>
      <c r="X199" s="10" t="str">
        <f ca="1">IFERROR(IF(AC199&lt;&gt;"",ROUND(INDEX('M04-S04'!$BB$18:$BB$199,2*(ROWS(X$198:X199)-1)+1),3),""),"")</f>
        <v/>
      </c>
      <c r="Y199" s="210"/>
      <c r="Z199" s="31" t="str">
        <f ca="1">IFERROR(IF(AC199&lt;&gt;"",INDEX('M04-S04'!$AO$18:$AO$199,2*(ROWS(Z$198:Z199)-1)+1),""),"")</f>
        <v/>
      </c>
      <c r="AA199" s="37">
        <f ca="1">IFERROR(IF(AC199&lt;&gt;"",INDEX('M04-S04'!$BH$18:$BH$199,2*(ROWS(AA$198:AA199)-1)+1),""),"")</f>
        <v>0</v>
      </c>
      <c r="AB199" s="37" t="str">
        <f ca="1">IFERROR(IF(AC199&lt;&gt;"",INDEX('M04-S04'!$BG$18:$BG$199,2*(ROWS(AB$198:AB199)-1)+1),""),"")</f>
        <v/>
      </c>
      <c r="AC199" t="str">
        <f ca="1">IFERROR(INDEX('M04-S04'!$BN$18:$BN$199,2*(ROWS(AC$198:AC199)-1)+1),"")</f>
        <v>Submit for Review</v>
      </c>
      <c r="AD199" s="37" t="str" cm="1">
        <f t="array" ref="AD199">IFERROR(INDEX('M04-S04'!$BC$18:$BC$199,2*(ROWS(AD$198:AD199)-1)+1),"")</f>
        <v/>
      </c>
      <c r="AE199" s="37" t="str" cm="1">
        <f t="array" ref="AE199">IFERROR(INDEX('M04-S04'!$BD$18:$BD$199,2*(ROWS(AE$198:AE199)-1)+1),"")</f>
        <v/>
      </c>
      <c r="AF199" s="210"/>
      <c r="AG199" s="210"/>
      <c r="AH199" s="210"/>
      <c r="AI199">
        <f>IFERROR(INDEX('M04-S04'!$B$18:$B$199,2*(ROWS(AI$198:AI199)-1)+1),"")</f>
        <v>2</v>
      </c>
      <c r="AJ199" s="194"/>
      <c r="AK199">
        <f>IFERROR(INDEX('M04-S04'!$H$18:$H$199,2*(ROWS(AK$198:AK199)-1)+1),"")</f>
        <v>0</v>
      </c>
      <c r="AL199">
        <f>IFERROR(INDEX('M04-S04'!$N$18:$N$199,2*(ROWS(AL$198:AL199)-1)+1),"")</f>
        <v>0</v>
      </c>
      <c r="AM199">
        <f>IFERROR(INDEX('M04-S04'!$W$18:$W$199,2*(ROWS(AM$198:AM199)-1)+1),"")</f>
        <v>0</v>
      </c>
      <c r="AN199" s="14" t="str">
        <f>IFERROR(INDEX('M04-S04'!$AX$18:$AX$199,2*(ROWS(AN$198:AN199)-1)+1),"")</f>
        <v/>
      </c>
      <c r="AO199" s="14" t="str">
        <f>IFERROR(INDEX('M04-S04'!$AY$18:$AY$199,2*(ROWS(AO$198:AO199)-1)+1),"")</f>
        <v/>
      </c>
      <c r="AP199" t="str">
        <f>IFERROR(INDEX('M04-S04'!$AZ$18:$AZ$199,2*(ROWS(AP$198:AP199)-1)+1),"")</f>
        <v/>
      </c>
      <c r="AQ199" t="str">
        <f>IFERROR(INDEX('M04-S04'!$BE$18:$BE$199,2*(ROWS(AQ$198:AQ199)-1)+1),"")</f>
        <v/>
      </c>
      <c r="AR199" t="s">
        <v>1254</v>
      </c>
      <c r="AS199"/>
      <c r="BL199"/>
      <c r="BP199"/>
      <c r="BQ199"/>
      <c r="BR199"/>
      <c r="CD199"/>
      <c r="CE199"/>
      <c r="CF199"/>
      <c r="CQ199"/>
      <c r="CR199"/>
      <c r="CS199"/>
      <c r="DS199"/>
      <c r="DT199"/>
      <c r="DU199"/>
    </row>
    <row r="200" spans="1:125" hidden="1">
      <c r="A200" s="15">
        <f t="shared" si="20"/>
        <v>0</v>
      </c>
      <c r="B200" t="str">
        <f t="shared" si="21"/>
        <v/>
      </c>
      <c r="C200" t="str">
        <f>IFERROR(IF(INDEX('M04-S04'!$BL$18:$BL$199,2*(ROWS($C$198:C200)-1)+1)="","",INDEX('M04-S04'!$BL$18:$BL$199,2*(ROWS($C$198:C200)-1)+1)),"")</f>
        <v/>
      </c>
      <c r="D200" t="s">
        <v>135</v>
      </c>
      <c r="E200" t="str">
        <f>IFERROR(INDEX('M04-S04'!$BF$18:$BF$199,2*(ROWS(E$198:E200)-1)+1),"")</f>
        <v/>
      </c>
      <c r="F200" s="210"/>
      <c r="G200" s="194"/>
      <c r="H200" s="14" t="str">
        <f ca="1">IFERROR(ROUND(IF(AC200&lt;&gt;"","",INDEX('M04-S04'!$AH$18:$AH$199,2*(ROWS(H$198:H200)-1)+1)),2),"")</f>
        <v/>
      </c>
      <c r="I200" s="14" t="str">
        <f ca="1">IFERROR(ROUND(IF(AC200&lt;&gt;"","",INDEX('M04-S04'!$AJ$18:$AJ$199,2*(ROWS(I$198:I200)-1)+1)),2),"")</f>
        <v/>
      </c>
      <c r="J200" s="14" t="str">
        <f ca="1">IFERROR(ROUND(IF(AC200&lt;&gt;"","",INDEX('M04-S04'!$AL$18:$AL$199,2*(ROWS(J$198:J200)-1)+1)),2),"")</f>
        <v/>
      </c>
      <c r="K200" t="str">
        <f ca="1">IFERROR(IF(AC200&lt;&gt;"","",INDEX('M04-S04'!$AF$38:$AF$199,2*(ROWS(J$198:J200)-1)+1)),"")</f>
        <v/>
      </c>
      <c r="L200" s="10" t="str">
        <f ca="1">IFERROR(IF(AC200&lt;&gt;"","",ROUND(INDEX('M04-S04'!$BA$18:$BA$199,2*(ROWS(L$198:L200)-1)+1),3)),"")</f>
        <v/>
      </c>
      <c r="M200" s="10" t="str">
        <f ca="1">IFERROR(IF(AC200&lt;&gt;"","",ROUND(INDEX('M04-S04'!$BB$18:$BB$199,2*(ROWS(M$198:M200)-1)+1),3)),"")</f>
        <v/>
      </c>
      <c r="N200" s="219"/>
      <c r="O200" s="37" t="str">
        <f ca="1">IFERROR(IF(AC200&lt;&gt;"","",INDEX('M04-S04'!$AO$18:$AO$199,2*(ROWS(O$198:O200)-1)+1)),"")</f>
        <v/>
      </c>
      <c r="P200" s="37" t="str">
        <f ca="1">IFERROR(IF(AC200&lt;&gt;"","",INDEX('M04-S04'!$BH$18:$BH$199,2*(ROWS(P$198:P200)-1)+1)),"")</f>
        <v/>
      </c>
      <c r="Q200" s="37" t="str">
        <f ca="1">IFERROR(IF(AC200&lt;&gt;"","",INDEX('M04-S04'!$BG$18:$BG$199,2*(ROWS(Q$198:Q200)-1)+1)),"")</f>
        <v/>
      </c>
      <c r="R200" s="14" t="str">
        <f ca="1">IFERROR(IF(AC200&lt;&gt;"","",INDEX('M04-S04'!$AR$18:$AR$199,2*(ROWS(R$198:R200)-1)+1)),"")</f>
        <v/>
      </c>
      <c r="S200" s="14">
        <f ca="1">IFERROR(ROUND(IF(AC200&lt;&gt;"",INDEX('M04-S04'!$AH$18:$AH$199,2*(ROWS(S$198:S200)-1)+1),""),2),"")</f>
        <v>0</v>
      </c>
      <c r="T200" s="14" t="str">
        <f ca="1">IFERROR(ROUND(IF(AC200&lt;&gt;"",INDEX('M04-S04'!$AJ$18:$AJ$199,2*(ROWS(T$198:T200)-1)+1),""),2),"")</f>
        <v/>
      </c>
      <c r="U200" s="14" t="str">
        <f ca="1">IFERROR(ROUND(IF(AC200&lt;&gt;"",INDEX('M04-S04'!$AL$18:$AL$199,2*(ROWS(U$198:U200)-1)+1),""),2),"")</f>
        <v/>
      </c>
      <c r="V200">
        <f ca="1">IFERROR(IF(AC200&lt;&gt;"",INDEX('M04-S04'!$AF$38:$AF$199,2*(ROWS(V$198:V200)-1)+1),""),"")</f>
        <v>0</v>
      </c>
      <c r="W200" s="10" t="str">
        <f ca="1">IFERROR(IF(AC200&lt;&gt;"",ROUND(INDEX('M04-S04'!$BA$18:$BA$199,2*(ROWS(W$198:W200)-1)+1),3),""),"")</f>
        <v/>
      </c>
      <c r="X200" s="10" t="str">
        <f ca="1">IFERROR(IF(AC200&lt;&gt;"",ROUND(INDEX('M04-S04'!$BB$18:$BB$199,2*(ROWS(X$198:X200)-1)+1),3),""),"")</f>
        <v/>
      </c>
      <c r="Y200" s="210"/>
      <c r="Z200" s="31" t="str">
        <f ca="1">IFERROR(IF(AC200&lt;&gt;"",INDEX('M04-S04'!$AO$18:$AO$199,2*(ROWS(Z$198:Z200)-1)+1),""),"")</f>
        <v/>
      </c>
      <c r="AA200" s="37">
        <f ca="1">IFERROR(IF(AC200&lt;&gt;"",INDEX('M04-S04'!$BH$18:$BH$199,2*(ROWS(AA$198:AA200)-1)+1),""),"")</f>
        <v>0</v>
      </c>
      <c r="AB200" s="37" t="str">
        <f ca="1">IFERROR(IF(AC200&lt;&gt;"",INDEX('M04-S04'!$BG$18:$BG$199,2*(ROWS(AB$198:AB200)-1)+1),""),"")</f>
        <v/>
      </c>
      <c r="AC200" t="str">
        <f ca="1">IFERROR(INDEX('M04-S04'!$BN$18:$BN$199,2*(ROWS(AC$198:AC200)-1)+1),"")</f>
        <v>Submit for Review</v>
      </c>
      <c r="AD200" s="37" t="str" cm="1">
        <f t="array" ref="AD200">IFERROR(INDEX('M04-S04'!$BC$18:$BC$199,2*(ROWS(AD$198:AD200)-1)+1),"")</f>
        <v/>
      </c>
      <c r="AE200" s="37" t="str" cm="1">
        <f t="array" ref="AE200">IFERROR(INDEX('M04-S04'!$BD$18:$BD$199,2*(ROWS(AE$198:AE200)-1)+1),"")</f>
        <v/>
      </c>
      <c r="AF200" s="210"/>
      <c r="AG200" s="210"/>
      <c r="AH200" s="210"/>
      <c r="AI200">
        <f>IFERROR(INDEX('M04-S04'!$B$18:$B$199,2*(ROWS(AI$198:AI200)-1)+1),"")</f>
        <v>3</v>
      </c>
      <c r="AJ200" s="194"/>
      <c r="AK200">
        <f>IFERROR(INDEX('M04-S04'!$H$18:$H$199,2*(ROWS(AK$198:AK200)-1)+1),"")</f>
        <v>0</v>
      </c>
      <c r="AL200">
        <f>IFERROR(INDEX('M04-S04'!$N$18:$N$199,2*(ROWS(AL$198:AL200)-1)+1),"")</f>
        <v>0</v>
      </c>
      <c r="AM200">
        <f>IFERROR(INDEX('M04-S04'!$W$18:$W$199,2*(ROWS(AM$198:AM200)-1)+1),"")</f>
        <v>0</v>
      </c>
      <c r="AN200" s="14" t="str">
        <f>IFERROR(INDEX('M04-S04'!$AX$18:$AX$199,2*(ROWS(AN$198:AN200)-1)+1),"")</f>
        <v/>
      </c>
      <c r="AO200" s="14" t="str">
        <f>IFERROR(INDEX('M04-S04'!$AY$18:$AY$199,2*(ROWS(AO$198:AO200)-1)+1),"")</f>
        <v/>
      </c>
      <c r="AP200" t="str">
        <f>IFERROR(INDEX('M04-S04'!$AZ$18:$AZ$199,2*(ROWS(AP$198:AP200)-1)+1),"")</f>
        <v/>
      </c>
      <c r="AQ200" t="str">
        <f>IFERROR(INDEX('M04-S04'!$BE$18:$BE$199,2*(ROWS(AQ$198:AQ200)-1)+1),"")</f>
        <v/>
      </c>
      <c r="AR200" t="s">
        <v>1254</v>
      </c>
      <c r="AS200"/>
      <c r="BL200"/>
      <c r="BP200"/>
      <c r="BQ200"/>
      <c r="BR200"/>
      <c r="CD200"/>
      <c r="CE200"/>
      <c r="CF200"/>
      <c r="CQ200"/>
      <c r="CR200"/>
      <c r="CS200"/>
      <c r="DS200"/>
      <c r="DT200"/>
      <c r="DU200"/>
    </row>
    <row r="201" spans="1:125" hidden="1">
      <c r="A201" s="15">
        <f t="shared" si="20"/>
        <v>0</v>
      </c>
      <c r="B201" t="str">
        <f t="shared" si="21"/>
        <v/>
      </c>
      <c r="C201" t="str">
        <f>IFERROR(IF(INDEX('M04-S04'!$BL$18:$BL$199,2*(ROWS($C$198:C201)-1)+1)="","",INDEX('M04-S04'!$BL$18:$BL$199,2*(ROWS($C$198:C201)-1)+1)),"")</f>
        <v/>
      </c>
      <c r="D201" t="s">
        <v>135</v>
      </c>
      <c r="E201" t="str">
        <f>IFERROR(INDEX('M04-S04'!$BF$18:$BF$199,2*(ROWS(E$198:E201)-1)+1),"")</f>
        <v/>
      </c>
      <c r="F201" s="210"/>
      <c r="G201" s="194"/>
      <c r="H201" s="14" t="str">
        <f ca="1">IFERROR(ROUND(IF(AC201&lt;&gt;"","",INDEX('M04-S04'!$AH$18:$AH$199,2*(ROWS(H$198:H201)-1)+1)),2),"")</f>
        <v/>
      </c>
      <c r="I201" s="14" t="str">
        <f ca="1">IFERROR(ROUND(IF(AC201&lt;&gt;"","",INDEX('M04-S04'!$AJ$18:$AJ$199,2*(ROWS(I$198:I201)-1)+1)),2),"")</f>
        <v/>
      </c>
      <c r="J201" s="14" t="str">
        <f ca="1">IFERROR(ROUND(IF(AC201&lt;&gt;"","",INDEX('M04-S04'!$AL$18:$AL$199,2*(ROWS(J$198:J201)-1)+1)),2),"")</f>
        <v/>
      </c>
      <c r="K201" t="str">
        <f ca="1">IFERROR(IF(AC201&lt;&gt;"","",INDEX('M04-S04'!$AF$38:$AF$199,2*(ROWS(J$198:J201)-1)+1)),"")</f>
        <v/>
      </c>
      <c r="L201" s="10" t="str">
        <f ca="1">IFERROR(IF(AC201&lt;&gt;"","",ROUND(INDEX('M04-S04'!$BA$18:$BA$199,2*(ROWS(L$198:L201)-1)+1),3)),"")</f>
        <v/>
      </c>
      <c r="M201" s="10" t="str">
        <f ca="1">IFERROR(IF(AC201&lt;&gt;"","",ROUND(INDEX('M04-S04'!$BB$18:$BB$199,2*(ROWS(M$198:M201)-1)+1),3)),"")</f>
        <v/>
      </c>
      <c r="N201" s="219"/>
      <c r="O201" s="37" t="str">
        <f ca="1">IFERROR(IF(AC201&lt;&gt;"","",INDEX('M04-S04'!$AO$18:$AO$199,2*(ROWS(O$198:O201)-1)+1)),"")</f>
        <v/>
      </c>
      <c r="P201" s="37" t="str">
        <f ca="1">IFERROR(IF(AC201&lt;&gt;"","",INDEX('M04-S04'!$BH$18:$BH$199,2*(ROWS(P$198:P201)-1)+1)),"")</f>
        <v/>
      </c>
      <c r="Q201" s="37" t="str">
        <f ca="1">IFERROR(IF(AC201&lt;&gt;"","",INDEX('M04-S04'!$BG$18:$BG$199,2*(ROWS(Q$198:Q201)-1)+1)),"")</f>
        <v/>
      </c>
      <c r="R201" s="14" t="str">
        <f ca="1">IFERROR(IF(AC201&lt;&gt;"","",INDEX('M04-S04'!$AR$18:$AR$199,2*(ROWS(R$198:R201)-1)+1)),"")</f>
        <v/>
      </c>
      <c r="S201" s="14">
        <f ca="1">IFERROR(ROUND(IF(AC201&lt;&gt;"",INDEX('M04-S04'!$AH$18:$AH$199,2*(ROWS(S$198:S201)-1)+1),""),2),"")</f>
        <v>0</v>
      </c>
      <c r="T201" s="14" t="str">
        <f ca="1">IFERROR(ROUND(IF(AC201&lt;&gt;"",INDEX('M04-S04'!$AJ$18:$AJ$199,2*(ROWS(T$198:T201)-1)+1),""),2),"")</f>
        <v/>
      </c>
      <c r="U201" s="14" t="str">
        <f ca="1">IFERROR(ROUND(IF(AC201&lt;&gt;"",INDEX('M04-S04'!$AL$18:$AL$199,2*(ROWS(U$198:U201)-1)+1),""),2),"")</f>
        <v/>
      </c>
      <c r="V201">
        <f ca="1">IFERROR(IF(AC201&lt;&gt;"",INDEX('M04-S04'!$AF$38:$AF$199,2*(ROWS(V$198:V201)-1)+1),""),"")</f>
        <v>0</v>
      </c>
      <c r="W201" s="10" t="str">
        <f ca="1">IFERROR(IF(AC201&lt;&gt;"",ROUND(INDEX('M04-S04'!$BA$18:$BA$199,2*(ROWS(W$198:W201)-1)+1),3),""),"")</f>
        <v/>
      </c>
      <c r="X201" s="10" t="str">
        <f ca="1">IFERROR(IF(AC201&lt;&gt;"",ROUND(INDEX('M04-S04'!$BB$18:$BB$199,2*(ROWS(X$198:X201)-1)+1),3),""),"")</f>
        <v/>
      </c>
      <c r="Y201" s="210"/>
      <c r="Z201" s="31" t="str">
        <f ca="1">IFERROR(IF(AC201&lt;&gt;"",INDEX('M04-S04'!$AO$18:$AO$199,2*(ROWS(Z$198:Z201)-1)+1),""),"")</f>
        <v/>
      </c>
      <c r="AA201" s="37">
        <f ca="1">IFERROR(IF(AC201&lt;&gt;"",INDEX('M04-S04'!$BH$18:$BH$199,2*(ROWS(AA$198:AA201)-1)+1),""),"")</f>
        <v>0</v>
      </c>
      <c r="AB201" s="37" t="str">
        <f ca="1">IFERROR(IF(AC201&lt;&gt;"",INDEX('M04-S04'!$BG$18:$BG$199,2*(ROWS(AB$198:AB201)-1)+1),""),"")</f>
        <v/>
      </c>
      <c r="AC201" t="str">
        <f ca="1">IFERROR(INDEX('M04-S04'!$BN$18:$BN$199,2*(ROWS(AC$198:AC201)-1)+1),"")</f>
        <v>Submit for Review</v>
      </c>
      <c r="AD201" s="37" t="str" cm="1">
        <f t="array" ref="AD201">IFERROR(INDEX('M04-S04'!$BC$18:$BC$199,2*(ROWS(AD$198:AD201)-1)+1),"")</f>
        <v/>
      </c>
      <c r="AE201" s="37" t="str" cm="1">
        <f t="array" ref="AE201">IFERROR(INDEX('M04-S04'!$BD$18:$BD$199,2*(ROWS(AE$198:AE201)-1)+1),"")</f>
        <v/>
      </c>
      <c r="AF201" s="210"/>
      <c r="AG201" s="210"/>
      <c r="AH201" s="210"/>
      <c r="AI201">
        <f>IFERROR(INDEX('M04-S04'!$B$18:$B$199,2*(ROWS(AI$198:AI201)-1)+1),"")</f>
        <v>4</v>
      </c>
      <c r="AJ201" s="194"/>
      <c r="AK201">
        <f>IFERROR(INDEX('M04-S04'!$H$18:$H$199,2*(ROWS(AK$198:AK201)-1)+1),"")</f>
        <v>0</v>
      </c>
      <c r="AL201">
        <f>IFERROR(INDEX('M04-S04'!$N$18:$N$199,2*(ROWS(AL$198:AL201)-1)+1),"")</f>
        <v>0</v>
      </c>
      <c r="AM201">
        <f>IFERROR(INDEX('M04-S04'!$W$18:$W$199,2*(ROWS(AM$198:AM201)-1)+1),"")</f>
        <v>0</v>
      </c>
      <c r="AN201" s="14" t="str">
        <f>IFERROR(INDEX('M04-S04'!$AX$18:$AX$199,2*(ROWS(AN$198:AN201)-1)+1),"")</f>
        <v/>
      </c>
      <c r="AO201" s="14" t="str">
        <f>IFERROR(INDEX('M04-S04'!$AY$18:$AY$199,2*(ROWS(AO$198:AO201)-1)+1),"")</f>
        <v/>
      </c>
      <c r="AP201" t="str">
        <f>IFERROR(INDEX('M04-S04'!$AZ$18:$AZ$199,2*(ROWS(AP$198:AP201)-1)+1),"")</f>
        <v/>
      </c>
      <c r="AQ201" t="str">
        <f>IFERROR(INDEX('M04-S04'!$BE$18:$BE$199,2*(ROWS(AQ$198:AQ201)-1)+1),"")</f>
        <v/>
      </c>
      <c r="AR201" t="s">
        <v>1254</v>
      </c>
      <c r="AS201"/>
      <c r="BL201"/>
      <c r="BP201"/>
      <c r="BQ201"/>
      <c r="BR201"/>
      <c r="CD201"/>
      <c r="CE201"/>
      <c r="CF201"/>
      <c r="CQ201"/>
      <c r="CR201"/>
      <c r="CS201"/>
      <c r="DS201"/>
      <c r="DT201"/>
      <c r="DU201"/>
    </row>
    <row r="202" spans="1:125" hidden="1">
      <c r="A202" s="15">
        <f t="shared" si="20"/>
        <v>0</v>
      </c>
      <c r="B202" t="str">
        <f t="shared" si="21"/>
        <v/>
      </c>
      <c r="C202" t="str">
        <f>IFERROR(IF(INDEX('M04-S04'!$BL$18:$BL$199,2*(ROWS($C$198:C202)-1)+1)="","",INDEX('M04-S04'!$BL$18:$BL$199,2*(ROWS($C$198:C202)-1)+1)),"")</f>
        <v/>
      </c>
      <c r="D202" t="s">
        <v>135</v>
      </c>
      <c r="E202" t="str">
        <f>IFERROR(INDEX('M04-S04'!$BF$18:$BF$199,2*(ROWS(E$198:E202)-1)+1),"")</f>
        <v/>
      </c>
      <c r="F202" s="210"/>
      <c r="G202" s="194"/>
      <c r="H202" s="14" t="str">
        <f ca="1">IFERROR(ROUND(IF(AC202&lt;&gt;"","",INDEX('M04-S04'!$AH$18:$AH$199,2*(ROWS(H$198:H202)-1)+1)),2),"")</f>
        <v/>
      </c>
      <c r="I202" s="14" t="str">
        <f ca="1">IFERROR(ROUND(IF(AC202&lt;&gt;"","",INDEX('M04-S04'!$AJ$18:$AJ$199,2*(ROWS(I$198:I202)-1)+1)),2),"")</f>
        <v/>
      </c>
      <c r="J202" s="14" t="str">
        <f ca="1">IFERROR(ROUND(IF(AC202&lt;&gt;"","",INDEX('M04-S04'!$AL$18:$AL$199,2*(ROWS(J$198:J202)-1)+1)),2),"")</f>
        <v/>
      </c>
      <c r="K202" t="str">
        <f ca="1">IFERROR(IF(AC202&lt;&gt;"","",INDEX('M04-S04'!$AF$38:$AF$199,2*(ROWS(J$198:J202)-1)+1)),"")</f>
        <v/>
      </c>
      <c r="L202" s="10" t="str">
        <f ca="1">IFERROR(IF(AC202&lt;&gt;"","",ROUND(INDEX('M04-S04'!$BA$18:$BA$199,2*(ROWS(L$198:L202)-1)+1),3)),"")</f>
        <v/>
      </c>
      <c r="M202" s="10" t="str">
        <f ca="1">IFERROR(IF(AC202&lt;&gt;"","",ROUND(INDEX('M04-S04'!$BB$18:$BB$199,2*(ROWS(M$198:M202)-1)+1),3)),"")</f>
        <v/>
      </c>
      <c r="N202" s="219"/>
      <c r="O202" s="37" t="str">
        <f ca="1">IFERROR(IF(AC202&lt;&gt;"","",INDEX('M04-S04'!$AO$18:$AO$199,2*(ROWS(O$198:O202)-1)+1)),"")</f>
        <v/>
      </c>
      <c r="P202" s="37" t="str">
        <f ca="1">IFERROR(IF(AC202&lt;&gt;"","",INDEX('M04-S04'!$BH$18:$BH$199,2*(ROWS(P$198:P202)-1)+1)),"")</f>
        <v/>
      </c>
      <c r="Q202" s="37" t="str">
        <f ca="1">IFERROR(IF(AC202&lt;&gt;"","",INDEX('M04-S04'!$BG$18:$BG$199,2*(ROWS(Q$198:Q202)-1)+1)),"")</f>
        <v/>
      </c>
      <c r="R202" s="14" t="str">
        <f ca="1">IFERROR(IF(AC202&lt;&gt;"","",INDEX('M04-S04'!$AR$18:$AR$199,2*(ROWS(R$198:R202)-1)+1)),"")</f>
        <v/>
      </c>
      <c r="S202" s="14">
        <f ca="1">IFERROR(ROUND(IF(AC202&lt;&gt;"",INDEX('M04-S04'!$AH$18:$AH$199,2*(ROWS(S$198:S202)-1)+1),""),2),"")</f>
        <v>0</v>
      </c>
      <c r="T202" s="14" t="str">
        <f ca="1">IFERROR(ROUND(IF(AC202&lt;&gt;"",INDEX('M04-S04'!$AJ$18:$AJ$199,2*(ROWS(T$198:T202)-1)+1),""),2),"")</f>
        <v/>
      </c>
      <c r="U202" s="14" t="str">
        <f ca="1">IFERROR(ROUND(IF(AC202&lt;&gt;"",INDEX('M04-S04'!$AL$18:$AL$199,2*(ROWS(U$198:U202)-1)+1),""),2),"")</f>
        <v/>
      </c>
      <c r="V202">
        <f ca="1">IFERROR(IF(AC202&lt;&gt;"",INDEX('M04-S04'!$AF$38:$AF$199,2*(ROWS(V$198:V202)-1)+1),""),"")</f>
        <v>0</v>
      </c>
      <c r="W202" s="10" t="str">
        <f ca="1">IFERROR(IF(AC202&lt;&gt;"",ROUND(INDEX('M04-S04'!$BA$18:$BA$199,2*(ROWS(W$198:W202)-1)+1),3),""),"")</f>
        <v/>
      </c>
      <c r="X202" s="10" t="str">
        <f ca="1">IFERROR(IF(AC202&lt;&gt;"",ROUND(INDEX('M04-S04'!$BB$18:$BB$199,2*(ROWS(X$198:X202)-1)+1),3),""),"")</f>
        <v/>
      </c>
      <c r="Y202" s="210"/>
      <c r="Z202" s="31" t="str">
        <f ca="1">IFERROR(IF(AC202&lt;&gt;"",INDEX('M04-S04'!$AO$18:$AO$199,2*(ROWS(Z$198:Z202)-1)+1),""),"")</f>
        <v/>
      </c>
      <c r="AA202" s="37">
        <f ca="1">IFERROR(IF(AC202&lt;&gt;"",INDEX('M04-S04'!$BH$18:$BH$199,2*(ROWS(AA$198:AA202)-1)+1),""),"")</f>
        <v>0</v>
      </c>
      <c r="AB202" s="37" t="str">
        <f ca="1">IFERROR(IF(AC202&lt;&gt;"",INDEX('M04-S04'!$BG$18:$BG$199,2*(ROWS(AB$198:AB202)-1)+1),""),"")</f>
        <v/>
      </c>
      <c r="AC202" t="str">
        <f ca="1">IFERROR(INDEX('M04-S04'!$BN$18:$BN$199,2*(ROWS(AC$198:AC202)-1)+1),"")</f>
        <v>Submit for Review</v>
      </c>
      <c r="AD202" s="37" t="str" cm="1">
        <f t="array" ref="AD202">IFERROR(INDEX('M04-S04'!$BC$18:$BC$199,2*(ROWS(AD$198:AD202)-1)+1),"")</f>
        <v/>
      </c>
      <c r="AE202" s="37" t="str" cm="1">
        <f t="array" ref="AE202">IFERROR(INDEX('M04-S04'!$BD$18:$BD$199,2*(ROWS(AE$198:AE202)-1)+1),"")</f>
        <v/>
      </c>
      <c r="AF202" s="210"/>
      <c r="AG202" s="210"/>
      <c r="AH202" s="210"/>
      <c r="AI202">
        <f>IFERROR(INDEX('M04-S04'!$B$18:$B$199,2*(ROWS(AI$198:AI202)-1)+1),"")</f>
        <v>5</v>
      </c>
      <c r="AJ202" s="194"/>
      <c r="AK202">
        <f>IFERROR(INDEX('M04-S04'!$H$18:$H$199,2*(ROWS(AK$198:AK202)-1)+1),"")</f>
        <v>0</v>
      </c>
      <c r="AL202">
        <f>IFERROR(INDEX('M04-S04'!$N$18:$N$199,2*(ROWS(AL$198:AL202)-1)+1),"")</f>
        <v>0</v>
      </c>
      <c r="AM202">
        <f>IFERROR(INDEX('M04-S04'!$W$18:$W$199,2*(ROWS(AM$198:AM202)-1)+1),"")</f>
        <v>0</v>
      </c>
      <c r="AN202" s="14" t="str">
        <f>IFERROR(INDEX('M04-S04'!$AX$18:$AX$199,2*(ROWS(AN$198:AN202)-1)+1),"")</f>
        <v/>
      </c>
      <c r="AO202" s="14" t="str">
        <f>IFERROR(INDEX('M04-S04'!$AY$18:$AY$199,2*(ROWS(AO$198:AO202)-1)+1),"")</f>
        <v/>
      </c>
      <c r="AP202" t="str">
        <f>IFERROR(INDEX('M04-S04'!$AZ$18:$AZ$199,2*(ROWS(AP$198:AP202)-1)+1),"")</f>
        <v/>
      </c>
      <c r="AQ202" t="str">
        <f>IFERROR(INDEX('M04-S04'!$BE$18:$BE$199,2*(ROWS(AQ$198:AQ202)-1)+1),"")</f>
        <v/>
      </c>
      <c r="AR202" t="s">
        <v>1254</v>
      </c>
      <c r="AS202"/>
      <c r="BL202"/>
      <c r="BP202"/>
      <c r="BQ202"/>
      <c r="BR202"/>
      <c r="CD202"/>
      <c r="CE202"/>
      <c r="CF202"/>
      <c r="CQ202"/>
      <c r="CR202"/>
      <c r="CS202"/>
      <c r="DS202"/>
      <c r="DT202"/>
      <c r="DU202"/>
    </row>
    <row r="203" spans="1:125" hidden="1">
      <c r="A203" s="15">
        <f t="shared" si="20"/>
        <v>0</v>
      </c>
      <c r="B203" t="str">
        <f t="shared" si="21"/>
        <v/>
      </c>
      <c r="C203" t="str">
        <f>IFERROR(IF(INDEX('M04-S04'!$BL$18:$BL$199,2*(ROWS($C$198:C203)-1)+1)="","",INDEX('M04-S04'!$BL$18:$BL$199,2*(ROWS($C$198:C203)-1)+1)),"")</f>
        <v/>
      </c>
      <c r="D203" t="s">
        <v>135</v>
      </c>
      <c r="E203" t="str">
        <f>IFERROR(INDEX('M04-S04'!$BF$18:$BF$199,2*(ROWS(E$198:E203)-1)+1),"")</f>
        <v/>
      </c>
      <c r="F203" s="210"/>
      <c r="G203" s="194"/>
      <c r="H203" s="14" t="str">
        <f ca="1">IFERROR(ROUND(IF(AC203&lt;&gt;"","",INDEX('M04-S04'!$AH$18:$AH$199,2*(ROWS(H$198:H203)-1)+1)),2),"")</f>
        <v/>
      </c>
      <c r="I203" s="14" t="str">
        <f ca="1">IFERROR(ROUND(IF(AC203&lt;&gt;"","",INDEX('M04-S04'!$AJ$18:$AJ$199,2*(ROWS(I$198:I203)-1)+1)),2),"")</f>
        <v/>
      </c>
      <c r="J203" s="14" t="str">
        <f ca="1">IFERROR(ROUND(IF(AC203&lt;&gt;"","",INDEX('M04-S04'!$AL$18:$AL$199,2*(ROWS(J$198:J203)-1)+1)),2),"")</f>
        <v/>
      </c>
      <c r="K203" t="str">
        <f ca="1">IFERROR(IF(AC203&lt;&gt;"","",INDEX('M04-S04'!$AF$38:$AF$199,2*(ROWS(J$198:J203)-1)+1)),"")</f>
        <v/>
      </c>
      <c r="L203" s="10" t="str">
        <f ca="1">IFERROR(IF(AC203&lt;&gt;"","",ROUND(INDEX('M04-S04'!$BA$18:$BA$199,2*(ROWS(L$198:L203)-1)+1),3)),"")</f>
        <v/>
      </c>
      <c r="M203" s="10" t="str">
        <f ca="1">IFERROR(IF(AC203&lt;&gt;"","",ROUND(INDEX('M04-S04'!$BB$18:$BB$199,2*(ROWS(M$198:M203)-1)+1),3)),"")</f>
        <v/>
      </c>
      <c r="N203" s="219"/>
      <c r="O203" s="37" t="str">
        <f ca="1">IFERROR(IF(AC203&lt;&gt;"","",INDEX('M04-S04'!$AO$18:$AO$199,2*(ROWS(O$198:O203)-1)+1)),"")</f>
        <v/>
      </c>
      <c r="P203" s="37" t="str">
        <f ca="1">IFERROR(IF(AC203&lt;&gt;"","",INDEX('M04-S04'!$BH$18:$BH$199,2*(ROWS(P$198:P203)-1)+1)),"")</f>
        <v/>
      </c>
      <c r="Q203" s="37" t="str">
        <f ca="1">IFERROR(IF(AC203&lt;&gt;"","",INDEX('M04-S04'!$BG$18:$BG$199,2*(ROWS(Q$198:Q203)-1)+1)),"")</f>
        <v/>
      </c>
      <c r="R203" s="14" t="str">
        <f ca="1">IFERROR(IF(AC203&lt;&gt;"","",INDEX('M04-S04'!$AR$18:$AR$199,2*(ROWS(R$198:R203)-1)+1)),"")</f>
        <v/>
      </c>
      <c r="S203" s="14">
        <f ca="1">IFERROR(ROUND(IF(AC203&lt;&gt;"",INDEX('M04-S04'!$AH$18:$AH$199,2*(ROWS(S$198:S203)-1)+1),""),2),"")</f>
        <v>0</v>
      </c>
      <c r="T203" s="14" t="str">
        <f ca="1">IFERROR(ROUND(IF(AC203&lt;&gt;"",INDEX('M04-S04'!$AJ$18:$AJ$199,2*(ROWS(T$198:T203)-1)+1),""),2),"")</f>
        <v/>
      </c>
      <c r="U203" s="14" t="str">
        <f ca="1">IFERROR(ROUND(IF(AC203&lt;&gt;"",INDEX('M04-S04'!$AL$18:$AL$199,2*(ROWS(U$198:U203)-1)+1),""),2),"")</f>
        <v/>
      </c>
      <c r="V203">
        <f ca="1">IFERROR(IF(AC203&lt;&gt;"",INDEX('M04-S04'!$AF$38:$AF$199,2*(ROWS(V$198:V203)-1)+1),""),"")</f>
        <v>0</v>
      </c>
      <c r="W203" s="10" t="str">
        <f ca="1">IFERROR(IF(AC203&lt;&gt;"",ROUND(INDEX('M04-S04'!$BA$18:$BA$199,2*(ROWS(W$198:W203)-1)+1),3),""),"")</f>
        <v/>
      </c>
      <c r="X203" s="10" t="str">
        <f ca="1">IFERROR(IF(AC203&lt;&gt;"",ROUND(INDEX('M04-S04'!$BB$18:$BB$199,2*(ROWS(X$198:X203)-1)+1),3),""),"")</f>
        <v/>
      </c>
      <c r="Y203" s="210"/>
      <c r="Z203" s="31" t="str">
        <f ca="1">IFERROR(IF(AC203&lt;&gt;"",INDEX('M04-S04'!$AO$18:$AO$199,2*(ROWS(Z$198:Z203)-1)+1),""),"")</f>
        <v/>
      </c>
      <c r="AA203" s="37">
        <f ca="1">IFERROR(IF(AC203&lt;&gt;"",INDEX('M04-S04'!$BH$18:$BH$199,2*(ROWS(AA$198:AA203)-1)+1),""),"")</f>
        <v>0</v>
      </c>
      <c r="AB203" s="37" t="str">
        <f ca="1">IFERROR(IF(AC203&lt;&gt;"",INDEX('M04-S04'!$BG$18:$BG$199,2*(ROWS(AB$198:AB203)-1)+1),""),"")</f>
        <v/>
      </c>
      <c r="AC203" t="str">
        <f ca="1">IFERROR(INDEX('M04-S04'!$BN$18:$BN$199,2*(ROWS(AC$198:AC203)-1)+1),"")</f>
        <v>Submit for Review</v>
      </c>
      <c r="AD203" s="37" t="str" cm="1">
        <f t="array" ref="AD203">IFERROR(INDEX('M04-S04'!$BC$18:$BC$199,2*(ROWS(AD$198:AD203)-1)+1),"")</f>
        <v/>
      </c>
      <c r="AE203" s="37" t="str" cm="1">
        <f t="array" ref="AE203">IFERROR(INDEX('M04-S04'!$BD$18:$BD$199,2*(ROWS(AE$198:AE203)-1)+1),"")</f>
        <v/>
      </c>
      <c r="AF203" s="210"/>
      <c r="AG203" s="210"/>
      <c r="AH203" s="210"/>
      <c r="AI203">
        <f>IFERROR(INDEX('M04-S04'!$B$18:$B$199,2*(ROWS(AI$198:AI203)-1)+1),"")</f>
        <v>6</v>
      </c>
      <c r="AJ203" s="194"/>
      <c r="AK203">
        <f>IFERROR(INDEX('M04-S04'!$H$18:$H$199,2*(ROWS(AK$198:AK203)-1)+1),"")</f>
        <v>0</v>
      </c>
      <c r="AL203">
        <f>IFERROR(INDEX('M04-S04'!$N$18:$N$199,2*(ROWS(AL$198:AL203)-1)+1),"")</f>
        <v>0</v>
      </c>
      <c r="AM203">
        <f>IFERROR(INDEX('M04-S04'!$W$18:$W$199,2*(ROWS(AM$198:AM203)-1)+1),"")</f>
        <v>0</v>
      </c>
      <c r="AN203" s="14" t="str">
        <f>IFERROR(INDEX('M04-S04'!$AX$18:$AX$199,2*(ROWS(AN$198:AN203)-1)+1),"")</f>
        <v/>
      </c>
      <c r="AO203" s="14" t="str">
        <f>IFERROR(INDEX('M04-S04'!$AY$18:$AY$199,2*(ROWS(AO$198:AO203)-1)+1),"")</f>
        <v/>
      </c>
      <c r="AP203" t="str">
        <f>IFERROR(INDEX('M04-S04'!$AZ$18:$AZ$199,2*(ROWS(AP$198:AP203)-1)+1),"")</f>
        <v/>
      </c>
      <c r="AQ203" t="str">
        <f>IFERROR(INDEX('M04-S04'!$BE$18:$BE$199,2*(ROWS(AQ$198:AQ203)-1)+1),"")</f>
        <v/>
      </c>
      <c r="AR203" t="s">
        <v>1254</v>
      </c>
      <c r="AS203"/>
      <c r="BL203"/>
      <c r="BP203"/>
      <c r="BQ203"/>
      <c r="BR203"/>
      <c r="CD203"/>
      <c r="CE203"/>
      <c r="CF203"/>
      <c r="CQ203"/>
      <c r="CR203"/>
      <c r="CS203"/>
      <c r="DS203"/>
      <c r="DT203"/>
      <c r="DU203"/>
    </row>
    <row r="204" spans="1:125" hidden="1">
      <c r="A204" s="15">
        <f t="shared" si="20"/>
        <v>0</v>
      </c>
      <c r="B204" t="str">
        <f t="shared" si="21"/>
        <v/>
      </c>
      <c r="C204" t="str">
        <f>IFERROR(IF(INDEX('M04-S04'!$BL$18:$BL$199,2*(ROWS($C$198:C204)-1)+1)="","",INDEX('M04-S04'!$BL$18:$BL$199,2*(ROWS($C$198:C204)-1)+1)),"")</f>
        <v/>
      </c>
      <c r="D204" t="s">
        <v>135</v>
      </c>
      <c r="E204" t="str">
        <f>IFERROR(INDEX('M04-S04'!$BF$18:$BF$199,2*(ROWS(E$198:E204)-1)+1),"")</f>
        <v/>
      </c>
      <c r="F204" s="210"/>
      <c r="G204" s="194"/>
      <c r="H204" s="14" t="str">
        <f ca="1">IFERROR(ROUND(IF(AC204&lt;&gt;"","",INDEX('M04-S04'!$AH$18:$AH$199,2*(ROWS(H$198:H204)-1)+1)),2),"")</f>
        <v/>
      </c>
      <c r="I204" s="14" t="str">
        <f ca="1">IFERROR(ROUND(IF(AC204&lt;&gt;"","",INDEX('M04-S04'!$AJ$18:$AJ$199,2*(ROWS(I$198:I204)-1)+1)),2),"")</f>
        <v/>
      </c>
      <c r="J204" s="14" t="str">
        <f ca="1">IFERROR(ROUND(IF(AC204&lt;&gt;"","",INDEX('M04-S04'!$AL$18:$AL$199,2*(ROWS(J$198:J204)-1)+1)),2),"")</f>
        <v/>
      </c>
      <c r="K204" t="str">
        <f ca="1">IFERROR(IF(AC204&lt;&gt;"","",INDEX('M04-S04'!$AF$38:$AF$199,2*(ROWS(J$198:J204)-1)+1)),"")</f>
        <v/>
      </c>
      <c r="L204" s="10" t="str">
        <f ca="1">IFERROR(IF(AC204&lt;&gt;"","",ROUND(INDEX('M04-S04'!$BA$18:$BA$199,2*(ROWS(L$198:L204)-1)+1),3)),"")</f>
        <v/>
      </c>
      <c r="M204" s="10" t="str">
        <f ca="1">IFERROR(IF(AC204&lt;&gt;"","",ROUND(INDEX('M04-S04'!$BB$18:$BB$199,2*(ROWS(M$198:M204)-1)+1),3)),"")</f>
        <v/>
      </c>
      <c r="N204" s="219"/>
      <c r="O204" s="37" t="str">
        <f ca="1">IFERROR(IF(AC204&lt;&gt;"","",INDEX('M04-S04'!$AO$18:$AO$199,2*(ROWS(O$198:O204)-1)+1)),"")</f>
        <v/>
      </c>
      <c r="P204" s="37" t="str">
        <f ca="1">IFERROR(IF(AC204&lt;&gt;"","",INDEX('M04-S04'!$BH$18:$BH$199,2*(ROWS(P$198:P204)-1)+1)),"")</f>
        <v/>
      </c>
      <c r="Q204" s="37" t="str">
        <f ca="1">IFERROR(IF(AC204&lt;&gt;"","",INDEX('M04-S04'!$BG$18:$BG$199,2*(ROWS(Q$198:Q204)-1)+1)),"")</f>
        <v/>
      </c>
      <c r="R204" s="14" t="str">
        <f ca="1">IFERROR(IF(AC204&lt;&gt;"","",INDEX('M04-S04'!$AR$18:$AR$199,2*(ROWS(R$198:R204)-1)+1)),"")</f>
        <v/>
      </c>
      <c r="S204" s="14">
        <f ca="1">IFERROR(ROUND(IF(AC204&lt;&gt;"",INDEX('M04-S04'!$AH$18:$AH$199,2*(ROWS(S$198:S204)-1)+1),""),2),"")</f>
        <v>0</v>
      </c>
      <c r="T204" s="14" t="str">
        <f ca="1">IFERROR(ROUND(IF(AC204&lt;&gt;"",INDEX('M04-S04'!$AJ$18:$AJ$199,2*(ROWS(T$198:T204)-1)+1),""),2),"")</f>
        <v/>
      </c>
      <c r="U204" s="14" t="str">
        <f ca="1">IFERROR(ROUND(IF(AC204&lt;&gt;"",INDEX('M04-S04'!$AL$18:$AL$199,2*(ROWS(U$198:U204)-1)+1),""),2),"")</f>
        <v/>
      </c>
      <c r="V204">
        <f ca="1">IFERROR(IF(AC204&lt;&gt;"",INDEX('M04-S04'!$AF$38:$AF$199,2*(ROWS(V$198:V204)-1)+1),""),"")</f>
        <v>0</v>
      </c>
      <c r="W204" s="10" t="str">
        <f ca="1">IFERROR(IF(AC204&lt;&gt;"",ROUND(INDEX('M04-S04'!$BA$18:$BA$199,2*(ROWS(W$198:W204)-1)+1),3),""),"")</f>
        <v/>
      </c>
      <c r="X204" s="10" t="str">
        <f ca="1">IFERROR(IF(AC204&lt;&gt;"",ROUND(INDEX('M04-S04'!$BB$18:$BB$199,2*(ROWS(X$198:X204)-1)+1),3),""),"")</f>
        <v/>
      </c>
      <c r="Y204" s="210"/>
      <c r="Z204" s="31" t="str">
        <f ca="1">IFERROR(IF(AC204&lt;&gt;"",INDEX('M04-S04'!$AO$18:$AO$199,2*(ROWS(Z$198:Z204)-1)+1),""),"")</f>
        <v/>
      </c>
      <c r="AA204" s="37">
        <f ca="1">IFERROR(IF(AC204&lt;&gt;"",INDEX('M04-S04'!$BH$18:$BH$199,2*(ROWS(AA$198:AA204)-1)+1),""),"")</f>
        <v>0</v>
      </c>
      <c r="AB204" s="37" t="str">
        <f ca="1">IFERROR(IF(AC204&lt;&gt;"",INDEX('M04-S04'!$BG$18:$BG$199,2*(ROWS(AB$198:AB204)-1)+1),""),"")</f>
        <v/>
      </c>
      <c r="AC204" t="str">
        <f ca="1">IFERROR(INDEX('M04-S04'!$BN$18:$BN$199,2*(ROWS(AC$198:AC204)-1)+1),"")</f>
        <v>Submit for Review</v>
      </c>
      <c r="AD204" s="37" t="str" cm="1">
        <f t="array" ref="AD204">IFERROR(INDEX('M04-S04'!$BC$18:$BC$199,2*(ROWS(AD$198:AD204)-1)+1),"")</f>
        <v/>
      </c>
      <c r="AE204" s="37" t="str" cm="1">
        <f t="array" ref="AE204">IFERROR(INDEX('M04-S04'!$BD$18:$BD$199,2*(ROWS(AE$198:AE204)-1)+1),"")</f>
        <v/>
      </c>
      <c r="AF204" s="210"/>
      <c r="AG204" s="210"/>
      <c r="AH204" s="210"/>
      <c r="AI204">
        <f>IFERROR(INDEX('M04-S04'!$B$18:$B$199,2*(ROWS(AI$198:AI204)-1)+1),"")</f>
        <v>7</v>
      </c>
      <c r="AJ204" s="194"/>
      <c r="AK204">
        <f>IFERROR(INDEX('M04-S04'!$H$18:$H$199,2*(ROWS(AK$198:AK204)-1)+1),"")</f>
        <v>0</v>
      </c>
      <c r="AL204">
        <f>IFERROR(INDEX('M04-S04'!$N$18:$N$199,2*(ROWS(AL$198:AL204)-1)+1),"")</f>
        <v>0</v>
      </c>
      <c r="AM204">
        <f>IFERROR(INDEX('M04-S04'!$W$18:$W$199,2*(ROWS(AM$198:AM204)-1)+1),"")</f>
        <v>0</v>
      </c>
      <c r="AN204" s="14" t="str">
        <f>IFERROR(INDEX('M04-S04'!$AX$18:$AX$199,2*(ROWS(AN$198:AN204)-1)+1),"")</f>
        <v/>
      </c>
      <c r="AO204" s="14" t="str">
        <f>IFERROR(INDEX('M04-S04'!$AY$18:$AY$199,2*(ROWS(AO$198:AO204)-1)+1),"")</f>
        <v/>
      </c>
      <c r="AP204" t="str">
        <f>IFERROR(INDEX('M04-S04'!$AZ$18:$AZ$199,2*(ROWS(AP$198:AP204)-1)+1),"")</f>
        <v/>
      </c>
      <c r="AQ204" t="str">
        <f>IFERROR(INDEX('M04-S04'!$BE$18:$BE$199,2*(ROWS(AQ$198:AQ204)-1)+1),"")</f>
        <v/>
      </c>
      <c r="AR204" t="s">
        <v>1254</v>
      </c>
      <c r="AS204"/>
      <c r="BL204"/>
      <c r="BP204"/>
      <c r="BQ204"/>
      <c r="BR204"/>
      <c r="CD204"/>
      <c r="CE204"/>
      <c r="CF204"/>
      <c r="CQ204"/>
      <c r="CR204"/>
      <c r="CS204"/>
      <c r="DS204"/>
      <c r="DT204"/>
      <c r="DU204"/>
    </row>
    <row r="205" spans="1:125" hidden="1">
      <c r="A205" s="15">
        <f t="shared" si="20"/>
        <v>0</v>
      </c>
      <c r="B205" t="str">
        <f t="shared" si="21"/>
        <v/>
      </c>
      <c r="C205" t="str">
        <f>IFERROR(IF(INDEX('M04-S04'!$BL$18:$BL$199,2*(ROWS($C$198:C205)-1)+1)="","",INDEX('M04-S04'!$BL$18:$BL$199,2*(ROWS($C$198:C205)-1)+1)),"")</f>
        <v/>
      </c>
      <c r="D205" t="s">
        <v>135</v>
      </c>
      <c r="E205" t="str">
        <f>IFERROR(INDEX('M04-S04'!$BF$18:$BF$199,2*(ROWS(E$198:E205)-1)+1),"")</f>
        <v/>
      </c>
      <c r="F205" s="210"/>
      <c r="G205" s="194"/>
      <c r="H205" s="14" t="str">
        <f ca="1">IFERROR(ROUND(IF(AC205&lt;&gt;"","",INDEX('M04-S04'!$AH$18:$AH$199,2*(ROWS(H$198:H205)-1)+1)),2),"")</f>
        <v/>
      </c>
      <c r="I205" s="14" t="str">
        <f ca="1">IFERROR(ROUND(IF(AC205&lt;&gt;"","",INDEX('M04-S04'!$AJ$18:$AJ$199,2*(ROWS(I$198:I205)-1)+1)),2),"")</f>
        <v/>
      </c>
      <c r="J205" s="14" t="str">
        <f ca="1">IFERROR(ROUND(IF(AC205&lt;&gt;"","",INDEX('M04-S04'!$AL$18:$AL$199,2*(ROWS(J$198:J205)-1)+1)),2),"")</f>
        <v/>
      </c>
      <c r="K205" t="str">
        <f ca="1">IFERROR(IF(AC205&lt;&gt;"","",INDEX('M04-S04'!$AF$38:$AF$199,2*(ROWS(J$198:J205)-1)+1)),"")</f>
        <v/>
      </c>
      <c r="L205" s="10" t="str">
        <f ca="1">IFERROR(IF(AC205&lt;&gt;"","",ROUND(INDEX('M04-S04'!$BA$18:$BA$199,2*(ROWS(L$198:L205)-1)+1),3)),"")</f>
        <v/>
      </c>
      <c r="M205" s="10" t="str">
        <f ca="1">IFERROR(IF(AC205&lt;&gt;"","",ROUND(INDEX('M04-S04'!$BB$18:$BB$199,2*(ROWS(M$198:M205)-1)+1),3)),"")</f>
        <v/>
      </c>
      <c r="N205" s="219"/>
      <c r="O205" s="37" t="str">
        <f ca="1">IFERROR(IF(AC205&lt;&gt;"","",INDEX('M04-S04'!$AO$18:$AO$199,2*(ROWS(O$198:O205)-1)+1)),"")</f>
        <v/>
      </c>
      <c r="P205" s="37" t="str">
        <f ca="1">IFERROR(IF(AC205&lt;&gt;"","",INDEX('M04-S04'!$BH$18:$BH$199,2*(ROWS(P$198:P205)-1)+1)),"")</f>
        <v/>
      </c>
      <c r="Q205" s="37" t="str">
        <f ca="1">IFERROR(IF(AC205&lt;&gt;"","",INDEX('M04-S04'!$BG$18:$BG$199,2*(ROWS(Q$198:Q205)-1)+1)),"")</f>
        <v/>
      </c>
      <c r="R205" s="14" t="str">
        <f ca="1">IFERROR(IF(AC205&lt;&gt;"","",INDEX('M04-S04'!$AR$18:$AR$199,2*(ROWS(R$198:R205)-1)+1)),"")</f>
        <v/>
      </c>
      <c r="S205" s="14">
        <f ca="1">IFERROR(ROUND(IF(AC205&lt;&gt;"",INDEX('M04-S04'!$AH$18:$AH$199,2*(ROWS(S$198:S205)-1)+1),""),2),"")</f>
        <v>0</v>
      </c>
      <c r="T205" s="14" t="str">
        <f ca="1">IFERROR(ROUND(IF(AC205&lt;&gt;"",INDEX('M04-S04'!$AJ$18:$AJ$199,2*(ROWS(T$198:T205)-1)+1),""),2),"")</f>
        <v/>
      </c>
      <c r="U205" s="14" t="str">
        <f ca="1">IFERROR(ROUND(IF(AC205&lt;&gt;"",INDEX('M04-S04'!$AL$18:$AL$199,2*(ROWS(U$198:U205)-1)+1),""),2),"")</f>
        <v/>
      </c>
      <c r="V205">
        <f ca="1">IFERROR(IF(AC205&lt;&gt;"",INDEX('M04-S04'!$AF$38:$AF$199,2*(ROWS(V$198:V205)-1)+1),""),"")</f>
        <v>0</v>
      </c>
      <c r="W205" s="10" t="str">
        <f ca="1">IFERROR(IF(AC205&lt;&gt;"",ROUND(INDEX('M04-S04'!$BA$18:$BA$199,2*(ROWS(W$198:W205)-1)+1),3),""),"")</f>
        <v/>
      </c>
      <c r="X205" s="10" t="str">
        <f ca="1">IFERROR(IF(AC205&lt;&gt;"",ROUND(INDEX('M04-S04'!$BB$18:$BB$199,2*(ROWS(X$198:X205)-1)+1),3),""),"")</f>
        <v/>
      </c>
      <c r="Y205" s="210"/>
      <c r="Z205" s="31" t="str">
        <f ca="1">IFERROR(IF(AC205&lt;&gt;"",INDEX('M04-S04'!$AO$18:$AO$199,2*(ROWS(Z$198:Z205)-1)+1),""),"")</f>
        <v/>
      </c>
      <c r="AA205" s="37">
        <f ca="1">IFERROR(IF(AC205&lt;&gt;"",INDEX('M04-S04'!$BH$18:$BH$199,2*(ROWS(AA$198:AA205)-1)+1),""),"")</f>
        <v>0</v>
      </c>
      <c r="AB205" s="37" t="str">
        <f ca="1">IFERROR(IF(AC205&lt;&gt;"",INDEX('M04-S04'!$BG$18:$BG$199,2*(ROWS(AB$198:AB205)-1)+1),""),"")</f>
        <v/>
      </c>
      <c r="AC205" t="str">
        <f ca="1">IFERROR(INDEX('M04-S04'!$BN$18:$BN$199,2*(ROWS(AC$198:AC205)-1)+1),"")</f>
        <v>Submit for Review</v>
      </c>
      <c r="AD205" s="37" t="str" cm="1">
        <f t="array" ref="AD205">IFERROR(INDEX('M04-S04'!$BC$18:$BC$199,2*(ROWS(AD$198:AD205)-1)+1),"")</f>
        <v/>
      </c>
      <c r="AE205" s="37" t="str" cm="1">
        <f t="array" ref="AE205">IFERROR(INDEX('M04-S04'!$BD$18:$BD$199,2*(ROWS(AE$198:AE205)-1)+1),"")</f>
        <v/>
      </c>
      <c r="AF205" s="210"/>
      <c r="AG205" s="210"/>
      <c r="AH205" s="210"/>
      <c r="AI205">
        <f>IFERROR(INDEX('M04-S04'!$B$18:$B$199,2*(ROWS(AI$198:AI205)-1)+1),"")</f>
        <v>8</v>
      </c>
      <c r="AJ205" s="194"/>
      <c r="AK205">
        <f>IFERROR(INDEX('M04-S04'!$H$18:$H$199,2*(ROWS(AK$198:AK205)-1)+1),"")</f>
        <v>0</v>
      </c>
      <c r="AL205">
        <f>IFERROR(INDEX('M04-S04'!$N$18:$N$199,2*(ROWS(AL$198:AL205)-1)+1),"")</f>
        <v>0</v>
      </c>
      <c r="AM205">
        <f>IFERROR(INDEX('M04-S04'!$W$18:$W$199,2*(ROWS(AM$198:AM205)-1)+1),"")</f>
        <v>0</v>
      </c>
      <c r="AN205" s="14" t="str">
        <f>IFERROR(INDEX('M04-S04'!$AX$18:$AX$199,2*(ROWS(AN$198:AN205)-1)+1),"")</f>
        <v/>
      </c>
      <c r="AO205" s="14" t="str">
        <f>IFERROR(INDEX('M04-S04'!$AY$18:$AY$199,2*(ROWS(AO$198:AO205)-1)+1),"")</f>
        <v/>
      </c>
      <c r="AP205" t="str">
        <f>IFERROR(INDEX('M04-S04'!$AZ$18:$AZ$199,2*(ROWS(AP$198:AP205)-1)+1),"")</f>
        <v/>
      </c>
      <c r="AQ205" t="str">
        <f>IFERROR(INDEX('M04-S04'!$BE$18:$BE$199,2*(ROWS(AQ$198:AQ205)-1)+1),"")</f>
        <v/>
      </c>
      <c r="AR205" t="s">
        <v>1254</v>
      </c>
      <c r="AS205"/>
      <c r="BL205"/>
      <c r="BP205"/>
      <c r="BQ205"/>
      <c r="BR205"/>
      <c r="CD205"/>
      <c r="CE205"/>
      <c r="CF205"/>
      <c r="CQ205"/>
      <c r="CR205"/>
      <c r="CS205"/>
      <c r="DS205"/>
      <c r="DT205"/>
      <c r="DU205"/>
    </row>
    <row r="206" spans="1:125" hidden="1">
      <c r="A206" s="15">
        <f t="shared" si="20"/>
        <v>0</v>
      </c>
      <c r="B206" t="str">
        <f t="shared" si="21"/>
        <v/>
      </c>
      <c r="C206" t="str">
        <f>IFERROR(IF(INDEX('M04-S04'!$BL$18:$BL$199,2*(ROWS($C$198:C206)-1)+1)="","",INDEX('M04-S04'!$BL$18:$BL$199,2*(ROWS($C$198:C206)-1)+1)),"")</f>
        <v/>
      </c>
      <c r="D206" t="s">
        <v>135</v>
      </c>
      <c r="E206" t="str">
        <f>IFERROR(INDEX('M04-S04'!$BF$18:$BF$199,2*(ROWS(E$198:E206)-1)+1),"")</f>
        <v/>
      </c>
      <c r="F206" s="210"/>
      <c r="G206" s="194"/>
      <c r="H206" s="14" t="str">
        <f ca="1">IFERROR(ROUND(IF(AC206&lt;&gt;"","",INDEX('M04-S04'!$AH$18:$AH$199,2*(ROWS(H$198:H206)-1)+1)),2),"")</f>
        <v/>
      </c>
      <c r="I206" s="14" t="str">
        <f ca="1">IFERROR(ROUND(IF(AC206&lt;&gt;"","",INDEX('M04-S04'!$AJ$18:$AJ$199,2*(ROWS(I$198:I206)-1)+1)),2),"")</f>
        <v/>
      </c>
      <c r="J206" s="14" t="str">
        <f ca="1">IFERROR(ROUND(IF(AC206&lt;&gt;"","",INDEX('M04-S04'!$AL$18:$AL$199,2*(ROWS(J$198:J206)-1)+1)),2),"")</f>
        <v/>
      </c>
      <c r="K206" t="str">
        <f ca="1">IFERROR(IF(AC206&lt;&gt;"","",INDEX('M04-S04'!$AF$38:$AF$199,2*(ROWS(J$198:J206)-1)+1)),"")</f>
        <v/>
      </c>
      <c r="L206" s="10" t="str">
        <f ca="1">IFERROR(IF(AC206&lt;&gt;"","",ROUND(INDEX('M04-S04'!$BA$18:$BA$199,2*(ROWS(L$198:L206)-1)+1),3)),"")</f>
        <v/>
      </c>
      <c r="M206" s="10" t="str">
        <f ca="1">IFERROR(IF(AC206&lt;&gt;"","",ROUND(INDEX('M04-S04'!$BB$18:$BB$199,2*(ROWS(M$198:M206)-1)+1),3)),"")</f>
        <v/>
      </c>
      <c r="N206" s="219"/>
      <c r="O206" s="37" t="str">
        <f ca="1">IFERROR(IF(AC206&lt;&gt;"","",INDEX('M04-S04'!$AO$18:$AO$199,2*(ROWS(O$198:O206)-1)+1)),"")</f>
        <v/>
      </c>
      <c r="P206" s="37" t="str">
        <f ca="1">IFERROR(IF(AC206&lt;&gt;"","",INDEX('M04-S04'!$BH$18:$BH$199,2*(ROWS(P$198:P206)-1)+1)),"")</f>
        <v/>
      </c>
      <c r="Q206" s="37" t="str">
        <f ca="1">IFERROR(IF(AC206&lt;&gt;"","",INDEX('M04-S04'!$BG$18:$BG$199,2*(ROWS(Q$198:Q206)-1)+1)),"")</f>
        <v/>
      </c>
      <c r="R206" s="14" t="str">
        <f ca="1">IFERROR(IF(AC206&lt;&gt;"","",INDEX('M04-S04'!$AR$18:$AR$199,2*(ROWS(R$198:R206)-1)+1)),"")</f>
        <v/>
      </c>
      <c r="S206" s="14">
        <f ca="1">IFERROR(ROUND(IF(AC206&lt;&gt;"",INDEX('M04-S04'!$AH$18:$AH$199,2*(ROWS(S$198:S206)-1)+1),""),2),"")</f>
        <v>0</v>
      </c>
      <c r="T206" s="14" t="str">
        <f ca="1">IFERROR(ROUND(IF(AC206&lt;&gt;"",INDEX('M04-S04'!$AJ$18:$AJ$199,2*(ROWS(T$198:T206)-1)+1),""),2),"")</f>
        <v/>
      </c>
      <c r="U206" s="14" t="str">
        <f ca="1">IFERROR(ROUND(IF(AC206&lt;&gt;"",INDEX('M04-S04'!$AL$18:$AL$199,2*(ROWS(U$198:U206)-1)+1),""),2),"")</f>
        <v/>
      </c>
      <c r="V206">
        <f ca="1">IFERROR(IF(AC206&lt;&gt;"",INDEX('M04-S04'!$AF$38:$AF$199,2*(ROWS(V$198:V206)-1)+1),""),"")</f>
        <v>0</v>
      </c>
      <c r="W206" s="10" t="str">
        <f ca="1">IFERROR(IF(AC206&lt;&gt;"",ROUND(INDEX('M04-S04'!$BA$18:$BA$199,2*(ROWS(W$198:W206)-1)+1),3),""),"")</f>
        <v/>
      </c>
      <c r="X206" s="10" t="str">
        <f ca="1">IFERROR(IF(AC206&lt;&gt;"",ROUND(INDEX('M04-S04'!$BB$18:$BB$199,2*(ROWS(X$198:X206)-1)+1),3),""),"")</f>
        <v/>
      </c>
      <c r="Y206" s="210"/>
      <c r="Z206" s="31" t="str">
        <f ca="1">IFERROR(IF(AC206&lt;&gt;"",INDEX('M04-S04'!$AO$18:$AO$199,2*(ROWS(Z$198:Z206)-1)+1),""),"")</f>
        <v/>
      </c>
      <c r="AA206" s="37">
        <f ca="1">IFERROR(IF(AC206&lt;&gt;"",INDEX('M04-S04'!$BH$18:$BH$199,2*(ROWS(AA$198:AA206)-1)+1),""),"")</f>
        <v>0</v>
      </c>
      <c r="AB206" s="37" t="str">
        <f ca="1">IFERROR(IF(AC206&lt;&gt;"",INDEX('M04-S04'!$BG$18:$BG$199,2*(ROWS(AB$198:AB206)-1)+1),""),"")</f>
        <v/>
      </c>
      <c r="AC206" t="str">
        <f ca="1">IFERROR(INDEX('M04-S04'!$BN$18:$BN$199,2*(ROWS(AC$198:AC206)-1)+1),"")</f>
        <v>Submit for Review</v>
      </c>
      <c r="AD206" s="37" t="str" cm="1">
        <f t="array" ref="AD206">IFERROR(INDEX('M04-S04'!$BC$18:$BC$199,2*(ROWS(AD$198:AD206)-1)+1),"")</f>
        <v/>
      </c>
      <c r="AE206" s="37" t="str" cm="1">
        <f t="array" ref="AE206">IFERROR(INDEX('M04-S04'!$BD$18:$BD$199,2*(ROWS(AE$198:AE206)-1)+1),"")</f>
        <v/>
      </c>
      <c r="AF206" s="210"/>
      <c r="AG206" s="210"/>
      <c r="AH206" s="210"/>
      <c r="AI206">
        <f>IFERROR(INDEX('M04-S04'!$B$18:$B$199,2*(ROWS(AI$198:AI206)-1)+1),"")</f>
        <v>9</v>
      </c>
      <c r="AJ206" s="194"/>
      <c r="AK206">
        <f>IFERROR(INDEX('M04-S04'!$H$18:$H$199,2*(ROWS(AK$198:AK206)-1)+1),"")</f>
        <v>0</v>
      </c>
      <c r="AL206">
        <f>IFERROR(INDEX('M04-S04'!$N$18:$N$199,2*(ROWS(AL$198:AL206)-1)+1),"")</f>
        <v>0</v>
      </c>
      <c r="AM206">
        <f>IFERROR(INDEX('M04-S04'!$W$18:$W$199,2*(ROWS(AM$198:AM206)-1)+1),"")</f>
        <v>0</v>
      </c>
      <c r="AN206" s="14" t="str">
        <f>IFERROR(INDEX('M04-S04'!$AX$18:$AX$199,2*(ROWS(AN$198:AN206)-1)+1),"")</f>
        <v/>
      </c>
      <c r="AO206" s="14" t="str">
        <f>IFERROR(INDEX('M04-S04'!$AY$18:$AY$199,2*(ROWS(AO$198:AO206)-1)+1),"")</f>
        <v/>
      </c>
      <c r="AP206" t="str">
        <f>IFERROR(INDEX('M04-S04'!$AZ$18:$AZ$199,2*(ROWS(AP$198:AP206)-1)+1),"")</f>
        <v/>
      </c>
      <c r="AQ206" t="str">
        <f>IFERROR(INDEX('M04-S04'!$BE$18:$BE$199,2*(ROWS(AQ$198:AQ206)-1)+1),"")</f>
        <v/>
      </c>
      <c r="AR206" t="s">
        <v>1254</v>
      </c>
      <c r="AS206"/>
      <c r="BL206"/>
      <c r="BP206"/>
      <c r="BQ206"/>
      <c r="BR206"/>
      <c r="CD206"/>
      <c r="CE206"/>
      <c r="CF206"/>
      <c r="CQ206"/>
      <c r="CR206"/>
      <c r="CS206"/>
      <c r="DS206"/>
      <c r="DT206"/>
      <c r="DU206"/>
    </row>
    <row r="207" spans="1:125" hidden="1">
      <c r="A207" s="15">
        <f t="shared" si="20"/>
        <v>0</v>
      </c>
      <c r="B207" t="str">
        <f t="shared" si="21"/>
        <v/>
      </c>
      <c r="C207" t="str">
        <f>IFERROR(IF(INDEX('M04-S04'!$BL$18:$BL$199,2*(ROWS($C$198:C207)-1)+1)="","",INDEX('M04-S04'!$BL$18:$BL$199,2*(ROWS($C$198:C207)-1)+1)),"")</f>
        <v/>
      </c>
      <c r="D207" t="s">
        <v>135</v>
      </c>
      <c r="E207" t="str">
        <f>IFERROR(INDEX('M04-S04'!$BF$18:$BF$199,2*(ROWS(E$198:E207)-1)+1),"")</f>
        <v/>
      </c>
      <c r="F207" s="210"/>
      <c r="G207" s="194"/>
      <c r="H207" s="14" t="str">
        <f ca="1">IFERROR(ROUND(IF(AC207&lt;&gt;"","",INDEX('M04-S04'!$AH$18:$AH$199,2*(ROWS(H$198:H207)-1)+1)),2),"")</f>
        <v/>
      </c>
      <c r="I207" s="14" t="str">
        <f ca="1">IFERROR(ROUND(IF(AC207&lt;&gt;"","",INDEX('M04-S04'!$AJ$18:$AJ$199,2*(ROWS(I$198:I207)-1)+1)),2),"")</f>
        <v/>
      </c>
      <c r="J207" s="14" t="str">
        <f ca="1">IFERROR(ROUND(IF(AC207&lt;&gt;"","",INDEX('M04-S04'!$AL$18:$AL$199,2*(ROWS(J$198:J207)-1)+1)),2),"")</f>
        <v/>
      </c>
      <c r="K207" t="str">
        <f ca="1">IFERROR(IF(AC207&lt;&gt;"","",INDEX('M04-S04'!$AF$38:$AF$199,2*(ROWS(J$198:J207)-1)+1)),"")</f>
        <v/>
      </c>
      <c r="L207" s="10" t="str">
        <f ca="1">IFERROR(IF(AC207&lt;&gt;"","",ROUND(INDEX('M04-S04'!$BA$18:$BA$199,2*(ROWS(L$198:L207)-1)+1),3)),"")</f>
        <v/>
      </c>
      <c r="M207" s="10" t="str">
        <f ca="1">IFERROR(IF(AC207&lt;&gt;"","",ROUND(INDEX('M04-S04'!$BB$18:$BB$199,2*(ROWS(M$198:M207)-1)+1),3)),"")</f>
        <v/>
      </c>
      <c r="N207" s="219"/>
      <c r="O207" s="37" t="str">
        <f ca="1">IFERROR(IF(AC207&lt;&gt;"","",INDEX('M04-S04'!$AO$18:$AO$199,2*(ROWS(O$198:O207)-1)+1)),"")</f>
        <v/>
      </c>
      <c r="P207" s="37" t="str">
        <f ca="1">IFERROR(IF(AC207&lt;&gt;"","",INDEX('M04-S04'!$BH$18:$BH$199,2*(ROWS(P$198:P207)-1)+1)),"")</f>
        <v/>
      </c>
      <c r="Q207" s="37" t="str">
        <f ca="1">IFERROR(IF(AC207&lt;&gt;"","",INDEX('M04-S04'!$BG$18:$BG$199,2*(ROWS(Q$198:Q207)-1)+1)),"")</f>
        <v/>
      </c>
      <c r="R207" s="14" t="str">
        <f ca="1">IFERROR(IF(AC207&lt;&gt;"","",INDEX('M04-S04'!$AR$18:$AR$199,2*(ROWS(R$198:R207)-1)+1)),"")</f>
        <v/>
      </c>
      <c r="S207" s="14">
        <f ca="1">IFERROR(ROUND(IF(AC207&lt;&gt;"",INDEX('M04-S04'!$AH$18:$AH$199,2*(ROWS(S$198:S207)-1)+1),""),2),"")</f>
        <v>0</v>
      </c>
      <c r="T207" s="14" t="str">
        <f ca="1">IFERROR(ROUND(IF(AC207&lt;&gt;"",INDEX('M04-S04'!$AJ$18:$AJ$199,2*(ROWS(T$198:T207)-1)+1),""),2),"")</f>
        <v/>
      </c>
      <c r="U207" s="14" t="str">
        <f ca="1">IFERROR(ROUND(IF(AC207&lt;&gt;"",INDEX('M04-S04'!$AL$18:$AL$199,2*(ROWS(U$198:U207)-1)+1),""),2),"")</f>
        <v/>
      </c>
      <c r="V207">
        <f ca="1">IFERROR(IF(AC207&lt;&gt;"",INDEX('M04-S04'!$AF$38:$AF$199,2*(ROWS(V$198:V207)-1)+1),""),"")</f>
        <v>0</v>
      </c>
      <c r="W207" s="10" t="str">
        <f ca="1">IFERROR(IF(AC207&lt;&gt;"",ROUND(INDEX('M04-S04'!$BA$18:$BA$199,2*(ROWS(W$198:W207)-1)+1),3),""),"")</f>
        <v/>
      </c>
      <c r="X207" s="10" t="str">
        <f ca="1">IFERROR(IF(AC207&lt;&gt;"",ROUND(INDEX('M04-S04'!$BB$18:$BB$199,2*(ROWS(X$198:X207)-1)+1),3),""),"")</f>
        <v/>
      </c>
      <c r="Y207" s="210"/>
      <c r="Z207" s="31" t="str">
        <f ca="1">IFERROR(IF(AC207&lt;&gt;"",INDEX('M04-S04'!$AO$18:$AO$199,2*(ROWS(Z$198:Z207)-1)+1),""),"")</f>
        <v/>
      </c>
      <c r="AA207" s="37">
        <f ca="1">IFERROR(IF(AC207&lt;&gt;"",INDEX('M04-S04'!$BH$18:$BH$199,2*(ROWS(AA$198:AA207)-1)+1),""),"")</f>
        <v>0</v>
      </c>
      <c r="AB207" s="37" t="str">
        <f ca="1">IFERROR(IF(AC207&lt;&gt;"",INDEX('M04-S04'!$BG$18:$BG$199,2*(ROWS(AB$198:AB207)-1)+1),""),"")</f>
        <v/>
      </c>
      <c r="AC207" t="str">
        <f ca="1">IFERROR(INDEX('M04-S04'!$BN$18:$BN$199,2*(ROWS(AC$198:AC207)-1)+1),"")</f>
        <v>Submit for Review</v>
      </c>
      <c r="AD207" s="37" t="str" cm="1">
        <f t="array" ref="AD207">IFERROR(INDEX('M04-S04'!$BC$18:$BC$199,2*(ROWS(AD$198:AD207)-1)+1),"")</f>
        <v/>
      </c>
      <c r="AE207" s="37" t="str" cm="1">
        <f t="array" ref="AE207">IFERROR(INDEX('M04-S04'!$BD$18:$BD$199,2*(ROWS(AE$198:AE207)-1)+1),"")</f>
        <v/>
      </c>
      <c r="AF207" s="210"/>
      <c r="AG207" s="210"/>
      <c r="AH207" s="210"/>
      <c r="AI207">
        <f>IFERROR(INDEX('M04-S04'!$B$18:$B$199,2*(ROWS(AI$198:AI207)-1)+1),"")</f>
        <v>10</v>
      </c>
      <c r="AJ207" s="194"/>
      <c r="AK207">
        <f>IFERROR(INDEX('M04-S04'!$H$18:$H$199,2*(ROWS(AK$198:AK207)-1)+1),"")</f>
        <v>0</v>
      </c>
      <c r="AL207">
        <f>IFERROR(INDEX('M04-S04'!$N$18:$N$199,2*(ROWS(AL$198:AL207)-1)+1),"")</f>
        <v>0</v>
      </c>
      <c r="AM207">
        <f>IFERROR(INDEX('M04-S04'!$W$18:$W$199,2*(ROWS(AM$198:AM207)-1)+1),"")</f>
        <v>0</v>
      </c>
      <c r="AN207" s="14" t="str">
        <f>IFERROR(INDEX('M04-S04'!$AX$18:$AX$199,2*(ROWS(AN$198:AN207)-1)+1),"")</f>
        <v/>
      </c>
      <c r="AO207" s="14" t="str">
        <f>IFERROR(INDEX('M04-S04'!$AY$18:$AY$199,2*(ROWS(AO$198:AO207)-1)+1),"")</f>
        <v/>
      </c>
      <c r="AP207" t="str">
        <f>IFERROR(INDEX('M04-S04'!$AZ$18:$AZ$199,2*(ROWS(AP$198:AP207)-1)+1),"")</f>
        <v/>
      </c>
      <c r="AQ207" t="str">
        <f>IFERROR(INDEX('M04-S04'!$BE$18:$BE$199,2*(ROWS(AQ$198:AQ207)-1)+1),"")</f>
        <v/>
      </c>
      <c r="AR207" t="s">
        <v>1254</v>
      </c>
      <c r="AS207"/>
      <c r="BL207"/>
      <c r="BP207"/>
      <c r="BQ207"/>
      <c r="BR207"/>
      <c r="CD207"/>
      <c r="CE207"/>
      <c r="CF207"/>
      <c r="CQ207"/>
      <c r="CR207"/>
      <c r="CS207"/>
      <c r="DS207"/>
      <c r="DT207"/>
      <c r="DU207"/>
    </row>
    <row r="208" spans="1:125" hidden="1">
      <c r="A208" s="15">
        <f t="shared" si="20"/>
        <v>0</v>
      </c>
      <c r="B208" t="str">
        <f t="shared" si="21"/>
        <v/>
      </c>
      <c r="C208" t="str">
        <f>IFERROR(IF(INDEX('M04-S04'!$BL$18:$BL$199,2*(ROWS($C$198:C208)-1)+1)="","",INDEX('M04-S04'!$BL$18:$BL$199,2*(ROWS($C$198:C208)-1)+1)),"")</f>
        <v/>
      </c>
      <c r="D208" t="s">
        <v>135</v>
      </c>
      <c r="E208">
        <f>IFERROR(INDEX('M04-S04'!$BF$18:$BF$199,2*(ROWS(E$198:E208)-1)+1),"")</f>
        <v>0</v>
      </c>
      <c r="F208" s="210"/>
      <c r="G208" s="194"/>
      <c r="H208" s="14" t="str">
        <f>IFERROR(ROUND(IF(AC208&lt;&gt;"","",INDEX('M04-S04'!$AH$18:$AH$199,2*(ROWS(H$198:H208)-1)+1)),2),"")</f>
        <v/>
      </c>
      <c r="I208" s="14" t="str">
        <f>IFERROR(ROUND(IF(AC208&lt;&gt;"","",INDEX('M04-S04'!$AJ$18:$AJ$199,2*(ROWS(I$198:I208)-1)+1)),2),"")</f>
        <v/>
      </c>
      <c r="J208" s="14" t="str">
        <f>IFERROR(ROUND(IF(AC208&lt;&gt;"","",INDEX('M04-S04'!$AL$18:$AL$199,2*(ROWS(J$198:J208)-1)+1)),2),"")</f>
        <v/>
      </c>
      <c r="K208" t="str">
        <f>IFERROR(IF(AC208&lt;&gt;"","",INDEX('M04-S04'!$AF$38:$AF$199,2*(ROWS(J$198:J208)-1)+1)),"")</f>
        <v/>
      </c>
      <c r="L208" s="10" t="str">
        <f>IFERROR(IF(AC208&lt;&gt;"","",ROUND(INDEX('M04-S04'!$BA$18:$BA$199,2*(ROWS(L$198:L208)-1)+1),3)),"")</f>
        <v/>
      </c>
      <c r="M208" s="10" t="str">
        <f>IFERROR(IF(AC208&lt;&gt;"","",ROUND(INDEX('M04-S04'!$BB$18:$BB$199,2*(ROWS(M$198:M208)-1)+1),3)),"")</f>
        <v/>
      </c>
      <c r="N208" s="219"/>
      <c r="O208" s="37" t="str">
        <f>IFERROR(IF(AC208&lt;&gt;"","",INDEX('M04-S04'!$AO$18:$AO$199,2*(ROWS(O$198:O208)-1)+1)),"")</f>
        <v/>
      </c>
      <c r="P208" s="37" t="str">
        <f>IFERROR(IF(AC208&lt;&gt;"","",INDEX('M04-S04'!$BH$18:$BH$199,2*(ROWS(P$198:P208)-1)+1)),"")</f>
        <v/>
      </c>
      <c r="Q208" s="37" t="str">
        <f>IFERROR(IF(AC208&lt;&gt;"","",INDEX('M04-S04'!$BG$18:$BG$199,2*(ROWS(Q$198:Q208)-1)+1)),"")</f>
        <v/>
      </c>
      <c r="R208" s="14" t="str">
        <f>IFERROR(IF(AC208&lt;&gt;"","",INDEX('M04-S04'!$AR$18:$AR$199,2*(ROWS(R$198:R208)-1)+1)),"")</f>
        <v/>
      </c>
      <c r="S208" s="14">
        <f>IFERROR(ROUND(IF(AC208&lt;&gt;"",INDEX('M04-S04'!$AH$18:$AH$199,2*(ROWS(S$198:S208)-1)+1),""),2),"")</f>
        <v>0</v>
      </c>
      <c r="T208" s="14">
        <f>IFERROR(ROUND(IF(AC208&lt;&gt;"",INDEX('M04-S04'!$AJ$18:$AJ$199,2*(ROWS(T$198:T208)-1)+1),""),2),"")</f>
        <v>0</v>
      </c>
      <c r="U208" s="14">
        <f>IFERROR(ROUND(IF(AC208&lt;&gt;"",INDEX('M04-S04'!$AL$18:$AL$199,2*(ROWS(U$198:U208)-1)+1),""),2),"")</f>
        <v>0</v>
      </c>
      <c r="V208">
        <f>IFERROR(IF(AC208&lt;&gt;"",INDEX('M04-S04'!$AF$38:$AF$199,2*(ROWS(V$198:V208)-1)+1),""),"")</f>
        <v>0</v>
      </c>
      <c r="W208" s="10">
        <f>IFERROR(IF(AC208&lt;&gt;"",ROUND(INDEX('M04-S04'!$BA$18:$BA$199,2*(ROWS(W$198:W208)-1)+1),3),""),"")</f>
        <v>0</v>
      </c>
      <c r="X208" s="10">
        <f>IFERROR(IF(AC208&lt;&gt;"",ROUND(INDEX('M04-S04'!$BB$18:$BB$199,2*(ROWS(X$198:X208)-1)+1),3),""),"")</f>
        <v>0</v>
      </c>
      <c r="Y208" s="210"/>
      <c r="Z208" s="31">
        <f>IFERROR(IF(AC208&lt;&gt;"",INDEX('M04-S04'!$AO$18:$AO$199,2*(ROWS(Z$198:Z208)-1)+1),""),"")</f>
        <v>0</v>
      </c>
      <c r="AA208" s="37">
        <f>IFERROR(IF(AC208&lt;&gt;"",INDEX('M04-S04'!$BH$18:$BH$199,2*(ROWS(AA$198:AA208)-1)+1),""),"")</f>
        <v>0</v>
      </c>
      <c r="AB208" s="37">
        <f>IFERROR(IF(AC208&lt;&gt;"",INDEX('M04-S04'!$BG$18:$BG$199,2*(ROWS(AB$198:AB208)-1)+1),""),"")</f>
        <v>0</v>
      </c>
      <c r="AC208">
        <f>IFERROR(INDEX('M04-S04'!$BN$18:$BN$199,2*(ROWS(AC$198:AC208)-1)+1),"")</f>
        <v>0</v>
      </c>
      <c r="AD208" s="37" cm="1">
        <f t="array" ref="AD208">IFERROR(INDEX('M04-S04'!$BC$18:$BC$199,2*(ROWS(AD$198:AD208)-1)+1),"")</f>
        <v>0</v>
      </c>
      <c r="AE208" s="37" cm="1">
        <f t="array" ref="AE208">IFERROR(INDEX('M04-S04'!$BD$18:$BD$199,2*(ROWS(AE$198:AE208)-1)+1),"")</f>
        <v>0</v>
      </c>
      <c r="AF208" s="210"/>
      <c r="AG208" s="210"/>
      <c r="AH208" s="210"/>
      <c r="AI208">
        <f>IFERROR(INDEX('M04-S04'!$B$18:$B$199,2*(ROWS(AI$198:AI208)-1)+1),"")</f>
        <v>0</v>
      </c>
      <c r="AJ208" s="194"/>
      <c r="AK208">
        <f>IFERROR(INDEX('M04-S04'!$H$18:$H$199,2*(ROWS(AK$198:AK208)-1)+1),"")</f>
        <v>0</v>
      </c>
      <c r="AL208">
        <f>IFERROR(INDEX('M04-S04'!$N$18:$N$199,2*(ROWS(AL$198:AL208)-1)+1),"")</f>
        <v>0</v>
      </c>
      <c r="AM208">
        <f>IFERROR(INDEX('M04-S04'!$W$18:$W$199,2*(ROWS(AM$198:AM208)-1)+1),"")</f>
        <v>0</v>
      </c>
      <c r="AN208" s="14">
        <f>IFERROR(INDEX('M04-S04'!$AX$18:$AX$199,2*(ROWS(AN$198:AN208)-1)+1),"")</f>
        <v>0</v>
      </c>
      <c r="AO208" s="14">
        <f>IFERROR(INDEX('M04-S04'!$AY$18:$AY$199,2*(ROWS(AO$198:AO208)-1)+1),"")</f>
        <v>0</v>
      </c>
      <c r="AP208">
        <f>IFERROR(INDEX('M04-S04'!$AZ$18:$AZ$199,2*(ROWS(AP$198:AP208)-1)+1),"")</f>
        <v>0</v>
      </c>
      <c r="AQ208">
        <f>IFERROR(INDEX('M04-S04'!$BE$18:$BE$199,2*(ROWS(AQ$198:AQ208)-1)+1),"")</f>
        <v>0</v>
      </c>
      <c r="AR208" t="s">
        <v>1254</v>
      </c>
      <c r="AS208"/>
      <c r="BL208"/>
      <c r="BP208"/>
      <c r="BQ208"/>
      <c r="BR208"/>
      <c r="CD208"/>
      <c r="CE208"/>
      <c r="CF208"/>
      <c r="CQ208"/>
      <c r="CR208"/>
      <c r="CS208"/>
      <c r="DS208"/>
      <c r="DT208"/>
      <c r="DU208"/>
    </row>
    <row r="209" spans="1:125" hidden="1">
      <c r="A209" s="15">
        <f t="shared" si="20"/>
        <v>0</v>
      </c>
      <c r="B209" t="str">
        <f t="shared" si="21"/>
        <v/>
      </c>
      <c r="C209" t="str">
        <f>IFERROR(IF(INDEX('M04-S04'!$BL$18:$BL$199,2*(ROWS($C$198:C209)-1)+1)="","",INDEX('M04-S04'!$BL$18:$BL$199,2*(ROWS($C$198:C209)-1)+1)),"")</f>
        <v/>
      </c>
      <c r="D209" t="s">
        <v>135</v>
      </c>
      <c r="E209">
        <f>IFERROR(INDEX('M04-S04'!$BF$18:$BF$199,2*(ROWS(E$198:E209)-1)+1),"")</f>
        <v>0</v>
      </c>
      <c r="F209" s="210"/>
      <c r="G209" s="194"/>
      <c r="H209" s="14" t="str">
        <f>IFERROR(ROUND(IF(AC209&lt;&gt;"","",INDEX('M04-S04'!$AH$18:$AH$199,2*(ROWS(H$198:H209)-1)+1)),2),"")</f>
        <v/>
      </c>
      <c r="I209" s="14" t="str">
        <f>IFERROR(ROUND(IF(AC209&lt;&gt;"","",INDEX('M04-S04'!$AJ$18:$AJ$199,2*(ROWS(I$198:I209)-1)+1)),2),"")</f>
        <v/>
      </c>
      <c r="J209" s="14" t="str">
        <f>IFERROR(ROUND(IF(AC209&lt;&gt;"","",INDEX('M04-S04'!$AL$18:$AL$199,2*(ROWS(J$198:J209)-1)+1)),2),"")</f>
        <v/>
      </c>
      <c r="K209" t="str">
        <f>IFERROR(IF(AC209&lt;&gt;"","",INDEX('M04-S04'!$AF$38:$AF$199,2*(ROWS(J$198:J209)-1)+1)),"")</f>
        <v/>
      </c>
      <c r="L209" s="10" t="str">
        <f>IFERROR(IF(AC209&lt;&gt;"","",ROUND(INDEX('M04-S04'!$BA$18:$BA$199,2*(ROWS(L$198:L209)-1)+1),3)),"")</f>
        <v/>
      </c>
      <c r="M209" s="10" t="str">
        <f>IFERROR(IF(AC209&lt;&gt;"","",ROUND(INDEX('M04-S04'!$BB$18:$BB$199,2*(ROWS(M$198:M209)-1)+1),3)),"")</f>
        <v/>
      </c>
      <c r="N209" s="219"/>
      <c r="O209" s="37" t="str">
        <f>IFERROR(IF(AC209&lt;&gt;"","",INDEX('M04-S04'!$AO$18:$AO$199,2*(ROWS(O$198:O209)-1)+1)),"")</f>
        <v/>
      </c>
      <c r="P209" s="37" t="str">
        <f>IFERROR(IF(AC209&lt;&gt;"","",INDEX('M04-S04'!$BH$18:$BH$199,2*(ROWS(P$198:P209)-1)+1)),"")</f>
        <v/>
      </c>
      <c r="Q209" s="37" t="str">
        <f>IFERROR(IF(AC209&lt;&gt;"","",INDEX('M04-S04'!$BG$18:$BG$199,2*(ROWS(Q$198:Q209)-1)+1)),"")</f>
        <v/>
      </c>
      <c r="R209" s="14" t="str">
        <f>IFERROR(IF(AC209&lt;&gt;"","",INDEX('M04-S04'!$AR$18:$AR$199,2*(ROWS(R$198:R209)-1)+1)),"")</f>
        <v/>
      </c>
      <c r="S209" s="14">
        <f>IFERROR(ROUND(IF(AC209&lt;&gt;"",INDEX('M04-S04'!$AH$18:$AH$199,2*(ROWS(S$198:S209)-1)+1),""),2),"")</f>
        <v>0</v>
      </c>
      <c r="T209" s="14">
        <f>IFERROR(ROUND(IF(AC209&lt;&gt;"",INDEX('M04-S04'!$AJ$18:$AJ$199,2*(ROWS(T$198:T209)-1)+1),""),2),"")</f>
        <v>0</v>
      </c>
      <c r="U209" s="14">
        <f>IFERROR(ROUND(IF(AC209&lt;&gt;"",INDEX('M04-S04'!$AL$18:$AL$199,2*(ROWS(U$198:U209)-1)+1),""),2),"")</f>
        <v>0</v>
      </c>
      <c r="V209">
        <f>IFERROR(IF(AC209&lt;&gt;"",INDEX('M04-S04'!$AF$38:$AF$199,2*(ROWS(V$198:V209)-1)+1),""),"")</f>
        <v>0</v>
      </c>
      <c r="W209" s="10">
        <f>IFERROR(IF(AC209&lt;&gt;"",ROUND(INDEX('M04-S04'!$BA$18:$BA$199,2*(ROWS(W$198:W209)-1)+1),3),""),"")</f>
        <v>0</v>
      </c>
      <c r="X209" s="10">
        <f>IFERROR(IF(AC209&lt;&gt;"",ROUND(INDEX('M04-S04'!$BB$18:$BB$199,2*(ROWS(X$198:X209)-1)+1),3),""),"")</f>
        <v>0</v>
      </c>
      <c r="Y209" s="210"/>
      <c r="Z209" s="31">
        <f>IFERROR(IF(AC209&lt;&gt;"",INDEX('M04-S04'!$AO$18:$AO$199,2*(ROWS(Z$198:Z209)-1)+1),""),"")</f>
        <v>0</v>
      </c>
      <c r="AA209" s="37">
        <f>IFERROR(IF(AC209&lt;&gt;"",INDEX('M04-S04'!$BH$18:$BH$199,2*(ROWS(AA$198:AA209)-1)+1),""),"")</f>
        <v>0</v>
      </c>
      <c r="AB209" s="37">
        <f>IFERROR(IF(AC209&lt;&gt;"",INDEX('M04-S04'!$BG$18:$BG$199,2*(ROWS(AB$198:AB209)-1)+1),""),"")</f>
        <v>0</v>
      </c>
      <c r="AC209">
        <f>IFERROR(INDEX('M04-S04'!$BN$18:$BN$199,2*(ROWS(AC$198:AC209)-1)+1),"")</f>
        <v>0</v>
      </c>
      <c r="AD209" s="37" cm="1">
        <f t="array" ref="AD209">IFERROR(INDEX('M04-S04'!$BC$18:$BC$199,2*(ROWS(AD$198:AD209)-1)+1),"")</f>
        <v>0</v>
      </c>
      <c r="AE209" s="37" cm="1">
        <f t="array" ref="AE209">IFERROR(INDEX('M04-S04'!$BD$18:$BD$199,2*(ROWS(AE$198:AE209)-1)+1),"")</f>
        <v>0</v>
      </c>
      <c r="AF209" s="210"/>
      <c r="AG209" s="210"/>
      <c r="AH209" s="210"/>
      <c r="AI209">
        <f>IFERROR(INDEX('M04-S04'!$B$18:$B$199,2*(ROWS(AI$198:AI209)-1)+1),"")</f>
        <v>0</v>
      </c>
      <c r="AJ209" s="194"/>
      <c r="AK209">
        <f>IFERROR(INDEX('M04-S04'!$H$18:$H$199,2*(ROWS(AK$198:AK209)-1)+1),"")</f>
        <v>0</v>
      </c>
      <c r="AL209">
        <f>IFERROR(INDEX('M04-S04'!$N$18:$N$199,2*(ROWS(AL$198:AL209)-1)+1),"")</f>
        <v>0</v>
      </c>
      <c r="AM209">
        <f>IFERROR(INDEX('M04-S04'!$W$18:$W$199,2*(ROWS(AM$198:AM209)-1)+1),"")</f>
        <v>0</v>
      </c>
      <c r="AN209" s="14">
        <f>IFERROR(INDEX('M04-S04'!$AX$18:$AX$199,2*(ROWS(AN$198:AN209)-1)+1),"")</f>
        <v>0</v>
      </c>
      <c r="AO209" s="14">
        <f>IFERROR(INDEX('M04-S04'!$AY$18:$AY$199,2*(ROWS(AO$198:AO209)-1)+1),"")</f>
        <v>0</v>
      </c>
      <c r="AP209">
        <f>IFERROR(INDEX('M04-S04'!$AZ$18:$AZ$199,2*(ROWS(AP$198:AP209)-1)+1),"")</f>
        <v>0</v>
      </c>
      <c r="AQ209">
        <f>IFERROR(INDEX('M04-S04'!$BE$18:$BE$199,2*(ROWS(AQ$198:AQ209)-1)+1),"")</f>
        <v>0</v>
      </c>
      <c r="AR209" t="s">
        <v>1254</v>
      </c>
      <c r="AS209"/>
      <c r="BL209"/>
      <c r="BP209"/>
      <c r="BQ209"/>
      <c r="BR209"/>
      <c r="CD209"/>
      <c r="CE209"/>
      <c r="CF209"/>
      <c r="CQ209"/>
      <c r="CR209"/>
      <c r="CS209"/>
      <c r="DS209"/>
      <c r="DT209"/>
      <c r="DU209"/>
    </row>
    <row r="210" spans="1:125" hidden="1">
      <c r="A210" s="15">
        <f t="shared" si="20"/>
        <v>0</v>
      </c>
      <c r="B210" t="str">
        <f t="shared" si="21"/>
        <v/>
      </c>
      <c r="C210" t="str">
        <f>IFERROR(IF(INDEX('M04-S04'!$BL$18:$BL$199,2*(ROWS($C$198:C210)-1)+1)="","",INDEX('M04-S04'!$BL$18:$BL$199,2*(ROWS($C$198:C210)-1)+1)),"")</f>
        <v/>
      </c>
      <c r="D210" t="s">
        <v>135</v>
      </c>
      <c r="E210">
        <f>IFERROR(INDEX('M04-S04'!$BF$18:$BF$199,2*(ROWS(E$198:E210)-1)+1),"")</f>
        <v>0</v>
      </c>
      <c r="F210" s="210"/>
      <c r="G210" s="194"/>
      <c r="H210" s="14" t="str">
        <f>IFERROR(ROUND(IF(AC210&lt;&gt;"","",INDEX('M04-S04'!$AH$18:$AH$199,2*(ROWS(H$198:H210)-1)+1)),2),"")</f>
        <v/>
      </c>
      <c r="I210" s="14" t="str">
        <f>IFERROR(ROUND(IF(AC210&lt;&gt;"","",INDEX('M04-S04'!$AJ$18:$AJ$199,2*(ROWS(I$198:I210)-1)+1)),2),"")</f>
        <v/>
      </c>
      <c r="J210" s="14" t="str">
        <f>IFERROR(ROUND(IF(AC210&lt;&gt;"","",INDEX('M04-S04'!$AL$18:$AL$199,2*(ROWS(J$198:J210)-1)+1)),2),"")</f>
        <v/>
      </c>
      <c r="K210" t="str">
        <f>IFERROR(IF(AC210&lt;&gt;"","",INDEX('M04-S04'!$AF$38:$AF$199,2*(ROWS(J$198:J210)-1)+1)),"")</f>
        <v/>
      </c>
      <c r="L210" s="10" t="str">
        <f>IFERROR(IF(AC210&lt;&gt;"","",ROUND(INDEX('M04-S04'!$BA$18:$BA$199,2*(ROWS(L$198:L210)-1)+1),3)),"")</f>
        <v/>
      </c>
      <c r="M210" s="10" t="str">
        <f>IFERROR(IF(AC210&lt;&gt;"","",ROUND(INDEX('M04-S04'!$BB$18:$BB$199,2*(ROWS(M$198:M210)-1)+1),3)),"")</f>
        <v/>
      </c>
      <c r="N210" s="219"/>
      <c r="O210" s="37" t="str">
        <f>IFERROR(IF(AC210&lt;&gt;"","",INDEX('M04-S04'!$AO$18:$AO$199,2*(ROWS(O$198:O210)-1)+1)),"")</f>
        <v/>
      </c>
      <c r="P210" s="37" t="str">
        <f>IFERROR(IF(AC210&lt;&gt;"","",INDEX('M04-S04'!$BH$18:$BH$199,2*(ROWS(P$198:P210)-1)+1)),"")</f>
        <v/>
      </c>
      <c r="Q210" s="37" t="str">
        <f>IFERROR(IF(AC210&lt;&gt;"","",INDEX('M04-S04'!$BG$18:$BG$199,2*(ROWS(Q$198:Q210)-1)+1)),"")</f>
        <v/>
      </c>
      <c r="R210" s="14" t="str">
        <f>IFERROR(IF(AC210&lt;&gt;"","",INDEX('M04-S04'!$AR$18:$AR$199,2*(ROWS(R$198:R210)-1)+1)),"")</f>
        <v/>
      </c>
      <c r="S210" s="14">
        <f>IFERROR(ROUND(IF(AC210&lt;&gt;"",INDEX('M04-S04'!$AH$18:$AH$199,2*(ROWS(S$198:S210)-1)+1),""),2),"")</f>
        <v>0</v>
      </c>
      <c r="T210" s="14">
        <f>IFERROR(ROUND(IF(AC210&lt;&gt;"",INDEX('M04-S04'!$AJ$18:$AJ$199,2*(ROWS(T$198:T210)-1)+1),""),2),"")</f>
        <v>0</v>
      </c>
      <c r="U210" s="14">
        <f>IFERROR(ROUND(IF(AC210&lt;&gt;"",INDEX('M04-S04'!$AL$18:$AL$199,2*(ROWS(U$198:U210)-1)+1),""),2),"")</f>
        <v>0</v>
      </c>
      <c r="V210">
        <f>IFERROR(IF(AC210&lt;&gt;"",INDEX('M04-S04'!$AF$38:$AF$199,2*(ROWS(V$198:V210)-1)+1),""),"")</f>
        <v>0</v>
      </c>
      <c r="W210" s="10">
        <f>IFERROR(IF(AC210&lt;&gt;"",ROUND(INDEX('M04-S04'!$BA$18:$BA$199,2*(ROWS(W$198:W210)-1)+1),3),""),"")</f>
        <v>0</v>
      </c>
      <c r="X210" s="10">
        <f>IFERROR(IF(AC210&lt;&gt;"",ROUND(INDEX('M04-S04'!$BB$18:$BB$199,2*(ROWS(X$198:X210)-1)+1),3),""),"")</f>
        <v>0</v>
      </c>
      <c r="Y210" s="210"/>
      <c r="Z210" s="31">
        <f>IFERROR(IF(AC210&lt;&gt;"",INDEX('M04-S04'!$AO$18:$AO$199,2*(ROWS(Z$198:Z210)-1)+1),""),"")</f>
        <v>0</v>
      </c>
      <c r="AA210" s="37">
        <f>IFERROR(IF(AC210&lt;&gt;"",INDEX('M04-S04'!$BH$18:$BH$199,2*(ROWS(AA$198:AA210)-1)+1),""),"")</f>
        <v>0</v>
      </c>
      <c r="AB210" s="37">
        <f>IFERROR(IF(AC210&lt;&gt;"",INDEX('M04-S04'!$BG$18:$BG$199,2*(ROWS(AB$198:AB210)-1)+1),""),"")</f>
        <v>0</v>
      </c>
      <c r="AC210">
        <f>IFERROR(INDEX('M04-S04'!$BN$18:$BN$199,2*(ROWS(AC$198:AC210)-1)+1),"")</f>
        <v>0</v>
      </c>
      <c r="AD210" s="37" cm="1">
        <f t="array" ref="AD210">IFERROR(INDEX('M04-S04'!$BC$18:$BC$199,2*(ROWS(AD$198:AD210)-1)+1),"")</f>
        <v>0</v>
      </c>
      <c r="AE210" s="37" cm="1">
        <f t="array" ref="AE210">IFERROR(INDEX('M04-S04'!$BD$18:$BD$199,2*(ROWS(AE$198:AE210)-1)+1),"")</f>
        <v>0</v>
      </c>
      <c r="AF210" s="210"/>
      <c r="AG210" s="210"/>
      <c r="AH210" s="210"/>
      <c r="AI210">
        <f>IFERROR(INDEX('M04-S04'!$B$18:$B$199,2*(ROWS(AI$198:AI210)-1)+1),"")</f>
        <v>0</v>
      </c>
      <c r="AJ210" s="194"/>
      <c r="AK210">
        <f>IFERROR(INDEX('M04-S04'!$H$18:$H$199,2*(ROWS(AK$198:AK210)-1)+1),"")</f>
        <v>0</v>
      </c>
      <c r="AL210">
        <f>IFERROR(INDEX('M04-S04'!$N$18:$N$199,2*(ROWS(AL$198:AL210)-1)+1),"")</f>
        <v>0</v>
      </c>
      <c r="AM210">
        <f>IFERROR(INDEX('M04-S04'!$W$18:$W$199,2*(ROWS(AM$198:AM210)-1)+1),"")</f>
        <v>0</v>
      </c>
      <c r="AN210" s="14">
        <f>IFERROR(INDEX('M04-S04'!$AX$18:$AX$199,2*(ROWS(AN$198:AN210)-1)+1),"")</f>
        <v>0</v>
      </c>
      <c r="AO210" s="14">
        <f>IFERROR(INDEX('M04-S04'!$AY$18:$AY$199,2*(ROWS(AO$198:AO210)-1)+1),"")</f>
        <v>0</v>
      </c>
      <c r="AP210">
        <f>IFERROR(INDEX('M04-S04'!$AZ$18:$AZ$199,2*(ROWS(AP$198:AP210)-1)+1),"")</f>
        <v>0</v>
      </c>
      <c r="AQ210">
        <f>IFERROR(INDEX('M04-S04'!$BE$18:$BE$199,2*(ROWS(AQ$198:AQ210)-1)+1),"")</f>
        <v>0</v>
      </c>
      <c r="AR210" t="s">
        <v>1254</v>
      </c>
      <c r="AS210"/>
      <c r="BL210"/>
      <c r="BP210"/>
      <c r="BQ210"/>
      <c r="BR210"/>
      <c r="CD210"/>
      <c r="CE210"/>
      <c r="CF210"/>
      <c r="CQ210"/>
      <c r="CR210"/>
      <c r="CS210"/>
      <c r="DS210"/>
      <c r="DT210"/>
      <c r="DU210"/>
    </row>
    <row r="211" spans="1:125" hidden="1">
      <c r="A211" s="15">
        <f t="shared" si="20"/>
        <v>0</v>
      </c>
      <c r="B211" t="str">
        <f t="shared" si="21"/>
        <v/>
      </c>
      <c r="C211" t="str">
        <f>IFERROR(IF(INDEX('M04-S04'!$BL$18:$BL$199,2*(ROWS($C$198:C211)-1)+1)="","",INDEX('M04-S04'!$BL$18:$BL$199,2*(ROWS($C$198:C211)-1)+1)),"")</f>
        <v/>
      </c>
      <c r="D211" t="s">
        <v>135</v>
      </c>
      <c r="E211">
        <f>IFERROR(INDEX('M04-S04'!$BF$18:$BF$199,2*(ROWS(E$198:E211)-1)+1),"")</f>
        <v>0</v>
      </c>
      <c r="F211" s="210"/>
      <c r="G211" s="194"/>
      <c r="H211" s="14" t="str">
        <f>IFERROR(ROUND(IF(AC211&lt;&gt;"","",INDEX('M04-S04'!$AH$18:$AH$199,2*(ROWS(H$198:H211)-1)+1)),2),"")</f>
        <v/>
      </c>
      <c r="I211" s="14" t="str">
        <f>IFERROR(ROUND(IF(AC211&lt;&gt;"","",INDEX('M04-S04'!$AJ$18:$AJ$199,2*(ROWS(I$198:I211)-1)+1)),2),"")</f>
        <v/>
      </c>
      <c r="J211" s="14" t="str">
        <f>IFERROR(ROUND(IF(AC211&lt;&gt;"","",INDEX('M04-S04'!$AL$18:$AL$199,2*(ROWS(J$198:J211)-1)+1)),2),"")</f>
        <v/>
      </c>
      <c r="K211" t="str">
        <f>IFERROR(IF(AC211&lt;&gt;"","",INDEX('M04-S04'!$AF$38:$AF$199,2*(ROWS(J$198:J211)-1)+1)),"")</f>
        <v/>
      </c>
      <c r="L211" s="10" t="str">
        <f>IFERROR(IF(AC211&lt;&gt;"","",ROUND(INDEX('M04-S04'!$BA$18:$BA$199,2*(ROWS(L$198:L211)-1)+1),3)),"")</f>
        <v/>
      </c>
      <c r="M211" s="10" t="str">
        <f>IFERROR(IF(AC211&lt;&gt;"","",ROUND(INDEX('M04-S04'!$BB$18:$BB$199,2*(ROWS(M$198:M211)-1)+1),3)),"")</f>
        <v/>
      </c>
      <c r="N211" s="219"/>
      <c r="O211" s="37" t="str">
        <f>IFERROR(IF(AC211&lt;&gt;"","",INDEX('M04-S04'!$AO$18:$AO$199,2*(ROWS(O$198:O211)-1)+1)),"")</f>
        <v/>
      </c>
      <c r="P211" s="37" t="str">
        <f>IFERROR(IF(AC211&lt;&gt;"","",INDEX('M04-S04'!$BH$18:$BH$199,2*(ROWS(P$198:P211)-1)+1)),"")</f>
        <v/>
      </c>
      <c r="Q211" s="37" t="str">
        <f>IFERROR(IF(AC211&lt;&gt;"","",INDEX('M04-S04'!$BG$18:$BG$199,2*(ROWS(Q$198:Q211)-1)+1)),"")</f>
        <v/>
      </c>
      <c r="R211" s="14" t="str">
        <f>IFERROR(IF(AC211&lt;&gt;"","",INDEX('M04-S04'!$AR$18:$AR$199,2*(ROWS(R$198:R211)-1)+1)),"")</f>
        <v/>
      </c>
      <c r="S211" s="14">
        <f>IFERROR(ROUND(IF(AC211&lt;&gt;"",INDEX('M04-S04'!$AH$18:$AH$199,2*(ROWS(S$198:S211)-1)+1),""),2),"")</f>
        <v>0</v>
      </c>
      <c r="T211" s="14">
        <f>IFERROR(ROUND(IF(AC211&lt;&gt;"",INDEX('M04-S04'!$AJ$18:$AJ$199,2*(ROWS(T$198:T211)-1)+1),""),2),"")</f>
        <v>0</v>
      </c>
      <c r="U211" s="14">
        <f>IFERROR(ROUND(IF(AC211&lt;&gt;"",INDEX('M04-S04'!$AL$18:$AL$199,2*(ROWS(U$198:U211)-1)+1),""),2),"")</f>
        <v>0</v>
      </c>
      <c r="V211">
        <f>IFERROR(IF(AC211&lt;&gt;"",INDEX('M04-S04'!$AF$38:$AF$199,2*(ROWS(V$198:V211)-1)+1),""),"")</f>
        <v>0</v>
      </c>
      <c r="W211" s="10">
        <f>IFERROR(IF(AC211&lt;&gt;"",ROUND(INDEX('M04-S04'!$BA$18:$BA$199,2*(ROWS(W$198:W211)-1)+1),3),""),"")</f>
        <v>0</v>
      </c>
      <c r="X211" s="10">
        <f>IFERROR(IF(AC211&lt;&gt;"",ROUND(INDEX('M04-S04'!$BB$18:$BB$199,2*(ROWS(X$198:X211)-1)+1),3),""),"")</f>
        <v>0</v>
      </c>
      <c r="Y211" s="210"/>
      <c r="Z211" s="31">
        <f>IFERROR(IF(AC211&lt;&gt;"",INDEX('M04-S04'!$AO$18:$AO$199,2*(ROWS(Z$198:Z211)-1)+1),""),"")</f>
        <v>0</v>
      </c>
      <c r="AA211" s="37">
        <f>IFERROR(IF(AC211&lt;&gt;"",INDEX('M04-S04'!$BH$18:$BH$199,2*(ROWS(AA$198:AA211)-1)+1),""),"")</f>
        <v>0</v>
      </c>
      <c r="AB211" s="37">
        <f>IFERROR(IF(AC211&lt;&gt;"",INDEX('M04-S04'!$BG$18:$BG$199,2*(ROWS(AB$198:AB211)-1)+1),""),"")</f>
        <v>0</v>
      </c>
      <c r="AC211">
        <f>IFERROR(INDEX('M04-S04'!$BN$18:$BN$199,2*(ROWS(AC$198:AC211)-1)+1),"")</f>
        <v>0</v>
      </c>
      <c r="AD211" s="37" cm="1">
        <f t="array" ref="AD211">IFERROR(INDEX('M04-S04'!$BC$18:$BC$199,2*(ROWS(AD$198:AD211)-1)+1),"")</f>
        <v>0</v>
      </c>
      <c r="AE211" s="37" cm="1">
        <f t="array" ref="AE211">IFERROR(INDEX('M04-S04'!$BD$18:$BD$199,2*(ROWS(AE$198:AE211)-1)+1),"")</f>
        <v>0</v>
      </c>
      <c r="AF211" s="210"/>
      <c r="AG211" s="210"/>
      <c r="AH211" s="210"/>
      <c r="AI211">
        <f>IFERROR(INDEX('M04-S04'!$B$18:$B$199,2*(ROWS(AI$198:AI211)-1)+1),"")</f>
        <v>0</v>
      </c>
      <c r="AJ211" s="194"/>
      <c r="AK211">
        <f>IFERROR(INDEX('M04-S04'!$H$18:$H$199,2*(ROWS(AK$198:AK211)-1)+1),"")</f>
        <v>0</v>
      </c>
      <c r="AL211">
        <f>IFERROR(INDEX('M04-S04'!$N$18:$N$199,2*(ROWS(AL$198:AL211)-1)+1),"")</f>
        <v>0</v>
      </c>
      <c r="AM211">
        <f>IFERROR(INDEX('M04-S04'!$W$18:$W$199,2*(ROWS(AM$198:AM211)-1)+1),"")</f>
        <v>0</v>
      </c>
      <c r="AN211" s="14">
        <f>IFERROR(INDEX('M04-S04'!$AX$18:$AX$199,2*(ROWS(AN$198:AN211)-1)+1),"")</f>
        <v>0</v>
      </c>
      <c r="AO211" s="14">
        <f>IFERROR(INDEX('M04-S04'!$AY$18:$AY$199,2*(ROWS(AO$198:AO211)-1)+1),"")</f>
        <v>0</v>
      </c>
      <c r="AP211">
        <f>IFERROR(INDEX('M04-S04'!$AZ$18:$AZ$199,2*(ROWS(AP$198:AP211)-1)+1),"")</f>
        <v>0</v>
      </c>
      <c r="AQ211">
        <f>IFERROR(INDEX('M04-S04'!$BE$18:$BE$199,2*(ROWS(AQ$198:AQ211)-1)+1),"")</f>
        <v>0</v>
      </c>
      <c r="AR211" t="s">
        <v>1254</v>
      </c>
      <c r="AS211"/>
      <c r="BL211"/>
      <c r="BP211"/>
      <c r="BQ211"/>
      <c r="BR211"/>
      <c r="CD211"/>
      <c r="CE211"/>
      <c r="CF211"/>
      <c r="CQ211"/>
      <c r="CR211"/>
      <c r="CS211"/>
      <c r="DS211"/>
      <c r="DT211"/>
      <c r="DU211"/>
    </row>
    <row r="212" spans="1:125" hidden="1">
      <c r="A212" s="15">
        <f t="shared" si="20"/>
        <v>0</v>
      </c>
      <c r="B212" t="str">
        <f t="shared" si="21"/>
        <v/>
      </c>
      <c r="C212" t="str">
        <f>IFERROR(IF(INDEX('M04-S04'!$BL$18:$BL$199,2*(ROWS($C$198:C212)-1)+1)="","",INDEX('M04-S04'!$BL$18:$BL$199,2*(ROWS($C$198:C212)-1)+1)),"")</f>
        <v/>
      </c>
      <c r="D212" t="s">
        <v>135</v>
      </c>
      <c r="E212">
        <f>IFERROR(INDEX('M04-S04'!$BF$18:$BF$199,2*(ROWS(E$198:E212)-1)+1),"")</f>
        <v>0</v>
      </c>
      <c r="F212" s="210"/>
      <c r="G212" s="194"/>
      <c r="H212" s="14" t="str">
        <f>IFERROR(ROUND(IF(AC212&lt;&gt;"","",INDEX('M04-S04'!$AH$18:$AH$199,2*(ROWS(H$198:H212)-1)+1)),2),"")</f>
        <v/>
      </c>
      <c r="I212" s="14" t="str">
        <f>IFERROR(ROUND(IF(AC212&lt;&gt;"","",INDEX('M04-S04'!$AJ$18:$AJ$199,2*(ROWS(I$198:I212)-1)+1)),2),"")</f>
        <v/>
      </c>
      <c r="J212" s="14" t="str">
        <f>IFERROR(ROUND(IF(AC212&lt;&gt;"","",INDEX('M04-S04'!$AL$18:$AL$199,2*(ROWS(J$198:J212)-1)+1)),2),"")</f>
        <v/>
      </c>
      <c r="K212" t="str">
        <f>IFERROR(IF(AC212&lt;&gt;"","",INDEX('M04-S04'!$AF$38:$AF$199,2*(ROWS(J$198:J212)-1)+1)),"")</f>
        <v/>
      </c>
      <c r="L212" s="10" t="str">
        <f>IFERROR(IF(AC212&lt;&gt;"","",ROUND(INDEX('M04-S04'!$BA$18:$BA$199,2*(ROWS(L$198:L212)-1)+1),3)),"")</f>
        <v/>
      </c>
      <c r="M212" s="10" t="str">
        <f>IFERROR(IF(AC212&lt;&gt;"","",ROUND(INDEX('M04-S04'!$BB$18:$BB$199,2*(ROWS(M$198:M212)-1)+1),3)),"")</f>
        <v/>
      </c>
      <c r="N212" s="219"/>
      <c r="O212" s="37" t="str">
        <f>IFERROR(IF(AC212&lt;&gt;"","",INDEX('M04-S04'!$AO$18:$AO$199,2*(ROWS(O$198:O212)-1)+1)),"")</f>
        <v/>
      </c>
      <c r="P212" s="37" t="str">
        <f>IFERROR(IF(AC212&lt;&gt;"","",INDEX('M04-S04'!$BH$18:$BH$199,2*(ROWS(P$198:P212)-1)+1)),"")</f>
        <v/>
      </c>
      <c r="Q212" s="37" t="str">
        <f>IFERROR(IF(AC212&lt;&gt;"","",INDEX('M04-S04'!$BG$18:$BG$199,2*(ROWS(Q$198:Q212)-1)+1)),"")</f>
        <v/>
      </c>
      <c r="R212" s="14" t="str">
        <f>IFERROR(IF(AC212&lt;&gt;"","",INDEX('M04-S04'!$AR$18:$AR$199,2*(ROWS(R$198:R212)-1)+1)),"")</f>
        <v/>
      </c>
      <c r="S212" s="14">
        <f>IFERROR(ROUND(IF(AC212&lt;&gt;"",INDEX('M04-S04'!$AH$18:$AH$199,2*(ROWS(S$198:S212)-1)+1),""),2),"")</f>
        <v>0</v>
      </c>
      <c r="T212" s="14">
        <f>IFERROR(ROUND(IF(AC212&lt;&gt;"",INDEX('M04-S04'!$AJ$18:$AJ$199,2*(ROWS(T$198:T212)-1)+1),""),2),"")</f>
        <v>0</v>
      </c>
      <c r="U212" s="14">
        <f>IFERROR(ROUND(IF(AC212&lt;&gt;"",INDEX('M04-S04'!$AL$18:$AL$199,2*(ROWS(U$198:U212)-1)+1),""),2),"")</f>
        <v>0</v>
      </c>
      <c r="V212">
        <f>IFERROR(IF(AC212&lt;&gt;"",INDEX('M04-S04'!$AF$38:$AF$199,2*(ROWS(V$198:V212)-1)+1),""),"")</f>
        <v>0</v>
      </c>
      <c r="W212" s="10">
        <f>IFERROR(IF(AC212&lt;&gt;"",ROUND(INDEX('M04-S04'!$BA$18:$BA$199,2*(ROWS(W$198:W212)-1)+1),3),""),"")</f>
        <v>0</v>
      </c>
      <c r="X212" s="10">
        <f>IFERROR(IF(AC212&lt;&gt;"",ROUND(INDEX('M04-S04'!$BB$18:$BB$199,2*(ROWS(X$198:X212)-1)+1),3),""),"")</f>
        <v>0</v>
      </c>
      <c r="Y212" s="210"/>
      <c r="Z212" s="31">
        <f>IFERROR(IF(AC212&lt;&gt;"",INDEX('M04-S04'!$AO$18:$AO$199,2*(ROWS(Z$198:Z212)-1)+1),""),"")</f>
        <v>0</v>
      </c>
      <c r="AA212" s="37">
        <f>IFERROR(IF(AC212&lt;&gt;"",INDEX('M04-S04'!$BH$18:$BH$199,2*(ROWS(AA$198:AA212)-1)+1),""),"")</f>
        <v>0</v>
      </c>
      <c r="AB212" s="37">
        <f>IFERROR(IF(AC212&lt;&gt;"",INDEX('M04-S04'!$BG$18:$BG$199,2*(ROWS(AB$198:AB212)-1)+1),""),"")</f>
        <v>0</v>
      </c>
      <c r="AC212">
        <f>IFERROR(INDEX('M04-S04'!$BN$18:$BN$199,2*(ROWS(AC$198:AC212)-1)+1),"")</f>
        <v>0</v>
      </c>
      <c r="AD212" s="37" cm="1">
        <f t="array" ref="AD212">IFERROR(INDEX('M04-S04'!$BC$18:$BC$199,2*(ROWS(AD$198:AD212)-1)+1),"")</f>
        <v>0</v>
      </c>
      <c r="AE212" s="37" cm="1">
        <f t="array" ref="AE212">IFERROR(INDEX('M04-S04'!$BD$18:$BD$199,2*(ROWS(AE$198:AE212)-1)+1),"")</f>
        <v>0</v>
      </c>
      <c r="AF212" s="210"/>
      <c r="AG212" s="210"/>
      <c r="AH212" s="210"/>
      <c r="AI212">
        <f>IFERROR(INDEX('M04-S04'!$B$18:$B$199,2*(ROWS(AI$198:AI212)-1)+1),"")</f>
        <v>0</v>
      </c>
      <c r="AJ212" s="194"/>
      <c r="AK212">
        <f>IFERROR(INDEX('M04-S04'!$H$18:$H$199,2*(ROWS(AK$198:AK212)-1)+1),"")</f>
        <v>0</v>
      </c>
      <c r="AL212">
        <f>IFERROR(INDEX('M04-S04'!$N$18:$N$199,2*(ROWS(AL$198:AL212)-1)+1),"")</f>
        <v>0</v>
      </c>
      <c r="AM212">
        <f>IFERROR(INDEX('M04-S04'!$W$18:$W$199,2*(ROWS(AM$198:AM212)-1)+1),"")</f>
        <v>0</v>
      </c>
      <c r="AN212" s="14">
        <f>IFERROR(INDEX('M04-S04'!$AX$18:$AX$199,2*(ROWS(AN$198:AN212)-1)+1),"")</f>
        <v>0</v>
      </c>
      <c r="AO212" s="14">
        <f>IFERROR(INDEX('M04-S04'!$AY$18:$AY$199,2*(ROWS(AO$198:AO212)-1)+1),"")</f>
        <v>0</v>
      </c>
      <c r="AP212">
        <f>IFERROR(INDEX('M04-S04'!$AZ$18:$AZ$199,2*(ROWS(AP$198:AP212)-1)+1),"")</f>
        <v>0</v>
      </c>
      <c r="AQ212">
        <f>IFERROR(INDEX('M04-S04'!$BE$18:$BE$199,2*(ROWS(AQ$198:AQ212)-1)+1),"")</f>
        <v>0</v>
      </c>
      <c r="AR212" t="s">
        <v>1254</v>
      </c>
      <c r="AS212"/>
      <c r="BL212"/>
      <c r="BP212"/>
      <c r="BQ212"/>
      <c r="BR212"/>
      <c r="CD212"/>
      <c r="CE212"/>
      <c r="CF212"/>
      <c r="CQ212"/>
      <c r="CR212"/>
      <c r="CS212"/>
      <c r="DS212"/>
      <c r="DT212"/>
      <c r="DU212"/>
    </row>
    <row r="213" spans="1:125">
      <c r="A213" s="226" t="str">
        <f>"Custom "&amp;M4S5</f>
        <v>Custom HVAC</v>
      </c>
      <c r="B213" s="36"/>
      <c r="C213" s="36"/>
      <c r="D213" s="36"/>
      <c r="E213" s="36"/>
      <c r="F213" s="211"/>
      <c r="G213" s="36"/>
      <c r="H213" s="206"/>
      <c r="I213" s="206"/>
      <c r="J213" s="206"/>
      <c r="K213" s="36"/>
      <c r="L213" s="214"/>
      <c r="M213" s="214"/>
      <c r="N213" s="217"/>
      <c r="O213" s="217"/>
      <c r="P213" s="217"/>
      <c r="Q213" s="217"/>
      <c r="R213" s="206"/>
      <c r="S213" s="206"/>
      <c r="T213" s="206"/>
      <c r="U213" s="206"/>
      <c r="V213" s="36"/>
      <c r="W213" s="214"/>
      <c r="X213" s="214"/>
      <c r="Y213" s="211"/>
      <c r="Z213" s="211"/>
      <c r="AA213" s="217"/>
      <c r="AB213" s="217"/>
      <c r="AC213" s="36"/>
      <c r="AD213" s="217"/>
      <c r="AE213" s="217"/>
      <c r="AF213" s="211"/>
      <c r="AG213" s="211"/>
      <c r="AH213" s="211"/>
      <c r="AI213" s="36"/>
      <c r="AJ213" s="36"/>
      <c r="AK213" s="109"/>
      <c r="AL213" s="36"/>
      <c r="AM213" s="36"/>
      <c r="AN213" s="206"/>
      <c r="AO213" s="206"/>
      <c r="AP213" s="36"/>
      <c r="AQ213" s="36"/>
      <c r="AR213" s="36"/>
      <c r="AS213" s="36"/>
      <c r="AT213" s="36"/>
      <c r="BL213"/>
      <c r="BP213"/>
      <c r="BQ213"/>
      <c r="BR213"/>
      <c r="CD213"/>
      <c r="CE213"/>
      <c r="CF213"/>
      <c r="CQ213"/>
      <c r="CR213"/>
      <c r="CS213"/>
      <c r="DS213"/>
      <c r="DT213"/>
      <c r="DU213"/>
    </row>
    <row r="214" spans="1:125" hidden="1">
      <c r="A214" s="15">
        <f t="shared" ref="A214:A228" si="22">PROJID</f>
        <v>0</v>
      </c>
      <c r="B214" t="str">
        <f>IF(C214="","",CONCATENATE(ROW(),"-",C214))</f>
        <v/>
      </c>
      <c r="C214" t="str">
        <f>IFERROR(IF(INDEX('M04-S05'!$BL$18:$BL$199,2*(ROWS($C$214:C214)-1)+1)="","",INDEX('M04-S05'!$BL$18:$BL$199,2*(ROWS($C$214:C214)-1)+1)),"")</f>
        <v/>
      </c>
      <c r="D214" t="s">
        <v>135</v>
      </c>
      <c r="E214" t="str">
        <f>IFERROR(INDEX('M04-S05'!$BF$18:$BF$199,2*(ROWS(E$214:E214)-1)+1),"")</f>
        <v/>
      </c>
      <c r="F214" s="210"/>
      <c r="G214" s="194"/>
      <c r="H214" s="14" t="str">
        <f ca="1">IFERROR(ROUND(IF(AC214&lt;&gt;"","",INDEX('M04-S05'!$AH$18:$AH$199,2*(ROWS(H$214:H214)-1)+1)),2),"")</f>
        <v/>
      </c>
      <c r="I214" s="14" t="str">
        <f ca="1">IFERROR(ROUND(IF(AC214&lt;&gt;"","",INDEX('M04-S05'!$AJ$18:$AJ$199,2*(ROWS(I$214:I214)-1)+1)),2),"")</f>
        <v/>
      </c>
      <c r="J214" s="14" t="str">
        <f ca="1">IFERROR(ROUND(IF(AC214&lt;&gt;"","",INDEX('M04-S05'!$AL$18:$AL$199,2*(ROWS(J$214:J214)-1)+1)),2),"")</f>
        <v/>
      </c>
      <c r="K214" t="str">
        <f ca="1">IFERROR(IF(AC214&lt;&gt;"","",INDEX('M04-S05'!$AF$38:$AF$199,2*(ROWS(J$214:J214)-1)+1)),"")</f>
        <v/>
      </c>
      <c r="L214" s="10" t="str">
        <f ca="1">IFERROR(IF(AC214&lt;&gt;"","",ROUND(INDEX('M04-S05'!$BA$18:$BA$199,2*(ROWS(L$214:L214)-1)+1),3)),"")</f>
        <v/>
      </c>
      <c r="M214" s="10" t="str">
        <f ca="1">IFERROR(IF(AC214&lt;&gt;"","",ROUND(INDEX('M04-S05'!$BB$18:$BB$199,2*(ROWS(M$214:M214)-1)+1),3)),"")</f>
        <v/>
      </c>
      <c r="N214" s="219"/>
      <c r="O214" s="37" t="str">
        <f ca="1">IFERROR(IF(AC214&lt;&gt;"","",INDEX('M04-S05'!$AO$18:$AO$199,2*(ROWS(O$214:O214)-1)+1)),"")</f>
        <v/>
      </c>
      <c r="P214" s="37" t="str">
        <f ca="1">IFERROR(IF(AC214&lt;&gt;"","",INDEX('M04-S05'!$BH$18:$BH$199,2*(ROWS(P$214:P214)-1)+1)),"")</f>
        <v/>
      </c>
      <c r="Q214" s="37" t="str">
        <f ca="1">IFERROR(IF(AC214&lt;&gt;"","",INDEX('M04-S05'!$BG$18:$BG$199,2*(ROWS(Q$214:Q214)-1)+1)),"")</f>
        <v/>
      </c>
      <c r="R214" s="14" t="str">
        <f ca="1">IFERROR(IF(AC214&lt;&gt;"","",INDEX('M04-S05'!$AR$18:$AR$199,2*(ROWS(R$214:R214)-1)+1)),"")</f>
        <v/>
      </c>
      <c r="S214" s="14">
        <f ca="1">IFERROR(ROUND(IF(AC214&lt;&gt;"",INDEX('M04-S05'!$AH$18:$AH$199,2*(ROWS(S$214:S214)-1)+1),""),2),"")</f>
        <v>0</v>
      </c>
      <c r="T214" s="14" t="str">
        <f ca="1">IFERROR(ROUND(IF(AC214&lt;&gt;"",INDEX('M04-S05'!$AJ$18:$AJ$199,2*(ROWS(T$214:T214)-1)+1),""),2),"")</f>
        <v/>
      </c>
      <c r="U214" s="14" t="str">
        <f ca="1">IFERROR(ROUND(IF(AC214&lt;&gt;"",INDEX('M04-S05'!$AL$18:$AL$199,2*(ROWS(U$214:U214)-1)+1),""),2),"")</f>
        <v/>
      </c>
      <c r="V214">
        <f ca="1">IFERROR(IF(AC214&lt;&gt;"",INDEX('M04-S05'!$AF$38:$AF$199,2*(ROWS(V$214:V214)-1)+1),""),"")</f>
        <v>0</v>
      </c>
      <c r="W214" s="10" t="str">
        <f ca="1">IFERROR(IF(AC214&lt;&gt;"",ROUND(INDEX('M04-S05'!$BA$18:$BA$199,2*(ROWS(W$214:W214)-1)+1),3),""),"")</f>
        <v/>
      </c>
      <c r="X214" s="10" t="str">
        <f ca="1">IFERROR(IF(AC214&lt;&gt;"",ROUND(INDEX('M04-S05'!$BB$18:$BB$199,2*(ROWS(X$214:X214)-1)+1),3),""),"")</f>
        <v/>
      </c>
      <c r="Y214" s="210"/>
      <c r="Z214" s="31" t="str">
        <f ca="1">IFERROR(IF(AC214&lt;&gt;"",INDEX('M04-S05'!$AO$18:$AO$199,2*(ROWS(Z$214:Z214)-1)+1),""),"")</f>
        <v/>
      </c>
      <c r="AA214" s="37">
        <f ca="1">IFERROR(IF(AC214&lt;&gt;"",INDEX('M04-S05'!$BH$18:$BH$199,2*(ROWS(AA$214:AA214)-1)+1),""),"")</f>
        <v>0</v>
      </c>
      <c r="AB214" s="37" t="str">
        <f ca="1">IFERROR(IF(AC214&lt;&gt;"",INDEX('M04-S05'!$BG$18:$BG$199,2*(ROWS(AB$214:AB214)-1)+1),""),"")</f>
        <v/>
      </c>
      <c r="AC214" t="str">
        <f ca="1">IFERROR(INDEX('M04-S05'!$BN$18:$BN$199,2*(ROWS(AC$214:AC214)-1)+1),"")</f>
        <v>Submit for Review</v>
      </c>
      <c r="AD214" s="37" t="str" cm="1">
        <f t="array" ref="AD214">IFERROR(INDEX('M04-S05'!$BC$18:$BC$199,2*(ROWS(AD$214:AD214)-1)+1),"")</f>
        <v/>
      </c>
      <c r="AE214" s="37" t="str" cm="1">
        <f t="array" ref="AE214">IFERROR(INDEX('M04-S05'!$BD$18:$BD$199,2*(ROWS(AE$214:AE214)-1)+1),"")</f>
        <v/>
      </c>
      <c r="AF214" s="210"/>
      <c r="AG214" s="210"/>
      <c r="AH214" s="210"/>
      <c r="AI214">
        <f>IFERROR(INDEX('M04-S05'!$B$18:$B$199,2*(ROWS(AI$214:AI214)-1)+1),"")</f>
        <v>1</v>
      </c>
      <c r="AJ214" s="194"/>
      <c r="AK214">
        <f>IFERROR(INDEX('M04-S05'!$H$18:$H$199,2*(ROWS(AK$214:AK214)-1)+1),"")</f>
        <v>0</v>
      </c>
      <c r="AL214">
        <f>IFERROR(INDEX('M04-S05'!$N$18:$N$199,2*(ROWS(AL$214:AL214)-1)+1),"")</f>
        <v>0</v>
      </c>
      <c r="AM214">
        <f>IFERROR(INDEX('M04-S05'!$W$18:$W$199,2*(ROWS(AM$214:AM214)-1)+1),"")</f>
        <v>0</v>
      </c>
      <c r="AN214" s="14" t="str">
        <f>IFERROR(INDEX('M04-S05'!$AX$18:$AX$199,2*(ROWS(AN$214:AN214)-1)+1),"")</f>
        <v/>
      </c>
      <c r="AO214" s="14" t="str">
        <f>IFERROR(INDEX('M04-S05'!$AY$18:$AY$199,2*(ROWS(AO$214:AO214)-1)+1),"")</f>
        <v/>
      </c>
      <c r="AP214" t="str">
        <f>IFERROR(INDEX('M04-S05'!$AZ$18:$AZ$199,2*(ROWS(AP$214:AP214)-1)+1),"")</f>
        <v/>
      </c>
      <c r="AQ214" t="str">
        <f>IFERROR(INDEX('M04-S05'!$BE$18:$BE$199,2*(ROWS(AQ$214:AQ214)-1)+1),"")</f>
        <v/>
      </c>
      <c r="AR214" t="s">
        <v>1254</v>
      </c>
      <c r="AS214"/>
      <c r="BL214"/>
      <c r="BP214"/>
      <c r="BQ214"/>
      <c r="BR214"/>
      <c r="CD214"/>
      <c r="CE214"/>
      <c r="CF214"/>
      <c r="CQ214"/>
      <c r="CR214"/>
      <c r="CS214"/>
      <c r="DS214"/>
      <c r="DT214"/>
      <c r="DU214"/>
    </row>
    <row r="215" spans="1:125" hidden="1">
      <c r="A215" s="15">
        <f t="shared" si="22"/>
        <v>0</v>
      </c>
      <c r="B215" t="str">
        <f t="shared" ref="B215:B228" si="23">IF(C215="","",CONCATENATE(ROW(),"-",C215))</f>
        <v/>
      </c>
      <c r="C215" t="str">
        <f>IFERROR(IF(INDEX('M04-S05'!$BL$18:$BL$199,2*(ROWS($C$214:C215)-1)+1)="","",INDEX('M04-S05'!$BL$18:$BL$199,2*(ROWS($C$214:C215)-1)+1)),"")</f>
        <v/>
      </c>
      <c r="D215" t="s">
        <v>135</v>
      </c>
      <c r="E215" t="str">
        <f>IFERROR(INDEX('M04-S05'!$BF$18:$BF$199,2*(ROWS(E$214:E215)-1)+1),"")</f>
        <v/>
      </c>
      <c r="F215" s="210"/>
      <c r="G215" s="194"/>
      <c r="H215" s="14" t="str">
        <f ca="1">IFERROR(ROUND(IF(AC215&lt;&gt;"","",INDEX('M04-S05'!$AH$18:$AH$199,2*(ROWS(H$214:H215)-1)+1)),2),"")</f>
        <v/>
      </c>
      <c r="I215" s="14" t="str">
        <f ca="1">IFERROR(ROUND(IF(AC215&lt;&gt;"","",INDEX('M04-S05'!$AJ$18:$AJ$199,2*(ROWS(I$214:I215)-1)+1)),2),"")</f>
        <v/>
      </c>
      <c r="J215" s="14" t="str">
        <f ca="1">IFERROR(ROUND(IF(AC215&lt;&gt;"","",INDEX('M04-S05'!$AL$18:$AL$199,2*(ROWS(J$214:J215)-1)+1)),2),"")</f>
        <v/>
      </c>
      <c r="K215" t="str">
        <f ca="1">IFERROR(IF(AC215&lt;&gt;"","",INDEX('M04-S05'!$AF$38:$AF$199,2*(ROWS(J$214:J215)-1)+1)),"")</f>
        <v/>
      </c>
      <c r="L215" s="10" t="str">
        <f ca="1">IFERROR(IF(AC215&lt;&gt;"","",ROUND(INDEX('M04-S05'!$BA$18:$BA$199,2*(ROWS(L$214:L215)-1)+1),3)),"")</f>
        <v/>
      </c>
      <c r="M215" s="10" t="str">
        <f ca="1">IFERROR(IF(AC215&lt;&gt;"","",ROUND(INDEX('M04-S05'!$BB$18:$BB$199,2*(ROWS(M$214:M215)-1)+1),3)),"")</f>
        <v/>
      </c>
      <c r="N215" s="219"/>
      <c r="O215" s="37" t="str">
        <f ca="1">IFERROR(IF(AC215&lt;&gt;"","",INDEX('M04-S05'!$AO$18:$AO$199,2*(ROWS(O$214:O215)-1)+1)),"")</f>
        <v/>
      </c>
      <c r="P215" s="37" t="str">
        <f ca="1">IFERROR(IF(AC215&lt;&gt;"","",INDEX('M04-S05'!$BH$18:$BH$199,2*(ROWS(P$214:P215)-1)+1)),"")</f>
        <v/>
      </c>
      <c r="Q215" s="37" t="str">
        <f ca="1">IFERROR(IF(AC215&lt;&gt;"","",INDEX('M04-S05'!$BG$18:$BG$199,2*(ROWS(Q$214:Q215)-1)+1)),"")</f>
        <v/>
      </c>
      <c r="R215" s="14" t="str">
        <f ca="1">IFERROR(IF(AC215&lt;&gt;"","",INDEX('M04-S05'!$AR$18:$AR$199,2*(ROWS(R$214:R215)-1)+1)),"")</f>
        <v/>
      </c>
      <c r="S215" s="14">
        <f ca="1">IFERROR(ROUND(IF(AC215&lt;&gt;"",INDEX('M04-S05'!$AH$18:$AH$199,2*(ROWS(S$214:S215)-1)+1),""),2),"")</f>
        <v>0</v>
      </c>
      <c r="T215" s="14" t="str">
        <f ca="1">IFERROR(ROUND(IF(AC215&lt;&gt;"",INDEX('M04-S05'!$AJ$18:$AJ$199,2*(ROWS(T$214:T215)-1)+1),""),2),"")</f>
        <v/>
      </c>
      <c r="U215" s="14" t="str">
        <f ca="1">IFERROR(ROUND(IF(AC215&lt;&gt;"",INDEX('M04-S05'!$AL$18:$AL$199,2*(ROWS(U$214:U215)-1)+1),""),2),"")</f>
        <v/>
      </c>
      <c r="V215">
        <f ca="1">IFERROR(IF(AC215&lt;&gt;"",INDEX('M04-S05'!$AF$38:$AF$199,2*(ROWS(V$214:V215)-1)+1),""),"")</f>
        <v>0</v>
      </c>
      <c r="W215" s="10" t="str">
        <f ca="1">IFERROR(IF(AC215&lt;&gt;"",ROUND(INDEX('M04-S05'!$BA$18:$BA$199,2*(ROWS(W$214:W215)-1)+1),3),""),"")</f>
        <v/>
      </c>
      <c r="X215" s="10" t="str">
        <f ca="1">IFERROR(IF(AC215&lt;&gt;"",ROUND(INDEX('M04-S05'!$BB$18:$BB$199,2*(ROWS(X$214:X215)-1)+1),3),""),"")</f>
        <v/>
      </c>
      <c r="Y215" s="210"/>
      <c r="Z215" s="31" t="str">
        <f ca="1">IFERROR(IF(AC215&lt;&gt;"",INDEX('M04-S05'!$AO$18:$AO$199,2*(ROWS(Z$214:Z215)-1)+1),""),"")</f>
        <v/>
      </c>
      <c r="AA215" s="37">
        <f ca="1">IFERROR(IF(AC215&lt;&gt;"",INDEX('M04-S05'!$BH$18:$BH$199,2*(ROWS(AA$214:AA215)-1)+1),""),"")</f>
        <v>0</v>
      </c>
      <c r="AB215" s="37" t="str">
        <f ca="1">IFERROR(IF(AC215&lt;&gt;"",INDEX('M04-S05'!$BG$18:$BG$199,2*(ROWS(AB$214:AB215)-1)+1),""),"")</f>
        <v/>
      </c>
      <c r="AC215" t="str">
        <f ca="1">IFERROR(INDEX('M04-S05'!$BN$18:$BN$199,2*(ROWS(AC$214:AC215)-1)+1),"")</f>
        <v>Submit for Review</v>
      </c>
      <c r="AD215" s="37" t="str" cm="1">
        <f t="array" ref="AD215">IFERROR(INDEX('M04-S05'!$BC$18:$BC$199,2*(ROWS(AD$214:AD215)-1)+1),"")</f>
        <v/>
      </c>
      <c r="AE215" s="37" t="str" cm="1">
        <f t="array" ref="AE215">IFERROR(INDEX('M04-S05'!$BD$18:$BD$199,2*(ROWS(AE$214:AE215)-1)+1),"")</f>
        <v/>
      </c>
      <c r="AF215" s="210"/>
      <c r="AG215" s="210"/>
      <c r="AH215" s="210"/>
      <c r="AI215">
        <f>IFERROR(INDEX('M04-S05'!$B$18:$B$199,2*(ROWS(AI$214:AI215)-1)+1),"")</f>
        <v>2</v>
      </c>
      <c r="AJ215" s="194"/>
      <c r="AK215">
        <f>IFERROR(INDEX('M04-S05'!$H$18:$H$199,2*(ROWS(AK$214:AK215)-1)+1),"")</f>
        <v>0</v>
      </c>
      <c r="AL215">
        <f>IFERROR(INDEX('M04-S05'!$N$18:$N$199,2*(ROWS(AL$214:AL215)-1)+1),"")</f>
        <v>0</v>
      </c>
      <c r="AM215">
        <f>IFERROR(INDEX('M04-S05'!$W$18:$W$199,2*(ROWS(AM$214:AM215)-1)+1),"")</f>
        <v>0</v>
      </c>
      <c r="AN215" s="14" t="str">
        <f>IFERROR(INDEX('M04-S05'!$AX$18:$AX$199,2*(ROWS(AN$214:AN215)-1)+1),"")</f>
        <v/>
      </c>
      <c r="AO215" s="14" t="str">
        <f>IFERROR(INDEX('M04-S05'!$AY$18:$AY$199,2*(ROWS(AO$214:AO215)-1)+1),"")</f>
        <v/>
      </c>
      <c r="AP215" t="str">
        <f>IFERROR(INDEX('M04-S05'!$AZ$18:$AZ$199,2*(ROWS(AP$214:AP215)-1)+1),"")</f>
        <v/>
      </c>
      <c r="AQ215" t="str">
        <f>IFERROR(INDEX('M04-S05'!$BE$18:$BE$199,2*(ROWS(AQ$214:AQ215)-1)+1),"")</f>
        <v/>
      </c>
      <c r="AR215" t="s">
        <v>1254</v>
      </c>
      <c r="AS215"/>
      <c r="BL215"/>
      <c r="BP215"/>
      <c r="BQ215"/>
      <c r="BR215"/>
      <c r="CD215"/>
      <c r="CE215"/>
      <c r="CF215"/>
      <c r="CQ215"/>
      <c r="CR215"/>
      <c r="CS215"/>
      <c r="DS215"/>
      <c r="DT215"/>
      <c r="DU215"/>
    </row>
    <row r="216" spans="1:125" hidden="1">
      <c r="A216" s="15">
        <f t="shared" si="22"/>
        <v>0</v>
      </c>
      <c r="B216" t="str">
        <f t="shared" si="23"/>
        <v/>
      </c>
      <c r="C216" t="str">
        <f>IFERROR(IF(INDEX('M04-S05'!$BL$18:$BL$199,2*(ROWS($C$214:C216)-1)+1)="","",INDEX('M04-S05'!$BL$18:$BL$199,2*(ROWS($C$214:C216)-1)+1)),"")</f>
        <v/>
      </c>
      <c r="D216" t="s">
        <v>135</v>
      </c>
      <c r="E216" t="str">
        <f>IFERROR(INDEX('M04-S05'!$BF$18:$BF$199,2*(ROWS(E$214:E216)-1)+1),"")</f>
        <v/>
      </c>
      <c r="F216" s="210"/>
      <c r="G216" s="194"/>
      <c r="H216" s="14" t="str">
        <f ca="1">IFERROR(ROUND(IF(AC216&lt;&gt;"","",INDEX('M04-S05'!$AH$18:$AH$199,2*(ROWS(H$214:H216)-1)+1)),2),"")</f>
        <v/>
      </c>
      <c r="I216" s="14" t="str">
        <f ca="1">IFERROR(ROUND(IF(AC216&lt;&gt;"","",INDEX('M04-S05'!$AJ$18:$AJ$199,2*(ROWS(I$214:I216)-1)+1)),2),"")</f>
        <v/>
      </c>
      <c r="J216" s="14" t="str">
        <f ca="1">IFERROR(ROUND(IF(AC216&lt;&gt;"","",INDEX('M04-S05'!$AL$18:$AL$199,2*(ROWS(J$214:J216)-1)+1)),2),"")</f>
        <v/>
      </c>
      <c r="K216" t="str">
        <f ca="1">IFERROR(IF(AC216&lt;&gt;"","",INDEX('M04-S05'!$AF$38:$AF$199,2*(ROWS(J$214:J216)-1)+1)),"")</f>
        <v/>
      </c>
      <c r="L216" s="10" t="str">
        <f ca="1">IFERROR(IF(AC216&lt;&gt;"","",ROUND(INDEX('M04-S05'!$BA$18:$BA$199,2*(ROWS(L$214:L216)-1)+1),3)),"")</f>
        <v/>
      </c>
      <c r="M216" s="10" t="str">
        <f ca="1">IFERROR(IF(AC216&lt;&gt;"","",ROUND(INDEX('M04-S05'!$BB$18:$BB$199,2*(ROWS(M$214:M216)-1)+1),3)),"")</f>
        <v/>
      </c>
      <c r="N216" s="219"/>
      <c r="O216" s="37" t="str">
        <f ca="1">IFERROR(IF(AC216&lt;&gt;"","",INDEX('M04-S05'!$AO$18:$AO$199,2*(ROWS(O$214:O216)-1)+1)),"")</f>
        <v/>
      </c>
      <c r="P216" s="37" t="str">
        <f ca="1">IFERROR(IF(AC216&lt;&gt;"","",INDEX('M04-S05'!$BH$18:$BH$199,2*(ROWS(P$214:P216)-1)+1)),"")</f>
        <v/>
      </c>
      <c r="Q216" s="37" t="str">
        <f ca="1">IFERROR(IF(AC216&lt;&gt;"","",INDEX('M04-S05'!$BG$18:$BG$199,2*(ROWS(Q$214:Q216)-1)+1)),"")</f>
        <v/>
      </c>
      <c r="R216" s="14" t="str">
        <f ca="1">IFERROR(IF(AC216&lt;&gt;"","",INDEX('M04-S05'!$AR$18:$AR$199,2*(ROWS(R$214:R216)-1)+1)),"")</f>
        <v/>
      </c>
      <c r="S216" s="14">
        <f ca="1">IFERROR(ROUND(IF(AC216&lt;&gt;"",INDEX('M04-S05'!$AH$18:$AH$199,2*(ROWS(S$214:S216)-1)+1),""),2),"")</f>
        <v>0</v>
      </c>
      <c r="T216" s="14" t="str">
        <f ca="1">IFERROR(ROUND(IF(AC216&lt;&gt;"",INDEX('M04-S05'!$AJ$18:$AJ$199,2*(ROWS(T$214:T216)-1)+1),""),2),"")</f>
        <v/>
      </c>
      <c r="U216" s="14" t="str">
        <f ca="1">IFERROR(ROUND(IF(AC216&lt;&gt;"",INDEX('M04-S05'!$AL$18:$AL$199,2*(ROWS(U$214:U216)-1)+1),""),2),"")</f>
        <v/>
      </c>
      <c r="V216">
        <f ca="1">IFERROR(IF(AC216&lt;&gt;"",INDEX('M04-S05'!$AF$38:$AF$199,2*(ROWS(V$214:V216)-1)+1),""),"")</f>
        <v>0</v>
      </c>
      <c r="W216" s="10" t="str">
        <f ca="1">IFERROR(IF(AC216&lt;&gt;"",ROUND(INDEX('M04-S05'!$BA$18:$BA$199,2*(ROWS(W$214:W216)-1)+1),3),""),"")</f>
        <v/>
      </c>
      <c r="X216" s="10" t="str">
        <f ca="1">IFERROR(IF(AC216&lt;&gt;"",ROUND(INDEX('M04-S05'!$BB$18:$BB$199,2*(ROWS(X$214:X216)-1)+1),3),""),"")</f>
        <v/>
      </c>
      <c r="Y216" s="210"/>
      <c r="Z216" s="31" t="str">
        <f ca="1">IFERROR(IF(AC216&lt;&gt;"",INDEX('M04-S05'!$AO$18:$AO$199,2*(ROWS(Z$214:Z216)-1)+1),""),"")</f>
        <v/>
      </c>
      <c r="AA216" s="37">
        <f ca="1">IFERROR(IF(AC216&lt;&gt;"",INDEX('M04-S05'!$BH$18:$BH$199,2*(ROWS(AA$214:AA216)-1)+1),""),"")</f>
        <v>0</v>
      </c>
      <c r="AB216" s="37" t="str">
        <f ca="1">IFERROR(IF(AC216&lt;&gt;"",INDEX('M04-S05'!$BG$18:$BG$199,2*(ROWS(AB$214:AB216)-1)+1),""),"")</f>
        <v/>
      </c>
      <c r="AC216" t="str">
        <f ca="1">IFERROR(INDEX('M04-S05'!$BN$18:$BN$199,2*(ROWS(AC$214:AC216)-1)+1),"")</f>
        <v>Submit for Review</v>
      </c>
      <c r="AD216" s="37" t="str" cm="1">
        <f t="array" ref="AD216">IFERROR(INDEX('M04-S05'!$BC$18:$BC$199,2*(ROWS(AD$214:AD216)-1)+1),"")</f>
        <v/>
      </c>
      <c r="AE216" s="37" t="str" cm="1">
        <f t="array" ref="AE216">IFERROR(INDEX('M04-S05'!$BD$18:$BD$199,2*(ROWS(AE$214:AE216)-1)+1),"")</f>
        <v/>
      </c>
      <c r="AF216" s="210"/>
      <c r="AG216" s="210"/>
      <c r="AH216" s="210"/>
      <c r="AI216">
        <f>IFERROR(INDEX('M04-S05'!$B$18:$B$199,2*(ROWS(AI$214:AI216)-1)+1),"")</f>
        <v>3</v>
      </c>
      <c r="AJ216" s="194"/>
      <c r="AK216">
        <f>IFERROR(INDEX('M04-S05'!$H$18:$H$199,2*(ROWS(AK$214:AK216)-1)+1),"")</f>
        <v>0</v>
      </c>
      <c r="AL216">
        <f>IFERROR(INDEX('M04-S05'!$N$18:$N$199,2*(ROWS(AL$214:AL216)-1)+1),"")</f>
        <v>0</v>
      </c>
      <c r="AM216">
        <f>IFERROR(INDEX('M04-S05'!$W$18:$W$199,2*(ROWS(AM$214:AM216)-1)+1),"")</f>
        <v>0</v>
      </c>
      <c r="AN216" s="14" t="str">
        <f>IFERROR(INDEX('M04-S05'!$AX$18:$AX$199,2*(ROWS(AN$214:AN216)-1)+1),"")</f>
        <v/>
      </c>
      <c r="AO216" s="14" t="str">
        <f>IFERROR(INDEX('M04-S05'!$AY$18:$AY$199,2*(ROWS(AO$214:AO216)-1)+1),"")</f>
        <v/>
      </c>
      <c r="AP216" t="str">
        <f>IFERROR(INDEX('M04-S05'!$AZ$18:$AZ$199,2*(ROWS(AP$214:AP216)-1)+1),"")</f>
        <v/>
      </c>
      <c r="AQ216" t="str">
        <f>IFERROR(INDEX('M04-S05'!$BE$18:$BE$199,2*(ROWS(AQ$214:AQ216)-1)+1),"")</f>
        <v/>
      </c>
      <c r="AR216" t="s">
        <v>1254</v>
      </c>
      <c r="AS216"/>
      <c r="BL216"/>
      <c r="BP216"/>
      <c r="BQ216"/>
      <c r="BR216"/>
      <c r="CD216"/>
      <c r="CE216"/>
      <c r="CF216"/>
      <c r="CQ216"/>
      <c r="CR216"/>
      <c r="CS216"/>
      <c r="DS216"/>
      <c r="DT216"/>
      <c r="DU216"/>
    </row>
    <row r="217" spans="1:125" hidden="1">
      <c r="A217" s="15">
        <f t="shared" si="22"/>
        <v>0</v>
      </c>
      <c r="B217" t="str">
        <f t="shared" si="23"/>
        <v/>
      </c>
      <c r="C217" t="str">
        <f>IFERROR(IF(INDEX('M04-S05'!$BL$18:$BL$199,2*(ROWS($C$214:C217)-1)+1)="","",INDEX('M04-S05'!$BL$18:$BL$199,2*(ROWS($C$214:C217)-1)+1)),"")</f>
        <v/>
      </c>
      <c r="D217" t="s">
        <v>135</v>
      </c>
      <c r="E217" t="str">
        <f>IFERROR(INDEX('M04-S05'!$BF$18:$BF$199,2*(ROWS(E$214:E217)-1)+1),"")</f>
        <v/>
      </c>
      <c r="F217" s="210"/>
      <c r="G217" s="194"/>
      <c r="H217" s="14" t="str">
        <f ca="1">IFERROR(ROUND(IF(AC217&lt;&gt;"","",INDEX('M04-S05'!$AH$18:$AH$199,2*(ROWS(H$214:H217)-1)+1)),2),"")</f>
        <v/>
      </c>
      <c r="I217" s="14" t="str">
        <f ca="1">IFERROR(ROUND(IF(AC217&lt;&gt;"","",INDEX('M04-S05'!$AJ$18:$AJ$199,2*(ROWS(I$214:I217)-1)+1)),2),"")</f>
        <v/>
      </c>
      <c r="J217" s="14" t="str">
        <f ca="1">IFERROR(ROUND(IF(AC217&lt;&gt;"","",INDEX('M04-S05'!$AL$18:$AL$199,2*(ROWS(J$214:J217)-1)+1)),2),"")</f>
        <v/>
      </c>
      <c r="K217" t="str">
        <f ca="1">IFERROR(IF(AC217&lt;&gt;"","",INDEX('M04-S05'!$AF$38:$AF$199,2*(ROWS(J$214:J217)-1)+1)),"")</f>
        <v/>
      </c>
      <c r="L217" s="10" t="str">
        <f ca="1">IFERROR(IF(AC217&lt;&gt;"","",ROUND(INDEX('M04-S05'!$BA$18:$BA$199,2*(ROWS(L$214:L217)-1)+1),3)),"")</f>
        <v/>
      </c>
      <c r="M217" s="10" t="str">
        <f ca="1">IFERROR(IF(AC217&lt;&gt;"","",ROUND(INDEX('M04-S05'!$BB$18:$BB$199,2*(ROWS(M$214:M217)-1)+1),3)),"")</f>
        <v/>
      </c>
      <c r="N217" s="219"/>
      <c r="O217" s="37" t="str">
        <f ca="1">IFERROR(IF(AC217&lt;&gt;"","",INDEX('M04-S05'!$AO$18:$AO$199,2*(ROWS(O$214:O217)-1)+1)),"")</f>
        <v/>
      </c>
      <c r="P217" s="37" t="str">
        <f ca="1">IFERROR(IF(AC217&lt;&gt;"","",INDEX('M04-S05'!$BH$18:$BH$199,2*(ROWS(P$214:P217)-1)+1)),"")</f>
        <v/>
      </c>
      <c r="Q217" s="37" t="str">
        <f ca="1">IFERROR(IF(AC217&lt;&gt;"","",INDEX('M04-S05'!$BG$18:$BG$199,2*(ROWS(Q$214:Q217)-1)+1)),"")</f>
        <v/>
      </c>
      <c r="R217" s="14" t="str">
        <f ca="1">IFERROR(IF(AC217&lt;&gt;"","",INDEX('M04-S05'!$AR$18:$AR$199,2*(ROWS(R$214:R217)-1)+1)),"")</f>
        <v/>
      </c>
      <c r="S217" s="14">
        <f ca="1">IFERROR(ROUND(IF(AC217&lt;&gt;"",INDEX('M04-S05'!$AH$18:$AH$199,2*(ROWS(S$214:S217)-1)+1),""),2),"")</f>
        <v>0</v>
      </c>
      <c r="T217" s="14" t="str">
        <f ca="1">IFERROR(ROUND(IF(AC217&lt;&gt;"",INDEX('M04-S05'!$AJ$18:$AJ$199,2*(ROWS(T$214:T217)-1)+1),""),2),"")</f>
        <v/>
      </c>
      <c r="U217" s="14" t="str">
        <f ca="1">IFERROR(ROUND(IF(AC217&lt;&gt;"",INDEX('M04-S05'!$AL$18:$AL$199,2*(ROWS(U$214:U217)-1)+1),""),2),"")</f>
        <v/>
      </c>
      <c r="V217">
        <f ca="1">IFERROR(IF(AC217&lt;&gt;"",INDEX('M04-S05'!$AF$38:$AF$199,2*(ROWS(V$214:V217)-1)+1),""),"")</f>
        <v>0</v>
      </c>
      <c r="W217" s="10" t="str">
        <f ca="1">IFERROR(IF(AC217&lt;&gt;"",ROUND(INDEX('M04-S05'!$BA$18:$BA$199,2*(ROWS(W$214:W217)-1)+1),3),""),"")</f>
        <v/>
      </c>
      <c r="X217" s="10" t="str">
        <f ca="1">IFERROR(IF(AC217&lt;&gt;"",ROUND(INDEX('M04-S05'!$BB$18:$BB$199,2*(ROWS(X$214:X217)-1)+1),3),""),"")</f>
        <v/>
      </c>
      <c r="Y217" s="210"/>
      <c r="Z217" s="31" t="str">
        <f ca="1">IFERROR(IF(AC217&lt;&gt;"",INDEX('M04-S05'!$AO$18:$AO$199,2*(ROWS(Z$214:Z217)-1)+1),""),"")</f>
        <v/>
      </c>
      <c r="AA217" s="37">
        <f ca="1">IFERROR(IF(AC217&lt;&gt;"",INDEX('M04-S05'!$BH$18:$BH$199,2*(ROWS(AA$214:AA217)-1)+1),""),"")</f>
        <v>0</v>
      </c>
      <c r="AB217" s="37" t="str">
        <f ca="1">IFERROR(IF(AC217&lt;&gt;"",INDEX('M04-S05'!$BG$18:$BG$199,2*(ROWS(AB$214:AB217)-1)+1),""),"")</f>
        <v/>
      </c>
      <c r="AC217" t="str">
        <f ca="1">IFERROR(INDEX('M04-S05'!$BN$18:$BN$199,2*(ROWS(AC$214:AC217)-1)+1),"")</f>
        <v>Submit for Review</v>
      </c>
      <c r="AD217" s="37" t="str" cm="1">
        <f t="array" ref="AD217">IFERROR(INDEX('M04-S05'!$BC$18:$BC$199,2*(ROWS(AD$214:AD217)-1)+1),"")</f>
        <v/>
      </c>
      <c r="AE217" s="37" t="str" cm="1">
        <f t="array" ref="AE217">IFERROR(INDEX('M04-S05'!$BD$18:$BD$199,2*(ROWS(AE$214:AE217)-1)+1),"")</f>
        <v/>
      </c>
      <c r="AF217" s="210"/>
      <c r="AG217" s="210"/>
      <c r="AH217" s="210"/>
      <c r="AI217">
        <f>IFERROR(INDEX('M04-S05'!$B$18:$B$199,2*(ROWS(AI$214:AI217)-1)+1),"")</f>
        <v>4</v>
      </c>
      <c r="AJ217" s="194"/>
      <c r="AK217">
        <f>IFERROR(INDEX('M04-S05'!$H$18:$H$199,2*(ROWS(AK$214:AK217)-1)+1),"")</f>
        <v>0</v>
      </c>
      <c r="AL217">
        <f>IFERROR(INDEX('M04-S05'!$N$18:$N$199,2*(ROWS(AL$214:AL217)-1)+1),"")</f>
        <v>0</v>
      </c>
      <c r="AM217">
        <f>IFERROR(INDEX('M04-S05'!$W$18:$W$199,2*(ROWS(AM$214:AM217)-1)+1),"")</f>
        <v>0</v>
      </c>
      <c r="AN217" s="14" t="str">
        <f>IFERROR(INDEX('M04-S05'!$AX$18:$AX$199,2*(ROWS(AN$214:AN217)-1)+1),"")</f>
        <v/>
      </c>
      <c r="AO217" s="14" t="str">
        <f>IFERROR(INDEX('M04-S05'!$AY$18:$AY$199,2*(ROWS(AO$214:AO217)-1)+1),"")</f>
        <v/>
      </c>
      <c r="AP217" t="str">
        <f>IFERROR(INDEX('M04-S05'!$AZ$18:$AZ$199,2*(ROWS(AP$214:AP217)-1)+1),"")</f>
        <v/>
      </c>
      <c r="AQ217" t="str">
        <f>IFERROR(INDEX('M04-S05'!$BE$18:$BE$199,2*(ROWS(AQ$214:AQ217)-1)+1),"")</f>
        <v/>
      </c>
      <c r="AR217" t="s">
        <v>1254</v>
      </c>
      <c r="AS217"/>
      <c r="BL217"/>
      <c r="BP217"/>
      <c r="BQ217"/>
      <c r="BR217"/>
      <c r="CD217"/>
      <c r="CE217"/>
      <c r="CF217"/>
      <c r="CQ217"/>
      <c r="CR217"/>
      <c r="CS217"/>
      <c r="DS217"/>
      <c r="DT217"/>
      <c r="DU217"/>
    </row>
    <row r="218" spans="1:125" hidden="1">
      <c r="A218" s="15">
        <f t="shared" si="22"/>
        <v>0</v>
      </c>
      <c r="B218" t="str">
        <f t="shared" si="23"/>
        <v/>
      </c>
      <c r="C218" t="str">
        <f>IFERROR(IF(INDEX('M04-S05'!$BL$18:$BL$199,2*(ROWS($C$214:C218)-1)+1)="","",INDEX('M04-S05'!$BL$18:$BL$199,2*(ROWS($C$214:C218)-1)+1)),"")</f>
        <v/>
      </c>
      <c r="D218" t="s">
        <v>135</v>
      </c>
      <c r="E218" t="str">
        <f>IFERROR(INDEX('M04-S05'!$BF$18:$BF$199,2*(ROWS(E$214:E218)-1)+1),"")</f>
        <v/>
      </c>
      <c r="F218" s="210"/>
      <c r="G218" s="194"/>
      <c r="H218" s="14" t="str">
        <f ca="1">IFERROR(ROUND(IF(AC218&lt;&gt;"","",INDEX('M04-S05'!$AH$18:$AH$199,2*(ROWS(H$214:H218)-1)+1)),2),"")</f>
        <v/>
      </c>
      <c r="I218" s="14" t="str">
        <f ca="1">IFERROR(ROUND(IF(AC218&lt;&gt;"","",INDEX('M04-S05'!$AJ$18:$AJ$199,2*(ROWS(I$214:I218)-1)+1)),2),"")</f>
        <v/>
      </c>
      <c r="J218" s="14" t="str">
        <f ca="1">IFERROR(ROUND(IF(AC218&lt;&gt;"","",INDEX('M04-S05'!$AL$18:$AL$199,2*(ROWS(J$214:J218)-1)+1)),2),"")</f>
        <v/>
      </c>
      <c r="K218" t="str">
        <f ca="1">IFERROR(IF(AC218&lt;&gt;"","",INDEX('M04-S05'!$AF$38:$AF$199,2*(ROWS(J$214:J218)-1)+1)),"")</f>
        <v/>
      </c>
      <c r="L218" s="10" t="str">
        <f ca="1">IFERROR(IF(AC218&lt;&gt;"","",ROUND(INDEX('M04-S05'!$BA$18:$BA$199,2*(ROWS(L$214:L218)-1)+1),3)),"")</f>
        <v/>
      </c>
      <c r="M218" s="10" t="str">
        <f ca="1">IFERROR(IF(AC218&lt;&gt;"","",ROUND(INDEX('M04-S05'!$BB$18:$BB$199,2*(ROWS(M$214:M218)-1)+1),3)),"")</f>
        <v/>
      </c>
      <c r="N218" s="219"/>
      <c r="O218" s="37" t="str">
        <f ca="1">IFERROR(IF(AC218&lt;&gt;"","",INDEX('M04-S05'!$AO$18:$AO$199,2*(ROWS(O$214:O218)-1)+1)),"")</f>
        <v/>
      </c>
      <c r="P218" s="37" t="str">
        <f ca="1">IFERROR(IF(AC218&lt;&gt;"","",INDEX('M04-S05'!$BH$18:$BH$199,2*(ROWS(P$214:P218)-1)+1)),"")</f>
        <v/>
      </c>
      <c r="Q218" s="37" t="str">
        <f ca="1">IFERROR(IF(AC218&lt;&gt;"","",INDEX('M04-S05'!$BG$18:$BG$199,2*(ROWS(Q$214:Q218)-1)+1)),"")</f>
        <v/>
      </c>
      <c r="R218" s="14" t="str">
        <f ca="1">IFERROR(IF(AC218&lt;&gt;"","",INDEX('M04-S05'!$AR$18:$AR$199,2*(ROWS(R$214:R218)-1)+1)),"")</f>
        <v/>
      </c>
      <c r="S218" s="14">
        <f ca="1">IFERROR(ROUND(IF(AC218&lt;&gt;"",INDEX('M04-S05'!$AH$18:$AH$199,2*(ROWS(S$214:S218)-1)+1),""),2),"")</f>
        <v>0</v>
      </c>
      <c r="T218" s="14" t="str">
        <f ca="1">IFERROR(ROUND(IF(AC218&lt;&gt;"",INDEX('M04-S05'!$AJ$18:$AJ$199,2*(ROWS(T$214:T218)-1)+1),""),2),"")</f>
        <v/>
      </c>
      <c r="U218" s="14" t="str">
        <f ca="1">IFERROR(ROUND(IF(AC218&lt;&gt;"",INDEX('M04-S05'!$AL$18:$AL$199,2*(ROWS(U$214:U218)-1)+1),""),2),"")</f>
        <v/>
      </c>
      <c r="V218">
        <f ca="1">IFERROR(IF(AC218&lt;&gt;"",INDEX('M04-S05'!$AF$38:$AF$199,2*(ROWS(V$214:V218)-1)+1),""),"")</f>
        <v>0</v>
      </c>
      <c r="W218" s="10" t="str">
        <f ca="1">IFERROR(IF(AC218&lt;&gt;"",ROUND(INDEX('M04-S05'!$BA$18:$BA$199,2*(ROWS(W$214:W218)-1)+1),3),""),"")</f>
        <v/>
      </c>
      <c r="X218" s="10" t="str">
        <f ca="1">IFERROR(IF(AC218&lt;&gt;"",ROUND(INDEX('M04-S05'!$BB$18:$BB$199,2*(ROWS(X$214:X218)-1)+1),3),""),"")</f>
        <v/>
      </c>
      <c r="Y218" s="210"/>
      <c r="Z218" s="31" t="str">
        <f ca="1">IFERROR(IF(AC218&lt;&gt;"",INDEX('M04-S05'!$AO$18:$AO$199,2*(ROWS(Z$214:Z218)-1)+1),""),"")</f>
        <v/>
      </c>
      <c r="AA218" s="37">
        <f ca="1">IFERROR(IF(AC218&lt;&gt;"",INDEX('M04-S05'!$BH$18:$BH$199,2*(ROWS(AA$214:AA218)-1)+1),""),"")</f>
        <v>0</v>
      </c>
      <c r="AB218" s="37" t="str">
        <f ca="1">IFERROR(IF(AC218&lt;&gt;"",INDEX('M04-S05'!$BG$18:$BG$199,2*(ROWS(AB$214:AB218)-1)+1),""),"")</f>
        <v/>
      </c>
      <c r="AC218" t="str">
        <f ca="1">IFERROR(INDEX('M04-S05'!$BN$18:$BN$199,2*(ROWS(AC$214:AC218)-1)+1),"")</f>
        <v>Submit for Review</v>
      </c>
      <c r="AD218" s="37" t="str" cm="1">
        <f t="array" ref="AD218">IFERROR(INDEX('M04-S05'!$BC$18:$BC$199,2*(ROWS(AD$214:AD218)-1)+1),"")</f>
        <v/>
      </c>
      <c r="AE218" s="37" t="str" cm="1">
        <f t="array" ref="AE218">IFERROR(INDEX('M04-S05'!$BD$18:$BD$199,2*(ROWS(AE$214:AE218)-1)+1),"")</f>
        <v/>
      </c>
      <c r="AF218" s="210"/>
      <c r="AG218" s="210"/>
      <c r="AH218" s="210"/>
      <c r="AI218">
        <f>IFERROR(INDEX('M04-S05'!$B$18:$B$199,2*(ROWS(AI$214:AI218)-1)+1),"")</f>
        <v>5</v>
      </c>
      <c r="AJ218" s="194"/>
      <c r="AK218">
        <f>IFERROR(INDEX('M04-S05'!$H$18:$H$199,2*(ROWS(AK$214:AK218)-1)+1),"")</f>
        <v>0</v>
      </c>
      <c r="AL218">
        <f>IFERROR(INDEX('M04-S05'!$N$18:$N$199,2*(ROWS(AL$214:AL218)-1)+1),"")</f>
        <v>0</v>
      </c>
      <c r="AM218">
        <f>IFERROR(INDEX('M04-S05'!$W$18:$W$199,2*(ROWS(AM$214:AM218)-1)+1),"")</f>
        <v>0</v>
      </c>
      <c r="AN218" s="14" t="str">
        <f>IFERROR(INDEX('M04-S05'!$AX$18:$AX$199,2*(ROWS(AN$214:AN218)-1)+1),"")</f>
        <v/>
      </c>
      <c r="AO218" s="14" t="str">
        <f>IFERROR(INDEX('M04-S05'!$AY$18:$AY$199,2*(ROWS(AO$214:AO218)-1)+1),"")</f>
        <v/>
      </c>
      <c r="AP218" t="str">
        <f>IFERROR(INDEX('M04-S05'!$AZ$18:$AZ$199,2*(ROWS(AP$214:AP218)-1)+1),"")</f>
        <v/>
      </c>
      <c r="AQ218" t="str">
        <f>IFERROR(INDEX('M04-S05'!$BE$18:$BE$199,2*(ROWS(AQ$214:AQ218)-1)+1),"")</f>
        <v/>
      </c>
      <c r="AR218" t="s">
        <v>1254</v>
      </c>
      <c r="AS218"/>
      <c r="BL218"/>
      <c r="BP218"/>
      <c r="BQ218"/>
      <c r="BR218"/>
      <c r="CD218"/>
      <c r="CE218"/>
      <c r="CF218"/>
      <c r="CQ218"/>
      <c r="CR218"/>
      <c r="CS218"/>
      <c r="DS218"/>
      <c r="DT218"/>
      <c r="DU218"/>
    </row>
    <row r="219" spans="1:125" hidden="1">
      <c r="A219" s="15">
        <f t="shared" si="22"/>
        <v>0</v>
      </c>
      <c r="B219" t="str">
        <f t="shared" si="23"/>
        <v/>
      </c>
      <c r="C219" t="str">
        <f>IFERROR(IF(INDEX('M04-S05'!$BL$18:$BL$199,2*(ROWS($C$214:C219)-1)+1)="","",INDEX('M04-S05'!$BL$18:$BL$199,2*(ROWS($C$214:C219)-1)+1)),"")</f>
        <v/>
      </c>
      <c r="D219" t="s">
        <v>135</v>
      </c>
      <c r="E219" t="str">
        <f>IFERROR(INDEX('M04-S05'!$BF$18:$BF$199,2*(ROWS(E$214:E219)-1)+1),"")</f>
        <v/>
      </c>
      <c r="F219" s="210"/>
      <c r="G219" s="194"/>
      <c r="H219" s="14" t="str">
        <f ca="1">IFERROR(ROUND(IF(AC219&lt;&gt;"","",INDEX('M04-S05'!$AH$18:$AH$199,2*(ROWS(H$214:H219)-1)+1)),2),"")</f>
        <v/>
      </c>
      <c r="I219" s="14" t="str">
        <f ca="1">IFERROR(ROUND(IF(AC219&lt;&gt;"","",INDEX('M04-S05'!$AJ$18:$AJ$199,2*(ROWS(I$214:I219)-1)+1)),2),"")</f>
        <v/>
      </c>
      <c r="J219" s="14" t="str">
        <f ca="1">IFERROR(ROUND(IF(AC219&lt;&gt;"","",INDEX('M04-S05'!$AL$18:$AL$199,2*(ROWS(J$214:J219)-1)+1)),2),"")</f>
        <v/>
      </c>
      <c r="K219" t="str">
        <f ca="1">IFERROR(IF(AC219&lt;&gt;"","",INDEX('M04-S05'!$AF$38:$AF$199,2*(ROWS(J$214:J219)-1)+1)),"")</f>
        <v/>
      </c>
      <c r="L219" s="10" t="str">
        <f ca="1">IFERROR(IF(AC219&lt;&gt;"","",ROUND(INDEX('M04-S05'!$BA$18:$BA$199,2*(ROWS(L$214:L219)-1)+1),3)),"")</f>
        <v/>
      </c>
      <c r="M219" s="10" t="str">
        <f ca="1">IFERROR(IF(AC219&lt;&gt;"","",ROUND(INDEX('M04-S05'!$BB$18:$BB$199,2*(ROWS(M$214:M219)-1)+1),3)),"")</f>
        <v/>
      </c>
      <c r="N219" s="219"/>
      <c r="O219" s="37" t="str">
        <f ca="1">IFERROR(IF(AC219&lt;&gt;"","",INDEX('M04-S05'!$AO$18:$AO$199,2*(ROWS(O$214:O219)-1)+1)),"")</f>
        <v/>
      </c>
      <c r="P219" s="37" t="str">
        <f ca="1">IFERROR(IF(AC219&lt;&gt;"","",INDEX('M04-S05'!$BH$18:$BH$199,2*(ROWS(P$214:P219)-1)+1)),"")</f>
        <v/>
      </c>
      <c r="Q219" s="37" t="str">
        <f ca="1">IFERROR(IF(AC219&lt;&gt;"","",INDEX('M04-S05'!$BG$18:$BG$199,2*(ROWS(Q$214:Q219)-1)+1)),"")</f>
        <v/>
      </c>
      <c r="R219" s="14" t="str">
        <f ca="1">IFERROR(IF(AC219&lt;&gt;"","",INDEX('M04-S05'!$AR$18:$AR$199,2*(ROWS(R$214:R219)-1)+1)),"")</f>
        <v/>
      </c>
      <c r="S219" s="14">
        <f ca="1">IFERROR(ROUND(IF(AC219&lt;&gt;"",INDEX('M04-S05'!$AH$18:$AH$199,2*(ROWS(S$214:S219)-1)+1),""),2),"")</f>
        <v>0</v>
      </c>
      <c r="T219" s="14" t="str">
        <f ca="1">IFERROR(ROUND(IF(AC219&lt;&gt;"",INDEX('M04-S05'!$AJ$18:$AJ$199,2*(ROWS(T$214:T219)-1)+1),""),2),"")</f>
        <v/>
      </c>
      <c r="U219" s="14" t="str">
        <f ca="1">IFERROR(ROUND(IF(AC219&lt;&gt;"",INDEX('M04-S05'!$AL$18:$AL$199,2*(ROWS(U$214:U219)-1)+1),""),2),"")</f>
        <v/>
      </c>
      <c r="V219">
        <f ca="1">IFERROR(IF(AC219&lt;&gt;"",INDEX('M04-S05'!$AF$38:$AF$199,2*(ROWS(V$214:V219)-1)+1),""),"")</f>
        <v>0</v>
      </c>
      <c r="W219" s="10" t="str">
        <f ca="1">IFERROR(IF(AC219&lt;&gt;"",ROUND(INDEX('M04-S05'!$BA$18:$BA$199,2*(ROWS(W$214:W219)-1)+1),3),""),"")</f>
        <v/>
      </c>
      <c r="X219" s="10" t="str">
        <f ca="1">IFERROR(IF(AC219&lt;&gt;"",ROUND(INDEX('M04-S05'!$BB$18:$BB$199,2*(ROWS(X$214:X219)-1)+1),3),""),"")</f>
        <v/>
      </c>
      <c r="Y219" s="210"/>
      <c r="Z219" s="31" t="str">
        <f ca="1">IFERROR(IF(AC219&lt;&gt;"",INDEX('M04-S05'!$AO$18:$AO$199,2*(ROWS(Z$214:Z219)-1)+1),""),"")</f>
        <v/>
      </c>
      <c r="AA219" s="37">
        <f ca="1">IFERROR(IF(AC219&lt;&gt;"",INDEX('M04-S05'!$BH$18:$BH$199,2*(ROWS(AA$214:AA219)-1)+1),""),"")</f>
        <v>0</v>
      </c>
      <c r="AB219" s="37" t="str">
        <f ca="1">IFERROR(IF(AC219&lt;&gt;"",INDEX('M04-S05'!$BG$18:$BG$199,2*(ROWS(AB$214:AB219)-1)+1),""),"")</f>
        <v/>
      </c>
      <c r="AC219" t="str">
        <f ca="1">IFERROR(INDEX('M04-S05'!$BN$18:$BN$199,2*(ROWS(AC$214:AC219)-1)+1),"")</f>
        <v>Submit for Review</v>
      </c>
      <c r="AD219" s="37" t="str" cm="1">
        <f t="array" ref="AD219">IFERROR(INDEX('M04-S05'!$BC$18:$BC$199,2*(ROWS(AD$214:AD219)-1)+1),"")</f>
        <v/>
      </c>
      <c r="AE219" s="37" t="str" cm="1">
        <f t="array" ref="AE219">IFERROR(INDEX('M04-S05'!$BD$18:$BD$199,2*(ROWS(AE$214:AE219)-1)+1),"")</f>
        <v/>
      </c>
      <c r="AF219" s="210"/>
      <c r="AG219" s="210"/>
      <c r="AH219" s="210"/>
      <c r="AI219">
        <f>IFERROR(INDEX('M04-S05'!$B$18:$B$199,2*(ROWS(AI$214:AI219)-1)+1),"")</f>
        <v>6</v>
      </c>
      <c r="AJ219" s="194"/>
      <c r="AK219">
        <f>IFERROR(INDEX('M04-S05'!$H$18:$H$199,2*(ROWS(AK$214:AK219)-1)+1),"")</f>
        <v>0</v>
      </c>
      <c r="AL219">
        <f>IFERROR(INDEX('M04-S05'!$N$18:$N$199,2*(ROWS(AL$214:AL219)-1)+1),"")</f>
        <v>0</v>
      </c>
      <c r="AM219">
        <f>IFERROR(INDEX('M04-S05'!$W$18:$W$199,2*(ROWS(AM$214:AM219)-1)+1),"")</f>
        <v>0</v>
      </c>
      <c r="AN219" s="14" t="str">
        <f>IFERROR(INDEX('M04-S05'!$AX$18:$AX$199,2*(ROWS(AN$214:AN219)-1)+1),"")</f>
        <v/>
      </c>
      <c r="AO219" s="14" t="str">
        <f>IFERROR(INDEX('M04-S05'!$AY$18:$AY$199,2*(ROWS(AO$214:AO219)-1)+1),"")</f>
        <v/>
      </c>
      <c r="AP219" t="str">
        <f>IFERROR(INDEX('M04-S05'!$AZ$18:$AZ$199,2*(ROWS(AP$214:AP219)-1)+1),"")</f>
        <v/>
      </c>
      <c r="AQ219" t="str">
        <f>IFERROR(INDEX('M04-S05'!$BE$18:$BE$199,2*(ROWS(AQ$214:AQ219)-1)+1),"")</f>
        <v/>
      </c>
      <c r="AR219" t="s">
        <v>1254</v>
      </c>
      <c r="AS219"/>
      <c r="BL219"/>
      <c r="BP219"/>
      <c r="BQ219"/>
      <c r="BR219"/>
      <c r="CD219"/>
      <c r="CE219"/>
      <c r="CF219"/>
      <c r="CQ219"/>
      <c r="CR219"/>
      <c r="CS219"/>
      <c r="DS219"/>
      <c r="DT219"/>
      <c r="DU219"/>
    </row>
    <row r="220" spans="1:125" hidden="1">
      <c r="A220" s="15">
        <f t="shared" si="22"/>
        <v>0</v>
      </c>
      <c r="B220" t="str">
        <f t="shared" si="23"/>
        <v/>
      </c>
      <c r="C220" t="str">
        <f>IFERROR(IF(INDEX('M04-S05'!$BL$18:$BL$199,2*(ROWS($C$214:C220)-1)+1)="","",INDEX('M04-S05'!$BL$18:$BL$199,2*(ROWS($C$214:C220)-1)+1)),"")</f>
        <v/>
      </c>
      <c r="D220" t="s">
        <v>135</v>
      </c>
      <c r="E220" t="str">
        <f>IFERROR(INDEX('M04-S05'!$BF$18:$BF$199,2*(ROWS(E$214:E220)-1)+1),"")</f>
        <v/>
      </c>
      <c r="F220" s="210"/>
      <c r="G220" s="194"/>
      <c r="H220" s="14" t="str">
        <f ca="1">IFERROR(ROUND(IF(AC220&lt;&gt;"","",INDEX('M04-S05'!$AH$18:$AH$199,2*(ROWS(H$214:H220)-1)+1)),2),"")</f>
        <v/>
      </c>
      <c r="I220" s="14" t="str">
        <f ca="1">IFERROR(ROUND(IF(AC220&lt;&gt;"","",INDEX('M04-S05'!$AJ$18:$AJ$199,2*(ROWS(I$214:I220)-1)+1)),2),"")</f>
        <v/>
      </c>
      <c r="J220" s="14" t="str">
        <f ca="1">IFERROR(ROUND(IF(AC220&lt;&gt;"","",INDEX('M04-S05'!$AL$18:$AL$199,2*(ROWS(J$214:J220)-1)+1)),2),"")</f>
        <v/>
      </c>
      <c r="K220" t="str">
        <f ca="1">IFERROR(IF(AC220&lt;&gt;"","",INDEX('M04-S05'!$AF$38:$AF$199,2*(ROWS(J$214:J220)-1)+1)),"")</f>
        <v/>
      </c>
      <c r="L220" s="10" t="str">
        <f ca="1">IFERROR(IF(AC220&lt;&gt;"","",ROUND(INDEX('M04-S05'!$BA$18:$BA$199,2*(ROWS(L$214:L220)-1)+1),3)),"")</f>
        <v/>
      </c>
      <c r="M220" s="10" t="str">
        <f ca="1">IFERROR(IF(AC220&lt;&gt;"","",ROUND(INDEX('M04-S05'!$BB$18:$BB$199,2*(ROWS(M$214:M220)-1)+1),3)),"")</f>
        <v/>
      </c>
      <c r="N220" s="219"/>
      <c r="O220" s="37" t="str">
        <f ca="1">IFERROR(IF(AC220&lt;&gt;"","",INDEX('M04-S05'!$AO$18:$AO$199,2*(ROWS(O$214:O220)-1)+1)),"")</f>
        <v/>
      </c>
      <c r="P220" s="37" t="str">
        <f ca="1">IFERROR(IF(AC220&lt;&gt;"","",INDEX('M04-S05'!$BH$18:$BH$199,2*(ROWS(P$214:P220)-1)+1)),"")</f>
        <v/>
      </c>
      <c r="Q220" s="37" t="str">
        <f ca="1">IFERROR(IF(AC220&lt;&gt;"","",INDEX('M04-S05'!$BG$18:$BG$199,2*(ROWS(Q$214:Q220)-1)+1)),"")</f>
        <v/>
      </c>
      <c r="R220" s="14" t="str">
        <f ca="1">IFERROR(IF(AC220&lt;&gt;"","",INDEX('M04-S05'!$AR$18:$AR$199,2*(ROWS(R$214:R220)-1)+1)),"")</f>
        <v/>
      </c>
      <c r="S220" s="14">
        <f ca="1">IFERROR(ROUND(IF(AC220&lt;&gt;"",INDEX('M04-S05'!$AH$18:$AH$199,2*(ROWS(S$214:S220)-1)+1),""),2),"")</f>
        <v>0</v>
      </c>
      <c r="T220" s="14" t="str">
        <f ca="1">IFERROR(ROUND(IF(AC220&lt;&gt;"",INDEX('M04-S05'!$AJ$18:$AJ$199,2*(ROWS(T$214:T220)-1)+1),""),2),"")</f>
        <v/>
      </c>
      <c r="U220" s="14" t="str">
        <f ca="1">IFERROR(ROUND(IF(AC220&lt;&gt;"",INDEX('M04-S05'!$AL$18:$AL$199,2*(ROWS(U$214:U220)-1)+1),""),2),"")</f>
        <v/>
      </c>
      <c r="V220">
        <f ca="1">IFERROR(IF(AC220&lt;&gt;"",INDEX('M04-S05'!$AF$38:$AF$199,2*(ROWS(V$214:V220)-1)+1),""),"")</f>
        <v>0</v>
      </c>
      <c r="W220" s="10" t="str">
        <f ca="1">IFERROR(IF(AC220&lt;&gt;"",ROUND(INDEX('M04-S05'!$BA$18:$BA$199,2*(ROWS(W$214:W220)-1)+1),3),""),"")</f>
        <v/>
      </c>
      <c r="X220" s="10" t="str">
        <f ca="1">IFERROR(IF(AC220&lt;&gt;"",ROUND(INDEX('M04-S05'!$BB$18:$BB$199,2*(ROWS(X$214:X220)-1)+1),3),""),"")</f>
        <v/>
      </c>
      <c r="Y220" s="210"/>
      <c r="Z220" s="31" t="str">
        <f ca="1">IFERROR(IF(AC220&lt;&gt;"",INDEX('M04-S05'!$AO$18:$AO$199,2*(ROWS(Z$214:Z220)-1)+1),""),"")</f>
        <v/>
      </c>
      <c r="AA220" s="37">
        <f ca="1">IFERROR(IF(AC220&lt;&gt;"",INDEX('M04-S05'!$BH$18:$BH$199,2*(ROWS(AA$214:AA220)-1)+1),""),"")</f>
        <v>0</v>
      </c>
      <c r="AB220" s="37" t="str">
        <f ca="1">IFERROR(IF(AC220&lt;&gt;"",INDEX('M04-S05'!$BG$18:$BG$199,2*(ROWS(AB$214:AB220)-1)+1),""),"")</f>
        <v/>
      </c>
      <c r="AC220" t="str">
        <f ca="1">IFERROR(INDEX('M04-S05'!$BN$18:$BN$199,2*(ROWS(AC$214:AC220)-1)+1),"")</f>
        <v>Submit for Review</v>
      </c>
      <c r="AD220" s="37" t="str" cm="1">
        <f t="array" ref="AD220">IFERROR(INDEX('M04-S05'!$BC$18:$BC$199,2*(ROWS(AD$214:AD220)-1)+1),"")</f>
        <v/>
      </c>
      <c r="AE220" s="37" t="str" cm="1">
        <f t="array" ref="AE220">IFERROR(INDEX('M04-S05'!$BD$18:$BD$199,2*(ROWS(AE$214:AE220)-1)+1),"")</f>
        <v/>
      </c>
      <c r="AF220" s="210"/>
      <c r="AG220" s="210"/>
      <c r="AH220" s="210"/>
      <c r="AI220">
        <f>IFERROR(INDEX('M04-S05'!$B$18:$B$199,2*(ROWS(AI$214:AI220)-1)+1),"")</f>
        <v>7</v>
      </c>
      <c r="AJ220" s="194"/>
      <c r="AK220">
        <f>IFERROR(INDEX('M04-S05'!$H$18:$H$199,2*(ROWS(AK$214:AK220)-1)+1),"")</f>
        <v>0</v>
      </c>
      <c r="AL220">
        <f>IFERROR(INDEX('M04-S05'!$N$18:$N$199,2*(ROWS(AL$214:AL220)-1)+1),"")</f>
        <v>0</v>
      </c>
      <c r="AM220">
        <f>IFERROR(INDEX('M04-S05'!$W$18:$W$199,2*(ROWS(AM$214:AM220)-1)+1),"")</f>
        <v>0</v>
      </c>
      <c r="AN220" s="14" t="str">
        <f>IFERROR(INDEX('M04-S05'!$AX$18:$AX$199,2*(ROWS(AN$214:AN220)-1)+1),"")</f>
        <v/>
      </c>
      <c r="AO220" s="14" t="str">
        <f>IFERROR(INDEX('M04-S05'!$AY$18:$AY$199,2*(ROWS(AO$214:AO220)-1)+1),"")</f>
        <v/>
      </c>
      <c r="AP220" t="str">
        <f>IFERROR(INDEX('M04-S05'!$AZ$18:$AZ$199,2*(ROWS(AP$214:AP220)-1)+1),"")</f>
        <v/>
      </c>
      <c r="AQ220" t="str">
        <f>IFERROR(INDEX('M04-S05'!$BE$18:$BE$199,2*(ROWS(AQ$214:AQ220)-1)+1),"")</f>
        <v/>
      </c>
      <c r="AR220" t="s">
        <v>1254</v>
      </c>
      <c r="AS220"/>
      <c r="BL220"/>
      <c r="BP220"/>
      <c r="BQ220"/>
      <c r="BR220"/>
      <c r="CD220"/>
      <c r="CE220"/>
      <c r="CF220"/>
      <c r="CQ220"/>
      <c r="CR220"/>
      <c r="CS220"/>
      <c r="DS220"/>
      <c r="DT220"/>
      <c r="DU220"/>
    </row>
    <row r="221" spans="1:125" hidden="1">
      <c r="A221" s="15">
        <f t="shared" si="22"/>
        <v>0</v>
      </c>
      <c r="B221" t="str">
        <f t="shared" si="23"/>
        <v/>
      </c>
      <c r="C221" t="str">
        <f>IFERROR(IF(INDEX('M04-S05'!$BL$18:$BL$199,2*(ROWS($C$214:C221)-1)+1)="","",INDEX('M04-S05'!$BL$18:$BL$199,2*(ROWS($C$214:C221)-1)+1)),"")</f>
        <v/>
      </c>
      <c r="D221" t="s">
        <v>135</v>
      </c>
      <c r="E221" t="str">
        <f>IFERROR(INDEX('M04-S05'!$BF$18:$BF$199,2*(ROWS(E$214:E221)-1)+1),"")</f>
        <v/>
      </c>
      <c r="F221" s="210"/>
      <c r="G221" s="194"/>
      <c r="H221" s="14" t="str">
        <f ca="1">IFERROR(ROUND(IF(AC221&lt;&gt;"","",INDEX('M04-S05'!$AH$18:$AH$199,2*(ROWS(H$214:H221)-1)+1)),2),"")</f>
        <v/>
      </c>
      <c r="I221" s="14" t="str">
        <f ca="1">IFERROR(ROUND(IF(AC221&lt;&gt;"","",INDEX('M04-S05'!$AJ$18:$AJ$199,2*(ROWS(I$214:I221)-1)+1)),2),"")</f>
        <v/>
      </c>
      <c r="J221" s="14" t="str">
        <f ca="1">IFERROR(ROUND(IF(AC221&lt;&gt;"","",INDEX('M04-S05'!$AL$18:$AL$199,2*(ROWS(J$214:J221)-1)+1)),2),"")</f>
        <v/>
      </c>
      <c r="K221" t="str">
        <f ca="1">IFERROR(IF(AC221&lt;&gt;"","",INDEX('M04-S05'!$AF$38:$AF$199,2*(ROWS(J$214:J221)-1)+1)),"")</f>
        <v/>
      </c>
      <c r="L221" s="10" t="str">
        <f ca="1">IFERROR(IF(AC221&lt;&gt;"","",ROUND(INDEX('M04-S05'!$BA$18:$BA$199,2*(ROWS(L$214:L221)-1)+1),3)),"")</f>
        <v/>
      </c>
      <c r="M221" s="10" t="str">
        <f ca="1">IFERROR(IF(AC221&lt;&gt;"","",ROUND(INDEX('M04-S05'!$BB$18:$BB$199,2*(ROWS(M$214:M221)-1)+1),3)),"")</f>
        <v/>
      </c>
      <c r="N221" s="219"/>
      <c r="O221" s="37" t="str">
        <f ca="1">IFERROR(IF(AC221&lt;&gt;"","",INDEX('M04-S05'!$AO$18:$AO$199,2*(ROWS(O$214:O221)-1)+1)),"")</f>
        <v/>
      </c>
      <c r="P221" s="37" t="str">
        <f ca="1">IFERROR(IF(AC221&lt;&gt;"","",INDEX('M04-S05'!$BH$18:$BH$199,2*(ROWS(P$214:P221)-1)+1)),"")</f>
        <v/>
      </c>
      <c r="Q221" s="37" t="str">
        <f ca="1">IFERROR(IF(AC221&lt;&gt;"","",INDEX('M04-S05'!$BG$18:$BG$199,2*(ROWS(Q$214:Q221)-1)+1)),"")</f>
        <v/>
      </c>
      <c r="R221" s="14" t="str">
        <f ca="1">IFERROR(IF(AC221&lt;&gt;"","",INDEX('M04-S05'!$AR$18:$AR$199,2*(ROWS(R$214:R221)-1)+1)),"")</f>
        <v/>
      </c>
      <c r="S221" s="14">
        <f ca="1">IFERROR(ROUND(IF(AC221&lt;&gt;"",INDEX('M04-S05'!$AH$18:$AH$199,2*(ROWS(S$214:S221)-1)+1),""),2),"")</f>
        <v>0</v>
      </c>
      <c r="T221" s="14" t="str">
        <f ca="1">IFERROR(ROUND(IF(AC221&lt;&gt;"",INDEX('M04-S05'!$AJ$18:$AJ$199,2*(ROWS(T$214:T221)-1)+1),""),2),"")</f>
        <v/>
      </c>
      <c r="U221" s="14" t="str">
        <f ca="1">IFERROR(ROUND(IF(AC221&lt;&gt;"",INDEX('M04-S05'!$AL$18:$AL$199,2*(ROWS(U$214:U221)-1)+1),""),2),"")</f>
        <v/>
      </c>
      <c r="V221">
        <f ca="1">IFERROR(IF(AC221&lt;&gt;"",INDEX('M04-S05'!$AF$38:$AF$199,2*(ROWS(V$214:V221)-1)+1),""),"")</f>
        <v>0</v>
      </c>
      <c r="W221" s="10" t="str">
        <f ca="1">IFERROR(IF(AC221&lt;&gt;"",ROUND(INDEX('M04-S05'!$BA$18:$BA$199,2*(ROWS(W$214:W221)-1)+1),3),""),"")</f>
        <v/>
      </c>
      <c r="X221" s="10" t="str">
        <f ca="1">IFERROR(IF(AC221&lt;&gt;"",ROUND(INDEX('M04-S05'!$BB$18:$BB$199,2*(ROWS(X$214:X221)-1)+1),3),""),"")</f>
        <v/>
      </c>
      <c r="Y221" s="210"/>
      <c r="Z221" s="31" t="str">
        <f ca="1">IFERROR(IF(AC221&lt;&gt;"",INDEX('M04-S05'!$AO$18:$AO$199,2*(ROWS(Z$214:Z221)-1)+1),""),"")</f>
        <v/>
      </c>
      <c r="AA221" s="37">
        <f ca="1">IFERROR(IF(AC221&lt;&gt;"",INDEX('M04-S05'!$BH$18:$BH$199,2*(ROWS(AA$214:AA221)-1)+1),""),"")</f>
        <v>0</v>
      </c>
      <c r="AB221" s="37" t="str">
        <f ca="1">IFERROR(IF(AC221&lt;&gt;"",INDEX('M04-S05'!$BG$18:$BG$199,2*(ROWS(AB$214:AB221)-1)+1),""),"")</f>
        <v/>
      </c>
      <c r="AC221" t="str">
        <f ca="1">IFERROR(INDEX('M04-S05'!$BN$18:$BN$199,2*(ROWS(AC$214:AC221)-1)+1),"")</f>
        <v>Submit for Review</v>
      </c>
      <c r="AD221" s="37" t="str" cm="1">
        <f t="array" ref="AD221">IFERROR(INDEX('M04-S05'!$BC$18:$BC$199,2*(ROWS(AD$214:AD221)-1)+1),"")</f>
        <v/>
      </c>
      <c r="AE221" s="37" t="str" cm="1">
        <f t="array" ref="AE221">IFERROR(INDEX('M04-S05'!$BD$18:$BD$199,2*(ROWS(AE$214:AE221)-1)+1),"")</f>
        <v/>
      </c>
      <c r="AF221" s="210"/>
      <c r="AG221" s="210"/>
      <c r="AH221" s="210"/>
      <c r="AI221">
        <f>IFERROR(INDEX('M04-S05'!$B$18:$B$199,2*(ROWS(AI$214:AI221)-1)+1),"")</f>
        <v>8</v>
      </c>
      <c r="AJ221" s="194"/>
      <c r="AK221">
        <f>IFERROR(INDEX('M04-S05'!$H$18:$H$199,2*(ROWS(AK$214:AK221)-1)+1),"")</f>
        <v>0</v>
      </c>
      <c r="AL221">
        <f>IFERROR(INDEX('M04-S05'!$N$18:$N$199,2*(ROWS(AL$214:AL221)-1)+1),"")</f>
        <v>0</v>
      </c>
      <c r="AM221">
        <f>IFERROR(INDEX('M04-S05'!$W$18:$W$199,2*(ROWS(AM$214:AM221)-1)+1),"")</f>
        <v>0</v>
      </c>
      <c r="AN221" s="14" t="str">
        <f>IFERROR(INDEX('M04-S05'!$AX$18:$AX$199,2*(ROWS(AN$214:AN221)-1)+1),"")</f>
        <v/>
      </c>
      <c r="AO221" s="14" t="str">
        <f>IFERROR(INDEX('M04-S05'!$AY$18:$AY$199,2*(ROWS(AO$214:AO221)-1)+1),"")</f>
        <v/>
      </c>
      <c r="AP221" t="str">
        <f>IFERROR(INDEX('M04-S05'!$AZ$18:$AZ$199,2*(ROWS(AP$214:AP221)-1)+1),"")</f>
        <v/>
      </c>
      <c r="AQ221" t="str">
        <f>IFERROR(INDEX('M04-S05'!$BE$18:$BE$199,2*(ROWS(AQ$214:AQ221)-1)+1),"")</f>
        <v/>
      </c>
      <c r="AR221" t="s">
        <v>1254</v>
      </c>
      <c r="AS221"/>
      <c r="BL221"/>
      <c r="BP221"/>
      <c r="BQ221"/>
      <c r="BR221"/>
      <c r="CD221"/>
      <c r="CE221"/>
      <c r="CF221"/>
      <c r="CQ221"/>
      <c r="CR221"/>
      <c r="CS221"/>
      <c r="DS221"/>
      <c r="DT221"/>
      <c r="DU221"/>
    </row>
    <row r="222" spans="1:125" hidden="1">
      <c r="A222" s="15">
        <f t="shared" si="22"/>
        <v>0</v>
      </c>
      <c r="B222" t="str">
        <f t="shared" si="23"/>
        <v/>
      </c>
      <c r="C222" t="str">
        <f>IFERROR(IF(INDEX('M04-S05'!$BL$18:$BL$199,2*(ROWS($C$214:C222)-1)+1)="","",INDEX('M04-S05'!$BL$18:$BL$199,2*(ROWS($C$214:C222)-1)+1)),"")</f>
        <v/>
      </c>
      <c r="D222" t="s">
        <v>135</v>
      </c>
      <c r="E222" t="str">
        <f>IFERROR(INDEX('M04-S05'!$BF$18:$BF$199,2*(ROWS(E$214:E222)-1)+1),"")</f>
        <v/>
      </c>
      <c r="F222" s="210"/>
      <c r="G222" s="194"/>
      <c r="H222" s="14" t="str">
        <f ca="1">IFERROR(ROUND(IF(AC222&lt;&gt;"","",INDEX('M04-S05'!$AH$18:$AH$199,2*(ROWS(H$214:H222)-1)+1)),2),"")</f>
        <v/>
      </c>
      <c r="I222" s="14" t="str">
        <f ca="1">IFERROR(ROUND(IF(AC222&lt;&gt;"","",INDEX('M04-S05'!$AJ$18:$AJ$199,2*(ROWS(I$214:I222)-1)+1)),2),"")</f>
        <v/>
      </c>
      <c r="J222" s="14" t="str">
        <f ca="1">IFERROR(ROUND(IF(AC222&lt;&gt;"","",INDEX('M04-S05'!$AL$18:$AL$199,2*(ROWS(J$214:J222)-1)+1)),2),"")</f>
        <v/>
      </c>
      <c r="K222" t="str">
        <f ca="1">IFERROR(IF(AC222&lt;&gt;"","",INDEX('M04-S05'!$AF$38:$AF$199,2*(ROWS(J$214:J222)-1)+1)),"")</f>
        <v/>
      </c>
      <c r="L222" s="10" t="str">
        <f ca="1">IFERROR(IF(AC222&lt;&gt;"","",ROUND(INDEX('M04-S05'!$BA$18:$BA$199,2*(ROWS(L$214:L222)-1)+1),3)),"")</f>
        <v/>
      </c>
      <c r="M222" s="10" t="str">
        <f ca="1">IFERROR(IF(AC222&lt;&gt;"","",ROUND(INDEX('M04-S05'!$BB$18:$BB$199,2*(ROWS(M$214:M222)-1)+1),3)),"")</f>
        <v/>
      </c>
      <c r="N222" s="219"/>
      <c r="O222" s="37" t="str">
        <f ca="1">IFERROR(IF(AC222&lt;&gt;"","",INDEX('M04-S05'!$AO$18:$AO$199,2*(ROWS(O$214:O222)-1)+1)),"")</f>
        <v/>
      </c>
      <c r="P222" s="37" t="str">
        <f ca="1">IFERROR(IF(AC222&lt;&gt;"","",INDEX('M04-S05'!$BH$18:$BH$199,2*(ROWS(P$214:P222)-1)+1)),"")</f>
        <v/>
      </c>
      <c r="Q222" s="37" t="str">
        <f ca="1">IFERROR(IF(AC222&lt;&gt;"","",INDEX('M04-S05'!$BG$18:$BG$199,2*(ROWS(Q$214:Q222)-1)+1)),"")</f>
        <v/>
      </c>
      <c r="R222" s="14" t="str">
        <f ca="1">IFERROR(IF(AC222&lt;&gt;"","",INDEX('M04-S05'!$AR$18:$AR$199,2*(ROWS(R$214:R222)-1)+1)),"")</f>
        <v/>
      </c>
      <c r="S222" s="14">
        <f ca="1">IFERROR(ROUND(IF(AC222&lt;&gt;"",INDEX('M04-S05'!$AH$18:$AH$199,2*(ROWS(S$214:S222)-1)+1),""),2),"")</f>
        <v>0</v>
      </c>
      <c r="T222" s="14" t="str">
        <f ca="1">IFERROR(ROUND(IF(AC222&lt;&gt;"",INDEX('M04-S05'!$AJ$18:$AJ$199,2*(ROWS(T$214:T222)-1)+1),""),2),"")</f>
        <v/>
      </c>
      <c r="U222" s="14" t="str">
        <f ca="1">IFERROR(ROUND(IF(AC222&lt;&gt;"",INDEX('M04-S05'!$AL$18:$AL$199,2*(ROWS(U$214:U222)-1)+1),""),2),"")</f>
        <v/>
      </c>
      <c r="V222">
        <f ca="1">IFERROR(IF(AC222&lt;&gt;"",INDEX('M04-S05'!$AF$38:$AF$199,2*(ROWS(V$214:V222)-1)+1),""),"")</f>
        <v>0</v>
      </c>
      <c r="W222" s="10" t="str">
        <f ca="1">IFERROR(IF(AC222&lt;&gt;"",ROUND(INDEX('M04-S05'!$BA$18:$BA$199,2*(ROWS(W$214:W222)-1)+1),3),""),"")</f>
        <v/>
      </c>
      <c r="X222" s="10" t="str">
        <f ca="1">IFERROR(IF(AC222&lt;&gt;"",ROUND(INDEX('M04-S05'!$BB$18:$BB$199,2*(ROWS(X$214:X222)-1)+1),3),""),"")</f>
        <v/>
      </c>
      <c r="Y222" s="210"/>
      <c r="Z222" s="31" t="str">
        <f ca="1">IFERROR(IF(AC222&lt;&gt;"",INDEX('M04-S05'!$AO$18:$AO$199,2*(ROWS(Z$214:Z222)-1)+1),""),"")</f>
        <v/>
      </c>
      <c r="AA222" s="37">
        <f ca="1">IFERROR(IF(AC222&lt;&gt;"",INDEX('M04-S05'!$BH$18:$BH$199,2*(ROWS(AA$214:AA222)-1)+1),""),"")</f>
        <v>0</v>
      </c>
      <c r="AB222" s="37" t="str">
        <f ca="1">IFERROR(IF(AC222&lt;&gt;"",INDEX('M04-S05'!$BG$18:$BG$199,2*(ROWS(AB$214:AB222)-1)+1),""),"")</f>
        <v/>
      </c>
      <c r="AC222" t="str">
        <f ca="1">IFERROR(INDEX('M04-S05'!$BN$18:$BN$199,2*(ROWS(AC$214:AC222)-1)+1),"")</f>
        <v>Submit for Review</v>
      </c>
      <c r="AD222" s="37" t="str" cm="1">
        <f t="array" ref="AD222">IFERROR(INDEX('M04-S05'!$BC$18:$BC$199,2*(ROWS(AD$214:AD222)-1)+1),"")</f>
        <v/>
      </c>
      <c r="AE222" s="37" t="str" cm="1">
        <f t="array" ref="AE222">IFERROR(INDEX('M04-S05'!$BD$18:$BD$199,2*(ROWS(AE$214:AE222)-1)+1),"")</f>
        <v/>
      </c>
      <c r="AF222" s="210"/>
      <c r="AG222" s="210"/>
      <c r="AH222" s="210"/>
      <c r="AI222">
        <f>IFERROR(INDEX('M04-S05'!$B$18:$B$199,2*(ROWS(AI$214:AI222)-1)+1),"")</f>
        <v>9</v>
      </c>
      <c r="AJ222" s="194"/>
      <c r="AK222">
        <f>IFERROR(INDEX('M04-S05'!$H$18:$H$199,2*(ROWS(AK$214:AK222)-1)+1),"")</f>
        <v>0</v>
      </c>
      <c r="AL222">
        <f>IFERROR(INDEX('M04-S05'!$N$18:$N$199,2*(ROWS(AL$214:AL222)-1)+1),"")</f>
        <v>0</v>
      </c>
      <c r="AM222">
        <f>IFERROR(INDEX('M04-S05'!$W$18:$W$199,2*(ROWS(AM$214:AM222)-1)+1),"")</f>
        <v>0</v>
      </c>
      <c r="AN222" s="14" t="str">
        <f>IFERROR(INDEX('M04-S05'!$AX$18:$AX$199,2*(ROWS(AN$214:AN222)-1)+1),"")</f>
        <v/>
      </c>
      <c r="AO222" s="14" t="str">
        <f>IFERROR(INDEX('M04-S05'!$AY$18:$AY$199,2*(ROWS(AO$214:AO222)-1)+1),"")</f>
        <v/>
      </c>
      <c r="AP222" t="str">
        <f>IFERROR(INDEX('M04-S05'!$AZ$18:$AZ$199,2*(ROWS(AP$214:AP222)-1)+1),"")</f>
        <v/>
      </c>
      <c r="AQ222" t="str">
        <f>IFERROR(INDEX('M04-S05'!$BE$18:$BE$199,2*(ROWS(AQ$214:AQ222)-1)+1),"")</f>
        <v/>
      </c>
      <c r="AR222" t="s">
        <v>1254</v>
      </c>
      <c r="AS222"/>
      <c r="BL222"/>
      <c r="BP222"/>
      <c r="BQ222"/>
      <c r="BR222"/>
      <c r="CD222"/>
      <c r="CE222"/>
      <c r="CF222"/>
      <c r="CQ222"/>
      <c r="CR222"/>
      <c r="CS222"/>
      <c r="DS222"/>
      <c r="DT222"/>
      <c r="DU222"/>
    </row>
    <row r="223" spans="1:125" hidden="1">
      <c r="A223" s="15">
        <f t="shared" si="22"/>
        <v>0</v>
      </c>
      <c r="B223" t="str">
        <f t="shared" si="23"/>
        <v/>
      </c>
      <c r="C223" t="str">
        <f>IFERROR(IF(INDEX('M04-S05'!$BL$18:$BL$199,2*(ROWS($C$214:C223)-1)+1)="","",INDEX('M04-S05'!$BL$18:$BL$199,2*(ROWS($C$214:C223)-1)+1)),"")</f>
        <v/>
      </c>
      <c r="D223" t="s">
        <v>135</v>
      </c>
      <c r="E223" t="str">
        <f>IFERROR(INDEX('M04-S05'!$BF$18:$BF$199,2*(ROWS(E$214:E223)-1)+1),"")</f>
        <v/>
      </c>
      <c r="F223" s="210"/>
      <c r="G223" s="194"/>
      <c r="H223" s="14" t="str">
        <f ca="1">IFERROR(ROUND(IF(AC223&lt;&gt;"","",INDEX('M04-S05'!$AH$18:$AH$199,2*(ROWS(H$214:H223)-1)+1)),2),"")</f>
        <v/>
      </c>
      <c r="I223" s="14" t="str">
        <f ca="1">IFERROR(ROUND(IF(AC223&lt;&gt;"","",INDEX('M04-S05'!$AJ$18:$AJ$199,2*(ROWS(I$214:I223)-1)+1)),2),"")</f>
        <v/>
      </c>
      <c r="J223" s="14" t="str">
        <f ca="1">IFERROR(ROUND(IF(AC223&lt;&gt;"","",INDEX('M04-S05'!$AL$18:$AL$199,2*(ROWS(J$214:J223)-1)+1)),2),"")</f>
        <v/>
      </c>
      <c r="K223" t="str">
        <f ca="1">IFERROR(IF(AC223&lt;&gt;"","",INDEX('M04-S05'!$AF$38:$AF$199,2*(ROWS(J$214:J223)-1)+1)),"")</f>
        <v/>
      </c>
      <c r="L223" s="10" t="str">
        <f ca="1">IFERROR(IF(AC223&lt;&gt;"","",ROUND(INDEX('M04-S05'!$BA$18:$BA$199,2*(ROWS(L$214:L223)-1)+1),3)),"")</f>
        <v/>
      </c>
      <c r="M223" s="10" t="str">
        <f ca="1">IFERROR(IF(AC223&lt;&gt;"","",ROUND(INDEX('M04-S05'!$BB$18:$BB$199,2*(ROWS(M$214:M223)-1)+1),3)),"")</f>
        <v/>
      </c>
      <c r="N223" s="219"/>
      <c r="O223" s="37" t="str">
        <f ca="1">IFERROR(IF(AC223&lt;&gt;"","",INDEX('M04-S05'!$AO$18:$AO$199,2*(ROWS(O$214:O223)-1)+1)),"")</f>
        <v/>
      </c>
      <c r="P223" s="37" t="str">
        <f ca="1">IFERROR(IF(AC223&lt;&gt;"","",INDEX('M04-S05'!$BH$18:$BH$199,2*(ROWS(P$214:P223)-1)+1)),"")</f>
        <v/>
      </c>
      <c r="Q223" s="37" t="str">
        <f ca="1">IFERROR(IF(AC223&lt;&gt;"","",INDEX('M04-S05'!$BG$18:$BG$199,2*(ROWS(Q$214:Q223)-1)+1)),"")</f>
        <v/>
      </c>
      <c r="R223" s="14" t="str">
        <f ca="1">IFERROR(IF(AC223&lt;&gt;"","",INDEX('M04-S05'!$AR$18:$AR$199,2*(ROWS(R$214:R223)-1)+1)),"")</f>
        <v/>
      </c>
      <c r="S223" s="14">
        <f ca="1">IFERROR(ROUND(IF(AC223&lt;&gt;"",INDEX('M04-S05'!$AH$18:$AH$199,2*(ROWS(S$214:S223)-1)+1),""),2),"")</f>
        <v>0</v>
      </c>
      <c r="T223" s="14" t="str">
        <f ca="1">IFERROR(ROUND(IF(AC223&lt;&gt;"",INDEX('M04-S05'!$AJ$18:$AJ$199,2*(ROWS(T$214:T223)-1)+1),""),2),"")</f>
        <v/>
      </c>
      <c r="U223" s="14" t="str">
        <f ca="1">IFERROR(ROUND(IF(AC223&lt;&gt;"",INDEX('M04-S05'!$AL$18:$AL$199,2*(ROWS(U$214:U223)-1)+1),""),2),"")</f>
        <v/>
      </c>
      <c r="V223">
        <f ca="1">IFERROR(IF(AC223&lt;&gt;"",INDEX('M04-S05'!$AF$38:$AF$199,2*(ROWS(V$214:V223)-1)+1),""),"")</f>
        <v>0</v>
      </c>
      <c r="W223" s="10" t="str">
        <f ca="1">IFERROR(IF(AC223&lt;&gt;"",ROUND(INDEX('M04-S05'!$BA$18:$BA$199,2*(ROWS(W$214:W223)-1)+1),3),""),"")</f>
        <v/>
      </c>
      <c r="X223" s="10" t="str">
        <f ca="1">IFERROR(IF(AC223&lt;&gt;"",ROUND(INDEX('M04-S05'!$BB$18:$BB$199,2*(ROWS(X$214:X223)-1)+1),3),""),"")</f>
        <v/>
      </c>
      <c r="Y223" s="210"/>
      <c r="Z223" s="31" t="str">
        <f ca="1">IFERROR(IF(AC223&lt;&gt;"",INDEX('M04-S05'!$AO$18:$AO$199,2*(ROWS(Z$214:Z223)-1)+1),""),"")</f>
        <v/>
      </c>
      <c r="AA223" s="37">
        <f ca="1">IFERROR(IF(AC223&lt;&gt;"",INDEX('M04-S05'!$BH$18:$BH$199,2*(ROWS(AA$214:AA223)-1)+1),""),"")</f>
        <v>0</v>
      </c>
      <c r="AB223" s="37" t="str">
        <f ca="1">IFERROR(IF(AC223&lt;&gt;"",INDEX('M04-S05'!$BG$18:$BG$199,2*(ROWS(AB$214:AB223)-1)+1),""),"")</f>
        <v/>
      </c>
      <c r="AC223" t="str">
        <f ca="1">IFERROR(INDEX('M04-S05'!$BN$18:$BN$199,2*(ROWS(AC$214:AC223)-1)+1),"")</f>
        <v>Submit for Review</v>
      </c>
      <c r="AD223" s="37" t="str" cm="1">
        <f t="array" ref="AD223">IFERROR(INDEX('M04-S05'!$BC$18:$BC$199,2*(ROWS(AD$214:AD223)-1)+1),"")</f>
        <v/>
      </c>
      <c r="AE223" s="37" t="str" cm="1">
        <f t="array" ref="AE223">IFERROR(INDEX('M04-S05'!$BD$18:$BD$199,2*(ROWS(AE$214:AE223)-1)+1),"")</f>
        <v/>
      </c>
      <c r="AF223" s="210"/>
      <c r="AG223" s="210"/>
      <c r="AH223" s="210"/>
      <c r="AI223">
        <f>IFERROR(INDEX('M04-S05'!$B$18:$B$199,2*(ROWS(AI$214:AI223)-1)+1),"")</f>
        <v>10</v>
      </c>
      <c r="AJ223" s="194"/>
      <c r="AK223">
        <f>IFERROR(INDEX('M04-S05'!$H$18:$H$199,2*(ROWS(AK$214:AK223)-1)+1),"")</f>
        <v>0</v>
      </c>
      <c r="AL223">
        <f>IFERROR(INDEX('M04-S05'!$N$18:$N$199,2*(ROWS(AL$214:AL223)-1)+1),"")</f>
        <v>0</v>
      </c>
      <c r="AM223">
        <f>IFERROR(INDEX('M04-S05'!$W$18:$W$199,2*(ROWS(AM$214:AM223)-1)+1),"")</f>
        <v>0</v>
      </c>
      <c r="AN223" s="14" t="str">
        <f>IFERROR(INDEX('M04-S05'!$AX$18:$AX$199,2*(ROWS(AN$214:AN223)-1)+1),"")</f>
        <v/>
      </c>
      <c r="AO223" s="14" t="str">
        <f>IFERROR(INDEX('M04-S05'!$AY$18:$AY$199,2*(ROWS(AO$214:AO223)-1)+1),"")</f>
        <v/>
      </c>
      <c r="AP223" t="str">
        <f>IFERROR(INDEX('M04-S05'!$AZ$18:$AZ$199,2*(ROWS(AP$214:AP223)-1)+1),"")</f>
        <v/>
      </c>
      <c r="AQ223" t="str">
        <f>IFERROR(INDEX('M04-S05'!$BE$18:$BE$199,2*(ROWS(AQ$214:AQ223)-1)+1),"")</f>
        <v/>
      </c>
      <c r="AR223" t="s">
        <v>1254</v>
      </c>
      <c r="AS223"/>
      <c r="BL223"/>
      <c r="BP223"/>
      <c r="BQ223"/>
      <c r="BR223"/>
      <c r="CD223"/>
      <c r="CE223"/>
      <c r="CF223"/>
      <c r="CQ223"/>
      <c r="CR223"/>
      <c r="CS223"/>
      <c r="DS223"/>
      <c r="DT223"/>
      <c r="DU223"/>
    </row>
    <row r="224" spans="1:125" hidden="1">
      <c r="A224" s="15">
        <f t="shared" si="22"/>
        <v>0</v>
      </c>
      <c r="B224" t="str">
        <f t="shared" si="23"/>
        <v/>
      </c>
      <c r="C224" t="str">
        <f>IFERROR(IF(INDEX('M04-S05'!$BL$18:$BL$199,2*(ROWS($C$214:C224)-1)+1)="","",INDEX('M04-S05'!$BL$18:$BL$199,2*(ROWS($C$214:C224)-1)+1)),"")</f>
        <v/>
      </c>
      <c r="D224" t="s">
        <v>135</v>
      </c>
      <c r="E224">
        <f>IFERROR(INDEX('M04-S05'!$BF$18:$BF$199,2*(ROWS(E$214:E224)-1)+1),"")</f>
        <v>0</v>
      </c>
      <c r="F224" s="210"/>
      <c r="G224" s="194"/>
      <c r="H224" s="14" t="str">
        <f>IFERROR(ROUND(IF(AC224&lt;&gt;"","",INDEX('M04-S05'!$AH$18:$AH$199,2*(ROWS(H$214:H224)-1)+1)),2),"")</f>
        <v/>
      </c>
      <c r="I224" s="14" t="str">
        <f>IFERROR(ROUND(IF(AC224&lt;&gt;"","",INDEX('M04-S05'!$AJ$18:$AJ$199,2*(ROWS(I$214:I224)-1)+1)),2),"")</f>
        <v/>
      </c>
      <c r="J224" s="14" t="str">
        <f>IFERROR(ROUND(IF(AC224&lt;&gt;"","",INDEX('M04-S05'!$AL$18:$AL$199,2*(ROWS(J$214:J224)-1)+1)),2),"")</f>
        <v/>
      </c>
      <c r="K224" t="str">
        <f>IFERROR(IF(AC224&lt;&gt;"","",INDEX('M04-S05'!$AF$38:$AF$199,2*(ROWS(J$214:J224)-1)+1)),"")</f>
        <v/>
      </c>
      <c r="L224" s="10" t="str">
        <f>IFERROR(IF(AC224&lt;&gt;"","",ROUND(INDEX('M04-S05'!$BA$18:$BA$199,2*(ROWS(L$214:L224)-1)+1),3)),"")</f>
        <v/>
      </c>
      <c r="M224" s="10" t="str">
        <f>IFERROR(IF(AC224&lt;&gt;"","",ROUND(INDEX('M04-S05'!$BB$18:$BB$199,2*(ROWS(M$214:M224)-1)+1),3)),"")</f>
        <v/>
      </c>
      <c r="N224" s="219"/>
      <c r="O224" s="37" t="str">
        <f>IFERROR(IF(AC224&lt;&gt;"","",INDEX('M04-S05'!$AO$18:$AO$199,2*(ROWS(O$214:O224)-1)+1)),"")</f>
        <v/>
      </c>
      <c r="P224" s="37" t="str">
        <f>IFERROR(IF(AC224&lt;&gt;"","",INDEX('M04-S05'!$BH$18:$BH$199,2*(ROWS(P$214:P224)-1)+1)),"")</f>
        <v/>
      </c>
      <c r="Q224" s="37" t="str">
        <f>IFERROR(IF(AC224&lt;&gt;"","",INDEX('M04-S05'!$BG$18:$BG$199,2*(ROWS(Q$214:Q224)-1)+1)),"")</f>
        <v/>
      </c>
      <c r="R224" s="14" t="str">
        <f>IFERROR(IF(AC224&lt;&gt;"","",INDEX('M04-S05'!$AR$18:$AR$199,2*(ROWS(R$214:R224)-1)+1)),"")</f>
        <v/>
      </c>
      <c r="S224" s="14">
        <f>IFERROR(ROUND(IF(AC224&lt;&gt;"",INDEX('M04-S05'!$AH$18:$AH$199,2*(ROWS(S$214:S224)-1)+1),""),2),"")</f>
        <v>0</v>
      </c>
      <c r="T224" s="14">
        <f>IFERROR(ROUND(IF(AC224&lt;&gt;"",INDEX('M04-S05'!$AJ$18:$AJ$199,2*(ROWS(T$214:T224)-1)+1),""),2),"")</f>
        <v>0</v>
      </c>
      <c r="U224" s="14">
        <f>IFERROR(ROUND(IF(AC224&lt;&gt;"",INDEX('M04-S05'!$AL$18:$AL$199,2*(ROWS(U$214:U224)-1)+1),""),2),"")</f>
        <v>0</v>
      </c>
      <c r="V224">
        <f>IFERROR(IF(AC224&lt;&gt;"",INDEX('M04-S05'!$AF$38:$AF$199,2*(ROWS(V$214:V224)-1)+1),""),"")</f>
        <v>0</v>
      </c>
      <c r="W224" s="10">
        <f>IFERROR(IF(AC224&lt;&gt;"",ROUND(INDEX('M04-S05'!$BA$18:$BA$199,2*(ROWS(W$214:W224)-1)+1),3),""),"")</f>
        <v>0</v>
      </c>
      <c r="X224" s="10">
        <f>IFERROR(IF(AC224&lt;&gt;"",ROUND(INDEX('M04-S05'!$BB$18:$BB$199,2*(ROWS(X$214:X224)-1)+1),3),""),"")</f>
        <v>0</v>
      </c>
      <c r="Y224" s="210"/>
      <c r="Z224" s="31">
        <f>IFERROR(IF(AC224&lt;&gt;"",INDEX('M04-S05'!$AO$18:$AO$199,2*(ROWS(Z$214:Z224)-1)+1),""),"")</f>
        <v>0</v>
      </c>
      <c r="AA224" s="37">
        <f>IFERROR(IF(AC224&lt;&gt;"",INDEX('M04-S05'!$BH$18:$BH$199,2*(ROWS(AA$214:AA224)-1)+1),""),"")</f>
        <v>0</v>
      </c>
      <c r="AB224" s="37">
        <f>IFERROR(IF(AC224&lt;&gt;"",INDEX('M04-S05'!$BG$18:$BG$199,2*(ROWS(AB$214:AB224)-1)+1),""),"")</f>
        <v>0</v>
      </c>
      <c r="AC224">
        <f>IFERROR(INDEX('M04-S05'!$BN$18:$BN$199,2*(ROWS(AC$214:AC224)-1)+1),"")</f>
        <v>0</v>
      </c>
      <c r="AD224" s="37" cm="1">
        <f t="array" ref="AD224">IFERROR(INDEX('M04-S05'!$BC$18:$BC$199,2*(ROWS(AD$214:AD224)-1)+1),"")</f>
        <v>0</v>
      </c>
      <c r="AE224" s="37" cm="1">
        <f t="array" ref="AE224">IFERROR(INDEX('M04-S05'!$BD$18:$BD$199,2*(ROWS(AE$214:AE224)-1)+1),"")</f>
        <v>0</v>
      </c>
      <c r="AF224" s="210"/>
      <c r="AG224" s="210"/>
      <c r="AH224" s="210"/>
      <c r="AI224">
        <f>IFERROR(INDEX('M04-S05'!$B$18:$B$199,2*(ROWS(AI$214:AI224)-1)+1),"")</f>
        <v>0</v>
      </c>
      <c r="AJ224" s="194"/>
      <c r="AK224">
        <f>IFERROR(INDEX('M04-S05'!$H$18:$H$199,2*(ROWS(AK$214:AK224)-1)+1),"")</f>
        <v>0</v>
      </c>
      <c r="AL224">
        <f>IFERROR(INDEX('M04-S05'!$N$18:$N$199,2*(ROWS(AL$214:AL224)-1)+1),"")</f>
        <v>0</v>
      </c>
      <c r="AM224">
        <f>IFERROR(INDEX('M04-S05'!$W$18:$W$199,2*(ROWS(AM$214:AM224)-1)+1),"")</f>
        <v>0</v>
      </c>
      <c r="AN224" s="14">
        <f>IFERROR(INDEX('M04-S05'!$AX$18:$AX$199,2*(ROWS(AN$214:AN224)-1)+1),"")</f>
        <v>0</v>
      </c>
      <c r="AO224" s="14">
        <f>IFERROR(INDEX('M04-S05'!$AY$18:$AY$199,2*(ROWS(AO$214:AO224)-1)+1),"")</f>
        <v>0</v>
      </c>
      <c r="AP224">
        <f>IFERROR(INDEX('M04-S05'!$AZ$18:$AZ$199,2*(ROWS(AP$214:AP224)-1)+1),"")</f>
        <v>0</v>
      </c>
      <c r="AQ224">
        <f>IFERROR(INDEX('M04-S05'!$BE$18:$BE$199,2*(ROWS(AQ$214:AQ224)-1)+1),"")</f>
        <v>0</v>
      </c>
      <c r="AR224" t="s">
        <v>1254</v>
      </c>
      <c r="AS224"/>
      <c r="BL224"/>
      <c r="BP224"/>
      <c r="BQ224"/>
      <c r="BR224"/>
      <c r="CD224"/>
      <c r="CE224"/>
      <c r="CF224"/>
      <c r="CQ224"/>
      <c r="CR224"/>
      <c r="CS224"/>
      <c r="DS224"/>
      <c r="DT224"/>
      <c r="DU224"/>
    </row>
    <row r="225" spans="1:125" hidden="1">
      <c r="A225" s="15">
        <f t="shared" si="22"/>
        <v>0</v>
      </c>
      <c r="B225" t="str">
        <f t="shared" si="23"/>
        <v/>
      </c>
      <c r="C225" t="str">
        <f>IFERROR(IF(INDEX('M04-S05'!$BL$18:$BL$199,2*(ROWS($C$214:C225)-1)+1)="","",INDEX('M04-S05'!$BL$18:$BL$199,2*(ROWS($C$214:C225)-1)+1)),"")</f>
        <v/>
      </c>
      <c r="D225" t="s">
        <v>135</v>
      </c>
      <c r="E225">
        <f>IFERROR(INDEX('M04-S05'!$BF$18:$BF$199,2*(ROWS(E$214:E225)-1)+1),"")</f>
        <v>0</v>
      </c>
      <c r="F225" s="210"/>
      <c r="G225" s="194"/>
      <c r="H225" s="14" t="str">
        <f>IFERROR(ROUND(IF(AC225&lt;&gt;"","",INDEX('M04-S05'!$AH$18:$AH$199,2*(ROWS(H$214:H225)-1)+1)),2),"")</f>
        <v/>
      </c>
      <c r="I225" s="14" t="str">
        <f>IFERROR(ROUND(IF(AC225&lt;&gt;"","",INDEX('M04-S05'!$AJ$18:$AJ$199,2*(ROWS(I$214:I225)-1)+1)),2),"")</f>
        <v/>
      </c>
      <c r="J225" s="14" t="str">
        <f>IFERROR(ROUND(IF(AC225&lt;&gt;"","",INDEX('M04-S05'!$AL$18:$AL$199,2*(ROWS(J$214:J225)-1)+1)),2),"")</f>
        <v/>
      </c>
      <c r="K225" t="str">
        <f>IFERROR(IF(AC225&lt;&gt;"","",INDEX('M04-S05'!$AF$38:$AF$199,2*(ROWS(J$214:J225)-1)+1)),"")</f>
        <v/>
      </c>
      <c r="L225" s="10" t="str">
        <f>IFERROR(IF(AC225&lt;&gt;"","",ROUND(INDEX('M04-S05'!$BA$18:$BA$199,2*(ROWS(L$214:L225)-1)+1),3)),"")</f>
        <v/>
      </c>
      <c r="M225" s="10" t="str">
        <f>IFERROR(IF(AC225&lt;&gt;"","",ROUND(INDEX('M04-S05'!$BB$18:$BB$199,2*(ROWS(M$214:M225)-1)+1),3)),"")</f>
        <v/>
      </c>
      <c r="N225" s="219"/>
      <c r="O225" s="37" t="str">
        <f>IFERROR(IF(AC225&lt;&gt;"","",INDEX('M04-S05'!$AO$18:$AO$199,2*(ROWS(O$214:O225)-1)+1)),"")</f>
        <v/>
      </c>
      <c r="P225" s="37" t="str">
        <f>IFERROR(IF(AC225&lt;&gt;"","",INDEX('M04-S05'!$BH$18:$BH$199,2*(ROWS(P$214:P225)-1)+1)),"")</f>
        <v/>
      </c>
      <c r="Q225" s="37" t="str">
        <f>IFERROR(IF(AC225&lt;&gt;"","",INDEX('M04-S05'!$BG$18:$BG$199,2*(ROWS(Q$214:Q225)-1)+1)),"")</f>
        <v/>
      </c>
      <c r="R225" s="14" t="str">
        <f>IFERROR(IF(AC225&lt;&gt;"","",INDEX('M04-S05'!$AR$18:$AR$199,2*(ROWS(R$214:R225)-1)+1)),"")</f>
        <v/>
      </c>
      <c r="S225" s="14">
        <f>IFERROR(ROUND(IF(AC225&lt;&gt;"",INDEX('M04-S05'!$AH$18:$AH$199,2*(ROWS(S$214:S225)-1)+1),""),2),"")</f>
        <v>0</v>
      </c>
      <c r="T225" s="14">
        <f>IFERROR(ROUND(IF(AC225&lt;&gt;"",INDEX('M04-S05'!$AJ$18:$AJ$199,2*(ROWS(T$214:T225)-1)+1),""),2),"")</f>
        <v>0</v>
      </c>
      <c r="U225" s="14">
        <f>IFERROR(ROUND(IF(AC225&lt;&gt;"",INDEX('M04-S05'!$AL$18:$AL$199,2*(ROWS(U$214:U225)-1)+1),""),2),"")</f>
        <v>0</v>
      </c>
      <c r="V225">
        <f>IFERROR(IF(AC225&lt;&gt;"",INDEX('M04-S05'!$AF$38:$AF$199,2*(ROWS(V$214:V225)-1)+1),""),"")</f>
        <v>0</v>
      </c>
      <c r="W225" s="10">
        <f>IFERROR(IF(AC225&lt;&gt;"",ROUND(INDEX('M04-S05'!$BA$18:$BA$199,2*(ROWS(W$214:W225)-1)+1),3),""),"")</f>
        <v>0</v>
      </c>
      <c r="X225" s="10">
        <f>IFERROR(IF(AC225&lt;&gt;"",ROUND(INDEX('M04-S05'!$BB$18:$BB$199,2*(ROWS(X$214:X225)-1)+1),3),""),"")</f>
        <v>0</v>
      </c>
      <c r="Y225" s="210"/>
      <c r="Z225" s="31">
        <f>IFERROR(IF(AC225&lt;&gt;"",INDEX('M04-S05'!$AO$18:$AO$199,2*(ROWS(Z$214:Z225)-1)+1),""),"")</f>
        <v>0</v>
      </c>
      <c r="AA225" s="37">
        <f>IFERROR(IF(AC225&lt;&gt;"",INDEX('M04-S05'!$BH$18:$BH$199,2*(ROWS(AA$214:AA225)-1)+1),""),"")</f>
        <v>0</v>
      </c>
      <c r="AB225" s="37">
        <f>IFERROR(IF(AC225&lt;&gt;"",INDEX('M04-S05'!$BG$18:$BG$199,2*(ROWS(AB$214:AB225)-1)+1),""),"")</f>
        <v>0</v>
      </c>
      <c r="AC225">
        <f>IFERROR(INDEX('M04-S05'!$BN$18:$BN$199,2*(ROWS(AC$214:AC225)-1)+1),"")</f>
        <v>0</v>
      </c>
      <c r="AD225" s="37" cm="1">
        <f t="array" ref="AD225">IFERROR(INDEX('M04-S05'!$BC$18:$BC$199,2*(ROWS(AD$214:AD225)-1)+1),"")</f>
        <v>0</v>
      </c>
      <c r="AE225" s="37" cm="1">
        <f t="array" ref="AE225">IFERROR(INDEX('M04-S05'!$BD$18:$BD$199,2*(ROWS(AE$214:AE225)-1)+1),"")</f>
        <v>0</v>
      </c>
      <c r="AF225" s="210"/>
      <c r="AG225" s="210"/>
      <c r="AH225" s="210"/>
      <c r="AI225">
        <f>IFERROR(INDEX('M04-S05'!$B$18:$B$199,2*(ROWS(AI$214:AI225)-1)+1),"")</f>
        <v>0</v>
      </c>
      <c r="AJ225" s="194"/>
      <c r="AK225">
        <f>IFERROR(INDEX('M04-S05'!$H$18:$H$199,2*(ROWS(AK$214:AK225)-1)+1),"")</f>
        <v>0</v>
      </c>
      <c r="AL225">
        <f>IFERROR(INDEX('M04-S05'!$N$18:$N$199,2*(ROWS(AL$214:AL225)-1)+1),"")</f>
        <v>0</v>
      </c>
      <c r="AM225">
        <f>IFERROR(INDEX('M04-S05'!$W$18:$W$199,2*(ROWS(AM$214:AM225)-1)+1),"")</f>
        <v>0</v>
      </c>
      <c r="AN225" s="14">
        <f>IFERROR(INDEX('M04-S05'!$AX$18:$AX$199,2*(ROWS(AN$214:AN225)-1)+1),"")</f>
        <v>0</v>
      </c>
      <c r="AO225" s="14">
        <f>IFERROR(INDEX('M04-S05'!$AY$18:$AY$199,2*(ROWS(AO$214:AO225)-1)+1),"")</f>
        <v>0</v>
      </c>
      <c r="AP225">
        <f>IFERROR(INDEX('M04-S05'!$AZ$18:$AZ$199,2*(ROWS(AP$214:AP225)-1)+1),"")</f>
        <v>0</v>
      </c>
      <c r="AQ225">
        <f>IFERROR(INDEX('M04-S05'!$BE$18:$BE$199,2*(ROWS(AQ$214:AQ225)-1)+1),"")</f>
        <v>0</v>
      </c>
      <c r="AR225" t="s">
        <v>1254</v>
      </c>
      <c r="AS225"/>
      <c r="BL225"/>
      <c r="BP225"/>
      <c r="BQ225"/>
      <c r="BR225"/>
      <c r="CD225"/>
      <c r="CE225"/>
      <c r="CF225"/>
      <c r="CQ225"/>
      <c r="CR225"/>
      <c r="CS225"/>
      <c r="DS225"/>
      <c r="DT225"/>
      <c r="DU225"/>
    </row>
    <row r="226" spans="1:125" hidden="1">
      <c r="A226" s="15">
        <f t="shared" si="22"/>
        <v>0</v>
      </c>
      <c r="B226" t="str">
        <f t="shared" si="23"/>
        <v/>
      </c>
      <c r="C226" t="str">
        <f>IFERROR(IF(INDEX('M04-S05'!$BL$18:$BL$199,2*(ROWS($C$214:C226)-1)+1)="","",INDEX('M04-S05'!$BL$18:$BL$199,2*(ROWS($C$214:C226)-1)+1)),"")</f>
        <v/>
      </c>
      <c r="D226" t="s">
        <v>135</v>
      </c>
      <c r="E226">
        <f>IFERROR(INDEX('M04-S05'!$BF$18:$BF$199,2*(ROWS(E$214:E226)-1)+1),"")</f>
        <v>0</v>
      </c>
      <c r="F226" s="210"/>
      <c r="G226" s="194"/>
      <c r="H226" s="14" t="str">
        <f>IFERROR(ROUND(IF(AC226&lt;&gt;"","",INDEX('M04-S05'!$AH$18:$AH$199,2*(ROWS(H$214:H226)-1)+1)),2),"")</f>
        <v/>
      </c>
      <c r="I226" s="14" t="str">
        <f>IFERROR(ROUND(IF(AC226&lt;&gt;"","",INDEX('M04-S05'!$AJ$18:$AJ$199,2*(ROWS(I$214:I226)-1)+1)),2),"")</f>
        <v/>
      </c>
      <c r="J226" s="14" t="str">
        <f>IFERROR(ROUND(IF(AC226&lt;&gt;"","",INDEX('M04-S05'!$AL$18:$AL$199,2*(ROWS(J$214:J226)-1)+1)),2),"")</f>
        <v/>
      </c>
      <c r="K226" t="str">
        <f>IFERROR(IF(AC226&lt;&gt;"","",INDEX('M04-S05'!$AF$38:$AF$199,2*(ROWS(J$214:J226)-1)+1)),"")</f>
        <v/>
      </c>
      <c r="L226" s="10" t="str">
        <f>IFERROR(IF(AC226&lt;&gt;"","",ROUND(INDEX('M04-S05'!$BA$18:$BA$199,2*(ROWS(L$214:L226)-1)+1),3)),"")</f>
        <v/>
      </c>
      <c r="M226" s="10" t="str">
        <f>IFERROR(IF(AC226&lt;&gt;"","",ROUND(INDEX('M04-S05'!$BB$18:$BB$199,2*(ROWS(M$214:M226)-1)+1),3)),"")</f>
        <v/>
      </c>
      <c r="N226" s="219"/>
      <c r="O226" s="37" t="str">
        <f>IFERROR(IF(AC226&lt;&gt;"","",INDEX('M04-S05'!$AO$18:$AO$199,2*(ROWS(O$214:O226)-1)+1)),"")</f>
        <v/>
      </c>
      <c r="P226" s="37" t="str">
        <f>IFERROR(IF(AC226&lt;&gt;"","",INDEX('M04-S05'!$BH$18:$BH$199,2*(ROWS(P$214:P226)-1)+1)),"")</f>
        <v/>
      </c>
      <c r="Q226" s="37" t="str">
        <f>IFERROR(IF(AC226&lt;&gt;"","",INDEX('M04-S05'!$BG$18:$BG$199,2*(ROWS(Q$214:Q226)-1)+1)),"")</f>
        <v/>
      </c>
      <c r="R226" s="14" t="str">
        <f>IFERROR(IF(AC226&lt;&gt;"","",INDEX('M04-S05'!$AR$18:$AR$199,2*(ROWS(R$214:R226)-1)+1)),"")</f>
        <v/>
      </c>
      <c r="S226" s="14">
        <f>IFERROR(ROUND(IF(AC226&lt;&gt;"",INDEX('M04-S05'!$AH$18:$AH$199,2*(ROWS(S$214:S226)-1)+1),""),2),"")</f>
        <v>0</v>
      </c>
      <c r="T226" s="14">
        <f>IFERROR(ROUND(IF(AC226&lt;&gt;"",INDEX('M04-S05'!$AJ$18:$AJ$199,2*(ROWS(T$214:T226)-1)+1),""),2),"")</f>
        <v>0</v>
      </c>
      <c r="U226" s="14">
        <f>IFERROR(ROUND(IF(AC226&lt;&gt;"",INDEX('M04-S05'!$AL$18:$AL$199,2*(ROWS(U$214:U226)-1)+1),""),2),"")</f>
        <v>0</v>
      </c>
      <c r="V226">
        <f>IFERROR(IF(AC226&lt;&gt;"",INDEX('M04-S05'!$AF$38:$AF$199,2*(ROWS(V$214:V226)-1)+1),""),"")</f>
        <v>0</v>
      </c>
      <c r="W226" s="10">
        <f>IFERROR(IF(AC226&lt;&gt;"",ROUND(INDEX('M04-S05'!$BA$18:$BA$199,2*(ROWS(W$214:W226)-1)+1),3),""),"")</f>
        <v>0</v>
      </c>
      <c r="X226" s="10">
        <f>IFERROR(IF(AC226&lt;&gt;"",ROUND(INDEX('M04-S05'!$BB$18:$BB$199,2*(ROWS(X$214:X226)-1)+1),3),""),"")</f>
        <v>0</v>
      </c>
      <c r="Y226" s="210"/>
      <c r="Z226" s="31">
        <f>IFERROR(IF(AC226&lt;&gt;"",INDEX('M04-S05'!$AO$18:$AO$199,2*(ROWS(Z$214:Z226)-1)+1),""),"")</f>
        <v>0</v>
      </c>
      <c r="AA226" s="37">
        <f>IFERROR(IF(AC226&lt;&gt;"",INDEX('M04-S05'!$BH$18:$BH$199,2*(ROWS(AA$214:AA226)-1)+1),""),"")</f>
        <v>0</v>
      </c>
      <c r="AB226" s="37">
        <f>IFERROR(IF(AC226&lt;&gt;"",INDEX('M04-S05'!$BG$18:$BG$199,2*(ROWS(AB$214:AB226)-1)+1),""),"")</f>
        <v>0</v>
      </c>
      <c r="AC226">
        <f>IFERROR(INDEX('M04-S05'!$BN$18:$BN$199,2*(ROWS(AC$214:AC226)-1)+1),"")</f>
        <v>0</v>
      </c>
      <c r="AD226" s="37" cm="1">
        <f t="array" ref="AD226">IFERROR(INDEX('M04-S05'!$BC$18:$BC$199,2*(ROWS(AD$214:AD226)-1)+1),"")</f>
        <v>0</v>
      </c>
      <c r="AE226" s="37" cm="1">
        <f t="array" ref="AE226">IFERROR(INDEX('M04-S05'!$BD$18:$BD$199,2*(ROWS(AE$214:AE226)-1)+1),"")</f>
        <v>0</v>
      </c>
      <c r="AF226" s="210"/>
      <c r="AG226" s="210"/>
      <c r="AH226" s="210"/>
      <c r="AI226">
        <f>IFERROR(INDEX('M04-S05'!$B$18:$B$199,2*(ROWS(AI$214:AI226)-1)+1),"")</f>
        <v>0</v>
      </c>
      <c r="AJ226" s="194"/>
      <c r="AK226">
        <f>IFERROR(INDEX('M04-S05'!$H$18:$H$199,2*(ROWS(AK$214:AK226)-1)+1),"")</f>
        <v>0</v>
      </c>
      <c r="AL226">
        <f>IFERROR(INDEX('M04-S05'!$N$18:$N$199,2*(ROWS(AL$214:AL226)-1)+1),"")</f>
        <v>0</v>
      </c>
      <c r="AM226">
        <f>IFERROR(INDEX('M04-S05'!$W$18:$W$199,2*(ROWS(AM$214:AM226)-1)+1),"")</f>
        <v>0</v>
      </c>
      <c r="AN226" s="14">
        <f>IFERROR(INDEX('M04-S05'!$AX$18:$AX$199,2*(ROWS(AN$214:AN226)-1)+1),"")</f>
        <v>0</v>
      </c>
      <c r="AO226" s="14">
        <f>IFERROR(INDEX('M04-S05'!$AY$18:$AY$199,2*(ROWS(AO$214:AO226)-1)+1),"")</f>
        <v>0</v>
      </c>
      <c r="AP226">
        <f>IFERROR(INDEX('M04-S05'!$AZ$18:$AZ$199,2*(ROWS(AP$214:AP226)-1)+1),"")</f>
        <v>0</v>
      </c>
      <c r="AQ226">
        <f>IFERROR(INDEX('M04-S05'!$BE$18:$BE$199,2*(ROWS(AQ$214:AQ226)-1)+1),"")</f>
        <v>0</v>
      </c>
      <c r="AR226" t="s">
        <v>1254</v>
      </c>
      <c r="AS226"/>
      <c r="BL226"/>
      <c r="BP226"/>
      <c r="BQ226"/>
      <c r="BR226"/>
      <c r="CD226"/>
      <c r="CE226"/>
      <c r="CF226"/>
      <c r="CQ226"/>
      <c r="CR226"/>
      <c r="CS226"/>
      <c r="DS226"/>
      <c r="DT226"/>
      <c r="DU226"/>
    </row>
    <row r="227" spans="1:125" hidden="1">
      <c r="A227" s="15">
        <f t="shared" si="22"/>
        <v>0</v>
      </c>
      <c r="B227" t="str">
        <f t="shared" si="23"/>
        <v/>
      </c>
      <c r="C227" t="str">
        <f>IFERROR(IF(INDEX('M04-S05'!$BL$18:$BL$199,2*(ROWS($C$214:C227)-1)+1)="","",INDEX('M04-S05'!$BL$18:$BL$199,2*(ROWS($C$214:C227)-1)+1)),"")</f>
        <v/>
      </c>
      <c r="D227" t="s">
        <v>135</v>
      </c>
      <c r="E227">
        <f>IFERROR(INDEX('M04-S05'!$BF$18:$BF$199,2*(ROWS(E$214:E227)-1)+1),"")</f>
        <v>0</v>
      </c>
      <c r="F227" s="210"/>
      <c r="G227" s="194"/>
      <c r="H227" s="14" t="str">
        <f>IFERROR(ROUND(IF(AC227&lt;&gt;"","",INDEX('M04-S05'!$AH$18:$AH$199,2*(ROWS(H$214:H227)-1)+1)),2),"")</f>
        <v/>
      </c>
      <c r="I227" s="14" t="str">
        <f>IFERROR(ROUND(IF(AC227&lt;&gt;"","",INDEX('M04-S05'!$AJ$18:$AJ$199,2*(ROWS(I$214:I227)-1)+1)),2),"")</f>
        <v/>
      </c>
      <c r="J227" s="14" t="str">
        <f>IFERROR(ROUND(IF(AC227&lt;&gt;"","",INDEX('M04-S05'!$AL$18:$AL$199,2*(ROWS(J$214:J227)-1)+1)),2),"")</f>
        <v/>
      </c>
      <c r="K227" t="str">
        <f>IFERROR(IF(AC227&lt;&gt;"","",INDEX('M04-S05'!$AF$38:$AF$199,2*(ROWS(J$214:J227)-1)+1)),"")</f>
        <v/>
      </c>
      <c r="L227" s="10" t="str">
        <f>IFERROR(IF(AC227&lt;&gt;"","",ROUND(INDEX('M04-S05'!$BA$18:$BA$199,2*(ROWS(L$214:L227)-1)+1),3)),"")</f>
        <v/>
      </c>
      <c r="M227" s="10" t="str">
        <f>IFERROR(IF(AC227&lt;&gt;"","",ROUND(INDEX('M04-S05'!$BB$18:$BB$199,2*(ROWS(M$214:M227)-1)+1),3)),"")</f>
        <v/>
      </c>
      <c r="N227" s="219"/>
      <c r="O227" s="37" t="str">
        <f>IFERROR(IF(AC227&lt;&gt;"","",INDEX('M04-S05'!$AO$18:$AO$199,2*(ROWS(O$214:O227)-1)+1)),"")</f>
        <v/>
      </c>
      <c r="P227" s="37" t="str">
        <f>IFERROR(IF(AC227&lt;&gt;"","",INDEX('M04-S05'!$BH$18:$BH$199,2*(ROWS(P$214:P227)-1)+1)),"")</f>
        <v/>
      </c>
      <c r="Q227" s="37" t="str">
        <f>IFERROR(IF(AC227&lt;&gt;"","",INDEX('M04-S05'!$BG$18:$BG$199,2*(ROWS(Q$214:Q227)-1)+1)),"")</f>
        <v/>
      </c>
      <c r="R227" s="14" t="str">
        <f>IFERROR(IF(AC227&lt;&gt;"","",INDEX('M04-S05'!$AR$18:$AR$199,2*(ROWS(R$214:R227)-1)+1)),"")</f>
        <v/>
      </c>
      <c r="S227" s="14">
        <f>IFERROR(ROUND(IF(AC227&lt;&gt;"",INDEX('M04-S05'!$AH$18:$AH$199,2*(ROWS(S$214:S227)-1)+1),""),2),"")</f>
        <v>0</v>
      </c>
      <c r="T227" s="14">
        <f>IFERROR(ROUND(IF(AC227&lt;&gt;"",INDEX('M04-S05'!$AJ$18:$AJ$199,2*(ROWS(T$214:T227)-1)+1),""),2),"")</f>
        <v>0</v>
      </c>
      <c r="U227" s="14">
        <f>IFERROR(ROUND(IF(AC227&lt;&gt;"",INDEX('M04-S05'!$AL$18:$AL$199,2*(ROWS(U$214:U227)-1)+1),""),2),"")</f>
        <v>0</v>
      </c>
      <c r="V227">
        <f>IFERROR(IF(AC227&lt;&gt;"",INDEX('M04-S05'!$AF$38:$AF$199,2*(ROWS(V$214:V227)-1)+1),""),"")</f>
        <v>0</v>
      </c>
      <c r="W227" s="10">
        <f>IFERROR(IF(AC227&lt;&gt;"",ROUND(INDEX('M04-S05'!$BA$18:$BA$199,2*(ROWS(W$214:W227)-1)+1),3),""),"")</f>
        <v>0</v>
      </c>
      <c r="X227" s="10">
        <f>IFERROR(IF(AC227&lt;&gt;"",ROUND(INDEX('M04-S05'!$BB$18:$BB$199,2*(ROWS(X$214:X227)-1)+1),3),""),"")</f>
        <v>0</v>
      </c>
      <c r="Y227" s="210"/>
      <c r="Z227" s="31">
        <f>IFERROR(IF(AC227&lt;&gt;"",INDEX('M04-S05'!$AO$18:$AO$199,2*(ROWS(Z$214:Z227)-1)+1),""),"")</f>
        <v>0</v>
      </c>
      <c r="AA227" s="37">
        <f>IFERROR(IF(AC227&lt;&gt;"",INDEX('M04-S05'!$BH$18:$BH$199,2*(ROWS(AA$214:AA227)-1)+1),""),"")</f>
        <v>0</v>
      </c>
      <c r="AB227" s="37">
        <f>IFERROR(IF(AC227&lt;&gt;"",INDEX('M04-S05'!$BG$18:$BG$199,2*(ROWS(AB$214:AB227)-1)+1),""),"")</f>
        <v>0</v>
      </c>
      <c r="AC227">
        <f>IFERROR(INDEX('M04-S05'!$BN$18:$BN$199,2*(ROWS(AC$214:AC227)-1)+1),"")</f>
        <v>0</v>
      </c>
      <c r="AD227" s="37" cm="1">
        <f t="array" ref="AD227">IFERROR(INDEX('M04-S05'!$BC$18:$BC$199,2*(ROWS(AD$214:AD227)-1)+1),"")</f>
        <v>0</v>
      </c>
      <c r="AE227" s="37" cm="1">
        <f t="array" ref="AE227">IFERROR(INDEX('M04-S05'!$BD$18:$BD$199,2*(ROWS(AE$214:AE227)-1)+1),"")</f>
        <v>0</v>
      </c>
      <c r="AF227" s="210"/>
      <c r="AG227" s="210"/>
      <c r="AH227" s="210"/>
      <c r="AI227">
        <f>IFERROR(INDEX('M04-S05'!$B$18:$B$199,2*(ROWS(AI$214:AI227)-1)+1),"")</f>
        <v>0</v>
      </c>
      <c r="AJ227" s="194"/>
      <c r="AK227">
        <f>IFERROR(INDEX('M04-S05'!$H$18:$H$199,2*(ROWS(AK$214:AK227)-1)+1),"")</f>
        <v>0</v>
      </c>
      <c r="AL227">
        <f>IFERROR(INDEX('M04-S05'!$N$18:$N$199,2*(ROWS(AL$214:AL227)-1)+1),"")</f>
        <v>0</v>
      </c>
      <c r="AM227">
        <f>IFERROR(INDEX('M04-S05'!$W$18:$W$199,2*(ROWS(AM$214:AM227)-1)+1),"")</f>
        <v>0</v>
      </c>
      <c r="AN227" s="14">
        <f>IFERROR(INDEX('M04-S05'!$AX$18:$AX$199,2*(ROWS(AN$214:AN227)-1)+1),"")</f>
        <v>0</v>
      </c>
      <c r="AO227" s="14">
        <f>IFERROR(INDEX('M04-S05'!$AY$18:$AY$199,2*(ROWS(AO$214:AO227)-1)+1),"")</f>
        <v>0</v>
      </c>
      <c r="AP227">
        <f>IFERROR(INDEX('M04-S05'!$AZ$18:$AZ$199,2*(ROWS(AP$214:AP227)-1)+1),"")</f>
        <v>0</v>
      </c>
      <c r="AQ227">
        <f>IFERROR(INDEX('M04-S05'!$BE$18:$BE$199,2*(ROWS(AQ$214:AQ227)-1)+1),"")</f>
        <v>0</v>
      </c>
      <c r="AR227" t="s">
        <v>1254</v>
      </c>
      <c r="AS227"/>
      <c r="BL227"/>
      <c r="BP227"/>
      <c r="BQ227"/>
      <c r="BR227"/>
      <c r="CD227"/>
      <c r="CE227"/>
      <c r="CF227"/>
      <c r="CQ227"/>
      <c r="CR227"/>
      <c r="CS227"/>
      <c r="DS227"/>
      <c r="DT227"/>
      <c r="DU227"/>
    </row>
    <row r="228" spans="1:125" hidden="1">
      <c r="A228" s="15">
        <f t="shared" si="22"/>
        <v>0</v>
      </c>
      <c r="B228" t="str">
        <f t="shared" si="23"/>
        <v/>
      </c>
      <c r="C228" t="str">
        <f>IFERROR(IF(INDEX('M04-S05'!$BL$18:$BL$199,2*(ROWS($C$214:C228)-1)+1)="","",INDEX('M04-S05'!$BL$18:$BL$199,2*(ROWS($C$214:C228)-1)+1)),"")</f>
        <v/>
      </c>
      <c r="D228" t="s">
        <v>135</v>
      </c>
      <c r="E228">
        <f>IFERROR(INDEX('M04-S05'!$BF$18:$BF$199,2*(ROWS(E$214:E228)-1)+1),"")</f>
        <v>0</v>
      </c>
      <c r="F228" s="210"/>
      <c r="G228" s="194"/>
      <c r="H228" s="14" t="str">
        <f>IFERROR(ROUND(IF(AC228&lt;&gt;"","",INDEX('M04-S05'!$AH$18:$AH$199,2*(ROWS(H$214:H228)-1)+1)),2),"")</f>
        <v/>
      </c>
      <c r="I228" s="14" t="str">
        <f>IFERROR(ROUND(IF(AC228&lt;&gt;"","",INDEX('M04-S05'!$AJ$18:$AJ$199,2*(ROWS(I$214:I228)-1)+1)),2),"")</f>
        <v/>
      </c>
      <c r="J228" s="14" t="str">
        <f>IFERROR(ROUND(IF(AC228&lt;&gt;"","",INDEX('M04-S05'!$AL$18:$AL$199,2*(ROWS(J$214:J228)-1)+1)),2),"")</f>
        <v/>
      </c>
      <c r="K228" t="str">
        <f>IFERROR(IF(AC228&lt;&gt;"","",INDEX('M04-S05'!$AF$38:$AF$199,2*(ROWS(J$214:J228)-1)+1)),"")</f>
        <v/>
      </c>
      <c r="L228" s="10" t="str">
        <f>IFERROR(IF(AC228&lt;&gt;"","",ROUND(INDEX('M04-S05'!$BA$18:$BA$199,2*(ROWS(L$214:L228)-1)+1),3)),"")</f>
        <v/>
      </c>
      <c r="M228" s="10" t="str">
        <f>IFERROR(IF(AC228&lt;&gt;"","",ROUND(INDEX('M04-S05'!$BB$18:$BB$199,2*(ROWS(M$214:M228)-1)+1),3)),"")</f>
        <v/>
      </c>
      <c r="N228" s="219"/>
      <c r="O228" s="37" t="str">
        <f>IFERROR(IF(AC228&lt;&gt;"","",INDEX('M04-S05'!$AO$18:$AO$199,2*(ROWS(O$214:O228)-1)+1)),"")</f>
        <v/>
      </c>
      <c r="P228" s="37" t="str">
        <f>IFERROR(IF(AC228&lt;&gt;"","",INDEX('M04-S05'!$BH$18:$BH$199,2*(ROWS(P$214:P228)-1)+1)),"")</f>
        <v/>
      </c>
      <c r="Q228" s="37" t="str">
        <f>IFERROR(IF(AC228&lt;&gt;"","",INDEX('M04-S05'!$BG$18:$BG$199,2*(ROWS(Q$214:Q228)-1)+1)),"")</f>
        <v/>
      </c>
      <c r="R228" s="14" t="str">
        <f>IFERROR(IF(AC228&lt;&gt;"","",INDEX('M04-S05'!$AR$18:$AR$199,2*(ROWS(R$214:R228)-1)+1)),"")</f>
        <v/>
      </c>
      <c r="S228" s="14">
        <f>IFERROR(ROUND(IF(AC228&lt;&gt;"",INDEX('M04-S05'!$AH$18:$AH$199,2*(ROWS(S$214:S228)-1)+1),""),2),"")</f>
        <v>0</v>
      </c>
      <c r="T228" s="14">
        <f>IFERROR(ROUND(IF(AC228&lt;&gt;"",INDEX('M04-S05'!$AJ$18:$AJ$199,2*(ROWS(T$214:T228)-1)+1),""),2),"")</f>
        <v>0</v>
      </c>
      <c r="U228" s="14">
        <f>IFERROR(ROUND(IF(AC228&lt;&gt;"",INDEX('M04-S05'!$AL$18:$AL$199,2*(ROWS(U$214:U228)-1)+1),""),2),"")</f>
        <v>0</v>
      </c>
      <c r="V228">
        <f>IFERROR(IF(AC228&lt;&gt;"",INDEX('M04-S05'!$AF$38:$AF$199,2*(ROWS(V$214:V228)-1)+1),""),"")</f>
        <v>0</v>
      </c>
      <c r="W228" s="10">
        <f>IFERROR(IF(AC228&lt;&gt;"",ROUND(INDEX('M04-S05'!$BA$18:$BA$199,2*(ROWS(W$214:W228)-1)+1),3),""),"")</f>
        <v>0</v>
      </c>
      <c r="X228" s="10">
        <f>IFERROR(IF(AC228&lt;&gt;"",ROUND(INDEX('M04-S05'!$BB$18:$BB$199,2*(ROWS(X$214:X228)-1)+1),3),""),"")</f>
        <v>0</v>
      </c>
      <c r="Y228" s="210"/>
      <c r="Z228" s="31">
        <f>IFERROR(IF(AC228&lt;&gt;"",INDEX('M04-S05'!$AO$18:$AO$199,2*(ROWS(Z$214:Z228)-1)+1),""),"")</f>
        <v>0</v>
      </c>
      <c r="AA228" s="37">
        <f>IFERROR(IF(AC228&lt;&gt;"",INDEX('M04-S05'!$BH$18:$BH$199,2*(ROWS(AA$214:AA228)-1)+1),""),"")</f>
        <v>0</v>
      </c>
      <c r="AB228" s="37">
        <f>IFERROR(IF(AC228&lt;&gt;"",INDEX('M04-S05'!$BG$18:$BG$199,2*(ROWS(AB$214:AB228)-1)+1),""),"")</f>
        <v>0</v>
      </c>
      <c r="AC228">
        <f>IFERROR(INDEX('M04-S05'!$BN$18:$BN$199,2*(ROWS(AC$214:AC228)-1)+1),"")</f>
        <v>0</v>
      </c>
      <c r="AD228" s="37" cm="1">
        <f t="array" ref="AD228">IFERROR(INDEX('M04-S05'!$BC$18:$BC$199,2*(ROWS(AD$214:AD228)-1)+1),"")</f>
        <v>0</v>
      </c>
      <c r="AE228" s="37" cm="1">
        <f t="array" ref="AE228">IFERROR(INDEX('M04-S05'!$BD$18:$BD$199,2*(ROWS(AE$214:AE228)-1)+1),"")</f>
        <v>0</v>
      </c>
      <c r="AF228" s="210"/>
      <c r="AG228" s="210"/>
      <c r="AH228" s="210"/>
      <c r="AI228">
        <f>IFERROR(INDEX('M04-S05'!$B$18:$B$199,2*(ROWS(AI$214:AI228)-1)+1),"")</f>
        <v>0</v>
      </c>
      <c r="AJ228" s="194"/>
      <c r="AK228">
        <f>IFERROR(INDEX('M04-S05'!$H$18:$H$199,2*(ROWS(AK$214:AK228)-1)+1),"")</f>
        <v>0</v>
      </c>
      <c r="AL228">
        <f>IFERROR(INDEX('M04-S05'!$N$18:$N$199,2*(ROWS(AL$214:AL228)-1)+1),"")</f>
        <v>0</v>
      </c>
      <c r="AM228">
        <f>IFERROR(INDEX('M04-S05'!$W$18:$W$199,2*(ROWS(AM$214:AM228)-1)+1),"")</f>
        <v>0</v>
      </c>
      <c r="AN228" s="14">
        <f>IFERROR(INDEX('M04-S05'!$AX$18:$AX$199,2*(ROWS(AN$214:AN228)-1)+1),"")</f>
        <v>0</v>
      </c>
      <c r="AO228" s="14">
        <f>IFERROR(INDEX('M04-S05'!$AY$18:$AY$199,2*(ROWS(AO$214:AO228)-1)+1),"")</f>
        <v>0</v>
      </c>
      <c r="AP228">
        <f>IFERROR(INDEX('M04-S05'!$AZ$18:$AZ$199,2*(ROWS(AP$214:AP228)-1)+1),"")</f>
        <v>0</v>
      </c>
      <c r="AQ228">
        <f>IFERROR(INDEX('M04-S05'!$BE$18:$BE$199,2*(ROWS(AQ$214:AQ228)-1)+1),"")</f>
        <v>0</v>
      </c>
      <c r="AR228" t="s">
        <v>1254</v>
      </c>
      <c r="AS228"/>
      <c r="BL228"/>
      <c r="BP228"/>
      <c r="BQ228"/>
      <c r="BR228"/>
      <c r="CD228"/>
      <c r="CE228"/>
      <c r="CF228"/>
      <c r="CQ228"/>
      <c r="CR228"/>
      <c r="CS228"/>
      <c r="DS228"/>
      <c r="DT228"/>
      <c r="DU228"/>
    </row>
    <row r="229" spans="1:125">
      <c r="A229" s="226" t="str">
        <f>"Custom "&amp;M4S6</f>
        <v>Custom Compressed Air / Process</v>
      </c>
      <c r="B229" s="36"/>
      <c r="C229" s="36"/>
      <c r="D229" s="36"/>
      <c r="E229" s="36"/>
      <c r="F229" s="211"/>
      <c r="G229" s="36"/>
      <c r="H229" s="206"/>
      <c r="I229" s="206"/>
      <c r="J229" s="206"/>
      <c r="K229" s="36"/>
      <c r="L229" s="214"/>
      <c r="M229" s="214"/>
      <c r="N229" s="217"/>
      <c r="O229" s="217"/>
      <c r="P229" s="217"/>
      <c r="Q229" s="217"/>
      <c r="R229" s="206"/>
      <c r="S229" s="206"/>
      <c r="T229" s="206"/>
      <c r="U229" s="206"/>
      <c r="V229" s="36"/>
      <c r="W229" s="214"/>
      <c r="X229" s="214"/>
      <c r="Y229" s="211"/>
      <c r="Z229" s="211"/>
      <c r="AA229" s="217"/>
      <c r="AB229" s="217"/>
      <c r="AC229" s="36"/>
      <c r="AD229" s="217"/>
      <c r="AE229" s="217"/>
      <c r="AF229" s="211"/>
      <c r="AG229" s="211"/>
      <c r="AH229" s="211"/>
      <c r="AI229" s="36"/>
      <c r="AJ229" s="36"/>
      <c r="AK229" s="109"/>
      <c r="AL229" s="36"/>
      <c r="AM229" s="36"/>
      <c r="AN229" s="206"/>
      <c r="AO229" s="206"/>
      <c r="AP229" s="36"/>
      <c r="AQ229" s="36"/>
      <c r="AR229" s="36"/>
      <c r="AS229" s="36"/>
      <c r="AT229" s="36"/>
      <c r="BL229"/>
      <c r="BP229"/>
      <c r="BQ229"/>
      <c r="BR229"/>
      <c r="CD229"/>
      <c r="CE229"/>
      <c r="CF229"/>
      <c r="CQ229"/>
      <c r="CR229"/>
      <c r="CS229"/>
      <c r="DS229"/>
      <c r="DT229"/>
      <c r="DU229"/>
    </row>
    <row r="230" spans="1:125" hidden="1">
      <c r="A230" s="15">
        <f t="shared" ref="A230:A244" si="24">PROJID</f>
        <v>0</v>
      </c>
      <c r="B230" t="str">
        <f>IF(C230="","",CONCATENATE(ROW(),"-",C230))</f>
        <v/>
      </c>
      <c r="C230" t="str">
        <f>IFERROR(IF(INDEX('M04-S06'!$BL$18:$BL$199,2*(ROWS($C$230:C230)-1)+1)="","",INDEX('M04-S06'!$BL$18:$BL$199,2*(ROWS($C$230:C230)-1)+1)),"")</f>
        <v/>
      </c>
      <c r="D230" t="s">
        <v>135</v>
      </c>
      <c r="E230" t="str">
        <f>IFERROR(INDEX('M04-S06'!$BF$18:$BF$199,2*(ROWS(E$230:E230)-1)+1),"")</f>
        <v/>
      </c>
      <c r="F230" s="210"/>
      <c r="G230" s="194"/>
      <c r="H230" s="14" t="str">
        <f ca="1">IFERROR(ROUND(IF(AC230&lt;&gt;"","",INDEX('M04-S06'!$AH$18:$AH$199,2*(ROWS(H$230:H230)-1)+1)),2),"")</f>
        <v/>
      </c>
      <c r="I230" s="14" t="str">
        <f ca="1">IFERROR(ROUND(IF(AC230&lt;&gt;"","",INDEX('M04-S06'!$AJ$18:$AJ$199,2*(ROWS(I$230:I230)-1)+1)),2),"")</f>
        <v/>
      </c>
      <c r="J230" s="14" t="str">
        <f ca="1">IFERROR(ROUND(IF(AC230&lt;&gt;"","",INDEX('M04-S06'!$AL$18:$AL$199,2*(ROWS(J$230:J230)-1)+1)),2),"")</f>
        <v/>
      </c>
      <c r="K230" t="str">
        <f ca="1">IFERROR(IF(AC230&lt;&gt;"","",INDEX('M04-S06'!$AF$38:$AF$199,2*(ROWS(J$230:J230)-1)+1)),"")</f>
        <v/>
      </c>
      <c r="L230" s="10" t="str">
        <f ca="1">IFERROR(IF(AC230&lt;&gt;"","",ROUND(INDEX('M04-S06'!$BA$18:$BA$199,2*(ROWS(L$230:L230)-1)+1),3)),"")</f>
        <v/>
      </c>
      <c r="M230" s="10" t="str">
        <f ca="1">IFERROR(IF(AC230&lt;&gt;"","",ROUND(INDEX('M04-S06'!$BB$18:$BB$199,2*(ROWS(M$230:M230)-1)+1),3)),"")</f>
        <v/>
      </c>
      <c r="N230" s="219"/>
      <c r="O230" s="37" t="str">
        <f ca="1">IFERROR(IF(AC230&lt;&gt;"","",INDEX('M04-S06'!$AO$18:$AO$199,2*(ROWS(O$230:O230)-1)+1)),"")</f>
        <v/>
      </c>
      <c r="P230" s="37" t="str">
        <f ca="1">IFERROR(IF(AC230&lt;&gt;"","",INDEX('M04-S06'!$BH$18:$BH$199,2*(ROWS(P$230:P230)-1)+1)),"")</f>
        <v/>
      </c>
      <c r="Q230" s="37" t="str">
        <f ca="1">IFERROR(IF(AC230&lt;&gt;"","",INDEX('M04-S06'!$BG$18:$BG$199,2*(ROWS(Q$230:Q230)-1)+1)),"")</f>
        <v/>
      </c>
      <c r="R230" s="14" t="str">
        <f ca="1">IFERROR(IF(AC230&lt;&gt;"","",INDEX('M04-S06'!$AR$18:$AR$199,2*(ROWS(R$230:R230)-1)+1)),"")</f>
        <v/>
      </c>
      <c r="S230" s="14">
        <f ca="1">IFERROR(ROUND(IF(AC230&lt;&gt;"",INDEX('M04-S06'!$AH$18:$AH$199,2*(ROWS(S$230:S230)-1)+1),""),2),"")</f>
        <v>0</v>
      </c>
      <c r="T230" s="14" t="str">
        <f ca="1">IFERROR(ROUND(IF(AC230&lt;&gt;"",INDEX('M04-S06'!$AJ$18:$AJ$199,2*(ROWS(T$230:T230)-1)+1),""),2),"")</f>
        <v/>
      </c>
      <c r="U230" s="14" t="str">
        <f ca="1">IFERROR(ROUND(IF(AC230&lt;&gt;"",INDEX('M04-S06'!$AL$18:$AL$199,2*(ROWS(U$230:U230)-1)+1),""),2),"")</f>
        <v/>
      </c>
      <c r="V230">
        <f ca="1">IFERROR(IF(AC230&lt;&gt;"",INDEX('M04-S06'!$AF$38:$AF$199,2*(ROWS(V$230:V230)-1)+1),""),"")</f>
        <v>0</v>
      </c>
      <c r="W230" s="10" t="str">
        <f ca="1">IFERROR(IF(AC230&lt;&gt;"",ROUND(INDEX('M04-S06'!$BA$18:$BA$199,2*(ROWS(W$230:W230)-1)+1),3),""),"")</f>
        <v/>
      </c>
      <c r="X230" s="10" t="str">
        <f ca="1">IFERROR(IF(AC230&lt;&gt;"",ROUND(INDEX('M04-S06'!$BB$18:$BB$199,2*(ROWS(X$230:X230)-1)+1),3),""),"")</f>
        <v/>
      </c>
      <c r="Y230" s="210"/>
      <c r="Z230" s="31" t="str">
        <f ca="1">IFERROR(IF(AC230&lt;&gt;"",INDEX('M04-S06'!$AO$18:$AO$199,2*(ROWS(Z$230:Z230)-1)+1),""),"")</f>
        <v/>
      </c>
      <c r="AA230" s="37">
        <f ca="1">IFERROR(IF(AC230&lt;&gt;"",INDEX('M04-S06'!$BH$18:$BH$199,2*(ROWS(AA$230:AA230)-1)+1),""),"")</f>
        <v>0</v>
      </c>
      <c r="AB230" s="37" t="str">
        <f ca="1">IFERROR(IF(AC230&lt;&gt;"",INDEX('M04-S06'!$BG$18:$BG$199,2*(ROWS(AB$230:AB230)-1)+1),""),"")</f>
        <v/>
      </c>
      <c r="AC230" t="str">
        <f ca="1">IFERROR(INDEX('M04-S06'!$BN$18:$BN$199,2*(ROWS(AC$230:AC230)-1)+1),"")</f>
        <v>Submit for Review</v>
      </c>
      <c r="AD230" s="37" t="str" cm="1">
        <f t="array" ref="AD230">IFERROR(INDEX('M04-S06'!$BC$18:$BC$199,2*(ROWS(AD$230:AD230)-1)+1),"")</f>
        <v/>
      </c>
      <c r="AE230" s="37" t="str" cm="1">
        <f t="array" ref="AE230">IFERROR(INDEX('M04-S06'!$BD$18:$BD$199,2*(ROWS(AE$230:AE230)-1)+1),"")</f>
        <v/>
      </c>
      <c r="AF230" s="210"/>
      <c r="AG230" s="210"/>
      <c r="AH230" s="210"/>
      <c r="AI230">
        <f>IFERROR(INDEX('M04-S06'!$B$18:$B$199,2*(ROWS(AI$230:AI230)-1)+1),"")</f>
        <v>1</v>
      </c>
      <c r="AJ230" s="194"/>
      <c r="AK230">
        <f>IFERROR(INDEX('M04-S06'!$H$18:$H$199,2*(ROWS(AK$230:AK230)-1)+1),"")</f>
        <v>0</v>
      </c>
      <c r="AL230">
        <f>IFERROR(INDEX('M04-S06'!$N$18:$N$199,2*(ROWS(AL$230:AL230)-1)+1),"")</f>
        <v>0</v>
      </c>
      <c r="AM230">
        <f>IFERROR(INDEX('M04-S06'!$W$18:$W$199,2*(ROWS(AM$230:AM230)-1)+1),"")</f>
        <v>0</v>
      </c>
      <c r="AN230" s="14" t="str">
        <f>IFERROR(INDEX('M04-S06'!$AX$18:$AX$199,2*(ROWS(AN$230:AN230)-1)+1),"")</f>
        <v/>
      </c>
      <c r="AO230" s="14" t="str">
        <f>IFERROR(INDEX('M04-S06'!$AY$18:$AY$199,2*(ROWS(AO$230:AO230)-1)+1),"")</f>
        <v/>
      </c>
      <c r="AP230" t="str">
        <f>IFERROR(INDEX('M04-S06'!$AZ$18:$AZ$199,2*(ROWS(AP$230:AP230)-1)+1),"")</f>
        <v/>
      </c>
      <c r="AQ230" t="str">
        <f>IFERROR(INDEX('M04-S06'!$BE$18:$BE$199,2*(ROWS(AQ$230:AQ230)-1)+1),"")</f>
        <v/>
      </c>
      <c r="AR230" t="s">
        <v>1254</v>
      </c>
      <c r="AS230"/>
      <c r="BL230"/>
      <c r="BP230"/>
      <c r="BQ230"/>
      <c r="BR230"/>
      <c r="CD230"/>
      <c r="CE230"/>
      <c r="CF230"/>
      <c r="CQ230"/>
      <c r="CR230"/>
      <c r="CS230"/>
      <c r="DS230"/>
      <c r="DT230"/>
      <c r="DU230"/>
    </row>
    <row r="231" spans="1:125" hidden="1">
      <c r="A231" s="15">
        <f t="shared" si="24"/>
        <v>0</v>
      </c>
      <c r="B231" t="str">
        <f t="shared" ref="B231:B244" si="25">IF(C231="","",CONCATENATE(ROW(),"-",C231))</f>
        <v/>
      </c>
      <c r="C231" t="str">
        <f>IFERROR(IF(INDEX('M04-S06'!$BL$18:$BL$199,2*(ROWS($C$230:C231)-1)+1)="","",INDEX('M04-S06'!$BL$18:$BL$199,2*(ROWS($C$230:C231)-1)+1)),"")</f>
        <v/>
      </c>
      <c r="D231" t="s">
        <v>135</v>
      </c>
      <c r="E231" t="str">
        <f>IFERROR(INDEX('M04-S06'!$BF$18:$BF$199,2*(ROWS(E$230:E231)-1)+1),"")</f>
        <v/>
      </c>
      <c r="F231" s="210"/>
      <c r="G231" s="194"/>
      <c r="H231" s="14" t="str">
        <f ca="1">IFERROR(ROUND(IF(AC231&lt;&gt;"","",INDEX('M04-S06'!$AH$18:$AH$199,2*(ROWS(H$230:H231)-1)+1)),2),"")</f>
        <v/>
      </c>
      <c r="I231" s="14" t="str">
        <f ca="1">IFERROR(ROUND(IF(AC231&lt;&gt;"","",INDEX('M04-S06'!$AJ$18:$AJ$199,2*(ROWS(I$230:I231)-1)+1)),2),"")</f>
        <v/>
      </c>
      <c r="J231" s="14" t="str">
        <f ca="1">IFERROR(ROUND(IF(AC231&lt;&gt;"","",INDEX('M04-S06'!$AL$18:$AL$199,2*(ROWS(J$230:J231)-1)+1)),2),"")</f>
        <v/>
      </c>
      <c r="K231" t="str">
        <f ca="1">IFERROR(IF(AC231&lt;&gt;"","",INDEX('M04-S06'!$AF$38:$AF$199,2*(ROWS(J$230:J231)-1)+1)),"")</f>
        <v/>
      </c>
      <c r="L231" s="10" t="str">
        <f ca="1">IFERROR(IF(AC231&lt;&gt;"","",ROUND(INDEX('M04-S06'!$BA$18:$BA$199,2*(ROWS(L$230:L231)-1)+1),3)),"")</f>
        <v/>
      </c>
      <c r="M231" s="10" t="str">
        <f ca="1">IFERROR(IF(AC231&lt;&gt;"","",ROUND(INDEX('M04-S06'!$BB$18:$BB$199,2*(ROWS(M$230:M231)-1)+1),3)),"")</f>
        <v/>
      </c>
      <c r="N231" s="219"/>
      <c r="O231" s="37" t="str">
        <f ca="1">IFERROR(IF(AC231&lt;&gt;"","",INDEX('M04-S06'!$AO$18:$AO$199,2*(ROWS(O$230:O231)-1)+1)),"")</f>
        <v/>
      </c>
      <c r="P231" s="37" t="str">
        <f ca="1">IFERROR(IF(AC231&lt;&gt;"","",INDEX('M04-S06'!$BH$18:$BH$199,2*(ROWS(P$230:P231)-1)+1)),"")</f>
        <v/>
      </c>
      <c r="Q231" s="37" t="str">
        <f ca="1">IFERROR(IF(AC231&lt;&gt;"","",INDEX('M04-S06'!$BG$18:$BG$199,2*(ROWS(Q$230:Q231)-1)+1)),"")</f>
        <v/>
      </c>
      <c r="R231" s="14" t="str">
        <f ca="1">IFERROR(IF(AC231&lt;&gt;"","",INDEX('M04-S06'!$AR$18:$AR$199,2*(ROWS(R$230:R231)-1)+1)),"")</f>
        <v/>
      </c>
      <c r="S231" s="14">
        <f ca="1">IFERROR(ROUND(IF(AC231&lt;&gt;"",INDEX('M04-S06'!$AH$18:$AH$199,2*(ROWS(S$230:S231)-1)+1),""),2),"")</f>
        <v>0</v>
      </c>
      <c r="T231" s="14" t="str">
        <f ca="1">IFERROR(ROUND(IF(AC231&lt;&gt;"",INDEX('M04-S06'!$AJ$18:$AJ$199,2*(ROWS(T$230:T231)-1)+1),""),2),"")</f>
        <v/>
      </c>
      <c r="U231" s="14" t="str">
        <f ca="1">IFERROR(ROUND(IF(AC231&lt;&gt;"",INDEX('M04-S06'!$AL$18:$AL$199,2*(ROWS(U$230:U231)-1)+1),""),2),"")</f>
        <v/>
      </c>
      <c r="V231">
        <f ca="1">IFERROR(IF(AC231&lt;&gt;"",INDEX('M04-S06'!$AF$38:$AF$199,2*(ROWS(V$230:V231)-1)+1),""),"")</f>
        <v>0</v>
      </c>
      <c r="W231" s="10" t="str">
        <f ca="1">IFERROR(IF(AC231&lt;&gt;"",ROUND(INDEX('M04-S06'!$BA$18:$BA$199,2*(ROWS(W$230:W231)-1)+1),3),""),"")</f>
        <v/>
      </c>
      <c r="X231" s="10" t="str">
        <f ca="1">IFERROR(IF(AC231&lt;&gt;"",ROUND(INDEX('M04-S06'!$BB$18:$BB$199,2*(ROWS(X$230:X231)-1)+1),3),""),"")</f>
        <v/>
      </c>
      <c r="Y231" s="210"/>
      <c r="Z231" s="31" t="str">
        <f ca="1">IFERROR(IF(AC231&lt;&gt;"",INDEX('M04-S06'!$AO$18:$AO$199,2*(ROWS(Z$230:Z231)-1)+1),""),"")</f>
        <v/>
      </c>
      <c r="AA231" s="37">
        <f ca="1">IFERROR(IF(AC231&lt;&gt;"",INDEX('M04-S06'!$BH$18:$BH$199,2*(ROWS(AA$230:AA231)-1)+1),""),"")</f>
        <v>0</v>
      </c>
      <c r="AB231" s="37" t="str">
        <f ca="1">IFERROR(IF(AC231&lt;&gt;"",INDEX('M04-S06'!$BG$18:$BG$199,2*(ROWS(AB$230:AB231)-1)+1),""),"")</f>
        <v/>
      </c>
      <c r="AC231" t="str">
        <f ca="1">IFERROR(INDEX('M04-S06'!$BN$18:$BN$199,2*(ROWS(AC$230:AC231)-1)+1),"")</f>
        <v>Submit for Review</v>
      </c>
      <c r="AD231" s="37" t="str" cm="1">
        <f t="array" ref="AD231">IFERROR(INDEX('M04-S06'!$BC$18:$BC$199,2*(ROWS(AD$230:AD231)-1)+1),"")</f>
        <v/>
      </c>
      <c r="AE231" s="37" t="str" cm="1">
        <f t="array" ref="AE231">IFERROR(INDEX('M04-S06'!$BD$18:$BD$199,2*(ROWS(AE$230:AE231)-1)+1),"")</f>
        <v/>
      </c>
      <c r="AF231" s="210"/>
      <c r="AG231" s="210"/>
      <c r="AH231" s="210"/>
      <c r="AI231">
        <f>IFERROR(INDEX('M04-S06'!$B$18:$B$199,2*(ROWS(AI$230:AI231)-1)+1),"")</f>
        <v>2</v>
      </c>
      <c r="AJ231" s="194"/>
      <c r="AK231">
        <f>IFERROR(INDEX('M04-S06'!$H$18:$H$199,2*(ROWS(AK$230:AK231)-1)+1),"")</f>
        <v>0</v>
      </c>
      <c r="AL231">
        <f>IFERROR(INDEX('M04-S06'!$N$18:$N$199,2*(ROWS(AL$230:AL231)-1)+1),"")</f>
        <v>0</v>
      </c>
      <c r="AM231">
        <f>IFERROR(INDEX('M04-S06'!$W$18:$W$199,2*(ROWS(AM$230:AM231)-1)+1),"")</f>
        <v>0</v>
      </c>
      <c r="AN231" s="14" t="str">
        <f>IFERROR(INDEX('M04-S06'!$AX$18:$AX$199,2*(ROWS(AN$230:AN231)-1)+1),"")</f>
        <v/>
      </c>
      <c r="AO231" s="14" t="str">
        <f>IFERROR(INDEX('M04-S06'!$AY$18:$AY$199,2*(ROWS(AO$230:AO231)-1)+1),"")</f>
        <v/>
      </c>
      <c r="AP231" t="str">
        <f>IFERROR(INDEX('M04-S06'!$AZ$18:$AZ$199,2*(ROWS(AP$230:AP231)-1)+1),"")</f>
        <v/>
      </c>
      <c r="AQ231" t="str">
        <f>IFERROR(INDEX('M04-S06'!$BE$18:$BE$199,2*(ROWS(AQ$230:AQ231)-1)+1),"")</f>
        <v/>
      </c>
      <c r="AR231" t="s">
        <v>1254</v>
      </c>
      <c r="AS231"/>
      <c r="BL231"/>
      <c r="BP231"/>
      <c r="BQ231"/>
      <c r="BR231"/>
      <c r="CD231"/>
      <c r="CE231"/>
      <c r="CF231"/>
      <c r="CQ231"/>
      <c r="CR231"/>
      <c r="CS231"/>
      <c r="DS231"/>
      <c r="DT231"/>
      <c r="DU231"/>
    </row>
    <row r="232" spans="1:125" hidden="1">
      <c r="A232" s="15">
        <f t="shared" si="24"/>
        <v>0</v>
      </c>
      <c r="B232" t="str">
        <f t="shared" si="25"/>
        <v/>
      </c>
      <c r="C232" t="str">
        <f>IFERROR(IF(INDEX('M04-S06'!$BL$18:$BL$199,2*(ROWS($C$230:C232)-1)+1)="","",INDEX('M04-S06'!$BL$18:$BL$199,2*(ROWS($C$230:C232)-1)+1)),"")</f>
        <v/>
      </c>
      <c r="D232" t="s">
        <v>135</v>
      </c>
      <c r="E232" t="str">
        <f>IFERROR(INDEX('M04-S06'!$BF$18:$BF$199,2*(ROWS(E$230:E232)-1)+1),"")</f>
        <v/>
      </c>
      <c r="F232" s="210"/>
      <c r="G232" s="194"/>
      <c r="H232" s="14" t="str">
        <f ca="1">IFERROR(ROUND(IF(AC232&lt;&gt;"","",INDEX('M04-S06'!$AH$18:$AH$199,2*(ROWS(H$230:H232)-1)+1)),2),"")</f>
        <v/>
      </c>
      <c r="I232" s="14" t="str">
        <f ca="1">IFERROR(ROUND(IF(AC232&lt;&gt;"","",INDEX('M04-S06'!$AJ$18:$AJ$199,2*(ROWS(I$230:I232)-1)+1)),2),"")</f>
        <v/>
      </c>
      <c r="J232" s="14" t="str">
        <f ca="1">IFERROR(ROUND(IF(AC232&lt;&gt;"","",INDEX('M04-S06'!$AL$18:$AL$199,2*(ROWS(J$230:J232)-1)+1)),2),"")</f>
        <v/>
      </c>
      <c r="K232" t="str">
        <f ca="1">IFERROR(IF(AC232&lt;&gt;"","",INDEX('M04-S06'!$AF$38:$AF$199,2*(ROWS(J$230:J232)-1)+1)),"")</f>
        <v/>
      </c>
      <c r="L232" s="10" t="str">
        <f ca="1">IFERROR(IF(AC232&lt;&gt;"","",ROUND(INDEX('M04-S06'!$BA$18:$BA$199,2*(ROWS(L$230:L232)-1)+1),3)),"")</f>
        <v/>
      </c>
      <c r="M232" s="10" t="str">
        <f ca="1">IFERROR(IF(AC232&lt;&gt;"","",ROUND(INDEX('M04-S06'!$BB$18:$BB$199,2*(ROWS(M$230:M232)-1)+1),3)),"")</f>
        <v/>
      </c>
      <c r="N232" s="219"/>
      <c r="O232" s="37" t="str">
        <f ca="1">IFERROR(IF(AC232&lt;&gt;"","",INDEX('M04-S06'!$AO$18:$AO$199,2*(ROWS(O$230:O232)-1)+1)),"")</f>
        <v/>
      </c>
      <c r="P232" s="37" t="str">
        <f ca="1">IFERROR(IF(AC232&lt;&gt;"","",INDEX('M04-S06'!$BH$18:$BH$199,2*(ROWS(P$230:P232)-1)+1)),"")</f>
        <v/>
      </c>
      <c r="Q232" s="37" t="str">
        <f ca="1">IFERROR(IF(AC232&lt;&gt;"","",INDEX('M04-S06'!$BG$18:$BG$199,2*(ROWS(Q$230:Q232)-1)+1)),"")</f>
        <v/>
      </c>
      <c r="R232" s="14" t="str">
        <f ca="1">IFERROR(IF(AC232&lt;&gt;"","",INDEX('M04-S06'!$AR$18:$AR$199,2*(ROWS(R$230:R232)-1)+1)),"")</f>
        <v/>
      </c>
      <c r="S232" s="14">
        <f ca="1">IFERROR(ROUND(IF(AC232&lt;&gt;"",INDEX('M04-S06'!$AH$18:$AH$199,2*(ROWS(S$230:S232)-1)+1),""),2),"")</f>
        <v>0</v>
      </c>
      <c r="T232" s="14" t="str">
        <f ca="1">IFERROR(ROUND(IF(AC232&lt;&gt;"",INDEX('M04-S06'!$AJ$18:$AJ$199,2*(ROWS(T$230:T232)-1)+1),""),2),"")</f>
        <v/>
      </c>
      <c r="U232" s="14" t="str">
        <f ca="1">IFERROR(ROUND(IF(AC232&lt;&gt;"",INDEX('M04-S06'!$AL$18:$AL$199,2*(ROWS(U$230:U232)-1)+1),""),2),"")</f>
        <v/>
      </c>
      <c r="V232">
        <f ca="1">IFERROR(IF(AC232&lt;&gt;"",INDEX('M04-S06'!$AF$38:$AF$199,2*(ROWS(V$230:V232)-1)+1),""),"")</f>
        <v>0</v>
      </c>
      <c r="W232" s="10" t="str">
        <f ca="1">IFERROR(IF(AC232&lt;&gt;"",ROUND(INDEX('M04-S06'!$BA$18:$BA$199,2*(ROWS(W$230:W232)-1)+1),3),""),"")</f>
        <v/>
      </c>
      <c r="X232" s="10" t="str">
        <f ca="1">IFERROR(IF(AC232&lt;&gt;"",ROUND(INDEX('M04-S06'!$BB$18:$BB$199,2*(ROWS(X$230:X232)-1)+1),3),""),"")</f>
        <v/>
      </c>
      <c r="Y232" s="210"/>
      <c r="Z232" s="31" t="str">
        <f ca="1">IFERROR(IF(AC232&lt;&gt;"",INDEX('M04-S06'!$AO$18:$AO$199,2*(ROWS(Z$230:Z232)-1)+1),""),"")</f>
        <v/>
      </c>
      <c r="AA232" s="37">
        <f ca="1">IFERROR(IF(AC232&lt;&gt;"",INDEX('M04-S06'!$BH$18:$BH$199,2*(ROWS(AA$230:AA232)-1)+1),""),"")</f>
        <v>0</v>
      </c>
      <c r="AB232" s="37" t="str">
        <f ca="1">IFERROR(IF(AC232&lt;&gt;"",INDEX('M04-S06'!$BG$18:$BG$199,2*(ROWS(AB$230:AB232)-1)+1),""),"")</f>
        <v/>
      </c>
      <c r="AC232" t="str">
        <f ca="1">IFERROR(INDEX('M04-S06'!$BN$18:$BN$199,2*(ROWS(AC$230:AC232)-1)+1),"")</f>
        <v>Submit for Review</v>
      </c>
      <c r="AD232" s="37" t="str" cm="1">
        <f t="array" ref="AD232">IFERROR(INDEX('M04-S06'!$BC$18:$BC$199,2*(ROWS(AD$230:AD232)-1)+1),"")</f>
        <v/>
      </c>
      <c r="AE232" s="37" t="str" cm="1">
        <f t="array" ref="AE232">IFERROR(INDEX('M04-S06'!$BD$18:$BD$199,2*(ROWS(AE$230:AE232)-1)+1),"")</f>
        <v/>
      </c>
      <c r="AF232" s="210"/>
      <c r="AG232" s="210"/>
      <c r="AH232" s="210"/>
      <c r="AI232">
        <f>IFERROR(INDEX('M04-S06'!$B$18:$B$199,2*(ROWS(AI$230:AI232)-1)+1),"")</f>
        <v>3</v>
      </c>
      <c r="AJ232" s="194"/>
      <c r="AK232">
        <f>IFERROR(INDEX('M04-S06'!$H$18:$H$199,2*(ROWS(AK$230:AK232)-1)+1),"")</f>
        <v>0</v>
      </c>
      <c r="AL232">
        <f>IFERROR(INDEX('M04-S06'!$N$18:$N$199,2*(ROWS(AL$230:AL232)-1)+1),"")</f>
        <v>0</v>
      </c>
      <c r="AM232">
        <f>IFERROR(INDEX('M04-S06'!$W$18:$W$199,2*(ROWS(AM$230:AM232)-1)+1),"")</f>
        <v>0</v>
      </c>
      <c r="AN232" s="14" t="str">
        <f>IFERROR(INDEX('M04-S06'!$AX$18:$AX$199,2*(ROWS(AN$230:AN232)-1)+1),"")</f>
        <v/>
      </c>
      <c r="AO232" s="14" t="str">
        <f>IFERROR(INDEX('M04-S06'!$AY$18:$AY$199,2*(ROWS(AO$230:AO232)-1)+1),"")</f>
        <v/>
      </c>
      <c r="AP232" t="str">
        <f>IFERROR(INDEX('M04-S06'!$AZ$18:$AZ$199,2*(ROWS(AP$230:AP232)-1)+1),"")</f>
        <v/>
      </c>
      <c r="AQ232" t="str">
        <f>IFERROR(INDEX('M04-S06'!$BE$18:$BE$199,2*(ROWS(AQ$230:AQ232)-1)+1),"")</f>
        <v/>
      </c>
      <c r="AR232" t="s">
        <v>1254</v>
      </c>
      <c r="AS232"/>
      <c r="BL232"/>
      <c r="BP232"/>
      <c r="BQ232"/>
      <c r="BR232"/>
      <c r="CD232"/>
      <c r="CE232"/>
      <c r="CF232"/>
      <c r="CQ232"/>
      <c r="CR232"/>
      <c r="CS232"/>
      <c r="DS232"/>
      <c r="DT232"/>
      <c r="DU232"/>
    </row>
    <row r="233" spans="1:125" hidden="1">
      <c r="A233" s="15">
        <f t="shared" si="24"/>
        <v>0</v>
      </c>
      <c r="B233" t="str">
        <f t="shared" si="25"/>
        <v/>
      </c>
      <c r="C233" t="str">
        <f>IFERROR(IF(INDEX('M04-S06'!$BL$18:$BL$199,2*(ROWS($C$230:C233)-1)+1)="","",INDEX('M04-S06'!$BL$18:$BL$199,2*(ROWS($C$230:C233)-1)+1)),"")</f>
        <v/>
      </c>
      <c r="D233" t="s">
        <v>135</v>
      </c>
      <c r="E233" t="str">
        <f>IFERROR(INDEX('M04-S06'!$BF$18:$BF$199,2*(ROWS(E$230:E233)-1)+1),"")</f>
        <v/>
      </c>
      <c r="F233" s="210"/>
      <c r="G233" s="194"/>
      <c r="H233" s="14" t="str">
        <f ca="1">IFERROR(ROUND(IF(AC233&lt;&gt;"","",INDEX('M04-S06'!$AH$18:$AH$199,2*(ROWS(H$230:H233)-1)+1)),2),"")</f>
        <v/>
      </c>
      <c r="I233" s="14" t="str">
        <f ca="1">IFERROR(ROUND(IF(AC233&lt;&gt;"","",INDEX('M04-S06'!$AJ$18:$AJ$199,2*(ROWS(I$230:I233)-1)+1)),2),"")</f>
        <v/>
      </c>
      <c r="J233" s="14" t="str">
        <f ca="1">IFERROR(ROUND(IF(AC233&lt;&gt;"","",INDEX('M04-S06'!$AL$18:$AL$199,2*(ROWS(J$230:J233)-1)+1)),2),"")</f>
        <v/>
      </c>
      <c r="K233" t="str">
        <f ca="1">IFERROR(IF(AC233&lt;&gt;"","",INDEX('M04-S06'!$AF$38:$AF$199,2*(ROWS(J$230:J233)-1)+1)),"")</f>
        <v/>
      </c>
      <c r="L233" s="10" t="str">
        <f ca="1">IFERROR(IF(AC233&lt;&gt;"","",ROUND(INDEX('M04-S06'!$BA$18:$BA$199,2*(ROWS(L$230:L233)-1)+1),3)),"")</f>
        <v/>
      </c>
      <c r="M233" s="10" t="str">
        <f ca="1">IFERROR(IF(AC233&lt;&gt;"","",ROUND(INDEX('M04-S06'!$BB$18:$BB$199,2*(ROWS(M$230:M233)-1)+1),3)),"")</f>
        <v/>
      </c>
      <c r="N233" s="219"/>
      <c r="O233" s="37" t="str">
        <f ca="1">IFERROR(IF(AC233&lt;&gt;"","",INDEX('M04-S06'!$AO$18:$AO$199,2*(ROWS(O$230:O233)-1)+1)),"")</f>
        <v/>
      </c>
      <c r="P233" s="37" t="str">
        <f ca="1">IFERROR(IF(AC233&lt;&gt;"","",INDEX('M04-S06'!$BH$18:$BH$199,2*(ROWS(P$230:P233)-1)+1)),"")</f>
        <v/>
      </c>
      <c r="Q233" s="37" t="str">
        <f ca="1">IFERROR(IF(AC233&lt;&gt;"","",INDEX('M04-S06'!$BG$18:$BG$199,2*(ROWS(Q$230:Q233)-1)+1)),"")</f>
        <v/>
      </c>
      <c r="R233" s="14" t="str">
        <f ca="1">IFERROR(IF(AC233&lt;&gt;"","",INDEX('M04-S06'!$AR$18:$AR$199,2*(ROWS(R$230:R233)-1)+1)),"")</f>
        <v/>
      </c>
      <c r="S233" s="14">
        <f ca="1">IFERROR(ROUND(IF(AC233&lt;&gt;"",INDEX('M04-S06'!$AH$18:$AH$199,2*(ROWS(S$230:S233)-1)+1),""),2),"")</f>
        <v>0</v>
      </c>
      <c r="T233" s="14" t="str">
        <f ca="1">IFERROR(ROUND(IF(AC233&lt;&gt;"",INDEX('M04-S06'!$AJ$18:$AJ$199,2*(ROWS(T$230:T233)-1)+1),""),2),"")</f>
        <v/>
      </c>
      <c r="U233" s="14" t="str">
        <f ca="1">IFERROR(ROUND(IF(AC233&lt;&gt;"",INDEX('M04-S06'!$AL$18:$AL$199,2*(ROWS(U$230:U233)-1)+1),""),2),"")</f>
        <v/>
      </c>
      <c r="V233">
        <f ca="1">IFERROR(IF(AC233&lt;&gt;"",INDEX('M04-S06'!$AF$38:$AF$199,2*(ROWS(V$230:V233)-1)+1),""),"")</f>
        <v>0</v>
      </c>
      <c r="W233" s="10" t="str">
        <f ca="1">IFERROR(IF(AC233&lt;&gt;"",ROUND(INDEX('M04-S06'!$BA$18:$BA$199,2*(ROWS(W$230:W233)-1)+1),3),""),"")</f>
        <v/>
      </c>
      <c r="X233" s="10" t="str">
        <f ca="1">IFERROR(IF(AC233&lt;&gt;"",ROUND(INDEX('M04-S06'!$BB$18:$BB$199,2*(ROWS(X$230:X233)-1)+1),3),""),"")</f>
        <v/>
      </c>
      <c r="Y233" s="210"/>
      <c r="Z233" s="31" t="str">
        <f ca="1">IFERROR(IF(AC233&lt;&gt;"",INDEX('M04-S06'!$AO$18:$AO$199,2*(ROWS(Z$230:Z233)-1)+1),""),"")</f>
        <v/>
      </c>
      <c r="AA233" s="37">
        <f ca="1">IFERROR(IF(AC233&lt;&gt;"",INDEX('M04-S06'!$BH$18:$BH$199,2*(ROWS(AA$230:AA233)-1)+1),""),"")</f>
        <v>0</v>
      </c>
      <c r="AB233" s="37" t="str">
        <f ca="1">IFERROR(IF(AC233&lt;&gt;"",INDEX('M04-S06'!$BG$18:$BG$199,2*(ROWS(AB$230:AB233)-1)+1),""),"")</f>
        <v/>
      </c>
      <c r="AC233" t="str">
        <f ca="1">IFERROR(INDEX('M04-S06'!$BN$18:$BN$199,2*(ROWS(AC$230:AC233)-1)+1),"")</f>
        <v>Submit for Review</v>
      </c>
      <c r="AD233" s="37" t="str" cm="1">
        <f t="array" ref="AD233">IFERROR(INDEX('M04-S06'!$BC$18:$BC$199,2*(ROWS(AD$230:AD233)-1)+1),"")</f>
        <v/>
      </c>
      <c r="AE233" s="37" t="str" cm="1">
        <f t="array" ref="AE233">IFERROR(INDEX('M04-S06'!$BD$18:$BD$199,2*(ROWS(AE$230:AE233)-1)+1),"")</f>
        <v/>
      </c>
      <c r="AF233" s="210"/>
      <c r="AG233" s="210"/>
      <c r="AH233" s="210"/>
      <c r="AI233">
        <f>IFERROR(INDEX('M04-S06'!$B$18:$B$199,2*(ROWS(AI$230:AI233)-1)+1),"")</f>
        <v>4</v>
      </c>
      <c r="AJ233" s="194"/>
      <c r="AK233">
        <f>IFERROR(INDEX('M04-S06'!$H$18:$H$199,2*(ROWS(AK$230:AK233)-1)+1),"")</f>
        <v>0</v>
      </c>
      <c r="AL233">
        <f>IFERROR(INDEX('M04-S06'!$N$18:$N$199,2*(ROWS(AL$230:AL233)-1)+1),"")</f>
        <v>0</v>
      </c>
      <c r="AM233">
        <f>IFERROR(INDEX('M04-S06'!$W$18:$W$199,2*(ROWS(AM$230:AM233)-1)+1),"")</f>
        <v>0</v>
      </c>
      <c r="AN233" s="14" t="str">
        <f>IFERROR(INDEX('M04-S06'!$AX$18:$AX$199,2*(ROWS(AN$230:AN233)-1)+1),"")</f>
        <v/>
      </c>
      <c r="AO233" s="14" t="str">
        <f>IFERROR(INDEX('M04-S06'!$AY$18:$AY$199,2*(ROWS(AO$230:AO233)-1)+1),"")</f>
        <v/>
      </c>
      <c r="AP233" t="str">
        <f>IFERROR(INDEX('M04-S06'!$AZ$18:$AZ$199,2*(ROWS(AP$230:AP233)-1)+1),"")</f>
        <v/>
      </c>
      <c r="AQ233" t="str">
        <f>IFERROR(INDEX('M04-S06'!$BE$18:$BE$199,2*(ROWS(AQ$230:AQ233)-1)+1),"")</f>
        <v/>
      </c>
      <c r="AR233" t="s">
        <v>1254</v>
      </c>
      <c r="AS233"/>
      <c r="BL233"/>
      <c r="BP233"/>
      <c r="BQ233"/>
      <c r="BR233"/>
      <c r="CD233"/>
      <c r="CE233"/>
      <c r="CF233"/>
      <c r="CQ233"/>
      <c r="CR233"/>
      <c r="CS233"/>
      <c r="DS233"/>
      <c r="DT233"/>
      <c r="DU233"/>
    </row>
    <row r="234" spans="1:125" hidden="1">
      <c r="A234" s="15">
        <f t="shared" si="24"/>
        <v>0</v>
      </c>
      <c r="B234" t="str">
        <f t="shared" si="25"/>
        <v/>
      </c>
      <c r="C234" t="str">
        <f>IFERROR(IF(INDEX('M04-S06'!$BL$18:$BL$199,2*(ROWS($C$230:C234)-1)+1)="","",INDEX('M04-S06'!$BL$18:$BL$199,2*(ROWS($C$230:C234)-1)+1)),"")</f>
        <v/>
      </c>
      <c r="D234" t="s">
        <v>135</v>
      </c>
      <c r="E234" t="str">
        <f>IFERROR(INDEX('M04-S06'!$BF$18:$BF$199,2*(ROWS(E$230:E234)-1)+1),"")</f>
        <v/>
      </c>
      <c r="F234" s="210"/>
      <c r="G234" s="194"/>
      <c r="H234" s="14" t="str">
        <f ca="1">IFERROR(ROUND(IF(AC234&lt;&gt;"","",INDEX('M04-S06'!$AH$18:$AH$199,2*(ROWS(H$230:H234)-1)+1)),2),"")</f>
        <v/>
      </c>
      <c r="I234" s="14" t="str">
        <f ca="1">IFERROR(ROUND(IF(AC234&lt;&gt;"","",INDEX('M04-S06'!$AJ$18:$AJ$199,2*(ROWS(I$230:I234)-1)+1)),2),"")</f>
        <v/>
      </c>
      <c r="J234" s="14" t="str">
        <f ca="1">IFERROR(ROUND(IF(AC234&lt;&gt;"","",INDEX('M04-S06'!$AL$18:$AL$199,2*(ROWS(J$230:J234)-1)+1)),2),"")</f>
        <v/>
      </c>
      <c r="K234" t="str">
        <f ca="1">IFERROR(IF(AC234&lt;&gt;"","",INDEX('M04-S06'!$AF$38:$AF$199,2*(ROWS(J$230:J234)-1)+1)),"")</f>
        <v/>
      </c>
      <c r="L234" s="10" t="str">
        <f ca="1">IFERROR(IF(AC234&lt;&gt;"","",ROUND(INDEX('M04-S06'!$BA$18:$BA$199,2*(ROWS(L$230:L234)-1)+1),3)),"")</f>
        <v/>
      </c>
      <c r="M234" s="10" t="str">
        <f ca="1">IFERROR(IF(AC234&lt;&gt;"","",ROUND(INDEX('M04-S06'!$BB$18:$BB$199,2*(ROWS(M$230:M234)-1)+1),3)),"")</f>
        <v/>
      </c>
      <c r="N234" s="219"/>
      <c r="O234" s="37" t="str">
        <f ca="1">IFERROR(IF(AC234&lt;&gt;"","",INDEX('M04-S06'!$AO$18:$AO$199,2*(ROWS(O$230:O234)-1)+1)),"")</f>
        <v/>
      </c>
      <c r="P234" s="37" t="str">
        <f ca="1">IFERROR(IF(AC234&lt;&gt;"","",INDEX('M04-S06'!$BH$18:$BH$199,2*(ROWS(P$230:P234)-1)+1)),"")</f>
        <v/>
      </c>
      <c r="Q234" s="37" t="str">
        <f ca="1">IFERROR(IF(AC234&lt;&gt;"","",INDEX('M04-S06'!$BG$18:$BG$199,2*(ROWS(Q$230:Q234)-1)+1)),"")</f>
        <v/>
      </c>
      <c r="R234" s="14" t="str">
        <f ca="1">IFERROR(IF(AC234&lt;&gt;"","",INDEX('M04-S06'!$AR$18:$AR$199,2*(ROWS(R$230:R234)-1)+1)),"")</f>
        <v/>
      </c>
      <c r="S234" s="14">
        <f ca="1">IFERROR(ROUND(IF(AC234&lt;&gt;"",INDEX('M04-S06'!$AH$18:$AH$199,2*(ROWS(S$230:S234)-1)+1),""),2),"")</f>
        <v>0</v>
      </c>
      <c r="T234" s="14" t="str">
        <f ca="1">IFERROR(ROUND(IF(AC234&lt;&gt;"",INDEX('M04-S06'!$AJ$18:$AJ$199,2*(ROWS(T$230:T234)-1)+1),""),2),"")</f>
        <v/>
      </c>
      <c r="U234" s="14" t="str">
        <f ca="1">IFERROR(ROUND(IF(AC234&lt;&gt;"",INDEX('M04-S06'!$AL$18:$AL$199,2*(ROWS(U$230:U234)-1)+1),""),2),"")</f>
        <v/>
      </c>
      <c r="V234">
        <f ca="1">IFERROR(IF(AC234&lt;&gt;"",INDEX('M04-S06'!$AF$38:$AF$199,2*(ROWS(V$230:V234)-1)+1),""),"")</f>
        <v>0</v>
      </c>
      <c r="W234" s="10" t="str">
        <f ca="1">IFERROR(IF(AC234&lt;&gt;"",ROUND(INDEX('M04-S06'!$BA$18:$BA$199,2*(ROWS(W$230:W234)-1)+1),3),""),"")</f>
        <v/>
      </c>
      <c r="X234" s="10" t="str">
        <f ca="1">IFERROR(IF(AC234&lt;&gt;"",ROUND(INDEX('M04-S06'!$BB$18:$BB$199,2*(ROWS(X$230:X234)-1)+1),3),""),"")</f>
        <v/>
      </c>
      <c r="Y234" s="210"/>
      <c r="Z234" s="31" t="str">
        <f ca="1">IFERROR(IF(AC234&lt;&gt;"",INDEX('M04-S06'!$AO$18:$AO$199,2*(ROWS(Z$230:Z234)-1)+1),""),"")</f>
        <v/>
      </c>
      <c r="AA234" s="37">
        <f ca="1">IFERROR(IF(AC234&lt;&gt;"",INDEX('M04-S06'!$BH$18:$BH$199,2*(ROWS(AA$230:AA234)-1)+1),""),"")</f>
        <v>0</v>
      </c>
      <c r="AB234" s="37" t="str">
        <f ca="1">IFERROR(IF(AC234&lt;&gt;"",INDEX('M04-S06'!$BG$18:$BG$199,2*(ROWS(AB$230:AB234)-1)+1),""),"")</f>
        <v/>
      </c>
      <c r="AC234" t="str">
        <f ca="1">IFERROR(INDEX('M04-S06'!$BN$18:$BN$199,2*(ROWS(AC$230:AC234)-1)+1),"")</f>
        <v>Submit for Review</v>
      </c>
      <c r="AD234" s="37" t="str" cm="1">
        <f t="array" ref="AD234">IFERROR(INDEX('M04-S06'!$BC$18:$BC$199,2*(ROWS(AD$230:AD234)-1)+1),"")</f>
        <v/>
      </c>
      <c r="AE234" s="37" t="str" cm="1">
        <f t="array" ref="AE234">IFERROR(INDEX('M04-S06'!$BD$18:$BD$199,2*(ROWS(AE$230:AE234)-1)+1),"")</f>
        <v/>
      </c>
      <c r="AF234" s="210"/>
      <c r="AG234" s="210"/>
      <c r="AH234" s="210"/>
      <c r="AI234">
        <f>IFERROR(INDEX('M04-S06'!$B$18:$B$199,2*(ROWS(AI$230:AI234)-1)+1),"")</f>
        <v>5</v>
      </c>
      <c r="AJ234" s="194"/>
      <c r="AK234">
        <f>IFERROR(INDEX('M04-S06'!$H$18:$H$199,2*(ROWS(AK$230:AK234)-1)+1),"")</f>
        <v>0</v>
      </c>
      <c r="AL234">
        <f>IFERROR(INDEX('M04-S06'!$N$18:$N$199,2*(ROWS(AL$230:AL234)-1)+1),"")</f>
        <v>0</v>
      </c>
      <c r="AM234">
        <f>IFERROR(INDEX('M04-S06'!$W$18:$W$199,2*(ROWS(AM$230:AM234)-1)+1),"")</f>
        <v>0</v>
      </c>
      <c r="AN234" s="14" t="str">
        <f>IFERROR(INDEX('M04-S06'!$AX$18:$AX$199,2*(ROWS(AN$230:AN234)-1)+1),"")</f>
        <v/>
      </c>
      <c r="AO234" s="14" t="str">
        <f>IFERROR(INDEX('M04-S06'!$AY$18:$AY$199,2*(ROWS(AO$230:AO234)-1)+1),"")</f>
        <v/>
      </c>
      <c r="AP234" t="str">
        <f>IFERROR(INDEX('M04-S06'!$AZ$18:$AZ$199,2*(ROWS(AP$230:AP234)-1)+1),"")</f>
        <v/>
      </c>
      <c r="AQ234" t="str">
        <f>IFERROR(INDEX('M04-S06'!$BE$18:$BE$199,2*(ROWS(AQ$230:AQ234)-1)+1),"")</f>
        <v/>
      </c>
      <c r="AR234" t="s">
        <v>1254</v>
      </c>
      <c r="AS234"/>
      <c r="BL234"/>
      <c r="BP234"/>
      <c r="BQ234"/>
      <c r="BR234"/>
      <c r="CD234"/>
      <c r="CE234"/>
      <c r="CF234"/>
      <c r="CQ234"/>
      <c r="CR234"/>
      <c r="CS234"/>
      <c r="DS234"/>
      <c r="DT234"/>
      <c r="DU234"/>
    </row>
    <row r="235" spans="1:125" hidden="1">
      <c r="A235" s="15">
        <f t="shared" si="24"/>
        <v>0</v>
      </c>
      <c r="B235" t="str">
        <f t="shared" si="25"/>
        <v/>
      </c>
      <c r="C235" t="str">
        <f>IFERROR(IF(INDEX('M04-S06'!$BL$18:$BL$199,2*(ROWS($C$230:C235)-1)+1)="","",INDEX('M04-S06'!$BL$18:$BL$199,2*(ROWS($C$230:C235)-1)+1)),"")</f>
        <v/>
      </c>
      <c r="D235" t="s">
        <v>135</v>
      </c>
      <c r="E235" t="str">
        <f>IFERROR(INDEX('M04-S06'!$BF$18:$BF$199,2*(ROWS(E$230:E235)-1)+1),"")</f>
        <v/>
      </c>
      <c r="F235" s="210"/>
      <c r="G235" s="194"/>
      <c r="H235" s="14" t="str">
        <f ca="1">IFERROR(ROUND(IF(AC235&lt;&gt;"","",INDEX('M04-S06'!$AH$18:$AH$199,2*(ROWS(H$230:H235)-1)+1)),2),"")</f>
        <v/>
      </c>
      <c r="I235" s="14" t="str">
        <f ca="1">IFERROR(ROUND(IF(AC235&lt;&gt;"","",INDEX('M04-S06'!$AJ$18:$AJ$199,2*(ROWS(I$230:I235)-1)+1)),2),"")</f>
        <v/>
      </c>
      <c r="J235" s="14" t="str">
        <f ca="1">IFERROR(ROUND(IF(AC235&lt;&gt;"","",INDEX('M04-S06'!$AL$18:$AL$199,2*(ROWS(J$230:J235)-1)+1)),2),"")</f>
        <v/>
      </c>
      <c r="K235" t="str">
        <f ca="1">IFERROR(IF(AC235&lt;&gt;"","",INDEX('M04-S06'!$AF$38:$AF$199,2*(ROWS(J$230:J235)-1)+1)),"")</f>
        <v/>
      </c>
      <c r="L235" s="10" t="str">
        <f ca="1">IFERROR(IF(AC235&lt;&gt;"","",ROUND(INDEX('M04-S06'!$BA$18:$BA$199,2*(ROWS(L$230:L235)-1)+1),3)),"")</f>
        <v/>
      </c>
      <c r="M235" s="10" t="str">
        <f ca="1">IFERROR(IF(AC235&lt;&gt;"","",ROUND(INDEX('M04-S06'!$BB$18:$BB$199,2*(ROWS(M$230:M235)-1)+1),3)),"")</f>
        <v/>
      </c>
      <c r="N235" s="219"/>
      <c r="O235" s="37" t="str">
        <f ca="1">IFERROR(IF(AC235&lt;&gt;"","",INDEX('M04-S06'!$AO$18:$AO$199,2*(ROWS(O$230:O235)-1)+1)),"")</f>
        <v/>
      </c>
      <c r="P235" s="37" t="str">
        <f ca="1">IFERROR(IF(AC235&lt;&gt;"","",INDEX('M04-S06'!$BH$18:$BH$199,2*(ROWS(P$230:P235)-1)+1)),"")</f>
        <v/>
      </c>
      <c r="Q235" s="37" t="str">
        <f ca="1">IFERROR(IF(AC235&lt;&gt;"","",INDEX('M04-S06'!$BG$18:$BG$199,2*(ROWS(Q$230:Q235)-1)+1)),"")</f>
        <v/>
      </c>
      <c r="R235" s="14" t="str">
        <f ca="1">IFERROR(IF(AC235&lt;&gt;"","",INDEX('M04-S06'!$AR$18:$AR$199,2*(ROWS(R$230:R235)-1)+1)),"")</f>
        <v/>
      </c>
      <c r="S235" s="14">
        <f ca="1">IFERROR(ROUND(IF(AC235&lt;&gt;"",INDEX('M04-S06'!$AH$18:$AH$199,2*(ROWS(S$230:S235)-1)+1),""),2),"")</f>
        <v>0</v>
      </c>
      <c r="T235" s="14" t="str">
        <f ca="1">IFERROR(ROUND(IF(AC235&lt;&gt;"",INDEX('M04-S06'!$AJ$18:$AJ$199,2*(ROWS(T$230:T235)-1)+1),""),2),"")</f>
        <v/>
      </c>
      <c r="U235" s="14" t="str">
        <f ca="1">IFERROR(ROUND(IF(AC235&lt;&gt;"",INDEX('M04-S06'!$AL$18:$AL$199,2*(ROWS(U$230:U235)-1)+1),""),2),"")</f>
        <v/>
      </c>
      <c r="V235">
        <f ca="1">IFERROR(IF(AC235&lt;&gt;"",INDEX('M04-S06'!$AF$38:$AF$199,2*(ROWS(V$230:V235)-1)+1),""),"")</f>
        <v>0</v>
      </c>
      <c r="W235" s="10" t="str">
        <f ca="1">IFERROR(IF(AC235&lt;&gt;"",ROUND(INDEX('M04-S06'!$BA$18:$BA$199,2*(ROWS(W$230:W235)-1)+1),3),""),"")</f>
        <v/>
      </c>
      <c r="X235" s="10" t="str">
        <f ca="1">IFERROR(IF(AC235&lt;&gt;"",ROUND(INDEX('M04-S06'!$BB$18:$BB$199,2*(ROWS(X$230:X235)-1)+1),3),""),"")</f>
        <v/>
      </c>
      <c r="Y235" s="210"/>
      <c r="Z235" s="31" t="str">
        <f ca="1">IFERROR(IF(AC235&lt;&gt;"",INDEX('M04-S06'!$AO$18:$AO$199,2*(ROWS(Z$230:Z235)-1)+1),""),"")</f>
        <v/>
      </c>
      <c r="AA235" s="37">
        <f ca="1">IFERROR(IF(AC235&lt;&gt;"",INDEX('M04-S06'!$BH$18:$BH$199,2*(ROWS(AA$230:AA235)-1)+1),""),"")</f>
        <v>0</v>
      </c>
      <c r="AB235" s="37" t="str">
        <f ca="1">IFERROR(IF(AC235&lt;&gt;"",INDEX('M04-S06'!$BG$18:$BG$199,2*(ROWS(AB$230:AB235)-1)+1),""),"")</f>
        <v/>
      </c>
      <c r="AC235" t="str">
        <f ca="1">IFERROR(INDEX('M04-S06'!$BN$18:$BN$199,2*(ROWS(AC$230:AC235)-1)+1),"")</f>
        <v>Submit for Review</v>
      </c>
      <c r="AD235" s="37" t="str" cm="1">
        <f t="array" ref="AD235">IFERROR(INDEX('M04-S06'!$BC$18:$BC$199,2*(ROWS(AD$230:AD235)-1)+1),"")</f>
        <v/>
      </c>
      <c r="AE235" s="37" t="str" cm="1">
        <f t="array" ref="AE235">IFERROR(INDEX('M04-S06'!$BD$18:$BD$199,2*(ROWS(AE$230:AE235)-1)+1),"")</f>
        <v/>
      </c>
      <c r="AF235" s="210"/>
      <c r="AG235" s="210"/>
      <c r="AH235" s="210"/>
      <c r="AI235">
        <f>IFERROR(INDEX('M04-S06'!$B$18:$B$199,2*(ROWS(AI$230:AI235)-1)+1),"")</f>
        <v>6</v>
      </c>
      <c r="AJ235" s="194"/>
      <c r="AK235">
        <f>IFERROR(INDEX('M04-S06'!$H$18:$H$199,2*(ROWS(AK$230:AK235)-1)+1),"")</f>
        <v>0</v>
      </c>
      <c r="AL235">
        <f>IFERROR(INDEX('M04-S06'!$N$18:$N$199,2*(ROWS(AL$230:AL235)-1)+1),"")</f>
        <v>0</v>
      </c>
      <c r="AM235">
        <f>IFERROR(INDEX('M04-S06'!$W$18:$W$199,2*(ROWS(AM$230:AM235)-1)+1),"")</f>
        <v>0</v>
      </c>
      <c r="AN235" s="14" t="str">
        <f>IFERROR(INDEX('M04-S06'!$AX$18:$AX$199,2*(ROWS(AN$230:AN235)-1)+1),"")</f>
        <v/>
      </c>
      <c r="AO235" s="14" t="str">
        <f>IFERROR(INDEX('M04-S06'!$AY$18:$AY$199,2*(ROWS(AO$230:AO235)-1)+1),"")</f>
        <v/>
      </c>
      <c r="AP235" t="str">
        <f>IFERROR(INDEX('M04-S06'!$AZ$18:$AZ$199,2*(ROWS(AP$230:AP235)-1)+1),"")</f>
        <v/>
      </c>
      <c r="AQ235" t="str">
        <f>IFERROR(INDEX('M04-S06'!$BE$18:$BE$199,2*(ROWS(AQ$230:AQ235)-1)+1),"")</f>
        <v/>
      </c>
      <c r="AR235" t="s">
        <v>1254</v>
      </c>
      <c r="AS235"/>
      <c r="BL235"/>
      <c r="BP235"/>
      <c r="BQ235"/>
      <c r="BR235"/>
      <c r="CD235"/>
      <c r="CE235"/>
      <c r="CF235"/>
      <c r="CQ235"/>
      <c r="CR235"/>
      <c r="CS235"/>
      <c r="DS235"/>
      <c r="DT235"/>
      <c r="DU235"/>
    </row>
    <row r="236" spans="1:125" hidden="1">
      <c r="A236" s="15">
        <f t="shared" si="24"/>
        <v>0</v>
      </c>
      <c r="B236" t="str">
        <f t="shared" si="25"/>
        <v/>
      </c>
      <c r="C236" t="str">
        <f>IFERROR(IF(INDEX('M04-S06'!$BL$18:$BL$199,2*(ROWS($C$230:C236)-1)+1)="","",INDEX('M04-S06'!$BL$18:$BL$199,2*(ROWS($C$230:C236)-1)+1)),"")</f>
        <v/>
      </c>
      <c r="D236" t="s">
        <v>135</v>
      </c>
      <c r="E236" t="str">
        <f>IFERROR(INDEX('M04-S06'!$BF$18:$BF$199,2*(ROWS(E$230:E236)-1)+1),"")</f>
        <v/>
      </c>
      <c r="F236" s="210"/>
      <c r="G236" s="194"/>
      <c r="H236" s="14" t="str">
        <f ca="1">IFERROR(ROUND(IF(AC236&lt;&gt;"","",INDEX('M04-S06'!$AH$18:$AH$199,2*(ROWS(H$230:H236)-1)+1)),2),"")</f>
        <v/>
      </c>
      <c r="I236" s="14" t="str">
        <f ca="1">IFERROR(ROUND(IF(AC236&lt;&gt;"","",INDEX('M04-S06'!$AJ$18:$AJ$199,2*(ROWS(I$230:I236)-1)+1)),2),"")</f>
        <v/>
      </c>
      <c r="J236" s="14" t="str">
        <f ca="1">IFERROR(ROUND(IF(AC236&lt;&gt;"","",INDEX('M04-S06'!$AL$18:$AL$199,2*(ROWS(J$230:J236)-1)+1)),2),"")</f>
        <v/>
      </c>
      <c r="K236" t="str">
        <f ca="1">IFERROR(IF(AC236&lt;&gt;"","",INDEX('M04-S06'!$AF$38:$AF$199,2*(ROWS(J$230:J236)-1)+1)),"")</f>
        <v/>
      </c>
      <c r="L236" s="10" t="str">
        <f ca="1">IFERROR(IF(AC236&lt;&gt;"","",ROUND(INDEX('M04-S06'!$BA$18:$BA$199,2*(ROWS(L$230:L236)-1)+1),3)),"")</f>
        <v/>
      </c>
      <c r="M236" s="10" t="str">
        <f ca="1">IFERROR(IF(AC236&lt;&gt;"","",ROUND(INDEX('M04-S06'!$BB$18:$BB$199,2*(ROWS(M$230:M236)-1)+1),3)),"")</f>
        <v/>
      </c>
      <c r="N236" s="219"/>
      <c r="O236" s="37" t="str">
        <f ca="1">IFERROR(IF(AC236&lt;&gt;"","",INDEX('M04-S06'!$AO$18:$AO$199,2*(ROWS(O$230:O236)-1)+1)),"")</f>
        <v/>
      </c>
      <c r="P236" s="37" t="str">
        <f ca="1">IFERROR(IF(AC236&lt;&gt;"","",INDEX('M04-S06'!$BH$18:$BH$199,2*(ROWS(P$230:P236)-1)+1)),"")</f>
        <v/>
      </c>
      <c r="Q236" s="37" t="str">
        <f ca="1">IFERROR(IF(AC236&lt;&gt;"","",INDEX('M04-S06'!$BG$18:$BG$199,2*(ROWS(Q$230:Q236)-1)+1)),"")</f>
        <v/>
      </c>
      <c r="R236" s="14" t="str">
        <f ca="1">IFERROR(IF(AC236&lt;&gt;"","",INDEX('M04-S06'!$AR$18:$AR$199,2*(ROWS(R$230:R236)-1)+1)),"")</f>
        <v/>
      </c>
      <c r="S236" s="14">
        <f ca="1">IFERROR(ROUND(IF(AC236&lt;&gt;"",INDEX('M04-S06'!$AH$18:$AH$199,2*(ROWS(S$230:S236)-1)+1),""),2),"")</f>
        <v>0</v>
      </c>
      <c r="T236" s="14" t="str">
        <f ca="1">IFERROR(ROUND(IF(AC236&lt;&gt;"",INDEX('M04-S06'!$AJ$18:$AJ$199,2*(ROWS(T$230:T236)-1)+1),""),2),"")</f>
        <v/>
      </c>
      <c r="U236" s="14" t="str">
        <f ca="1">IFERROR(ROUND(IF(AC236&lt;&gt;"",INDEX('M04-S06'!$AL$18:$AL$199,2*(ROWS(U$230:U236)-1)+1),""),2),"")</f>
        <v/>
      </c>
      <c r="V236">
        <f ca="1">IFERROR(IF(AC236&lt;&gt;"",INDEX('M04-S06'!$AF$38:$AF$199,2*(ROWS(V$230:V236)-1)+1),""),"")</f>
        <v>0</v>
      </c>
      <c r="W236" s="10" t="str">
        <f ca="1">IFERROR(IF(AC236&lt;&gt;"",ROUND(INDEX('M04-S06'!$BA$18:$BA$199,2*(ROWS(W$230:W236)-1)+1),3),""),"")</f>
        <v/>
      </c>
      <c r="X236" s="10" t="str">
        <f ca="1">IFERROR(IF(AC236&lt;&gt;"",ROUND(INDEX('M04-S06'!$BB$18:$BB$199,2*(ROWS(X$230:X236)-1)+1),3),""),"")</f>
        <v/>
      </c>
      <c r="Y236" s="210"/>
      <c r="Z236" s="31" t="str">
        <f ca="1">IFERROR(IF(AC236&lt;&gt;"",INDEX('M04-S06'!$AO$18:$AO$199,2*(ROWS(Z$230:Z236)-1)+1),""),"")</f>
        <v/>
      </c>
      <c r="AA236" s="37">
        <f ca="1">IFERROR(IF(AC236&lt;&gt;"",INDEX('M04-S06'!$BH$18:$BH$199,2*(ROWS(AA$230:AA236)-1)+1),""),"")</f>
        <v>0</v>
      </c>
      <c r="AB236" s="37" t="str">
        <f ca="1">IFERROR(IF(AC236&lt;&gt;"",INDEX('M04-S06'!$BG$18:$BG$199,2*(ROWS(AB$230:AB236)-1)+1),""),"")</f>
        <v/>
      </c>
      <c r="AC236" t="str">
        <f ca="1">IFERROR(INDEX('M04-S06'!$BN$18:$BN$199,2*(ROWS(AC$230:AC236)-1)+1),"")</f>
        <v>Submit for Review</v>
      </c>
      <c r="AD236" s="37" t="str" cm="1">
        <f t="array" ref="AD236">IFERROR(INDEX('M04-S06'!$BC$18:$BC$199,2*(ROWS(AD$230:AD236)-1)+1),"")</f>
        <v/>
      </c>
      <c r="AE236" s="37" t="str" cm="1">
        <f t="array" ref="AE236">IFERROR(INDEX('M04-S06'!$BD$18:$BD$199,2*(ROWS(AE$230:AE236)-1)+1),"")</f>
        <v/>
      </c>
      <c r="AF236" s="210"/>
      <c r="AG236" s="210"/>
      <c r="AH236" s="210"/>
      <c r="AI236">
        <f>IFERROR(INDEX('M04-S06'!$B$18:$B$199,2*(ROWS(AI$230:AI236)-1)+1),"")</f>
        <v>7</v>
      </c>
      <c r="AJ236" s="194"/>
      <c r="AK236">
        <f>IFERROR(INDEX('M04-S06'!$H$18:$H$199,2*(ROWS(AK$230:AK236)-1)+1),"")</f>
        <v>0</v>
      </c>
      <c r="AL236">
        <f>IFERROR(INDEX('M04-S06'!$N$18:$N$199,2*(ROWS(AL$230:AL236)-1)+1),"")</f>
        <v>0</v>
      </c>
      <c r="AM236">
        <f>IFERROR(INDEX('M04-S06'!$W$18:$W$199,2*(ROWS(AM$230:AM236)-1)+1),"")</f>
        <v>0</v>
      </c>
      <c r="AN236" s="14" t="str">
        <f>IFERROR(INDEX('M04-S06'!$AX$18:$AX$199,2*(ROWS(AN$230:AN236)-1)+1),"")</f>
        <v/>
      </c>
      <c r="AO236" s="14" t="str">
        <f>IFERROR(INDEX('M04-S06'!$AY$18:$AY$199,2*(ROWS(AO$230:AO236)-1)+1),"")</f>
        <v/>
      </c>
      <c r="AP236" t="str">
        <f>IFERROR(INDEX('M04-S06'!$AZ$18:$AZ$199,2*(ROWS(AP$230:AP236)-1)+1),"")</f>
        <v/>
      </c>
      <c r="AQ236" t="str">
        <f>IFERROR(INDEX('M04-S06'!$BE$18:$BE$199,2*(ROWS(AQ$230:AQ236)-1)+1),"")</f>
        <v/>
      </c>
      <c r="AR236" t="s">
        <v>1254</v>
      </c>
      <c r="AS236"/>
      <c r="BL236"/>
      <c r="BP236"/>
      <c r="BQ236"/>
      <c r="BR236"/>
      <c r="CD236"/>
      <c r="CE236"/>
      <c r="CF236"/>
      <c r="CQ236"/>
      <c r="CR236"/>
      <c r="CS236"/>
      <c r="DS236"/>
      <c r="DT236"/>
      <c r="DU236"/>
    </row>
    <row r="237" spans="1:125" hidden="1">
      <c r="A237" s="15">
        <f t="shared" si="24"/>
        <v>0</v>
      </c>
      <c r="B237" t="str">
        <f t="shared" si="25"/>
        <v/>
      </c>
      <c r="C237" t="str">
        <f>IFERROR(IF(INDEX('M04-S06'!$BL$18:$BL$199,2*(ROWS($C$230:C237)-1)+1)="","",INDEX('M04-S06'!$BL$18:$BL$199,2*(ROWS($C$230:C237)-1)+1)),"")</f>
        <v/>
      </c>
      <c r="D237" t="s">
        <v>135</v>
      </c>
      <c r="E237" t="str">
        <f>IFERROR(INDEX('M04-S06'!$BF$18:$BF$199,2*(ROWS(E$230:E237)-1)+1),"")</f>
        <v/>
      </c>
      <c r="F237" s="210"/>
      <c r="G237" s="194"/>
      <c r="H237" s="14" t="str">
        <f ca="1">IFERROR(ROUND(IF(AC237&lt;&gt;"","",INDEX('M04-S06'!$AH$18:$AH$199,2*(ROWS(H$230:H237)-1)+1)),2),"")</f>
        <v/>
      </c>
      <c r="I237" s="14" t="str">
        <f ca="1">IFERROR(ROUND(IF(AC237&lt;&gt;"","",INDEX('M04-S06'!$AJ$18:$AJ$199,2*(ROWS(I$230:I237)-1)+1)),2),"")</f>
        <v/>
      </c>
      <c r="J237" s="14" t="str">
        <f ca="1">IFERROR(ROUND(IF(AC237&lt;&gt;"","",INDEX('M04-S06'!$AL$18:$AL$199,2*(ROWS(J$230:J237)-1)+1)),2),"")</f>
        <v/>
      </c>
      <c r="K237" t="str">
        <f ca="1">IFERROR(IF(AC237&lt;&gt;"","",INDEX('M04-S06'!$AF$38:$AF$199,2*(ROWS(J$230:J237)-1)+1)),"")</f>
        <v/>
      </c>
      <c r="L237" s="10" t="str">
        <f ca="1">IFERROR(IF(AC237&lt;&gt;"","",ROUND(INDEX('M04-S06'!$BA$18:$BA$199,2*(ROWS(L$230:L237)-1)+1),3)),"")</f>
        <v/>
      </c>
      <c r="M237" s="10" t="str">
        <f ca="1">IFERROR(IF(AC237&lt;&gt;"","",ROUND(INDEX('M04-S06'!$BB$18:$BB$199,2*(ROWS(M$230:M237)-1)+1),3)),"")</f>
        <v/>
      </c>
      <c r="N237" s="219"/>
      <c r="O237" s="37" t="str">
        <f ca="1">IFERROR(IF(AC237&lt;&gt;"","",INDEX('M04-S06'!$AO$18:$AO$199,2*(ROWS(O$230:O237)-1)+1)),"")</f>
        <v/>
      </c>
      <c r="P237" s="37" t="str">
        <f ca="1">IFERROR(IF(AC237&lt;&gt;"","",INDEX('M04-S06'!$BH$18:$BH$199,2*(ROWS(P$230:P237)-1)+1)),"")</f>
        <v/>
      </c>
      <c r="Q237" s="37" t="str">
        <f ca="1">IFERROR(IF(AC237&lt;&gt;"","",INDEX('M04-S06'!$BG$18:$BG$199,2*(ROWS(Q$230:Q237)-1)+1)),"")</f>
        <v/>
      </c>
      <c r="R237" s="14" t="str">
        <f ca="1">IFERROR(IF(AC237&lt;&gt;"","",INDEX('M04-S06'!$AR$18:$AR$199,2*(ROWS(R$230:R237)-1)+1)),"")</f>
        <v/>
      </c>
      <c r="S237" s="14">
        <f ca="1">IFERROR(ROUND(IF(AC237&lt;&gt;"",INDEX('M04-S06'!$AH$18:$AH$199,2*(ROWS(S$230:S237)-1)+1),""),2),"")</f>
        <v>0</v>
      </c>
      <c r="T237" s="14" t="str">
        <f ca="1">IFERROR(ROUND(IF(AC237&lt;&gt;"",INDEX('M04-S06'!$AJ$18:$AJ$199,2*(ROWS(T$230:T237)-1)+1),""),2),"")</f>
        <v/>
      </c>
      <c r="U237" s="14" t="str">
        <f ca="1">IFERROR(ROUND(IF(AC237&lt;&gt;"",INDEX('M04-S06'!$AL$18:$AL$199,2*(ROWS(U$230:U237)-1)+1),""),2),"")</f>
        <v/>
      </c>
      <c r="V237">
        <f ca="1">IFERROR(IF(AC237&lt;&gt;"",INDEX('M04-S06'!$AF$38:$AF$199,2*(ROWS(V$230:V237)-1)+1),""),"")</f>
        <v>0</v>
      </c>
      <c r="W237" s="10" t="str">
        <f ca="1">IFERROR(IF(AC237&lt;&gt;"",ROUND(INDEX('M04-S06'!$BA$18:$BA$199,2*(ROWS(W$230:W237)-1)+1),3),""),"")</f>
        <v/>
      </c>
      <c r="X237" s="10" t="str">
        <f ca="1">IFERROR(IF(AC237&lt;&gt;"",ROUND(INDEX('M04-S06'!$BB$18:$BB$199,2*(ROWS(X$230:X237)-1)+1),3),""),"")</f>
        <v/>
      </c>
      <c r="Y237" s="210"/>
      <c r="Z237" s="31" t="str">
        <f ca="1">IFERROR(IF(AC237&lt;&gt;"",INDEX('M04-S06'!$AO$18:$AO$199,2*(ROWS(Z$230:Z237)-1)+1),""),"")</f>
        <v/>
      </c>
      <c r="AA237" s="37">
        <f ca="1">IFERROR(IF(AC237&lt;&gt;"",INDEX('M04-S06'!$BH$18:$BH$199,2*(ROWS(AA$230:AA237)-1)+1),""),"")</f>
        <v>0</v>
      </c>
      <c r="AB237" s="37" t="str">
        <f ca="1">IFERROR(IF(AC237&lt;&gt;"",INDEX('M04-S06'!$BG$18:$BG$199,2*(ROWS(AB$230:AB237)-1)+1),""),"")</f>
        <v/>
      </c>
      <c r="AC237" t="str">
        <f ca="1">IFERROR(INDEX('M04-S06'!$BN$18:$BN$199,2*(ROWS(AC$230:AC237)-1)+1),"")</f>
        <v>Submit for Review</v>
      </c>
      <c r="AD237" s="37" t="str" cm="1">
        <f t="array" ref="AD237">IFERROR(INDEX('M04-S06'!$BC$18:$BC$199,2*(ROWS(AD$230:AD237)-1)+1),"")</f>
        <v/>
      </c>
      <c r="AE237" s="37" t="str" cm="1">
        <f t="array" ref="AE237">IFERROR(INDEX('M04-S06'!$BD$18:$BD$199,2*(ROWS(AE$230:AE237)-1)+1),"")</f>
        <v/>
      </c>
      <c r="AF237" s="210"/>
      <c r="AG237" s="210"/>
      <c r="AH237" s="210"/>
      <c r="AI237">
        <f>IFERROR(INDEX('M04-S06'!$B$18:$B$199,2*(ROWS(AI$230:AI237)-1)+1),"")</f>
        <v>8</v>
      </c>
      <c r="AJ237" s="194"/>
      <c r="AK237">
        <f>IFERROR(INDEX('M04-S06'!$H$18:$H$199,2*(ROWS(AK$230:AK237)-1)+1),"")</f>
        <v>0</v>
      </c>
      <c r="AL237">
        <f>IFERROR(INDEX('M04-S06'!$N$18:$N$199,2*(ROWS(AL$230:AL237)-1)+1),"")</f>
        <v>0</v>
      </c>
      <c r="AM237">
        <f>IFERROR(INDEX('M04-S06'!$W$18:$W$199,2*(ROWS(AM$230:AM237)-1)+1),"")</f>
        <v>0</v>
      </c>
      <c r="AN237" s="14" t="str">
        <f>IFERROR(INDEX('M04-S06'!$AX$18:$AX$199,2*(ROWS(AN$230:AN237)-1)+1),"")</f>
        <v/>
      </c>
      <c r="AO237" s="14" t="str">
        <f>IFERROR(INDEX('M04-S06'!$AY$18:$AY$199,2*(ROWS(AO$230:AO237)-1)+1),"")</f>
        <v/>
      </c>
      <c r="AP237" t="str">
        <f>IFERROR(INDEX('M04-S06'!$AZ$18:$AZ$199,2*(ROWS(AP$230:AP237)-1)+1),"")</f>
        <v/>
      </c>
      <c r="AQ237" t="str">
        <f>IFERROR(INDEX('M04-S06'!$BE$18:$BE$199,2*(ROWS(AQ$230:AQ237)-1)+1),"")</f>
        <v/>
      </c>
      <c r="AR237" t="s">
        <v>1254</v>
      </c>
      <c r="AS237"/>
      <c r="BL237"/>
      <c r="BP237"/>
      <c r="BQ237"/>
      <c r="BR237"/>
      <c r="CD237"/>
      <c r="CE237"/>
      <c r="CF237"/>
      <c r="CQ237"/>
      <c r="CR237"/>
      <c r="CS237"/>
      <c r="DS237"/>
      <c r="DT237"/>
      <c r="DU237"/>
    </row>
    <row r="238" spans="1:125" hidden="1">
      <c r="A238" s="15">
        <f t="shared" si="24"/>
        <v>0</v>
      </c>
      <c r="B238" t="str">
        <f t="shared" si="25"/>
        <v/>
      </c>
      <c r="C238" t="str">
        <f>IFERROR(IF(INDEX('M04-S06'!$BL$18:$BL$199,2*(ROWS($C$230:C238)-1)+1)="","",INDEX('M04-S06'!$BL$18:$BL$199,2*(ROWS($C$230:C238)-1)+1)),"")</f>
        <v/>
      </c>
      <c r="D238" t="s">
        <v>135</v>
      </c>
      <c r="E238" t="str">
        <f>IFERROR(INDEX('M04-S06'!$BF$18:$BF$199,2*(ROWS(E$230:E238)-1)+1),"")</f>
        <v/>
      </c>
      <c r="F238" s="210"/>
      <c r="G238" s="194"/>
      <c r="H238" s="14" t="str">
        <f ca="1">IFERROR(ROUND(IF(AC238&lt;&gt;"","",INDEX('M04-S06'!$AH$18:$AH$199,2*(ROWS(H$230:H238)-1)+1)),2),"")</f>
        <v/>
      </c>
      <c r="I238" s="14" t="str">
        <f ca="1">IFERROR(ROUND(IF(AC238&lt;&gt;"","",INDEX('M04-S06'!$AJ$18:$AJ$199,2*(ROWS(I$230:I238)-1)+1)),2),"")</f>
        <v/>
      </c>
      <c r="J238" s="14" t="str">
        <f ca="1">IFERROR(ROUND(IF(AC238&lt;&gt;"","",INDEX('M04-S06'!$AL$18:$AL$199,2*(ROWS(J$230:J238)-1)+1)),2),"")</f>
        <v/>
      </c>
      <c r="K238" t="str">
        <f ca="1">IFERROR(IF(AC238&lt;&gt;"","",INDEX('M04-S06'!$AF$38:$AF$199,2*(ROWS(J$230:J238)-1)+1)),"")</f>
        <v/>
      </c>
      <c r="L238" s="10" t="str">
        <f ca="1">IFERROR(IF(AC238&lt;&gt;"","",ROUND(INDEX('M04-S06'!$BA$18:$BA$199,2*(ROWS(L$230:L238)-1)+1),3)),"")</f>
        <v/>
      </c>
      <c r="M238" s="10" t="str">
        <f ca="1">IFERROR(IF(AC238&lt;&gt;"","",ROUND(INDEX('M04-S06'!$BB$18:$BB$199,2*(ROWS(M$230:M238)-1)+1),3)),"")</f>
        <v/>
      </c>
      <c r="N238" s="219"/>
      <c r="O238" s="37" t="str">
        <f ca="1">IFERROR(IF(AC238&lt;&gt;"","",INDEX('M04-S06'!$AO$18:$AO$199,2*(ROWS(O$230:O238)-1)+1)),"")</f>
        <v/>
      </c>
      <c r="P238" s="37" t="str">
        <f ca="1">IFERROR(IF(AC238&lt;&gt;"","",INDEX('M04-S06'!$BH$18:$BH$199,2*(ROWS(P$230:P238)-1)+1)),"")</f>
        <v/>
      </c>
      <c r="Q238" s="37" t="str">
        <f ca="1">IFERROR(IF(AC238&lt;&gt;"","",INDEX('M04-S06'!$BG$18:$BG$199,2*(ROWS(Q$230:Q238)-1)+1)),"")</f>
        <v/>
      </c>
      <c r="R238" s="14" t="str">
        <f ca="1">IFERROR(IF(AC238&lt;&gt;"","",INDEX('M04-S06'!$AR$18:$AR$199,2*(ROWS(R$230:R238)-1)+1)),"")</f>
        <v/>
      </c>
      <c r="S238" s="14">
        <f ca="1">IFERROR(ROUND(IF(AC238&lt;&gt;"",INDEX('M04-S06'!$AH$18:$AH$199,2*(ROWS(S$230:S238)-1)+1),""),2),"")</f>
        <v>0</v>
      </c>
      <c r="T238" s="14" t="str">
        <f ca="1">IFERROR(ROUND(IF(AC238&lt;&gt;"",INDEX('M04-S06'!$AJ$18:$AJ$199,2*(ROWS(T$230:T238)-1)+1),""),2),"")</f>
        <v/>
      </c>
      <c r="U238" s="14" t="str">
        <f ca="1">IFERROR(ROUND(IF(AC238&lt;&gt;"",INDEX('M04-S06'!$AL$18:$AL$199,2*(ROWS(U$230:U238)-1)+1),""),2),"")</f>
        <v/>
      </c>
      <c r="V238">
        <f ca="1">IFERROR(IF(AC238&lt;&gt;"",INDEX('M04-S06'!$AF$38:$AF$199,2*(ROWS(V$230:V238)-1)+1),""),"")</f>
        <v>0</v>
      </c>
      <c r="W238" s="10" t="str">
        <f ca="1">IFERROR(IF(AC238&lt;&gt;"",ROUND(INDEX('M04-S06'!$BA$18:$BA$199,2*(ROWS(W$230:W238)-1)+1),3),""),"")</f>
        <v/>
      </c>
      <c r="X238" s="10" t="str">
        <f ca="1">IFERROR(IF(AC238&lt;&gt;"",ROUND(INDEX('M04-S06'!$BB$18:$BB$199,2*(ROWS(X$230:X238)-1)+1),3),""),"")</f>
        <v/>
      </c>
      <c r="Y238" s="210"/>
      <c r="Z238" s="31" t="str">
        <f ca="1">IFERROR(IF(AC238&lt;&gt;"",INDEX('M04-S06'!$AO$18:$AO$199,2*(ROWS(Z$230:Z238)-1)+1),""),"")</f>
        <v/>
      </c>
      <c r="AA238" s="37">
        <f ca="1">IFERROR(IF(AC238&lt;&gt;"",INDEX('M04-S06'!$BH$18:$BH$199,2*(ROWS(AA$230:AA238)-1)+1),""),"")</f>
        <v>0</v>
      </c>
      <c r="AB238" s="37" t="str">
        <f ca="1">IFERROR(IF(AC238&lt;&gt;"",INDEX('M04-S06'!$BG$18:$BG$199,2*(ROWS(AB$230:AB238)-1)+1),""),"")</f>
        <v/>
      </c>
      <c r="AC238" t="str">
        <f ca="1">IFERROR(INDEX('M04-S06'!$BN$18:$BN$199,2*(ROWS(AC$230:AC238)-1)+1),"")</f>
        <v>Submit for Review</v>
      </c>
      <c r="AD238" s="37" t="str" cm="1">
        <f t="array" ref="AD238">IFERROR(INDEX('M04-S06'!$BC$18:$BC$199,2*(ROWS(AD$230:AD238)-1)+1),"")</f>
        <v/>
      </c>
      <c r="AE238" s="37" t="str" cm="1">
        <f t="array" ref="AE238">IFERROR(INDEX('M04-S06'!$BD$18:$BD$199,2*(ROWS(AE$230:AE238)-1)+1),"")</f>
        <v/>
      </c>
      <c r="AF238" s="210"/>
      <c r="AG238" s="210"/>
      <c r="AH238" s="210"/>
      <c r="AI238">
        <f>IFERROR(INDEX('M04-S06'!$B$18:$B$199,2*(ROWS(AI$230:AI238)-1)+1),"")</f>
        <v>9</v>
      </c>
      <c r="AJ238" s="194"/>
      <c r="AK238">
        <f>IFERROR(INDEX('M04-S06'!$H$18:$H$199,2*(ROWS(AK$230:AK238)-1)+1),"")</f>
        <v>0</v>
      </c>
      <c r="AL238">
        <f>IFERROR(INDEX('M04-S06'!$N$18:$N$199,2*(ROWS(AL$230:AL238)-1)+1),"")</f>
        <v>0</v>
      </c>
      <c r="AM238">
        <f>IFERROR(INDEX('M04-S06'!$W$18:$W$199,2*(ROWS(AM$230:AM238)-1)+1),"")</f>
        <v>0</v>
      </c>
      <c r="AN238" s="14" t="str">
        <f>IFERROR(INDEX('M04-S06'!$AX$18:$AX$199,2*(ROWS(AN$230:AN238)-1)+1),"")</f>
        <v/>
      </c>
      <c r="AO238" s="14" t="str">
        <f>IFERROR(INDEX('M04-S06'!$AY$18:$AY$199,2*(ROWS(AO$230:AO238)-1)+1),"")</f>
        <v/>
      </c>
      <c r="AP238" t="str">
        <f>IFERROR(INDEX('M04-S06'!$AZ$18:$AZ$199,2*(ROWS(AP$230:AP238)-1)+1),"")</f>
        <v/>
      </c>
      <c r="AQ238" t="str">
        <f>IFERROR(INDEX('M04-S06'!$BE$18:$BE$199,2*(ROWS(AQ$230:AQ238)-1)+1),"")</f>
        <v/>
      </c>
      <c r="AR238" t="s">
        <v>1254</v>
      </c>
      <c r="AS238"/>
      <c r="BL238"/>
      <c r="BP238"/>
      <c r="BQ238"/>
      <c r="BR238"/>
      <c r="CD238"/>
      <c r="CE238"/>
      <c r="CF238"/>
      <c r="CQ238"/>
      <c r="CR238"/>
      <c r="CS238"/>
      <c r="DS238"/>
      <c r="DT238"/>
      <c r="DU238"/>
    </row>
    <row r="239" spans="1:125" hidden="1">
      <c r="A239" s="15">
        <f t="shared" si="24"/>
        <v>0</v>
      </c>
      <c r="B239" t="str">
        <f t="shared" si="25"/>
        <v/>
      </c>
      <c r="C239" t="str">
        <f>IFERROR(IF(INDEX('M04-S06'!$BL$18:$BL$199,2*(ROWS($C$230:C239)-1)+1)="","",INDEX('M04-S06'!$BL$18:$BL$199,2*(ROWS($C$230:C239)-1)+1)),"")</f>
        <v/>
      </c>
      <c r="D239" t="s">
        <v>135</v>
      </c>
      <c r="E239" t="str">
        <f>IFERROR(INDEX('M04-S06'!$BF$18:$BF$199,2*(ROWS(E$230:E239)-1)+1),"")</f>
        <v/>
      </c>
      <c r="F239" s="210"/>
      <c r="G239" s="194"/>
      <c r="H239" s="14" t="str">
        <f ca="1">IFERROR(ROUND(IF(AC239&lt;&gt;"","",INDEX('M04-S06'!$AH$18:$AH$199,2*(ROWS(H$230:H239)-1)+1)),2),"")</f>
        <v/>
      </c>
      <c r="I239" s="14" t="str">
        <f ca="1">IFERROR(ROUND(IF(AC239&lt;&gt;"","",INDEX('M04-S06'!$AJ$18:$AJ$199,2*(ROWS(I$230:I239)-1)+1)),2),"")</f>
        <v/>
      </c>
      <c r="J239" s="14" t="str">
        <f ca="1">IFERROR(ROUND(IF(AC239&lt;&gt;"","",INDEX('M04-S06'!$AL$18:$AL$199,2*(ROWS(J$230:J239)-1)+1)),2),"")</f>
        <v/>
      </c>
      <c r="K239" t="str">
        <f ca="1">IFERROR(IF(AC239&lt;&gt;"","",INDEX('M04-S06'!$AF$38:$AF$199,2*(ROWS(J$230:J239)-1)+1)),"")</f>
        <v/>
      </c>
      <c r="L239" s="10" t="str">
        <f ca="1">IFERROR(IF(AC239&lt;&gt;"","",ROUND(INDEX('M04-S06'!$BA$18:$BA$199,2*(ROWS(L$230:L239)-1)+1),3)),"")</f>
        <v/>
      </c>
      <c r="M239" s="10" t="str">
        <f ca="1">IFERROR(IF(AC239&lt;&gt;"","",ROUND(INDEX('M04-S06'!$BB$18:$BB$199,2*(ROWS(M$230:M239)-1)+1),3)),"")</f>
        <v/>
      </c>
      <c r="N239" s="219"/>
      <c r="O239" s="37" t="str">
        <f ca="1">IFERROR(IF(AC239&lt;&gt;"","",INDEX('M04-S06'!$AO$18:$AO$199,2*(ROWS(O$230:O239)-1)+1)),"")</f>
        <v/>
      </c>
      <c r="P239" s="37" t="str">
        <f ca="1">IFERROR(IF(AC239&lt;&gt;"","",INDEX('M04-S06'!$BH$18:$BH$199,2*(ROWS(P$230:P239)-1)+1)),"")</f>
        <v/>
      </c>
      <c r="Q239" s="37" t="str">
        <f ca="1">IFERROR(IF(AC239&lt;&gt;"","",INDEX('M04-S06'!$BG$18:$BG$199,2*(ROWS(Q$230:Q239)-1)+1)),"")</f>
        <v/>
      </c>
      <c r="R239" s="14" t="str">
        <f ca="1">IFERROR(IF(AC239&lt;&gt;"","",INDEX('M04-S06'!$AR$18:$AR$199,2*(ROWS(R$230:R239)-1)+1)),"")</f>
        <v/>
      </c>
      <c r="S239" s="14">
        <f ca="1">IFERROR(ROUND(IF(AC239&lt;&gt;"",INDEX('M04-S06'!$AH$18:$AH$199,2*(ROWS(S$230:S239)-1)+1),""),2),"")</f>
        <v>0</v>
      </c>
      <c r="T239" s="14" t="str">
        <f ca="1">IFERROR(ROUND(IF(AC239&lt;&gt;"",INDEX('M04-S06'!$AJ$18:$AJ$199,2*(ROWS(T$230:T239)-1)+1),""),2),"")</f>
        <v/>
      </c>
      <c r="U239" s="14" t="str">
        <f ca="1">IFERROR(ROUND(IF(AC239&lt;&gt;"",INDEX('M04-S06'!$AL$18:$AL$199,2*(ROWS(U$230:U239)-1)+1),""),2),"")</f>
        <v/>
      </c>
      <c r="V239">
        <f ca="1">IFERROR(IF(AC239&lt;&gt;"",INDEX('M04-S06'!$AF$38:$AF$199,2*(ROWS(V$230:V239)-1)+1),""),"")</f>
        <v>0</v>
      </c>
      <c r="W239" s="10" t="str">
        <f ca="1">IFERROR(IF(AC239&lt;&gt;"",ROUND(INDEX('M04-S06'!$BA$18:$BA$199,2*(ROWS(W$230:W239)-1)+1),3),""),"")</f>
        <v/>
      </c>
      <c r="X239" s="10" t="str">
        <f ca="1">IFERROR(IF(AC239&lt;&gt;"",ROUND(INDEX('M04-S06'!$BB$18:$BB$199,2*(ROWS(X$230:X239)-1)+1),3),""),"")</f>
        <v/>
      </c>
      <c r="Y239" s="210"/>
      <c r="Z239" s="31" t="str">
        <f ca="1">IFERROR(IF(AC239&lt;&gt;"",INDEX('M04-S06'!$AO$18:$AO$199,2*(ROWS(Z$230:Z239)-1)+1),""),"")</f>
        <v/>
      </c>
      <c r="AA239" s="37">
        <f ca="1">IFERROR(IF(AC239&lt;&gt;"",INDEX('M04-S06'!$BH$18:$BH$199,2*(ROWS(AA$230:AA239)-1)+1),""),"")</f>
        <v>0</v>
      </c>
      <c r="AB239" s="37" t="str">
        <f ca="1">IFERROR(IF(AC239&lt;&gt;"",INDEX('M04-S06'!$BG$18:$BG$199,2*(ROWS(AB$230:AB239)-1)+1),""),"")</f>
        <v/>
      </c>
      <c r="AC239" t="str">
        <f ca="1">IFERROR(INDEX('M04-S06'!$BN$18:$BN$199,2*(ROWS(AC$230:AC239)-1)+1),"")</f>
        <v>Submit for Review</v>
      </c>
      <c r="AD239" s="37" t="str" cm="1">
        <f t="array" ref="AD239">IFERROR(INDEX('M04-S06'!$BC$18:$BC$199,2*(ROWS(AD$230:AD239)-1)+1),"")</f>
        <v/>
      </c>
      <c r="AE239" s="37" t="str" cm="1">
        <f t="array" ref="AE239">IFERROR(INDEX('M04-S06'!$BD$18:$BD$199,2*(ROWS(AE$230:AE239)-1)+1),"")</f>
        <v/>
      </c>
      <c r="AF239" s="210"/>
      <c r="AG239" s="210"/>
      <c r="AH239" s="210"/>
      <c r="AI239">
        <f>IFERROR(INDEX('M04-S06'!$B$18:$B$199,2*(ROWS(AI$230:AI239)-1)+1),"")</f>
        <v>10</v>
      </c>
      <c r="AJ239" s="194"/>
      <c r="AK239">
        <f>IFERROR(INDEX('M04-S06'!$H$18:$H$199,2*(ROWS(AK$230:AK239)-1)+1),"")</f>
        <v>0</v>
      </c>
      <c r="AL239">
        <f>IFERROR(INDEX('M04-S06'!$N$18:$N$199,2*(ROWS(AL$230:AL239)-1)+1),"")</f>
        <v>0</v>
      </c>
      <c r="AM239">
        <f>IFERROR(INDEX('M04-S06'!$W$18:$W$199,2*(ROWS(AM$230:AM239)-1)+1),"")</f>
        <v>0</v>
      </c>
      <c r="AN239" s="14" t="str">
        <f>IFERROR(INDEX('M04-S06'!$AX$18:$AX$199,2*(ROWS(AN$230:AN239)-1)+1),"")</f>
        <v/>
      </c>
      <c r="AO239" s="14" t="str">
        <f>IFERROR(INDEX('M04-S06'!$AY$18:$AY$199,2*(ROWS(AO$230:AO239)-1)+1),"")</f>
        <v/>
      </c>
      <c r="AP239" t="str">
        <f>IFERROR(INDEX('M04-S06'!$AZ$18:$AZ$199,2*(ROWS(AP$230:AP239)-1)+1),"")</f>
        <v/>
      </c>
      <c r="AQ239" t="str">
        <f>IFERROR(INDEX('M04-S06'!$BE$18:$BE$199,2*(ROWS(AQ$230:AQ239)-1)+1),"")</f>
        <v/>
      </c>
      <c r="AR239" t="s">
        <v>1254</v>
      </c>
      <c r="AS239"/>
      <c r="BL239"/>
      <c r="BP239"/>
      <c r="BQ239"/>
      <c r="BR239"/>
      <c r="CD239"/>
      <c r="CE239"/>
      <c r="CF239"/>
      <c r="CQ239"/>
      <c r="CR239"/>
      <c r="CS239"/>
      <c r="DS239"/>
      <c r="DT239"/>
      <c r="DU239"/>
    </row>
    <row r="240" spans="1:125" hidden="1">
      <c r="A240" s="15">
        <f t="shared" si="24"/>
        <v>0</v>
      </c>
      <c r="B240" t="str">
        <f t="shared" si="25"/>
        <v/>
      </c>
      <c r="C240" t="str">
        <f>IFERROR(IF(INDEX('M04-S06'!$BL$18:$BL$199,2*(ROWS($C$230:C240)-1)+1)="","",INDEX('M04-S06'!$BL$18:$BL$199,2*(ROWS($C$230:C240)-1)+1)),"")</f>
        <v/>
      </c>
      <c r="D240" t="s">
        <v>135</v>
      </c>
      <c r="E240">
        <f>IFERROR(INDEX('M04-S06'!$BF$18:$BF$199,2*(ROWS(E$230:E240)-1)+1),"")</f>
        <v>0</v>
      </c>
      <c r="F240" s="210"/>
      <c r="G240" s="194"/>
      <c r="H240" s="14" t="str">
        <f>IFERROR(ROUND(IF(AC240&lt;&gt;"","",INDEX('M04-S06'!$AH$18:$AH$199,2*(ROWS(H$230:H240)-1)+1)),2),"")</f>
        <v/>
      </c>
      <c r="I240" s="14" t="str">
        <f>IFERROR(ROUND(IF(AC240&lt;&gt;"","",INDEX('M04-S06'!$AJ$18:$AJ$199,2*(ROWS(I$230:I240)-1)+1)),2),"")</f>
        <v/>
      </c>
      <c r="J240" s="14" t="str">
        <f>IFERROR(ROUND(IF(AC240&lt;&gt;"","",INDEX('M04-S06'!$AL$18:$AL$199,2*(ROWS(J$230:J240)-1)+1)),2),"")</f>
        <v/>
      </c>
      <c r="K240" t="str">
        <f>IFERROR(IF(AC240&lt;&gt;"","",INDEX('M04-S06'!$AF$38:$AF$199,2*(ROWS(J$230:J240)-1)+1)),"")</f>
        <v/>
      </c>
      <c r="L240" s="10" t="str">
        <f>IFERROR(IF(AC240&lt;&gt;"","",ROUND(INDEX('M04-S06'!$BA$18:$BA$199,2*(ROWS(L$230:L240)-1)+1),3)),"")</f>
        <v/>
      </c>
      <c r="M240" s="10" t="str">
        <f>IFERROR(IF(AC240&lt;&gt;"","",ROUND(INDEX('M04-S06'!$BB$18:$BB$199,2*(ROWS(M$230:M240)-1)+1),3)),"")</f>
        <v/>
      </c>
      <c r="N240" s="219"/>
      <c r="O240" s="37" t="str">
        <f>IFERROR(IF(AC240&lt;&gt;"","",INDEX('M04-S06'!$AO$18:$AO$199,2*(ROWS(O$230:O240)-1)+1)),"")</f>
        <v/>
      </c>
      <c r="P240" s="37" t="str">
        <f>IFERROR(IF(AC240&lt;&gt;"","",INDEX('M04-S06'!$BH$18:$BH$199,2*(ROWS(P$230:P240)-1)+1)),"")</f>
        <v/>
      </c>
      <c r="Q240" s="37" t="str">
        <f>IFERROR(IF(AC240&lt;&gt;"","",INDEX('M04-S06'!$BG$18:$BG$199,2*(ROWS(Q$230:Q240)-1)+1)),"")</f>
        <v/>
      </c>
      <c r="R240" s="14" t="str">
        <f>IFERROR(IF(AC240&lt;&gt;"","",INDEX('M04-S06'!$AR$18:$AR$199,2*(ROWS(R$230:R240)-1)+1)),"")</f>
        <v/>
      </c>
      <c r="S240" s="14">
        <f>IFERROR(ROUND(IF(AC240&lt;&gt;"",INDEX('M04-S06'!$AH$18:$AH$199,2*(ROWS(S$230:S240)-1)+1),""),2),"")</f>
        <v>0</v>
      </c>
      <c r="T240" s="14">
        <f>IFERROR(ROUND(IF(AC240&lt;&gt;"",INDEX('M04-S06'!$AJ$18:$AJ$199,2*(ROWS(T$230:T240)-1)+1),""),2),"")</f>
        <v>0</v>
      </c>
      <c r="U240" s="14">
        <f>IFERROR(ROUND(IF(AC240&lt;&gt;"",INDEX('M04-S06'!$AL$18:$AL$199,2*(ROWS(U$230:U240)-1)+1),""),2),"")</f>
        <v>0</v>
      </c>
      <c r="V240">
        <f>IFERROR(IF(AC240&lt;&gt;"",INDEX('M04-S06'!$AF$38:$AF$199,2*(ROWS(V$230:V240)-1)+1),""),"")</f>
        <v>0</v>
      </c>
      <c r="W240" s="10">
        <f>IFERROR(IF(AC240&lt;&gt;"",ROUND(INDEX('M04-S06'!$BA$18:$BA$199,2*(ROWS(W$230:W240)-1)+1),3),""),"")</f>
        <v>0</v>
      </c>
      <c r="X240" s="10">
        <f>IFERROR(IF(AC240&lt;&gt;"",ROUND(INDEX('M04-S06'!$BB$18:$BB$199,2*(ROWS(X$230:X240)-1)+1),3),""),"")</f>
        <v>0</v>
      </c>
      <c r="Y240" s="210"/>
      <c r="Z240" s="31">
        <f>IFERROR(IF(AC240&lt;&gt;"",INDEX('M04-S06'!$AO$18:$AO$199,2*(ROWS(Z$230:Z240)-1)+1),""),"")</f>
        <v>0</v>
      </c>
      <c r="AA240" s="37">
        <f>IFERROR(IF(AC240&lt;&gt;"",INDEX('M04-S06'!$BH$18:$BH$199,2*(ROWS(AA$230:AA240)-1)+1),""),"")</f>
        <v>0</v>
      </c>
      <c r="AB240" s="37">
        <f>IFERROR(IF(AC240&lt;&gt;"",INDEX('M04-S06'!$BG$18:$BG$199,2*(ROWS(AB$230:AB240)-1)+1),""),"")</f>
        <v>0</v>
      </c>
      <c r="AC240">
        <f>IFERROR(INDEX('M04-S06'!$BN$18:$BN$199,2*(ROWS(AC$230:AC240)-1)+1),"")</f>
        <v>0</v>
      </c>
      <c r="AD240" s="37" cm="1">
        <f t="array" ref="AD240">IFERROR(INDEX('M04-S06'!$BC$18:$BC$199,2*(ROWS(AD$230:AD240)-1)+1),"")</f>
        <v>0</v>
      </c>
      <c r="AE240" s="37" cm="1">
        <f t="array" ref="AE240">IFERROR(INDEX('M04-S06'!$BD$18:$BD$199,2*(ROWS(AE$230:AE240)-1)+1),"")</f>
        <v>0</v>
      </c>
      <c r="AF240" s="210"/>
      <c r="AG240" s="210"/>
      <c r="AH240" s="210"/>
      <c r="AI240">
        <f>IFERROR(INDEX('M04-S06'!$B$18:$B$199,2*(ROWS(AI$230:AI240)-1)+1),"")</f>
        <v>0</v>
      </c>
      <c r="AJ240" s="194"/>
      <c r="AK240">
        <f>IFERROR(INDEX('M04-S06'!$H$18:$H$199,2*(ROWS(AK$230:AK240)-1)+1),"")</f>
        <v>0</v>
      </c>
      <c r="AL240">
        <f>IFERROR(INDEX('M04-S06'!$N$18:$N$199,2*(ROWS(AL$230:AL240)-1)+1),"")</f>
        <v>0</v>
      </c>
      <c r="AM240">
        <f>IFERROR(INDEX('M04-S06'!$W$18:$W$199,2*(ROWS(AM$230:AM240)-1)+1),"")</f>
        <v>0</v>
      </c>
      <c r="AN240" s="14">
        <f>IFERROR(INDEX('M04-S06'!$AX$18:$AX$199,2*(ROWS(AN$230:AN240)-1)+1),"")</f>
        <v>0</v>
      </c>
      <c r="AO240" s="14">
        <f>IFERROR(INDEX('M04-S06'!$AY$18:$AY$199,2*(ROWS(AO$230:AO240)-1)+1),"")</f>
        <v>0</v>
      </c>
      <c r="AP240">
        <f>IFERROR(INDEX('M04-S06'!$AZ$18:$AZ$199,2*(ROWS(AP$230:AP240)-1)+1),"")</f>
        <v>0</v>
      </c>
      <c r="AQ240">
        <f>IFERROR(INDEX('M04-S06'!$BE$18:$BE$199,2*(ROWS(AQ$230:AQ240)-1)+1),"")</f>
        <v>0</v>
      </c>
      <c r="AR240" t="s">
        <v>1254</v>
      </c>
      <c r="AS240"/>
      <c r="BL240"/>
      <c r="BP240"/>
      <c r="BQ240"/>
      <c r="BR240"/>
      <c r="CD240"/>
      <c r="CE240"/>
      <c r="CF240"/>
      <c r="CQ240"/>
      <c r="CR240"/>
      <c r="CS240"/>
      <c r="DS240"/>
      <c r="DT240"/>
      <c r="DU240"/>
    </row>
    <row r="241" spans="1:125" hidden="1">
      <c r="A241" s="15">
        <f t="shared" si="24"/>
        <v>0</v>
      </c>
      <c r="B241" t="str">
        <f t="shared" si="25"/>
        <v/>
      </c>
      <c r="C241" t="str">
        <f>IFERROR(IF(INDEX('M04-S06'!$BL$18:$BL$199,2*(ROWS($C$230:C241)-1)+1)="","",INDEX('M04-S06'!$BL$18:$BL$199,2*(ROWS($C$230:C241)-1)+1)),"")</f>
        <v/>
      </c>
      <c r="D241" t="s">
        <v>135</v>
      </c>
      <c r="E241">
        <f>IFERROR(INDEX('M04-S06'!$BF$18:$BF$199,2*(ROWS(E$230:E241)-1)+1),"")</f>
        <v>0</v>
      </c>
      <c r="F241" s="210"/>
      <c r="G241" s="194"/>
      <c r="H241" s="14" t="str">
        <f>IFERROR(ROUND(IF(AC241&lt;&gt;"","",INDEX('M04-S06'!$AH$18:$AH$199,2*(ROWS(H$230:H241)-1)+1)),2),"")</f>
        <v/>
      </c>
      <c r="I241" s="14" t="str">
        <f>IFERROR(ROUND(IF(AC241&lt;&gt;"","",INDEX('M04-S06'!$AJ$18:$AJ$199,2*(ROWS(I$230:I241)-1)+1)),2),"")</f>
        <v/>
      </c>
      <c r="J241" s="14" t="str">
        <f>IFERROR(ROUND(IF(AC241&lt;&gt;"","",INDEX('M04-S06'!$AL$18:$AL$199,2*(ROWS(J$230:J241)-1)+1)),2),"")</f>
        <v/>
      </c>
      <c r="K241" t="str">
        <f>IFERROR(IF(AC241&lt;&gt;"","",INDEX('M04-S06'!$AF$38:$AF$199,2*(ROWS(J$230:J241)-1)+1)),"")</f>
        <v/>
      </c>
      <c r="L241" s="10" t="str">
        <f>IFERROR(IF(AC241&lt;&gt;"","",ROUND(INDEX('M04-S06'!$BA$18:$BA$199,2*(ROWS(L$230:L241)-1)+1),3)),"")</f>
        <v/>
      </c>
      <c r="M241" s="10" t="str">
        <f>IFERROR(IF(AC241&lt;&gt;"","",ROUND(INDEX('M04-S06'!$BB$18:$BB$199,2*(ROWS(M$230:M241)-1)+1),3)),"")</f>
        <v/>
      </c>
      <c r="N241" s="219"/>
      <c r="O241" s="37" t="str">
        <f>IFERROR(IF(AC241&lt;&gt;"","",INDEX('M04-S06'!$AO$18:$AO$199,2*(ROWS(O$230:O241)-1)+1)),"")</f>
        <v/>
      </c>
      <c r="P241" s="37" t="str">
        <f>IFERROR(IF(AC241&lt;&gt;"","",INDEX('M04-S06'!$BH$18:$BH$199,2*(ROWS(P$230:P241)-1)+1)),"")</f>
        <v/>
      </c>
      <c r="Q241" s="37" t="str">
        <f>IFERROR(IF(AC241&lt;&gt;"","",INDEX('M04-S06'!$BG$18:$BG$199,2*(ROWS(Q$230:Q241)-1)+1)),"")</f>
        <v/>
      </c>
      <c r="R241" s="14" t="str">
        <f>IFERROR(IF(AC241&lt;&gt;"","",INDEX('M04-S06'!$AR$18:$AR$199,2*(ROWS(R$230:R241)-1)+1)),"")</f>
        <v/>
      </c>
      <c r="S241" s="14">
        <f>IFERROR(ROUND(IF(AC241&lt;&gt;"",INDEX('M04-S06'!$AH$18:$AH$199,2*(ROWS(S$230:S241)-1)+1),""),2),"")</f>
        <v>0</v>
      </c>
      <c r="T241" s="14">
        <f>IFERROR(ROUND(IF(AC241&lt;&gt;"",INDEX('M04-S06'!$AJ$18:$AJ$199,2*(ROWS(T$230:T241)-1)+1),""),2),"")</f>
        <v>0</v>
      </c>
      <c r="U241" s="14">
        <f>IFERROR(ROUND(IF(AC241&lt;&gt;"",INDEX('M04-S06'!$AL$18:$AL$199,2*(ROWS(U$230:U241)-1)+1),""),2),"")</f>
        <v>0</v>
      </c>
      <c r="V241">
        <f>IFERROR(IF(AC241&lt;&gt;"",INDEX('M04-S06'!$AF$38:$AF$199,2*(ROWS(V$230:V241)-1)+1),""),"")</f>
        <v>0</v>
      </c>
      <c r="W241" s="10">
        <f>IFERROR(IF(AC241&lt;&gt;"",ROUND(INDEX('M04-S06'!$BA$18:$BA$199,2*(ROWS(W$230:W241)-1)+1),3),""),"")</f>
        <v>0</v>
      </c>
      <c r="X241" s="10">
        <f>IFERROR(IF(AC241&lt;&gt;"",ROUND(INDEX('M04-S06'!$BB$18:$BB$199,2*(ROWS(X$230:X241)-1)+1),3),""),"")</f>
        <v>0</v>
      </c>
      <c r="Y241" s="210"/>
      <c r="Z241" s="31">
        <f>IFERROR(IF(AC241&lt;&gt;"",INDEX('M04-S06'!$AO$18:$AO$199,2*(ROWS(Z$230:Z241)-1)+1),""),"")</f>
        <v>0</v>
      </c>
      <c r="AA241" s="37">
        <f>IFERROR(IF(AC241&lt;&gt;"",INDEX('M04-S06'!$BH$18:$BH$199,2*(ROWS(AA$230:AA241)-1)+1),""),"")</f>
        <v>0</v>
      </c>
      <c r="AB241" s="37">
        <f>IFERROR(IF(AC241&lt;&gt;"",INDEX('M04-S06'!$BG$18:$BG$199,2*(ROWS(AB$230:AB241)-1)+1),""),"")</f>
        <v>0</v>
      </c>
      <c r="AC241">
        <f>IFERROR(INDEX('M04-S06'!$BN$18:$BN$199,2*(ROWS(AC$230:AC241)-1)+1),"")</f>
        <v>0</v>
      </c>
      <c r="AD241" s="37" cm="1">
        <f t="array" ref="AD241">IFERROR(INDEX('M04-S06'!$BC$18:$BC$199,2*(ROWS(AD$230:AD241)-1)+1),"")</f>
        <v>0</v>
      </c>
      <c r="AE241" s="37" cm="1">
        <f t="array" ref="AE241">IFERROR(INDEX('M04-S06'!$BD$18:$BD$199,2*(ROWS(AE$230:AE241)-1)+1),"")</f>
        <v>0</v>
      </c>
      <c r="AF241" s="210"/>
      <c r="AG241" s="210"/>
      <c r="AH241" s="210"/>
      <c r="AI241">
        <f>IFERROR(INDEX('M04-S06'!$B$18:$B$199,2*(ROWS(AI$230:AI241)-1)+1),"")</f>
        <v>0</v>
      </c>
      <c r="AJ241" s="194"/>
      <c r="AK241">
        <f>IFERROR(INDEX('M04-S06'!$H$18:$H$199,2*(ROWS(AK$230:AK241)-1)+1),"")</f>
        <v>0</v>
      </c>
      <c r="AL241">
        <f>IFERROR(INDEX('M04-S06'!$N$18:$N$199,2*(ROWS(AL$230:AL241)-1)+1),"")</f>
        <v>0</v>
      </c>
      <c r="AM241">
        <f>IFERROR(INDEX('M04-S06'!$W$18:$W$199,2*(ROWS(AM$230:AM241)-1)+1),"")</f>
        <v>0</v>
      </c>
      <c r="AN241" s="14">
        <f>IFERROR(INDEX('M04-S06'!$AX$18:$AX$199,2*(ROWS(AN$230:AN241)-1)+1),"")</f>
        <v>0</v>
      </c>
      <c r="AO241" s="14">
        <f>IFERROR(INDEX('M04-S06'!$AY$18:$AY$199,2*(ROWS(AO$230:AO241)-1)+1),"")</f>
        <v>0</v>
      </c>
      <c r="AP241">
        <f>IFERROR(INDEX('M04-S06'!$AZ$18:$AZ$199,2*(ROWS(AP$230:AP241)-1)+1),"")</f>
        <v>0</v>
      </c>
      <c r="AQ241">
        <f>IFERROR(INDEX('M04-S06'!$BE$18:$BE$199,2*(ROWS(AQ$230:AQ241)-1)+1),"")</f>
        <v>0</v>
      </c>
      <c r="AR241" t="s">
        <v>1254</v>
      </c>
      <c r="AS241"/>
      <c r="BL241"/>
      <c r="BP241"/>
      <c r="BQ241"/>
      <c r="BR241"/>
      <c r="CD241"/>
      <c r="CE241"/>
      <c r="CF241"/>
      <c r="CQ241"/>
      <c r="CR241"/>
      <c r="CS241"/>
      <c r="DS241"/>
      <c r="DT241"/>
      <c r="DU241"/>
    </row>
    <row r="242" spans="1:125" hidden="1">
      <c r="A242" s="15">
        <f t="shared" si="24"/>
        <v>0</v>
      </c>
      <c r="B242" t="str">
        <f t="shared" si="25"/>
        <v/>
      </c>
      <c r="C242" t="str">
        <f>IFERROR(IF(INDEX('M04-S06'!$BL$18:$BL$199,2*(ROWS($C$230:C242)-1)+1)="","",INDEX('M04-S06'!$BL$18:$BL$199,2*(ROWS($C$230:C242)-1)+1)),"")</f>
        <v/>
      </c>
      <c r="D242" t="s">
        <v>135</v>
      </c>
      <c r="E242">
        <f>IFERROR(INDEX('M04-S06'!$BF$18:$BF$199,2*(ROWS(E$230:E242)-1)+1),"")</f>
        <v>0</v>
      </c>
      <c r="F242" s="210"/>
      <c r="G242" s="194"/>
      <c r="H242" s="14" t="str">
        <f>IFERROR(ROUND(IF(AC242&lt;&gt;"","",INDEX('M04-S06'!$AH$18:$AH$199,2*(ROWS(H$230:H242)-1)+1)),2),"")</f>
        <v/>
      </c>
      <c r="I242" s="14" t="str">
        <f>IFERROR(ROUND(IF(AC242&lt;&gt;"","",INDEX('M04-S06'!$AJ$18:$AJ$199,2*(ROWS(I$230:I242)-1)+1)),2),"")</f>
        <v/>
      </c>
      <c r="J242" s="14" t="str">
        <f>IFERROR(ROUND(IF(AC242&lt;&gt;"","",INDEX('M04-S06'!$AL$18:$AL$199,2*(ROWS(J$230:J242)-1)+1)),2),"")</f>
        <v/>
      </c>
      <c r="K242" t="str">
        <f>IFERROR(IF(AC242&lt;&gt;"","",INDEX('M04-S06'!$AF$38:$AF$199,2*(ROWS(J$230:J242)-1)+1)),"")</f>
        <v/>
      </c>
      <c r="L242" s="10" t="str">
        <f>IFERROR(IF(AC242&lt;&gt;"","",ROUND(INDEX('M04-S06'!$BA$18:$BA$199,2*(ROWS(L$230:L242)-1)+1),3)),"")</f>
        <v/>
      </c>
      <c r="M242" s="10" t="str">
        <f>IFERROR(IF(AC242&lt;&gt;"","",ROUND(INDEX('M04-S06'!$BB$18:$BB$199,2*(ROWS(M$230:M242)-1)+1),3)),"")</f>
        <v/>
      </c>
      <c r="N242" s="219"/>
      <c r="O242" s="37" t="str">
        <f>IFERROR(IF(AC242&lt;&gt;"","",INDEX('M04-S06'!$AO$18:$AO$199,2*(ROWS(O$230:O242)-1)+1)),"")</f>
        <v/>
      </c>
      <c r="P242" s="37" t="str">
        <f>IFERROR(IF(AC242&lt;&gt;"","",INDEX('M04-S06'!$BH$18:$BH$199,2*(ROWS(P$230:P242)-1)+1)),"")</f>
        <v/>
      </c>
      <c r="Q242" s="37" t="str">
        <f>IFERROR(IF(AC242&lt;&gt;"","",INDEX('M04-S06'!$BG$18:$BG$199,2*(ROWS(Q$230:Q242)-1)+1)),"")</f>
        <v/>
      </c>
      <c r="R242" s="14" t="str">
        <f>IFERROR(IF(AC242&lt;&gt;"","",INDEX('M04-S06'!$AR$18:$AR$199,2*(ROWS(R$230:R242)-1)+1)),"")</f>
        <v/>
      </c>
      <c r="S242" s="14">
        <f>IFERROR(ROUND(IF(AC242&lt;&gt;"",INDEX('M04-S06'!$AH$18:$AH$199,2*(ROWS(S$230:S242)-1)+1),""),2),"")</f>
        <v>0</v>
      </c>
      <c r="T242" s="14">
        <f>IFERROR(ROUND(IF(AC242&lt;&gt;"",INDEX('M04-S06'!$AJ$18:$AJ$199,2*(ROWS(T$230:T242)-1)+1),""),2),"")</f>
        <v>0</v>
      </c>
      <c r="U242" s="14">
        <f>IFERROR(ROUND(IF(AC242&lt;&gt;"",INDEX('M04-S06'!$AL$18:$AL$199,2*(ROWS(U$230:U242)-1)+1),""),2),"")</f>
        <v>0</v>
      </c>
      <c r="V242">
        <f>IFERROR(IF(AC242&lt;&gt;"",INDEX('M04-S06'!$AF$38:$AF$199,2*(ROWS(V$230:V242)-1)+1),""),"")</f>
        <v>0</v>
      </c>
      <c r="W242" s="10">
        <f>IFERROR(IF(AC242&lt;&gt;"",ROUND(INDEX('M04-S06'!$BA$18:$BA$199,2*(ROWS(W$230:W242)-1)+1),3),""),"")</f>
        <v>0</v>
      </c>
      <c r="X242" s="10">
        <f>IFERROR(IF(AC242&lt;&gt;"",ROUND(INDEX('M04-S06'!$BB$18:$BB$199,2*(ROWS(X$230:X242)-1)+1),3),""),"")</f>
        <v>0</v>
      </c>
      <c r="Y242" s="210"/>
      <c r="Z242" s="31">
        <f>IFERROR(IF(AC242&lt;&gt;"",INDEX('M04-S06'!$AO$18:$AO$199,2*(ROWS(Z$230:Z242)-1)+1),""),"")</f>
        <v>0</v>
      </c>
      <c r="AA242" s="37">
        <f>IFERROR(IF(AC242&lt;&gt;"",INDEX('M04-S06'!$BH$18:$BH$199,2*(ROWS(AA$230:AA242)-1)+1),""),"")</f>
        <v>0</v>
      </c>
      <c r="AB242" s="37">
        <f>IFERROR(IF(AC242&lt;&gt;"",INDEX('M04-S06'!$BG$18:$BG$199,2*(ROWS(AB$230:AB242)-1)+1),""),"")</f>
        <v>0</v>
      </c>
      <c r="AC242">
        <f>IFERROR(INDEX('M04-S06'!$BN$18:$BN$199,2*(ROWS(AC$230:AC242)-1)+1),"")</f>
        <v>0</v>
      </c>
      <c r="AD242" s="37" cm="1">
        <f t="array" ref="AD242">IFERROR(INDEX('M04-S06'!$BC$18:$BC$199,2*(ROWS(AD$230:AD242)-1)+1),"")</f>
        <v>0</v>
      </c>
      <c r="AE242" s="37" cm="1">
        <f t="array" ref="AE242">IFERROR(INDEX('M04-S06'!$BD$18:$BD$199,2*(ROWS(AE$230:AE242)-1)+1),"")</f>
        <v>0</v>
      </c>
      <c r="AF242" s="210"/>
      <c r="AG242" s="210"/>
      <c r="AH242" s="210"/>
      <c r="AI242">
        <f>IFERROR(INDEX('M04-S06'!$B$18:$B$199,2*(ROWS(AI$230:AI242)-1)+1),"")</f>
        <v>0</v>
      </c>
      <c r="AJ242" s="194"/>
      <c r="AK242">
        <f>IFERROR(INDEX('M04-S06'!$H$18:$H$199,2*(ROWS(AK$230:AK242)-1)+1),"")</f>
        <v>0</v>
      </c>
      <c r="AL242">
        <f>IFERROR(INDEX('M04-S06'!$N$18:$N$199,2*(ROWS(AL$230:AL242)-1)+1),"")</f>
        <v>0</v>
      </c>
      <c r="AM242">
        <f>IFERROR(INDEX('M04-S06'!$W$18:$W$199,2*(ROWS(AM$230:AM242)-1)+1),"")</f>
        <v>0</v>
      </c>
      <c r="AN242" s="14">
        <f>IFERROR(INDEX('M04-S06'!$AX$18:$AX$199,2*(ROWS(AN$230:AN242)-1)+1),"")</f>
        <v>0</v>
      </c>
      <c r="AO242" s="14">
        <f>IFERROR(INDEX('M04-S06'!$AY$18:$AY$199,2*(ROWS(AO$230:AO242)-1)+1),"")</f>
        <v>0</v>
      </c>
      <c r="AP242">
        <f>IFERROR(INDEX('M04-S06'!$AZ$18:$AZ$199,2*(ROWS(AP$230:AP242)-1)+1),"")</f>
        <v>0</v>
      </c>
      <c r="AQ242">
        <f>IFERROR(INDEX('M04-S06'!$BE$18:$BE$199,2*(ROWS(AQ$230:AQ242)-1)+1),"")</f>
        <v>0</v>
      </c>
      <c r="AR242" t="s">
        <v>1254</v>
      </c>
      <c r="AS242"/>
      <c r="BL242"/>
      <c r="BP242"/>
      <c r="BQ242"/>
      <c r="BR242"/>
      <c r="CD242"/>
      <c r="CE242"/>
      <c r="CF242"/>
      <c r="CQ242"/>
      <c r="CR242"/>
      <c r="CS242"/>
      <c r="DS242"/>
      <c r="DT242"/>
      <c r="DU242"/>
    </row>
    <row r="243" spans="1:125" hidden="1">
      <c r="A243" s="15">
        <f t="shared" si="24"/>
        <v>0</v>
      </c>
      <c r="B243" t="str">
        <f t="shared" si="25"/>
        <v/>
      </c>
      <c r="C243" t="str">
        <f>IFERROR(IF(INDEX('M04-S06'!$BL$18:$BL$199,2*(ROWS($C$230:C243)-1)+1)="","",INDEX('M04-S06'!$BL$18:$BL$199,2*(ROWS($C$230:C243)-1)+1)),"")</f>
        <v/>
      </c>
      <c r="D243" t="s">
        <v>135</v>
      </c>
      <c r="E243">
        <f>IFERROR(INDEX('M04-S06'!$BF$18:$BF$199,2*(ROWS(E$230:E243)-1)+1),"")</f>
        <v>0</v>
      </c>
      <c r="F243" s="210"/>
      <c r="G243" s="194"/>
      <c r="H243" s="14" t="str">
        <f>IFERROR(ROUND(IF(AC243&lt;&gt;"","",INDEX('M04-S06'!$AH$18:$AH$199,2*(ROWS(H$230:H243)-1)+1)),2),"")</f>
        <v/>
      </c>
      <c r="I243" s="14" t="str">
        <f>IFERROR(ROUND(IF(AC243&lt;&gt;"","",INDEX('M04-S06'!$AJ$18:$AJ$199,2*(ROWS(I$230:I243)-1)+1)),2),"")</f>
        <v/>
      </c>
      <c r="J243" s="14" t="str">
        <f>IFERROR(ROUND(IF(AC243&lt;&gt;"","",INDEX('M04-S06'!$AL$18:$AL$199,2*(ROWS(J$230:J243)-1)+1)),2),"")</f>
        <v/>
      </c>
      <c r="K243" t="str">
        <f>IFERROR(IF(AC243&lt;&gt;"","",INDEX('M04-S06'!$AF$38:$AF$199,2*(ROWS(J$230:J243)-1)+1)),"")</f>
        <v/>
      </c>
      <c r="L243" s="10" t="str">
        <f>IFERROR(IF(AC243&lt;&gt;"","",ROUND(INDEX('M04-S06'!$BA$18:$BA$199,2*(ROWS(L$230:L243)-1)+1),3)),"")</f>
        <v/>
      </c>
      <c r="M243" s="10" t="str">
        <f>IFERROR(IF(AC243&lt;&gt;"","",ROUND(INDEX('M04-S06'!$BB$18:$BB$199,2*(ROWS(M$230:M243)-1)+1),3)),"")</f>
        <v/>
      </c>
      <c r="N243" s="219"/>
      <c r="O243" s="37" t="str">
        <f>IFERROR(IF(AC243&lt;&gt;"","",INDEX('M04-S06'!$AO$18:$AO$199,2*(ROWS(O$230:O243)-1)+1)),"")</f>
        <v/>
      </c>
      <c r="P243" s="37" t="str">
        <f>IFERROR(IF(AC243&lt;&gt;"","",INDEX('M04-S06'!$BH$18:$BH$199,2*(ROWS(P$230:P243)-1)+1)),"")</f>
        <v/>
      </c>
      <c r="Q243" s="37" t="str">
        <f>IFERROR(IF(AC243&lt;&gt;"","",INDEX('M04-S06'!$BG$18:$BG$199,2*(ROWS(Q$230:Q243)-1)+1)),"")</f>
        <v/>
      </c>
      <c r="R243" s="14" t="str">
        <f>IFERROR(IF(AC243&lt;&gt;"","",INDEX('M04-S06'!$AR$18:$AR$199,2*(ROWS(R$230:R243)-1)+1)),"")</f>
        <v/>
      </c>
      <c r="S243" s="14">
        <f>IFERROR(ROUND(IF(AC243&lt;&gt;"",INDEX('M04-S06'!$AH$18:$AH$199,2*(ROWS(S$230:S243)-1)+1),""),2),"")</f>
        <v>0</v>
      </c>
      <c r="T243" s="14">
        <f>IFERROR(ROUND(IF(AC243&lt;&gt;"",INDEX('M04-S06'!$AJ$18:$AJ$199,2*(ROWS(T$230:T243)-1)+1),""),2),"")</f>
        <v>0</v>
      </c>
      <c r="U243" s="14">
        <f>IFERROR(ROUND(IF(AC243&lt;&gt;"",INDEX('M04-S06'!$AL$18:$AL$199,2*(ROWS(U$230:U243)-1)+1),""),2),"")</f>
        <v>0</v>
      </c>
      <c r="V243">
        <f>IFERROR(IF(AC243&lt;&gt;"",INDEX('M04-S06'!$AF$38:$AF$199,2*(ROWS(V$230:V243)-1)+1),""),"")</f>
        <v>0</v>
      </c>
      <c r="W243" s="10">
        <f>IFERROR(IF(AC243&lt;&gt;"",ROUND(INDEX('M04-S06'!$BA$18:$BA$199,2*(ROWS(W$230:W243)-1)+1),3),""),"")</f>
        <v>0</v>
      </c>
      <c r="X243" s="10">
        <f>IFERROR(IF(AC243&lt;&gt;"",ROUND(INDEX('M04-S06'!$BB$18:$BB$199,2*(ROWS(X$230:X243)-1)+1),3),""),"")</f>
        <v>0</v>
      </c>
      <c r="Y243" s="210"/>
      <c r="Z243" s="31">
        <f>IFERROR(IF(AC243&lt;&gt;"",INDEX('M04-S06'!$AO$18:$AO$199,2*(ROWS(Z$230:Z243)-1)+1),""),"")</f>
        <v>0</v>
      </c>
      <c r="AA243" s="37">
        <f>IFERROR(IF(AC243&lt;&gt;"",INDEX('M04-S06'!$BH$18:$BH$199,2*(ROWS(AA$230:AA243)-1)+1),""),"")</f>
        <v>0</v>
      </c>
      <c r="AB243" s="37">
        <f>IFERROR(IF(AC243&lt;&gt;"",INDEX('M04-S06'!$BG$18:$BG$199,2*(ROWS(AB$230:AB243)-1)+1),""),"")</f>
        <v>0</v>
      </c>
      <c r="AC243">
        <f>IFERROR(INDEX('M04-S06'!$BN$18:$BN$199,2*(ROWS(AC$230:AC243)-1)+1),"")</f>
        <v>0</v>
      </c>
      <c r="AD243" s="37" cm="1">
        <f t="array" ref="AD243">IFERROR(INDEX('M04-S06'!$BC$18:$BC$199,2*(ROWS(AD$230:AD243)-1)+1),"")</f>
        <v>0</v>
      </c>
      <c r="AE243" s="37" cm="1">
        <f t="array" ref="AE243">IFERROR(INDEX('M04-S06'!$BD$18:$BD$199,2*(ROWS(AE$230:AE243)-1)+1),"")</f>
        <v>0</v>
      </c>
      <c r="AF243" s="210"/>
      <c r="AG243" s="210"/>
      <c r="AH243" s="210"/>
      <c r="AI243">
        <f>IFERROR(INDEX('M04-S06'!$B$18:$B$199,2*(ROWS(AI$230:AI243)-1)+1),"")</f>
        <v>0</v>
      </c>
      <c r="AJ243" s="194"/>
      <c r="AK243">
        <f>IFERROR(INDEX('M04-S06'!$H$18:$H$199,2*(ROWS(AK$230:AK243)-1)+1),"")</f>
        <v>0</v>
      </c>
      <c r="AL243">
        <f>IFERROR(INDEX('M04-S06'!$N$18:$N$199,2*(ROWS(AL$230:AL243)-1)+1),"")</f>
        <v>0</v>
      </c>
      <c r="AM243">
        <f>IFERROR(INDEX('M04-S06'!$W$18:$W$199,2*(ROWS(AM$230:AM243)-1)+1),"")</f>
        <v>0</v>
      </c>
      <c r="AN243" s="14">
        <f>IFERROR(INDEX('M04-S06'!$AX$18:$AX$199,2*(ROWS(AN$230:AN243)-1)+1),"")</f>
        <v>0</v>
      </c>
      <c r="AO243" s="14">
        <f>IFERROR(INDEX('M04-S06'!$AY$18:$AY$199,2*(ROWS(AO$230:AO243)-1)+1),"")</f>
        <v>0</v>
      </c>
      <c r="AP243">
        <f>IFERROR(INDEX('M04-S06'!$AZ$18:$AZ$199,2*(ROWS(AP$230:AP243)-1)+1),"")</f>
        <v>0</v>
      </c>
      <c r="AQ243">
        <f>IFERROR(INDEX('M04-S06'!$BE$18:$BE$199,2*(ROWS(AQ$230:AQ243)-1)+1),"")</f>
        <v>0</v>
      </c>
      <c r="AR243" t="s">
        <v>1254</v>
      </c>
      <c r="AS243"/>
      <c r="BL243"/>
      <c r="BP243"/>
      <c r="BQ243"/>
      <c r="BR243"/>
      <c r="CD243"/>
      <c r="CE243"/>
      <c r="CF243"/>
      <c r="CQ243"/>
      <c r="CR243"/>
      <c r="CS243"/>
      <c r="DS243"/>
      <c r="DT243"/>
      <c r="DU243"/>
    </row>
    <row r="244" spans="1:125" hidden="1">
      <c r="A244" s="15">
        <f t="shared" si="24"/>
        <v>0</v>
      </c>
      <c r="B244" t="str">
        <f t="shared" si="25"/>
        <v/>
      </c>
      <c r="C244" t="str">
        <f>IFERROR(IF(INDEX('M04-S06'!$BL$18:$BL$199,2*(ROWS($C$230:C244)-1)+1)="","",INDEX('M04-S06'!$BL$18:$BL$199,2*(ROWS($C$230:C244)-1)+1)),"")</f>
        <v/>
      </c>
      <c r="D244" t="s">
        <v>135</v>
      </c>
      <c r="E244">
        <f>IFERROR(INDEX('M04-S06'!$BF$18:$BF$199,2*(ROWS(E$230:E244)-1)+1),"")</f>
        <v>0</v>
      </c>
      <c r="F244" s="210"/>
      <c r="G244" s="194"/>
      <c r="H244" s="14" t="str">
        <f>IFERROR(ROUND(IF(AC244&lt;&gt;"","",INDEX('M04-S06'!$AH$18:$AH$199,2*(ROWS(H$230:H244)-1)+1)),2),"")</f>
        <v/>
      </c>
      <c r="I244" s="14" t="str">
        <f>IFERROR(ROUND(IF(AC244&lt;&gt;"","",INDEX('M04-S06'!$AJ$18:$AJ$199,2*(ROWS(I$230:I244)-1)+1)),2),"")</f>
        <v/>
      </c>
      <c r="J244" s="14" t="str">
        <f>IFERROR(ROUND(IF(AC244&lt;&gt;"","",INDEX('M04-S06'!$AL$18:$AL$199,2*(ROWS(J$230:J244)-1)+1)),2),"")</f>
        <v/>
      </c>
      <c r="K244" t="str">
        <f>IFERROR(IF(AC244&lt;&gt;"","",INDEX('M04-S06'!$AF$38:$AF$199,2*(ROWS(J$230:J244)-1)+1)),"")</f>
        <v/>
      </c>
      <c r="L244" s="10" t="str">
        <f>IFERROR(IF(AC244&lt;&gt;"","",ROUND(INDEX('M04-S06'!$BA$18:$BA$199,2*(ROWS(L$230:L244)-1)+1),3)),"")</f>
        <v/>
      </c>
      <c r="M244" s="10" t="str">
        <f>IFERROR(IF(AC244&lt;&gt;"","",ROUND(INDEX('M04-S06'!$BB$18:$BB$199,2*(ROWS(M$230:M244)-1)+1),3)),"")</f>
        <v/>
      </c>
      <c r="N244" s="219"/>
      <c r="O244" s="37" t="str">
        <f>IFERROR(IF(AC244&lt;&gt;"","",INDEX('M04-S06'!$AO$18:$AO$199,2*(ROWS(O$230:O244)-1)+1)),"")</f>
        <v/>
      </c>
      <c r="P244" s="37" t="str">
        <f>IFERROR(IF(AC244&lt;&gt;"","",INDEX('M04-S06'!$BH$18:$BH$199,2*(ROWS(P$230:P244)-1)+1)),"")</f>
        <v/>
      </c>
      <c r="Q244" s="37" t="str">
        <f>IFERROR(IF(AC244&lt;&gt;"","",INDEX('M04-S06'!$BG$18:$BG$199,2*(ROWS(Q$230:Q244)-1)+1)),"")</f>
        <v/>
      </c>
      <c r="R244" s="14" t="str">
        <f>IFERROR(IF(AC244&lt;&gt;"","",INDEX('M04-S06'!$AR$18:$AR$199,2*(ROWS(R$230:R244)-1)+1)),"")</f>
        <v/>
      </c>
      <c r="S244" s="14">
        <f>IFERROR(ROUND(IF(AC244&lt;&gt;"",INDEX('M04-S06'!$AH$18:$AH$199,2*(ROWS(S$230:S244)-1)+1),""),2),"")</f>
        <v>0</v>
      </c>
      <c r="T244" s="14">
        <f>IFERROR(ROUND(IF(AC244&lt;&gt;"",INDEX('M04-S06'!$AJ$18:$AJ$199,2*(ROWS(T$230:T244)-1)+1),""),2),"")</f>
        <v>0</v>
      </c>
      <c r="U244" s="14">
        <f>IFERROR(ROUND(IF(AC244&lt;&gt;"",INDEX('M04-S06'!$AL$18:$AL$199,2*(ROWS(U$230:U244)-1)+1),""),2),"")</f>
        <v>0</v>
      </c>
      <c r="V244">
        <f>IFERROR(IF(AC244&lt;&gt;"",INDEX('M04-S06'!$AF$38:$AF$199,2*(ROWS(V$230:V244)-1)+1),""),"")</f>
        <v>0</v>
      </c>
      <c r="W244" s="10">
        <f>IFERROR(IF(AC244&lt;&gt;"",ROUND(INDEX('M04-S06'!$BA$18:$BA$199,2*(ROWS(W$230:W244)-1)+1),3),""),"")</f>
        <v>0</v>
      </c>
      <c r="X244" s="10">
        <f>IFERROR(IF(AC244&lt;&gt;"",ROUND(INDEX('M04-S06'!$BB$18:$BB$199,2*(ROWS(X$230:X244)-1)+1),3),""),"")</f>
        <v>0</v>
      </c>
      <c r="Y244" s="210"/>
      <c r="Z244" s="31">
        <f>IFERROR(IF(AC244&lt;&gt;"",INDEX('M04-S06'!$AO$18:$AO$199,2*(ROWS(Z$230:Z244)-1)+1),""),"")</f>
        <v>0</v>
      </c>
      <c r="AA244" s="37">
        <f>IFERROR(IF(AC244&lt;&gt;"",INDEX('M04-S06'!$BH$18:$BH$199,2*(ROWS(AA$230:AA244)-1)+1),""),"")</f>
        <v>0</v>
      </c>
      <c r="AB244" s="37">
        <f>IFERROR(IF(AC244&lt;&gt;"",INDEX('M04-S06'!$BG$18:$BG$199,2*(ROWS(AB$230:AB244)-1)+1),""),"")</f>
        <v>0</v>
      </c>
      <c r="AC244">
        <f>IFERROR(INDEX('M04-S06'!$BN$18:$BN$199,2*(ROWS(AC$230:AC244)-1)+1),"")</f>
        <v>0</v>
      </c>
      <c r="AD244" s="37" cm="1">
        <f t="array" ref="AD244">IFERROR(INDEX('M04-S06'!$BC$18:$BC$199,2*(ROWS(AD$230:AD244)-1)+1),"")</f>
        <v>0</v>
      </c>
      <c r="AE244" s="37" cm="1">
        <f t="array" ref="AE244">IFERROR(INDEX('M04-S06'!$BD$18:$BD$199,2*(ROWS(AE$230:AE244)-1)+1),"")</f>
        <v>0</v>
      </c>
      <c r="AF244" s="210"/>
      <c r="AG244" s="210"/>
      <c r="AH244" s="210"/>
      <c r="AI244">
        <f>IFERROR(INDEX('M04-S06'!$B$18:$B$199,2*(ROWS(AI$230:AI244)-1)+1),"")</f>
        <v>0</v>
      </c>
      <c r="AJ244" s="194"/>
      <c r="AK244">
        <f>IFERROR(INDEX('M04-S06'!$H$18:$H$199,2*(ROWS(AK$230:AK244)-1)+1),"")</f>
        <v>0</v>
      </c>
      <c r="AL244">
        <f>IFERROR(INDEX('M04-S06'!$N$18:$N$199,2*(ROWS(AL$230:AL244)-1)+1),"")</f>
        <v>0</v>
      </c>
      <c r="AM244">
        <f>IFERROR(INDEX('M04-S06'!$W$18:$W$199,2*(ROWS(AM$230:AM244)-1)+1),"")</f>
        <v>0</v>
      </c>
      <c r="AN244" s="14">
        <f>IFERROR(INDEX('M04-S06'!$AX$18:$AX$199,2*(ROWS(AN$230:AN244)-1)+1),"")</f>
        <v>0</v>
      </c>
      <c r="AO244" s="14">
        <f>IFERROR(INDEX('M04-S06'!$AY$18:$AY$199,2*(ROWS(AO$230:AO244)-1)+1),"")</f>
        <v>0</v>
      </c>
      <c r="AP244">
        <f>IFERROR(INDEX('M04-S06'!$AZ$18:$AZ$199,2*(ROWS(AP$230:AP244)-1)+1),"")</f>
        <v>0</v>
      </c>
      <c r="AQ244">
        <f>IFERROR(INDEX('M04-S06'!$BE$18:$BE$199,2*(ROWS(AQ$230:AQ244)-1)+1),"")</f>
        <v>0</v>
      </c>
      <c r="AR244" t="s">
        <v>1254</v>
      </c>
      <c r="AS244"/>
      <c r="BL244"/>
      <c r="BP244"/>
      <c r="BQ244"/>
      <c r="BR244"/>
      <c r="CD244"/>
      <c r="CE244"/>
      <c r="CF244"/>
      <c r="CQ244"/>
      <c r="CR244"/>
      <c r="CS244"/>
      <c r="DS244"/>
      <c r="DT244"/>
      <c r="DU244"/>
    </row>
    <row r="245" spans="1:125">
      <c r="A245" s="226" t="str">
        <f>"Custom "&amp;M4S7</f>
        <v>Custom Water Heating / Food Services</v>
      </c>
      <c r="B245" s="36"/>
      <c r="C245" s="36"/>
      <c r="D245" s="36"/>
      <c r="E245" s="36"/>
      <c r="F245" s="211"/>
      <c r="G245" s="36"/>
      <c r="H245" s="206"/>
      <c r="I245" s="206"/>
      <c r="J245" s="206"/>
      <c r="K245" s="36"/>
      <c r="L245" s="214"/>
      <c r="M245" s="214"/>
      <c r="N245" s="217"/>
      <c r="O245" s="217"/>
      <c r="P245" s="217"/>
      <c r="Q245" s="217"/>
      <c r="R245" s="206"/>
      <c r="S245" s="206"/>
      <c r="T245" s="206"/>
      <c r="U245" s="206"/>
      <c r="V245" s="36"/>
      <c r="W245" s="214"/>
      <c r="X245" s="214"/>
      <c r="Y245" s="211"/>
      <c r="Z245" s="211"/>
      <c r="AA245" s="217"/>
      <c r="AB245" s="217"/>
      <c r="AC245" s="36"/>
      <c r="AD245" s="217"/>
      <c r="AE245" s="217"/>
      <c r="AF245" s="211"/>
      <c r="AG245" s="211"/>
      <c r="AH245" s="211"/>
      <c r="AI245" s="36"/>
      <c r="AJ245" s="36"/>
      <c r="AK245" s="109"/>
      <c r="AL245" s="36"/>
      <c r="AM245" s="36"/>
      <c r="AN245" s="206"/>
      <c r="AO245" s="206"/>
      <c r="AP245" s="36"/>
      <c r="AQ245" s="36"/>
      <c r="AR245" s="36"/>
      <c r="AS245" s="36"/>
      <c r="AT245" s="36"/>
      <c r="BL245"/>
      <c r="BP245"/>
      <c r="BQ245"/>
      <c r="BR245"/>
      <c r="CD245"/>
      <c r="CE245"/>
      <c r="CF245"/>
      <c r="CQ245"/>
      <c r="CR245"/>
      <c r="CS245"/>
      <c r="DS245"/>
      <c r="DT245"/>
      <c r="DU245"/>
    </row>
    <row r="246" spans="1:125" hidden="1">
      <c r="A246" s="15">
        <f t="shared" ref="A246:A260" si="26">PROJID</f>
        <v>0</v>
      </c>
      <c r="B246" t="str">
        <f>IF(C246="","",CONCATENATE(ROW(),"-",C246))</f>
        <v/>
      </c>
      <c r="C246" t="str">
        <f>IFERROR(IF(INDEX('M04-S07'!$BL$18:$BL$199,2*(ROWS($C$246:C246)-1)+1)="","",INDEX('M04-S07'!$BL$18:$BL$199,2*(ROWS($C$246:C246)-1)+1)),"")</f>
        <v/>
      </c>
      <c r="D246" t="s">
        <v>135</v>
      </c>
      <c r="E246" t="str">
        <f>IFERROR(INDEX('M04-S07'!$BF$18:$BF$199,2*(ROWS(E$246:E246)-1)+1),"")</f>
        <v/>
      </c>
      <c r="F246" s="210"/>
      <c r="G246" s="194"/>
      <c r="H246" s="14" t="str">
        <f ca="1">IFERROR(ROUND(IF(AC246&lt;&gt;"","",INDEX('M04-S07'!$AH$18:$AH$199,2*(ROWS(H$246:H246)-1)+1)),2),"")</f>
        <v/>
      </c>
      <c r="I246" s="14" t="str">
        <f ca="1">IFERROR(ROUND(IF(AC246&lt;&gt;"","",INDEX('M04-S07'!$AJ$18:$AJ$199,2*(ROWS(I$246:I246)-1)+1)),2),"")</f>
        <v/>
      </c>
      <c r="J246" s="14" t="str">
        <f ca="1">IFERROR(ROUND(IF(AC246&lt;&gt;"","",INDEX('M04-S07'!$AL$18:$AL$199,2*(ROWS(J$246:J246)-1)+1)),2),"")</f>
        <v/>
      </c>
      <c r="K246" t="str">
        <f ca="1">IFERROR(IF(AC246&lt;&gt;"","",INDEX('M04-S07'!$AF$38:$AF$199,2*(ROWS(J$246:J246)-1)+1)),"")</f>
        <v/>
      </c>
      <c r="L246" s="10" t="str">
        <f ca="1">IFERROR(IF(AC246&lt;&gt;"","",ROUND(INDEX('M04-S07'!$BA$18:$BA$199,2*(ROWS(L$246:L246)-1)+1),3)),"")</f>
        <v/>
      </c>
      <c r="M246" s="10" t="str">
        <f ca="1">IFERROR(IF(AC246&lt;&gt;"","",ROUND(INDEX('M04-S07'!$BB$18:$BB$199,2*(ROWS(M$246:M246)-1)+1),3)),"")</f>
        <v/>
      </c>
      <c r="N246" s="219"/>
      <c r="O246" s="37" t="str">
        <f ca="1">IFERROR(IF(AC246&lt;&gt;"","",INDEX('M04-S07'!$AO$18:$AO$199,2*(ROWS(O$246:O246)-1)+1)),"")</f>
        <v/>
      </c>
      <c r="P246" s="37" t="str">
        <f ca="1">IFERROR(IF(AC246&lt;&gt;"","",INDEX('M04-S07'!$BH$18:$BH$199,2*(ROWS(P$246:P246)-1)+1)),"")</f>
        <v/>
      </c>
      <c r="Q246" s="37" t="str">
        <f ca="1">IFERROR(IF(AC246&lt;&gt;"","",INDEX('M04-S07'!$BG$18:$BG$199,2*(ROWS(Q$246:Q246)-1)+1)),"")</f>
        <v/>
      </c>
      <c r="R246" s="14" t="str">
        <f ca="1">IFERROR(IF(AC246&lt;&gt;"","",INDEX('M04-S07'!$AR$18:$AR$199,2*(ROWS(R$246:R246)-1)+1)),"")</f>
        <v/>
      </c>
      <c r="S246" s="14">
        <f ca="1">IFERROR(ROUND(IF(AC246&lt;&gt;"",INDEX('M04-S07'!$AH$18:$AH$199,2*(ROWS(S$246:S246)-1)+1),""),2),"")</f>
        <v>0</v>
      </c>
      <c r="T246" s="14" t="str">
        <f ca="1">IFERROR(ROUND(IF(AC246&lt;&gt;"",INDEX('M04-S07'!$AJ$18:$AJ$199,2*(ROWS(T$246:T246)-1)+1),""),2),"")</f>
        <v/>
      </c>
      <c r="U246" s="14" t="str">
        <f ca="1">IFERROR(ROUND(IF(AC246&lt;&gt;"",INDEX('M04-S07'!$AL$18:$AL$199,2*(ROWS(U$246:U246)-1)+1),""),2),"")</f>
        <v/>
      </c>
      <c r="V246">
        <f ca="1">IFERROR(IF(AC246&lt;&gt;"",INDEX('M04-S07'!$AF$38:$AF$199,2*(ROWS(V$246:V246)-1)+1),""),"")</f>
        <v>0</v>
      </c>
      <c r="W246" s="10" t="str">
        <f ca="1">IFERROR(IF(AC246&lt;&gt;"",ROUND(INDEX('M04-S07'!$BA$18:$BA$199,2*(ROWS(W$246:W246)-1)+1),3),""),"")</f>
        <v/>
      </c>
      <c r="X246" s="10" t="str">
        <f ca="1">IFERROR(IF(AC246&lt;&gt;"",ROUND(INDEX('M04-S07'!$BB$18:$BB$199,2*(ROWS(X$246:X246)-1)+1),3),""),"")</f>
        <v/>
      </c>
      <c r="Y246" s="210"/>
      <c r="Z246" s="31" t="str">
        <f ca="1">IFERROR(IF(AC246&lt;&gt;"",INDEX('M04-S07'!$AO$18:$AO$199,2*(ROWS(Z$246:Z246)-1)+1),""),"")</f>
        <v/>
      </c>
      <c r="AA246" s="37">
        <f ca="1">IFERROR(IF(AC246&lt;&gt;"",INDEX('M04-S07'!$BH$18:$BH$199,2*(ROWS(AA$246:AA246)-1)+1),""),"")</f>
        <v>0</v>
      </c>
      <c r="AB246" s="37" t="str">
        <f ca="1">IFERROR(IF(AC246&lt;&gt;"",INDEX('M04-S07'!$BG$18:$BG$199,2*(ROWS(AB$246:AB246)-1)+1),""),"")</f>
        <v/>
      </c>
      <c r="AC246" t="str">
        <f ca="1">IFERROR(INDEX('M04-S07'!$BN$18:$BN$199,2*(ROWS(AC$246:AC246)-1)+1),"")</f>
        <v>Submit for Review</v>
      </c>
      <c r="AD246" s="37" t="str" cm="1">
        <f t="array" ref="AD246">IFERROR(INDEX('M04-S07'!$BC$18:$BC$199,2*(ROWS(AD$246:AD246)-1)+1),"")</f>
        <v/>
      </c>
      <c r="AE246" s="37" t="str" cm="1">
        <f t="array" ref="AE246">IFERROR(INDEX('M04-S07'!$BD$18:$BD$199,2*(ROWS(AE$246:AE246)-1)+1),"")</f>
        <v/>
      </c>
      <c r="AF246" s="210"/>
      <c r="AG246" s="210"/>
      <c r="AH246" s="210"/>
      <c r="AI246">
        <f>IFERROR(INDEX('M04-S07'!$B$18:$B$199,2*(ROWS(AI$246:AI246)-1)+1),"")</f>
        <v>1</v>
      </c>
      <c r="AJ246" s="194"/>
      <c r="AK246">
        <f>IFERROR(INDEX('M04-S07'!$H$18:$H$199,2*(ROWS(AK$246:AK246)-1)+1),"")</f>
        <v>0</v>
      </c>
      <c r="AL246">
        <f>IFERROR(INDEX('M04-S07'!$N$18:$N$199,2*(ROWS(AL$246:AL246)-1)+1),"")</f>
        <v>0</v>
      </c>
      <c r="AM246">
        <f>IFERROR(INDEX('M04-S07'!$W$18:$W$199,2*(ROWS(AM$246:AM246)-1)+1),"")</f>
        <v>0</v>
      </c>
      <c r="AN246" s="14" t="str">
        <f>IFERROR(INDEX('M04-S07'!$AX$18:$AX$199,2*(ROWS(AN$246:AN246)-1)+1),"")</f>
        <v/>
      </c>
      <c r="AO246" s="14" t="str">
        <f>IFERROR(INDEX('M04-S07'!$AY$18:$AY$199,2*(ROWS(AO$246:AO246)-1)+1),"")</f>
        <v/>
      </c>
      <c r="AP246" t="str">
        <f>IFERROR(INDEX('M04-S07'!$AZ$18:$AZ$199,2*(ROWS(AP$246:AP246)-1)+1),"")</f>
        <v/>
      </c>
      <c r="AQ246" t="str">
        <f>IFERROR(INDEX('M04-S07'!$BE$18:$BE$199,2*(ROWS(AQ$246:AQ246)-1)+1),"")</f>
        <v/>
      </c>
      <c r="AR246" t="s">
        <v>1254</v>
      </c>
      <c r="AS246"/>
      <c r="BL246"/>
      <c r="BP246"/>
      <c r="BQ246"/>
      <c r="BR246"/>
      <c r="CD246"/>
      <c r="CE246"/>
      <c r="CF246"/>
      <c r="CQ246"/>
      <c r="CR246"/>
      <c r="CS246"/>
      <c r="DS246"/>
      <c r="DT246"/>
      <c r="DU246"/>
    </row>
    <row r="247" spans="1:125" hidden="1">
      <c r="A247" s="15">
        <f t="shared" si="26"/>
        <v>0</v>
      </c>
      <c r="B247" t="str">
        <f t="shared" ref="B247:B260" si="27">IF(C247="","",CONCATENATE(ROW(),"-",C247))</f>
        <v/>
      </c>
      <c r="C247" t="str">
        <f>IFERROR(IF(INDEX('M04-S07'!$BL$18:$BL$199,2*(ROWS($C$246:C247)-1)+1)="","",INDEX('M04-S07'!$BL$18:$BL$199,2*(ROWS($C$246:C247)-1)+1)),"")</f>
        <v/>
      </c>
      <c r="D247" t="s">
        <v>135</v>
      </c>
      <c r="E247" t="str">
        <f>IFERROR(INDEX('M04-S07'!$BF$18:$BF$199,2*(ROWS(E$246:E247)-1)+1),"")</f>
        <v/>
      </c>
      <c r="F247" s="210"/>
      <c r="G247" s="194"/>
      <c r="H247" s="14" t="str">
        <f ca="1">IFERROR(ROUND(IF(AC247&lt;&gt;"","",INDEX('M04-S07'!$AH$18:$AH$199,2*(ROWS(H$246:H247)-1)+1)),2),"")</f>
        <v/>
      </c>
      <c r="I247" s="14" t="str">
        <f ca="1">IFERROR(ROUND(IF(AC247&lt;&gt;"","",INDEX('M04-S07'!$AJ$18:$AJ$199,2*(ROWS(I$246:I247)-1)+1)),2),"")</f>
        <v/>
      </c>
      <c r="J247" s="14" t="str">
        <f ca="1">IFERROR(ROUND(IF(AC247&lt;&gt;"","",INDEX('M04-S07'!$AL$18:$AL$199,2*(ROWS(J$246:J247)-1)+1)),2),"")</f>
        <v/>
      </c>
      <c r="K247" t="str">
        <f ca="1">IFERROR(IF(AC247&lt;&gt;"","",INDEX('M04-S07'!$AF$38:$AF$199,2*(ROWS(J$246:J247)-1)+1)),"")</f>
        <v/>
      </c>
      <c r="L247" s="10" t="str">
        <f ca="1">IFERROR(IF(AC247&lt;&gt;"","",ROUND(INDEX('M04-S07'!$BA$18:$BA$199,2*(ROWS(L$246:L247)-1)+1),3)),"")</f>
        <v/>
      </c>
      <c r="M247" s="10" t="str">
        <f ca="1">IFERROR(IF(AC247&lt;&gt;"","",ROUND(INDEX('M04-S07'!$BB$18:$BB$199,2*(ROWS(M$246:M247)-1)+1),3)),"")</f>
        <v/>
      </c>
      <c r="N247" s="219"/>
      <c r="O247" s="37" t="str">
        <f ca="1">IFERROR(IF(AC247&lt;&gt;"","",INDEX('M04-S07'!$AO$18:$AO$199,2*(ROWS(O$246:O247)-1)+1)),"")</f>
        <v/>
      </c>
      <c r="P247" s="37" t="str">
        <f ca="1">IFERROR(IF(AC247&lt;&gt;"","",INDEX('M04-S07'!$BH$18:$BH$199,2*(ROWS(P$246:P247)-1)+1)),"")</f>
        <v/>
      </c>
      <c r="Q247" s="37" t="str">
        <f ca="1">IFERROR(IF(AC247&lt;&gt;"","",INDEX('M04-S07'!$BG$18:$BG$199,2*(ROWS(Q$246:Q247)-1)+1)),"")</f>
        <v/>
      </c>
      <c r="R247" s="14" t="str">
        <f ca="1">IFERROR(IF(AC247&lt;&gt;"","",INDEX('M04-S07'!$AR$18:$AR$199,2*(ROWS(R$246:R247)-1)+1)),"")</f>
        <v/>
      </c>
      <c r="S247" s="14">
        <f ca="1">IFERROR(ROUND(IF(AC247&lt;&gt;"",INDEX('M04-S07'!$AH$18:$AH$199,2*(ROWS(S$246:S247)-1)+1),""),2),"")</f>
        <v>0</v>
      </c>
      <c r="T247" s="14" t="str">
        <f ca="1">IFERROR(ROUND(IF(AC247&lt;&gt;"",INDEX('M04-S07'!$AJ$18:$AJ$199,2*(ROWS(T$246:T247)-1)+1),""),2),"")</f>
        <v/>
      </c>
      <c r="U247" s="14" t="str">
        <f ca="1">IFERROR(ROUND(IF(AC247&lt;&gt;"",INDEX('M04-S07'!$AL$18:$AL$199,2*(ROWS(U$246:U247)-1)+1),""),2),"")</f>
        <v/>
      </c>
      <c r="V247">
        <f ca="1">IFERROR(IF(AC247&lt;&gt;"",INDEX('M04-S07'!$AF$38:$AF$199,2*(ROWS(V$246:V247)-1)+1),""),"")</f>
        <v>0</v>
      </c>
      <c r="W247" s="10" t="str">
        <f ca="1">IFERROR(IF(AC247&lt;&gt;"",ROUND(INDEX('M04-S07'!$BA$18:$BA$199,2*(ROWS(W$246:W247)-1)+1),3),""),"")</f>
        <v/>
      </c>
      <c r="X247" s="10" t="str">
        <f ca="1">IFERROR(IF(AC247&lt;&gt;"",ROUND(INDEX('M04-S07'!$BB$18:$BB$199,2*(ROWS(X$246:X247)-1)+1),3),""),"")</f>
        <v/>
      </c>
      <c r="Y247" s="210"/>
      <c r="Z247" s="31" t="str">
        <f ca="1">IFERROR(IF(AC247&lt;&gt;"",INDEX('M04-S07'!$AO$18:$AO$199,2*(ROWS(Z$246:Z247)-1)+1),""),"")</f>
        <v/>
      </c>
      <c r="AA247" s="37">
        <f ca="1">IFERROR(IF(AC247&lt;&gt;"",INDEX('M04-S07'!$BH$18:$BH$199,2*(ROWS(AA$246:AA247)-1)+1),""),"")</f>
        <v>0</v>
      </c>
      <c r="AB247" s="37" t="str">
        <f ca="1">IFERROR(IF(AC247&lt;&gt;"",INDEX('M04-S07'!$BG$18:$BG$199,2*(ROWS(AB$246:AB247)-1)+1),""),"")</f>
        <v/>
      </c>
      <c r="AC247" t="str">
        <f ca="1">IFERROR(INDEX('M04-S07'!$BN$18:$BN$199,2*(ROWS(AC$246:AC247)-1)+1),"")</f>
        <v>Submit for Review</v>
      </c>
      <c r="AD247" s="37" t="str" cm="1">
        <f t="array" ref="AD247">IFERROR(INDEX('M04-S07'!$BC$18:$BC$199,2*(ROWS(AD$246:AD247)-1)+1),"")</f>
        <v/>
      </c>
      <c r="AE247" s="37" t="str" cm="1">
        <f t="array" ref="AE247">IFERROR(INDEX('M04-S07'!$BD$18:$BD$199,2*(ROWS(AE$246:AE247)-1)+1),"")</f>
        <v/>
      </c>
      <c r="AF247" s="210"/>
      <c r="AG247" s="210"/>
      <c r="AH247" s="210"/>
      <c r="AI247">
        <f>IFERROR(INDEX('M04-S07'!$B$18:$B$199,2*(ROWS(AI$246:AI247)-1)+1),"")</f>
        <v>2</v>
      </c>
      <c r="AJ247" s="194"/>
      <c r="AK247">
        <f>IFERROR(INDEX('M04-S07'!$H$18:$H$199,2*(ROWS(AK$246:AK247)-1)+1),"")</f>
        <v>0</v>
      </c>
      <c r="AL247">
        <f>IFERROR(INDEX('M04-S07'!$N$18:$N$199,2*(ROWS(AL$246:AL247)-1)+1),"")</f>
        <v>0</v>
      </c>
      <c r="AM247">
        <f>IFERROR(INDEX('M04-S07'!$W$18:$W$199,2*(ROWS(AM$246:AM247)-1)+1),"")</f>
        <v>0</v>
      </c>
      <c r="AN247" s="14" t="str">
        <f>IFERROR(INDEX('M04-S07'!$AX$18:$AX$199,2*(ROWS(AN$246:AN247)-1)+1),"")</f>
        <v/>
      </c>
      <c r="AO247" s="14" t="str">
        <f>IFERROR(INDEX('M04-S07'!$AY$18:$AY$199,2*(ROWS(AO$246:AO247)-1)+1),"")</f>
        <v/>
      </c>
      <c r="AP247" t="str">
        <f>IFERROR(INDEX('M04-S07'!$AZ$18:$AZ$199,2*(ROWS(AP$246:AP247)-1)+1),"")</f>
        <v/>
      </c>
      <c r="AQ247" t="str">
        <f>IFERROR(INDEX('M04-S07'!$BE$18:$BE$199,2*(ROWS(AQ$246:AQ247)-1)+1),"")</f>
        <v/>
      </c>
      <c r="AR247" t="s">
        <v>1254</v>
      </c>
      <c r="AS247"/>
      <c r="BL247"/>
      <c r="BP247"/>
      <c r="BQ247"/>
      <c r="BR247"/>
      <c r="CD247"/>
      <c r="CE247"/>
      <c r="CF247"/>
      <c r="CQ247"/>
      <c r="CR247"/>
      <c r="CS247"/>
      <c r="DS247"/>
      <c r="DT247"/>
      <c r="DU247"/>
    </row>
    <row r="248" spans="1:125" hidden="1">
      <c r="A248" s="15">
        <f t="shared" si="26"/>
        <v>0</v>
      </c>
      <c r="B248" t="str">
        <f t="shared" si="27"/>
        <v/>
      </c>
      <c r="C248" t="str">
        <f>IFERROR(IF(INDEX('M04-S07'!$BL$18:$BL$199,2*(ROWS($C$246:C248)-1)+1)="","",INDEX('M04-S07'!$BL$18:$BL$199,2*(ROWS($C$246:C248)-1)+1)),"")</f>
        <v/>
      </c>
      <c r="D248" t="s">
        <v>135</v>
      </c>
      <c r="E248" t="str">
        <f>IFERROR(INDEX('M04-S07'!$BF$18:$BF$199,2*(ROWS(E$246:E248)-1)+1),"")</f>
        <v/>
      </c>
      <c r="F248" s="210"/>
      <c r="G248" s="194"/>
      <c r="H248" s="14" t="str">
        <f ca="1">IFERROR(ROUND(IF(AC248&lt;&gt;"","",INDEX('M04-S07'!$AH$18:$AH$199,2*(ROWS(H$246:H248)-1)+1)),2),"")</f>
        <v/>
      </c>
      <c r="I248" s="14" t="str">
        <f ca="1">IFERROR(ROUND(IF(AC248&lt;&gt;"","",INDEX('M04-S07'!$AJ$18:$AJ$199,2*(ROWS(I$246:I248)-1)+1)),2),"")</f>
        <v/>
      </c>
      <c r="J248" s="14" t="str">
        <f ca="1">IFERROR(ROUND(IF(AC248&lt;&gt;"","",INDEX('M04-S07'!$AL$18:$AL$199,2*(ROWS(J$246:J248)-1)+1)),2),"")</f>
        <v/>
      </c>
      <c r="K248" t="str">
        <f ca="1">IFERROR(IF(AC248&lt;&gt;"","",INDEX('M04-S07'!$AF$38:$AF$199,2*(ROWS(J$246:J248)-1)+1)),"")</f>
        <v/>
      </c>
      <c r="L248" s="10" t="str">
        <f ca="1">IFERROR(IF(AC248&lt;&gt;"","",ROUND(INDEX('M04-S07'!$BA$18:$BA$199,2*(ROWS(L$246:L248)-1)+1),3)),"")</f>
        <v/>
      </c>
      <c r="M248" s="10" t="str">
        <f ca="1">IFERROR(IF(AC248&lt;&gt;"","",ROUND(INDEX('M04-S07'!$BB$18:$BB$199,2*(ROWS(M$246:M248)-1)+1),3)),"")</f>
        <v/>
      </c>
      <c r="N248" s="219"/>
      <c r="O248" s="37" t="str">
        <f ca="1">IFERROR(IF(AC248&lt;&gt;"","",INDEX('M04-S07'!$AO$18:$AO$199,2*(ROWS(O$246:O248)-1)+1)),"")</f>
        <v/>
      </c>
      <c r="P248" s="37" t="str">
        <f ca="1">IFERROR(IF(AC248&lt;&gt;"","",INDEX('M04-S07'!$BH$18:$BH$199,2*(ROWS(P$246:P248)-1)+1)),"")</f>
        <v/>
      </c>
      <c r="Q248" s="37" t="str">
        <f ca="1">IFERROR(IF(AC248&lt;&gt;"","",INDEX('M04-S07'!$BG$18:$BG$199,2*(ROWS(Q$246:Q248)-1)+1)),"")</f>
        <v/>
      </c>
      <c r="R248" s="14" t="str">
        <f ca="1">IFERROR(IF(AC248&lt;&gt;"","",INDEX('M04-S07'!$AR$18:$AR$199,2*(ROWS(R$246:R248)-1)+1)),"")</f>
        <v/>
      </c>
      <c r="S248" s="14">
        <f ca="1">IFERROR(ROUND(IF(AC248&lt;&gt;"",INDEX('M04-S07'!$AH$18:$AH$199,2*(ROWS(S$246:S248)-1)+1),""),2),"")</f>
        <v>0</v>
      </c>
      <c r="T248" s="14" t="str">
        <f ca="1">IFERROR(ROUND(IF(AC248&lt;&gt;"",INDEX('M04-S07'!$AJ$18:$AJ$199,2*(ROWS(T$246:T248)-1)+1),""),2),"")</f>
        <v/>
      </c>
      <c r="U248" s="14" t="str">
        <f ca="1">IFERROR(ROUND(IF(AC248&lt;&gt;"",INDEX('M04-S07'!$AL$18:$AL$199,2*(ROWS(U$246:U248)-1)+1),""),2),"")</f>
        <v/>
      </c>
      <c r="V248">
        <f ca="1">IFERROR(IF(AC248&lt;&gt;"",INDEX('M04-S07'!$AF$38:$AF$199,2*(ROWS(V$246:V248)-1)+1),""),"")</f>
        <v>0</v>
      </c>
      <c r="W248" s="10" t="str">
        <f ca="1">IFERROR(IF(AC248&lt;&gt;"",ROUND(INDEX('M04-S07'!$BA$18:$BA$199,2*(ROWS(W$246:W248)-1)+1),3),""),"")</f>
        <v/>
      </c>
      <c r="X248" s="10" t="str">
        <f ca="1">IFERROR(IF(AC248&lt;&gt;"",ROUND(INDEX('M04-S07'!$BB$18:$BB$199,2*(ROWS(X$246:X248)-1)+1),3),""),"")</f>
        <v/>
      </c>
      <c r="Y248" s="210"/>
      <c r="Z248" s="31" t="str">
        <f ca="1">IFERROR(IF(AC248&lt;&gt;"",INDEX('M04-S07'!$AO$18:$AO$199,2*(ROWS(Z$246:Z248)-1)+1),""),"")</f>
        <v/>
      </c>
      <c r="AA248" s="37">
        <f ca="1">IFERROR(IF(AC248&lt;&gt;"",INDEX('M04-S07'!$BH$18:$BH$199,2*(ROWS(AA$246:AA248)-1)+1),""),"")</f>
        <v>0</v>
      </c>
      <c r="AB248" s="37" t="str">
        <f ca="1">IFERROR(IF(AC248&lt;&gt;"",INDEX('M04-S07'!$BG$18:$BG$199,2*(ROWS(AB$246:AB248)-1)+1),""),"")</f>
        <v/>
      </c>
      <c r="AC248" t="str">
        <f ca="1">IFERROR(INDEX('M04-S07'!$BN$18:$BN$199,2*(ROWS(AC$246:AC248)-1)+1),"")</f>
        <v>Submit for Review</v>
      </c>
      <c r="AD248" s="37" t="str" cm="1">
        <f t="array" ref="AD248">IFERROR(INDEX('M04-S07'!$BC$18:$BC$199,2*(ROWS(AD$246:AD248)-1)+1),"")</f>
        <v/>
      </c>
      <c r="AE248" s="37" t="str" cm="1">
        <f t="array" ref="AE248">IFERROR(INDEX('M04-S07'!$BD$18:$BD$199,2*(ROWS(AE$246:AE248)-1)+1),"")</f>
        <v/>
      </c>
      <c r="AF248" s="210"/>
      <c r="AG248" s="210"/>
      <c r="AH248" s="210"/>
      <c r="AI248">
        <f>IFERROR(INDEX('M04-S07'!$B$18:$B$199,2*(ROWS(AI$246:AI248)-1)+1),"")</f>
        <v>3</v>
      </c>
      <c r="AJ248" s="194"/>
      <c r="AK248">
        <f>IFERROR(INDEX('M04-S07'!$H$18:$H$199,2*(ROWS(AK$246:AK248)-1)+1),"")</f>
        <v>0</v>
      </c>
      <c r="AL248">
        <f>IFERROR(INDEX('M04-S07'!$N$18:$N$199,2*(ROWS(AL$246:AL248)-1)+1),"")</f>
        <v>0</v>
      </c>
      <c r="AM248">
        <f>IFERROR(INDEX('M04-S07'!$W$18:$W$199,2*(ROWS(AM$246:AM248)-1)+1),"")</f>
        <v>0</v>
      </c>
      <c r="AN248" s="14" t="str">
        <f>IFERROR(INDEX('M04-S07'!$AX$18:$AX$199,2*(ROWS(AN$246:AN248)-1)+1),"")</f>
        <v/>
      </c>
      <c r="AO248" s="14" t="str">
        <f>IFERROR(INDEX('M04-S07'!$AY$18:$AY$199,2*(ROWS(AO$246:AO248)-1)+1),"")</f>
        <v/>
      </c>
      <c r="AP248" t="str">
        <f>IFERROR(INDEX('M04-S07'!$AZ$18:$AZ$199,2*(ROWS(AP$246:AP248)-1)+1),"")</f>
        <v/>
      </c>
      <c r="AQ248" t="str">
        <f>IFERROR(INDEX('M04-S07'!$BE$18:$BE$199,2*(ROWS(AQ$246:AQ248)-1)+1),"")</f>
        <v/>
      </c>
      <c r="AR248" t="s">
        <v>1254</v>
      </c>
      <c r="AS248"/>
      <c r="BL248"/>
      <c r="BP248"/>
      <c r="BQ248"/>
      <c r="BR248"/>
      <c r="CD248"/>
      <c r="CE248"/>
      <c r="CF248"/>
      <c r="CQ248"/>
      <c r="CR248"/>
      <c r="CS248"/>
      <c r="DS248"/>
      <c r="DT248"/>
      <c r="DU248"/>
    </row>
    <row r="249" spans="1:125" hidden="1">
      <c r="A249" s="15">
        <f t="shared" si="26"/>
        <v>0</v>
      </c>
      <c r="B249" t="str">
        <f t="shared" si="27"/>
        <v/>
      </c>
      <c r="C249" t="str">
        <f>IFERROR(IF(INDEX('M04-S07'!$BL$18:$BL$199,2*(ROWS($C$246:C249)-1)+1)="","",INDEX('M04-S07'!$BL$18:$BL$199,2*(ROWS($C$246:C249)-1)+1)),"")</f>
        <v/>
      </c>
      <c r="D249" t="s">
        <v>135</v>
      </c>
      <c r="E249" t="str">
        <f>IFERROR(INDEX('M04-S07'!$BF$18:$BF$199,2*(ROWS(E$246:E249)-1)+1),"")</f>
        <v/>
      </c>
      <c r="F249" s="210"/>
      <c r="G249" s="194"/>
      <c r="H249" s="14" t="str">
        <f ca="1">IFERROR(ROUND(IF(AC249&lt;&gt;"","",INDEX('M04-S07'!$AH$18:$AH$199,2*(ROWS(H$246:H249)-1)+1)),2),"")</f>
        <v/>
      </c>
      <c r="I249" s="14" t="str">
        <f ca="1">IFERROR(ROUND(IF(AC249&lt;&gt;"","",INDEX('M04-S07'!$AJ$18:$AJ$199,2*(ROWS(I$246:I249)-1)+1)),2),"")</f>
        <v/>
      </c>
      <c r="J249" s="14" t="str">
        <f ca="1">IFERROR(ROUND(IF(AC249&lt;&gt;"","",INDEX('M04-S07'!$AL$18:$AL$199,2*(ROWS(J$246:J249)-1)+1)),2),"")</f>
        <v/>
      </c>
      <c r="K249" t="str">
        <f ca="1">IFERROR(IF(AC249&lt;&gt;"","",INDEX('M04-S07'!$AF$38:$AF$199,2*(ROWS(J$246:J249)-1)+1)),"")</f>
        <v/>
      </c>
      <c r="L249" s="10" t="str">
        <f ca="1">IFERROR(IF(AC249&lt;&gt;"","",ROUND(INDEX('M04-S07'!$BA$18:$BA$199,2*(ROWS(L$246:L249)-1)+1),3)),"")</f>
        <v/>
      </c>
      <c r="M249" s="10" t="str">
        <f ca="1">IFERROR(IF(AC249&lt;&gt;"","",ROUND(INDEX('M04-S07'!$BB$18:$BB$199,2*(ROWS(M$246:M249)-1)+1),3)),"")</f>
        <v/>
      </c>
      <c r="N249" s="219"/>
      <c r="O249" s="37" t="str">
        <f ca="1">IFERROR(IF(AC249&lt;&gt;"","",INDEX('M04-S07'!$AO$18:$AO$199,2*(ROWS(O$246:O249)-1)+1)),"")</f>
        <v/>
      </c>
      <c r="P249" s="37" t="str">
        <f ca="1">IFERROR(IF(AC249&lt;&gt;"","",INDEX('M04-S07'!$BH$18:$BH$199,2*(ROWS(P$246:P249)-1)+1)),"")</f>
        <v/>
      </c>
      <c r="Q249" s="37" t="str">
        <f ca="1">IFERROR(IF(AC249&lt;&gt;"","",INDEX('M04-S07'!$BG$18:$BG$199,2*(ROWS(Q$246:Q249)-1)+1)),"")</f>
        <v/>
      </c>
      <c r="R249" s="14" t="str">
        <f ca="1">IFERROR(IF(AC249&lt;&gt;"","",INDEX('M04-S07'!$AR$18:$AR$199,2*(ROWS(R$246:R249)-1)+1)),"")</f>
        <v/>
      </c>
      <c r="S249" s="14">
        <f ca="1">IFERROR(ROUND(IF(AC249&lt;&gt;"",INDEX('M04-S07'!$AH$18:$AH$199,2*(ROWS(S$246:S249)-1)+1),""),2),"")</f>
        <v>0</v>
      </c>
      <c r="T249" s="14" t="str">
        <f ca="1">IFERROR(ROUND(IF(AC249&lt;&gt;"",INDEX('M04-S07'!$AJ$18:$AJ$199,2*(ROWS(T$246:T249)-1)+1),""),2),"")</f>
        <v/>
      </c>
      <c r="U249" s="14" t="str">
        <f ca="1">IFERROR(ROUND(IF(AC249&lt;&gt;"",INDEX('M04-S07'!$AL$18:$AL$199,2*(ROWS(U$246:U249)-1)+1),""),2),"")</f>
        <v/>
      </c>
      <c r="V249">
        <f ca="1">IFERROR(IF(AC249&lt;&gt;"",INDEX('M04-S07'!$AF$38:$AF$199,2*(ROWS(V$246:V249)-1)+1),""),"")</f>
        <v>0</v>
      </c>
      <c r="W249" s="10" t="str">
        <f ca="1">IFERROR(IF(AC249&lt;&gt;"",ROUND(INDEX('M04-S07'!$BA$18:$BA$199,2*(ROWS(W$246:W249)-1)+1),3),""),"")</f>
        <v/>
      </c>
      <c r="X249" s="10" t="str">
        <f ca="1">IFERROR(IF(AC249&lt;&gt;"",ROUND(INDEX('M04-S07'!$BB$18:$BB$199,2*(ROWS(X$246:X249)-1)+1),3),""),"")</f>
        <v/>
      </c>
      <c r="Y249" s="210"/>
      <c r="Z249" s="31" t="str">
        <f ca="1">IFERROR(IF(AC249&lt;&gt;"",INDEX('M04-S07'!$AO$18:$AO$199,2*(ROWS(Z$246:Z249)-1)+1),""),"")</f>
        <v/>
      </c>
      <c r="AA249" s="37">
        <f ca="1">IFERROR(IF(AC249&lt;&gt;"",INDEX('M04-S07'!$BH$18:$BH$199,2*(ROWS(AA$246:AA249)-1)+1),""),"")</f>
        <v>0</v>
      </c>
      <c r="AB249" s="37" t="str">
        <f ca="1">IFERROR(IF(AC249&lt;&gt;"",INDEX('M04-S07'!$BG$18:$BG$199,2*(ROWS(AB$246:AB249)-1)+1),""),"")</f>
        <v/>
      </c>
      <c r="AC249" t="str">
        <f ca="1">IFERROR(INDEX('M04-S07'!$BN$18:$BN$199,2*(ROWS(AC$246:AC249)-1)+1),"")</f>
        <v>Submit for Review</v>
      </c>
      <c r="AD249" s="37" t="str" cm="1">
        <f t="array" ref="AD249">IFERROR(INDEX('M04-S07'!$BC$18:$BC$199,2*(ROWS(AD$246:AD249)-1)+1),"")</f>
        <v/>
      </c>
      <c r="AE249" s="37" t="str" cm="1">
        <f t="array" ref="AE249">IFERROR(INDEX('M04-S07'!$BD$18:$BD$199,2*(ROWS(AE$246:AE249)-1)+1),"")</f>
        <v/>
      </c>
      <c r="AF249" s="210"/>
      <c r="AG249" s="210"/>
      <c r="AH249" s="210"/>
      <c r="AI249">
        <f>IFERROR(INDEX('M04-S07'!$B$18:$B$199,2*(ROWS(AI$246:AI249)-1)+1),"")</f>
        <v>4</v>
      </c>
      <c r="AJ249" s="194"/>
      <c r="AK249">
        <f>IFERROR(INDEX('M04-S07'!$H$18:$H$199,2*(ROWS(AK$246:AK249)-1)+1),"")</f>
        <v>0</v>
      </c>
      <c r="AL249">
        <f>IFERROR(INDEX('M04-S07'!$N$18:$N$199,2*(ROWS(AL$246:AL249)-1)+1),"")</f>
        <v>0</v>
      </c>
      <c r="AM249">
        <f>IFERROR(INDEX('M04-S07'!$W$18:$W$199,2*(ROWS(AM$246:AM249)-1)+1),"")</f>
        <v>0</v>
      </c>
      <c r="AN249" s="14" t="str">
        <f>IFERROR(INDEX('M04-S07'!$AX$18:$AX$199,2*(ROWS(AN$246:AN249)-1)+1),"")</f>
        <v/>
      </c>
      <c r="AO249" s="14" t="str">
        <f>IFERROR(INDEX('M04-S07'!$AY$18:$AY$199,2*(ROWS(AO$246:AO249)-1)+1),"")</f>
        <v/>
      </c>
      <c r="AP249" t="str">
        <f>IFERROR(INDEX('M04-S07'!$AZ$18:$AZ$199,2*(ROWS(AP$246:AP249)-1)+1),"")</f>
        <v/>
      </c>
      <c r="AQ249" t="str">
        <f>IFERROR(INDEX('M04-S07'!$BE$18:$BE$199,2*(ROWS(AQ$246:AQ249)-1)+1),"")</f>
        <v/>
      </c>
      <c r="AR249" t="s">
        <v>1254</v>
      </c>
      <c r="AS249"/>
      <c r="BL249"/>
      <c r="BP249"/>
      <c r="BQ249"/>
      <c r="BR249"/>
      <c r="CD249"/>
      <c r="CE249"/>
      <c r="CF249"/>
      <c r="CQ249"/>
      <c r="CR249"/>
      <c r="CS249"/>
      <c r="DS249"/>
      <c r="DT249"/>
      <c r="DU249"/>
    </row>
    <row r="250" spans="1:125" hidden="1">
      <c r="A250" s="15">
        <f t="shared" si="26"/>
        <v>0</v>
      </c>
      <c r="B250" t="str">
        <f t="shared" si="27"/>
        <v/>
      </c>
      <c r="C250" t="str">
        <f>IFERROR(IF(INDEX('M04-S07'!$BL$18:$BL$199,2*(ROWS($C$246:C250)-1)+1)="","",INDEX('M04-S07'!$BL$18:$BL$199,2*(ROWS($C$246:C250)-1)+1)),"")</f>
        <v/>
      </c>
      <c r="D250" t="s">
        <v>135</v>
      </c>
      <c r="E250" t="str">
        <f>IFERROR(INDEX('M04-S07'!$BF$18:$BF$199,2*(ROWS(E$246:E250)-1)+1),"")</f>
        <v/>
      </c>
      <c r="F250" s="210"/>
      <c r="G250" s="194"/>
      <c r="H250" s="14" t="str">
        <f ca="1">IFERROR(ROUND(IF(AC250&lt;&gt;"","",INDEX('M04-S07'!$AH$18:$AH$199,2*(ROWS(H$246:H250)-1)+1)),2),"")</f>
        <v/>
      </c>
      <c r="I250" s="14" t="str">
        <f ca="1">IFERROR(ROUND(IF(AC250&lt;&gt;"","",INDEX('M04-S07'!$AJ$18:$AJ$199,2*(ROWS(I$246:I250)-1)+1)),2),"")</f>
        <v/>
      </c>
      <c r="J250" s="14" t="str">
        <f ca="1">IFERROR(ROUND(IF(AC250&lt;&gt;"","",INDEX('M04-S07'!$AL$18:$AL$199,2*(ROWS(J$246:J250)-1)+1)),2),"")</f>
        <v/>
      </c>
      <c r="K250" t="str">
        <f ca="1">IFERROR(IF(AC250&lt;&gt;"","",INDEX('M04-S07'!$AF$38:$AF$199,2*(ROWS(J$246:J250)-1)+1)),"")</f>
        <v/>
      </c>
      <c r="L250" s="10" t="str">
        <f ca="1">IFERROR(IF(AC250&lt;&gt;"","",ROUND(INDEX('M04-S07'!$BA$18:$BA$199,2*(ROWS(L$246:L250)-1)+1),3)),"")</f>
        <v/>
      </c>
      <c r="M250" s="10" t="str">
        <f ca="1">IFERROR(IF(AC250&lt;&gt;"","",ROUND(INDEX('M04-S07'!$BB$18:$BB$199,2*(ROWS(M$246:M250)-1)+1),3)),"")</f>
        <v/>
      </c>
      <c r="N250" s="219"/>
      <c r="O250" s="37" t="str">
        <f ca="1">IFERROR(IF(AC250&lt;&gt;"","",INDEX('M04-S07'!$AO$18:$AO$199,2*(ROWS(O$246:O250)-1)+1)),"")</f>
        <v/>
      </c>
      <c r="P250" s="37" t="str">
        <f ca="1">IFERROR(IF(AC250&lt;&gt;"","",INDEX('M04-S07'!$BH$18:$BH$199,2*(ROWS(P$246:P250)-1)+1)),"")</f>
        <v/>
      </c>
      <c r="Q250" s="37" t="str">
        <f ca="1">IFERROR(IF(AC250&lt;&gt;"","",INDEX('M04-S07'!$BG$18:$BG$199,2*(ROWS(Q$246:Q250)-1)+1)),"")</f>
        <v/>
      </c>
      <c r="R250" s="14" t="str">
        <f ca="1">IFERROR(IF(AC250&lt;&gt;"","",INDEX('M04-S07'!$AR$18:$AR$199,2*(ROWS(R$246:R250)-1)+1)),"")</f>
        <v/>
      </c>
      <c r="S250" s="14">
        <f ca="1">IFERROR(ROUND(IF(AC250&lt;&gt;"",INDEX('M04-S07'!$AH$18:$AH$199,2*(ROWS(S$246:S250)-1)+1),""),2),"")</f>
        <v>0</v>
      </c>
      <c r="T250" s="14" t="str">
        <f ca="1">IFERROR(ROUND(IF(AC250&lt;&gt;"",INDEX('M04-S07'!$AJ$18:$AJ$199,2*(ROWS(T$246:T250)-1)+1),""),2),"")</f>
        <v/>
      </c>
      <c r="U250" s="14" t="str">
        <f ca="1">IFERROR(ROUND(IF(AC250&lt;&gt;"",INDEX('M04-S07'!$AL$18:$AL$199,2*(ROWS(U$246:U250)-1)+1),""),2),"")</f>
        <v/>
      </c>
      <c r="V250">
        <f ca="1">IFERROR(IF(AC250&lt;&gt;"",INDEX('M04-S07'!$AF$38:$AF$199,2*(ROWS(V$246:V250)-1)+1),""),"")</f>
        <v>0</v>
      </c>
      <c r="W250" s="10" t="str">
        <f ca="1">IFERROR(IF(AC250&lt;&gt;"",ROUND(INDEX('M04-S07'!$BA$18:$BA$199,2*(ROWS(W$246:W250)-1)+1),3),""),"")</f>
        <v/>
      </c>
      <c r="X250" s="10" t="str">
        <f ca="1">IFERROR(IF(AC250&lt;&gt;"",ROUND(INDEX('M04-S07'!$BB$18:$BB$199,2*(ROWS(X$246:X250)-1)+1),3),""),"")</f>
        <v/>
      </c>
      <c r="Y250" s="210"/>
      <c r="Z250" s="31" t="str">
        <f ca="1">IFERROR(IF(AC250&lt;&gt;"",INDEX('M04-S07'!$AO$18:$AO$199,2*(ROWS(Z$246:Z250)-1)+1),""),"")</f>
        <v/>
      </c>
      <c r="AA250" s="37">
        <f ca="1">IFERROR(IF(AC250&lt;&gt;"",INDEX('M04-S07'!$BH$18:$BH$199,2*(ROWS(AA$246:AA250)-1)+1),""),"")</f>
        <v>0</v>
      </c>
      <c r="AB250" s="37" t="str">
        <f ca="1">IFERROR(IF(AC250&lt;&gt;"",INDEX('M04-S07'!$BG$18:$BG$199,2*(ROWS(AB$246:AB250)-1)+1),""),"")</f>
        <v/>
      </c>
      <c r="AC250" t="str">
        <f ca="1">IFERROR(INDEX('M04-S07'!$BN$18:$BN$199,2*(ROWS(AC$246:AC250)-1)+1),"")</f>
        <v>Submit for Review</v>
      </c>
      <c r="AD250" s="37" t="str" cm="1">
        <f t="array" ref="AD250">IFERROR(INDEX('M04-S07'!$BC$18:$BC$199,2*(ROWS(AD$246:AD250)-1)+1),"")</f>
        <v/>
      </c>
      <c r="AE250" s="37" t="str" cm="1">
        <f t="array" ref="AE250">IFERROR(INDEX('M04-S07'!$BD$18:$BD$199,2*(ROWS(AE$246:AE250)-1)+1),"")</f>
        <v/>
      </c>
      <c r="AF250" s="210"/>
      <c r="AG250" s="210"/>
      <c r="AH250" s="210"/>
      <c r="AI250">
        <f>IFERROR(INDEX('M04-S07'!$B$18:$B$199,2*(ROWS(AI$246:AI250)-1)+1),"")</f>
        <v>5</v>
      </c>
      <c r="AJ250" s="194"/>
      <c r="AK250">
        <f>IFERROR(INDEX('M04-S07'!$H$18:$H$199,2*(ROWS(AK$246:AK250)-1)+1),"")</f>
        <v>0</v>
      </c>
      <c r="AL250">
        <f>IFERROR(INDEX('M04-S07'!$N$18:$N$199,2*(ROWS(AL$246:AL250)-1)+1),"")</f>
        <v>0</v>
      </c>
      <c r="AM250">
        <f>IFERROR(INDEX('M04-S07'!$W$18:$W$199,2*(ROWS(AM$246:AM250)-1)+1),"")</f>
        <v>0</v>
      </c>
      <c r="AN250" s="14" t="str">
        <f>IFERROR(INDEX('M04-S07'!$AX$18:$AX$199,2*(ROWS(AN$246:AN250)-1)+1),"")</f>
        <v/>
      </c>
      <c r="AO250" s="14" t="str">
        <f>IFERROR(INDEX('M04-S07'!$AY$18:$AY$199,2*(ROWS(AO$246:AO250)-1)+1),"")</f>
        <v/>
      </c>
      <c r="AP250" t="str">
        <f>IFERROR(INDEX('M04-S07'!$AZ$18:$AZ$199,2*(ROWS(AP$246:AP250)-1)+1),"")</f>
        <v/>
      </c>
      <c r="AQ250" t="str">
        <f>IFERROR(INDEX('M04-S07'!$BE$18:$BE$199,2*(ROWS(AQ$246:AQ250)-1)+1),"")</f>
        <v/>
      </c>
      <c r="AR250" t="s">
        <v>1254</v>
      </c>
      <c r="AS250"/>
      <c r="BL250"/>
      <c r="BP250"/>
      <c r="BQ250"/>
      <c r="BR250"/>
      <c r="CD250"/>
      <c r="CE250"/>
      <c r="CF250"/>
      <c r="CQ250"/>
      <c r="CR250"/>
      <c r="CS250"/>
      <c r="DS250"/>
      <c r="DT250"/>
      <c r="DU250"/>
    </row>
    <row r="251" spans="1:125" hidden="1">
      <c r="A251" s="15">
        <f t="shared" si="26"/>
        <v>0</v>
      </c>
      <c r="B251" t="str">
        <f t="shared" si="27"/>
        <v/>
      </c>
      <c r="C251" t="str">
        <f>IFERROR(IF(INDEX('M04-S07'!$BL$18:$BL$199,2*(ROWS($C$246:C251)-1)+1)="","",INDEX('M04-S07'!$BL$18:$BL$199,2*(ROWS($C$246:C251)-1)+1)),"")</f>
        <v/>
      </c>
      <c r="D251" t="s">
        <v>135</v>
      </c>
      <c r="E251" t="str">
        <f>IFERROR(INDEX('M04-S07'!$BF$18:$BF$199,2*(ROWS(E$246:E251)-1)+1),"")</f>
        <v/>
      </c>
      <c r="F251" s="210"/>
      <c r="G251" s="194"/>
      <c r="H251" s="14" t="str">
        <f ca="1">IFERROR(ROUND(IF(AC251&lt;&gt;"","",INDEX('M04-S07'!$AH$18:$AH$199,2*(ROWS(H$246:H251)-1)+1)),2),"")</f>
        <v/>
      </c>
      <c r="I251" s="14" t="str">
        <f ca="1">IFERROR(ROUND(IF(AC251&lt;&gt;"","",INDEX('M04-S07'!$AJ$18:$AJ$199,2*(ROWS(I$246:I251)-1)+1)),2),"")</f>
        <v/>
      </c>
      <c r="J251" s="14" t="str">
        <f ca="1">IFERROR(ROUND(IF(AC251&lt;&gt;"","",INDEX('M04-S07'!$AL$18:$AL$199,2*(ROWS(J$246:J251)-1)+1)),2),"")</f>
        <v/>
      </c>
      <c r="K251" t="str">
        <f ca="1">IFERROR(IF(AC251&lt;&gt;"","",INDEX('M04-S07'!$AF$38:$AF$199,2*(ROWS(J$246:J251)-1)+1)),"")</f>
        <v/>
      </c>
      <c r="L251" s="10" t="str">
        <f ca="1">IFERROR(IF(AC251&lt;&gt;"","",ROUND(INDEX('M04-S07'!$BA$18:$BA$199,2*(ROWS(L$246:L251)-1)+1),3)),"")</f>
        <v/>
      </c>
      <c r="M251" s="10" t="str">
        <f ca="1">IFERROR(IF(AC251&lt;&gt;"","",ROUND(INDEX('M04-S07'!$BB$18:$BB$199,2*(ROWS(M$246:M251)-1)+1),3)),"")</f>
        <v/>
      </c>
      <c r="N251" s="219"/>
      <c r="O251" s="37" t="str">
        <f ca="1">IFERROR(IF(AC251&lt;&gt;"","",INDEX('M04-S07'!$AO$18:$AO$199,2*(ROWS(O$246:O251)-1)+1)),"")</f>
        <v/>
      </c>
      <c r="P251" s="37" t="str">
        <f ca="1">IFERROR(IF(AC251&lt;&gt;"","",INDEX('M04-S07'!$BH$18:$BH$199,2*(ROWS(P$246:P251)-1)+1)),"")</f>
        <v/>
      </c>
      <c r="Q251" s="37" t="str">
        <f ca="1">IFERROR(IF(AC251&lt;&gt;"","",INDEX('M04-S07'!$BG$18:$BG$199,2*(ROWS(Q$246:Q251)-1)+1)),"")</f>
        <v/>
      </c>
      <c r="R251" s="14" t="str">
        <f ca="1">IFERROR(IF(AC251&lt;&gt;"","",INDEX('M04-S07'!$AR$18:$AR$199,2*(ROWS(R$246:R251)-1)+1)),"")</f>
        <v/>
      </c>
      <c r="S251" s="14">
        <f ca="1">IFERROR(ROUND(IF(AC251&lt;&gt;"",INDEX('M04-S07'!$AH$18:$AH$199,2*(ROWS(S$246:S251)-1)+1),""),2),"")</f>
        <v>0</v>
      </c>
      <c r="T251" s="14" t="str">
        <f ca="1">IFERROR(ROUND(IF(AC251&lt;&gt;"",INDEX('M04-S07'!$AJ$18:$AJ$199,2*(ROWS(T$246:T251)-1)+1),""),2),"")</f>
        <v/>
      </c>
      <c r="U251" s="14" t="str">
        <f ca="1">IFERROR(ROUND(IF(AC251&lt;&gt;"",INDEX('M04-S07'!$AL$18:$AL$199,2*(ROWS(U$246:U251)-1)+1),""),2),"")</f>
        <v/>
      </c>
      <c r="V251">
        <f ca="1">IFERROR(IF(AC251&lt;&gt;"",INDEX('M04-S07'!$AF$38:$AF$199,2*(ROWS(V$246:V251)-1)+1),""),"")</f>
        <v>0</v>
      </c>
      <c r="W251" s="10" t="str">
        <f ca="1">IFERROR(IF(AC251&lt;&gt;"",ROUND(INDEX('M04-S07'!$BA$18:$BA$199,2*(ROWS(W$246:W251)-1)+1),3),""),"")</f>
        <v/>
      </c>
      <c r="X251" s="10" t="str">
        <f ca="1">IFERROR(IF(AC251&lt;&gt;"",ROUND(INDEX('M04-S07'!$BB$18:$BB$199,2*(ROWS(X$246:X251)-1)+1),3),""),"")</f>
        <v/>
      </c>
      <c r="Y251" s="210"/>
      <c r="Z251" s="31" t="str">
        <f ca="1">IFERROR(IF(AC251&lt;&gt;"",INDEX('M04-S07'!$AO$18:$AO$199,2*(ROWS(Z$246:Z251)-1)+1),""),"")</f>
        <v/>
      </c>
      <c r="AA251" s="37">
        <f ca="1">IFERROR(IF(AC251&lt;&gt;"",INDEX('M04-S07'!$BH$18:$BH$199,2*(ROWS(AA$246:AA251)-1)+1),""),"")</f>
        <v>0</v>
      </c>
      <c r="AB251" s="37" t="str">
        <f ca="1">IFERROR(IF(AC251&lt;&gt;"",INDEX('M04-S07'!$BG$18:$BG$199,2*(ROWS(AB$246:AB251)-1)+1),""),"")</f>
        <v/>
      </c>
      <c r="AC251" t="str">
        <f ca="1">IFERROR(INDEX('M04-S07'!$BN$18:$BN$199,2*(ROWS(AC$246:AC251)-1)+1),"")</f>
        <v>Submit for Review</v>
      </c>
      <c r="AD251" s="37" t="str" cm="1">
        <f t="array" ref="AD251">IFERROR(INDEX('M04-S07'!$BC$18:$BC$199,2*(ROWS(AD$246:AD251)-1)+1),"")</f>
        <v/>
      </c>
      <c r="AE251" s="37" t="str" cm="1">
        <f t="array" ref="AE251">IFERROR(INDEX('M04-S07'!$BD$18:$BD$199,2*(ROWS(AE$246:AE251)-1)+1),"")</f>
        <v/>
      </c>
      <c r="AF251" s="210"/>
      <c r="AG251" s="210"/>
      <c r="AH251" s="210"/>
      <c r="AI251">
        <f>IFERROR(INDEX('M04-S07'!$B$18:$B$199,2*(ROWS(AI$246:AI251)-1)+1),"")</f>
        <v>6</v>
      </c>
      <c r="AJ251" s="194"/>
      <c r="AK251">
        <f>IFERROR(INDEX('M04-S07'!$H$18:$H$199,2*(ROWS(AK$246:AK251)-1)+1),"")</f>
        <v>0</v>
      </c>
      <c r="AL251">
        <f>IFERROR(INDEX('M04-S07'!$N$18:$N$199,2*(ROWS(AL$246:AL251)-1)+1),"")</f>
        <v>0</v>
      </c>
      <c r="AM251">
        <f>IFERROR(INDEX('M04-S07'!$W$18:$W$199,2*(ROWS(AM$246:AM251)-1)+1),"")</f>
        <v>0</v>
      </c>
      <c r="AN251" s="14" t="str">
        <f>IFERROR(INDEX('M04-S07'!$AX$18:$AX$199,2*(ROWS(AN$246:AN251)-1)+1),"")</f>
        <v/>
      </c>
      <c r="AO251" s="14" t="str">
        <f>IFERROR(INDEX('M04-S07'!$AY$18:$AY$199,2*(ROWS(AO$246:AO251)-1)+1),"")</f>
        <v/>
      </c>
      <c r="AP251" t="str">
        <f>IFERROR(INDEX('M04-S07'!$AZ$18:$AZ$199,2*(ROWS(AP$246:AP251)-1)+1),"")</f>
        <v/>
      </c>
      <c r="AQ251" t="str">
        <f>IFERROR(INDEX('M04-S07'!$BE$18:$BE$199,2*(ROWS(AQ$246:AQ251)-1)+1),"")</f>
        <v/>
      </c>
      <c r="AR251" t="s">
        <v>1254</v>
      </c>
      <c r="AS251"/>
      <c r="BL251"/>
      <c r="BP251"/>
      <c r="BQ251"/>
      <c r="BR251"/>
      <c r="CD251"/>
      <c r="CE251"/>
      <c r="CF251"/>
      <c r="CQ251"/>
      <c r="CR251"/>
      <c r="CS251"/>
      <c r="DS251"/>
      <c r="DT251"/>
      <c r="DU251"/>
    </row>
    <row r="252" spans="1:125" hidden="1">
      <c r="A252" s="15">
        <f t="shared" si="26"/>
        <v>0</v>
      </c>
      <c r="B252" t="str">
        <f t="shared" si="27"/>
        <v/>
      </c>
      <c r="C252" t="str">
        <f>IFERROR(IF(INDEX('M04-S07'!$BL$18:$BL$199,2*(ROWS($C$246:C252)-1)+1)="","",INDEX('M04-S07'!$BL$18:$BL$199,2*(ROWS($C$246:C252)-1)+1)),"")</f>
        <v/>
      </c>
      <c r="D252" t="s">
        <v>135</v>
      </c>
      <c r="E252" t="str">
        <f>IFERROR(INDEX('M04-S07'!$BF$18:$BF$199,2*(ROWS(E$246:E252)-1)+1),"")</f>
        <v/>
      </c>
      <c r="F252" s="210"/>
      <c r="G252" s="194"/>
      <c r="H252" s="14" t="str">
        <f ca="1">IFERROR(ROUND(IF(AC252&lt;&gt;"","",INDEX('M04-S07'!$AH$18:$AH$199,2*(ROWS(H$246:H252)-1)+1)),2),"")</f>
        <v/>
      </c>
      <c r="I252" s="14" t="str">
        <f ca="1">IFERROR(ROUND(IF(AC252&lt;&gt;"","",INDEX('M04-S07'!$AJ$18:$AJ$199,2*(ROWS(I$246:I252)-1)+1)),2),"")</f>
        <v/>
      </c>
      <c r="J252" s="14" t="str">
        <f ca="1">IFERROR(ROUND(IF(AC252&lt;&gt;"","",INDEX('M04-S07'!$AL$18:$AL$199,2*(ROWS(J$246:J252)-1)+1)),2),"")</f>
        <v/>
      </c>
      <c r="K252" t="str">
        <f ca="1">IFERROR(IF(AC252&lt;&gt;"","",INDEX('M04-S07'!$AF$38:$AF$199,2*(ROWS(J$246:J252)-1)+1)),"")</f>
        <v/>
      </c>
      <c r="L252" s="10" t="str">
        <f ca="1">IFERROR(IF(AC252&lt;&gt;"","",ROUND(INDEX('M04-S07'!$BA$18:$BA$199,2*(ROWS(L$246:L252)-1)+1),3)),"")</f>
        <v/>
      </c>
      <c r="M252" s="10" t="str">
        <f ca="1">IFERROR(IF(AC252&lt;&gt;"","",ROUND(INDEX('M04-S07'!$BB$18:$BB$199,2*(ROWS(M$246:M252)-1)+1),3)),"")</f>
        <v/>
      </c>
      <c r="N252" s="219"/>
      <c r="O252" s="37" t="str">
        <f ca="1">IFERROR(IF(AC252&lt;&gt;"","",INDEX('M04-S07'!$AO$18:$AO$199,2*(ROWS(O$246:O252)-1)+1)),"")</f>
        <v/>
      </c>
      <c r="P252" s="37" t="str">
        <f ca="1">IFERROR(IF(AC252&lt;&gt;"","",INDEX('M04-S07'!$BH$18:$BH$199,2*(ROWS(P$246:P252)-1)+1)),"")</f>
        <v/>
      </c>
      <c r="Q252" s="37" t="str">
        <f ca="1">IFERROR(IF(AC252&lt;&gt;"","",INDEX('M04-S07'!$BG$18:$BG$199,2*(ROWS(Q$246:Q252)-1)+1)),"")</f>
        <v/>
      </c>
      <c r="R252" s="14" t="str">
        <f ca="1">IFERROR(IF(AC252&lt;&gt;"","",INDEX('M04-S07'!$AR$18:$AR$199,2*(ROWS(R$246:R252)-1)+1)),"")</f>
        <v/>
      </c>
      <c r="S252" s="14">
        <f ca="1">IFERROR(ROUND(IF(AC252&lt;&gt;"",INDEX('M04-S07'!$AH$18:$AH$199,2*(ROWS(S$246:S252)-1)+1),""),2),"")</f>
        <v>0</v>
      </c>
      <c r="T252" s="14" t="str">
        <f ca="1">IFERROR(ROUND(IF(AC252&lt;&gt;"",INDEX('M04-S07'!$AJ$18:$AJ$199,2*(ROWS(T$246:T252)-1)+1),""),2),"")</f>
        <v/>
      </c>
      <c r="U252" s="14" t="str">
        <f ca="1">IFERROR(ROUND(IF(AC252&lt;&gt;"",INDEX('M04-S07'!$AL$18:$AL$199,2*(ROWS(U$246:U252)-1)+1),""),2),"")</f>
        <v/>
      </c>
      <c r="V252">
        <f ca="1">IFERROR(IF(AC252&lt;&gt;"",INDEX('M04-S07'!$AF$38:$AF$199,2*(ROWS(V$246:V252)-1)+1),""),"")</f>
        <v>0</v>
      </c>
      <c r="W252" s="10" t="str">
        <f ca="1">IFERROR(IF(AC252&lt;&gt;"",ROUND(INDEX('M04-S07'!$BA$18:$BA$199,2*(ROWS(W$246:W252)-1)+1),3),""),"")</f>
        <v/>
      </c>
      <c r="X252" s="10" t="str">
        <f ca="1">IFERROR(IF(AC252&lt;&gt;"",ROUND(INDEX('M04-S07'!$BB$18:$BB$199,2*(ROWS(X$246:X252)-1)+1),3),""),"")</f>
        <v/>
      </c>
      <c r="Y252" s="210"/>
      <c r="Z252" s="31" t="str">
        <f ca="1">IFERROR(IF(AC252&lt;&gt;"",INDEX('M04-S07'!$AO$18:$AO$199,2*(ROWS(Z$246:Z252)-1)+1),""),"")</f>
        <v/>
      </c>
      <c r="AA252" s="37">
        <f ca="1">IFERROR(IF(AC252&lt;&gt;"",INDEX('M04-S07'!$BH$18:$BH$199,2*(ROWS(AA$246:AA252)-1)+1),""),"")</f>
        <v>0</v>
      </c>
      <c r="AB252" s="37" t="str">
        <f ca="1">IFERROR(IF(AC252&lt;&gt;"",INDEX('M04-S07'!$BG$18:$BG$199,2*(ROWS(AB$246:AB252)-1)+1),""),"")</f>
        <v/>
      </c>
      <c r="AC252" t="str">
        <f ca="1">IFERROR(INDEX('M04-S07'!$BN$18:$BN$199,2*(ROWS(AC$246:AC252)-1)+1),"")</f>
        <v>Submit for Review</v>
      </c>
      <c r="AD252" s="37" t="str" cm="1">
        <f t="array" ref="AD252">IFERROR(INDEX('M04-S07'!$BC$18:$BC$199,2*(ROWS(AD$246:AD252)-1)+1),"")</f>
        <v/>
      </c>
      <c r="AE252" s="37" t="str" cm="1">
        <f t="array" ref="AE252">IFERROR(INDEX('M04-S07'!$BD$18:$BD$199,2*(ROWS(AE$246:AE252)-1)+1),"")</f>
        <v/>
      </c>
      <c r="AF252" s="210"/>
      <c r="AG252" s="210"/>
      <c r="AH252" s="210"/>
      <c r="AI252">
        <f>IFERROR(INDEX('M04-S07'!$B$18:$B$199,2*(ROWS(AI$246:AI252)-1)+1),"")</f>
        <v>7</v>
      </c>
      <c r="AJ252" s="194"/>
      <c r="AK252">
        <f>IFERROR(INDEX('M04-S07'!$H$18:$H$199,2*(ROWS(AK$246:AK252)-1)+1),"")</f>
        <v>0</v>
      </c>
      <c r="AL252">
        <f>IFERROR(INDEX('M04-S07'!$N$18:$N$199,2*(ROWS(AL$246:AL252)-1)+1),"")</f>
        <v>0</v>
      </c>
      <c r="AM252">
        <f>IFERROR(INDEX('M04-S07'!$W$18:$W$199,2*(ROWS(AM$246:AM252)-1)+1),"")</f>
        <v>0</v>
      </c>
      <c r="AN252" s="14" t="str">
        <f>IFERROR(INDEX('M04-S07'!$AX$18:$AX$199,2*(ROWS(AN$246:AN252)-1)+1),"")</f>
        <v/>
      </c>
      <c r="AO252" s="14" t="str">
        <f>IFERROR(INDEX('M04-S07'!$AY$18:$AY$199,2*(ROWS(AO$246:AO252)-1)+1),"")</f>
        <v/>
      </c>
      <c r="AP252" t="str">
        <f>IFERROR(INDEX('M04-S07'!$AZ$18:$AZ$199,2*(ROWS(AP$246:AP252)-1)+1),"")</f>
        <v/>
      </c>
      <c r="AQ252" t="str">
        <f>IFERROR(INDEX('M04-S07'!$BE$18:$BE$199,2*(ROWS(AQ$246:AQ252)-1)+1),"")</f>
        <v/>
      </c>
      <c r="AR252" t="s">
        <v>1254</v>
      </c>
      <c r="AS252"/>
      <c r="BL252"/>
      <c r="BP252"/>
      <c r="BQ252"/>
      <c r="BR252"/>
      <c r="CD252"/>
      <c r="CE252"/>
      <c r="CF252"/>
      <c r="CQ252"/>
      <c r="CR252"/>
      <c r="CS252"/>
      <c r="DS252"/>
      <c r="DT252"/>
      <c r="DU252"/>
    </row>
    <row r="253" spans="1:125" hidden="1">
      <c r="A253" s="15">
        <f t="shared" si="26"/>
        <v>0</v>
      </c>
      <c r="B253" t="str">
        <f t="shared" si="27"/>
        <v/>
      </c>
      <c r="C253" t="str">
        <f>IFERROR(IF(INDEX('M04-S07'!$BL$18:$BL$199,2*(ROWS($C$246:C253)-1)+1)="","",INDEX('M04-S07'!$BL$18:$BL$199,2*(ROWS($C$246:C253)-1)+1)),"")</f>
        <v/>
      </c>
      <c r="D253" t="s">
        <v>135</v>
      </c>
      <c r="E253" t="str">
        <f>IFERROR(INDEX('M04-S07'!$BF$18:$BF$199,2*(ROWS(E$246:E253)-1)+1),"")</f>
        <v/>
      </c>
      <c r="F253" s="210"/>
      <c r="G253" s="194"/>
      <c r="H253" s="14" t="str">
        <f ca="1">IFERROR(ROUND(IF(AC253&lt;&gt;"","",INDEX('M04-S07'!$AH$18:$AH$199,2*(ROWS(H$246:H253)-1)+1)),2),"")</f>
        <v/>
      </c>
      <c r="I253" s="14" t="str">
        <f ca="1">IFERROR(ROUND(IF(AC253&lt;&gt;"","",INDEX('M04-S07'!$AJ$18:$AJ$199,2*(ROWS(I$246:I253)-1)+1)),2),"")</f>
        <v/>
      </c>
      <c r="J253" s="14" t="str">
        <f ca="1">IFERROR(ROUND(IF(AC253&lt;&gt;"","",INDEX('M04-S07'!$AL$18:$AL$199,2*(ROWS(J$246:J253)-1)+1)),2),"")</f>
        <v/>
      </c>
      <c r="K253" t="str">
        <f ca="1">IFERROR(IF(AC253&lt;&gt;"","",INDEX('M04-S07'!$AF$38:$AF$199,2*(ROWS(J$246:J253)-1)+1)),"")</f>
        <v/>
      </c>
      <c r="L253" s="10" t="str">
        <f ca="1">IFERROR(IF(AC253&lt;&gt;"","",ROUND(INDEX('M04-S07'!$BA$18:$BA$199,2*(ROWS(L$246:L253)-1)+1),3)),"")</f>
        <v/>
      </c>
      <c r="M253" s="10" t="str">
        <f ca="1">IFERROR(IF(AC253&lt;&gt;"","",ROUND(INDEX('M04-S07'!$BB$18:$BB$199,2*(ROWS(M$246:M253)-1)+1),3)),"")</f>
        <v/>
      </c>
      <c r="N253" s="219"/>
      <c r="O253" s="37" t="str">
        <f ca="1">IFERROR(IF(AC253&lt;&gt;"","",INDEX('M04-S07'!$AO$18:$AO$199,2*(ROWS(O$246:O253)-1)+1)),"")</f>
        <v/>
      </c>
      <c r="P253" s="37" t="str">
        <f ca="1">IFERROR(IF(AC253&lt;&gt;"","",INDEX('M04-S07'!$BH$18:$BH$199,2*(ROWS(P$246:P253)-1)+1)),"")</f>
        <v/>
      </c>
      <c r="Q253" s="37" t="str">
        <f ca="1">IFERROR(IF(AC253&lt;&gt;"","",INDEX('M04-S07'!$BG$18:$BG$199,2*(ROWS(Q$246:Q253)-1)+1)),"")</f>
        <v/>
      </c>
      <c r="R253" s="14" t="str">
        <f ca="1">IFERROR(IF(AC253&lt;&gt;"","",INDEX('M04-S07'!$AR$18:$AR$199,2*(ROWS(R$246:R253)-1)+1)),"")</f>
        <v/>
      </c>
      <c r="S253" s="14">
        <f ca="1">IFERROR(ROUND(IF(AC253&lt;&gt;"",INDEX('M04-S07'!$AH$18:$AH$199,2*(ROWS(S$246:S253)-1)+1),""),2),"")</f>
        <v>0</v>
      </c>
      <c r="T253" s="14" t="str">
        <f ca="1">IFERROR(ROUND(IF(AC253&lt;&gt;"",INDEX('M04-S07'!$AJ$18:$AJ$199,2*(ROWS(T$246:T253)-1)+1),""),2),"")</f>
        <v/>
      </c>
      <c r="U253" s="14" t="str">
        <f ca="1">IFERROR(ROUND(IF(AC253&lt;&gt;"",INDEX('M04-S07'!$AL$18:$AL$199,2*(ROWS(U$246:U253)-1)+1),""),2),"")</f>
        <v/>
      </c>
      <c r="V253">
        <f ca="1">IFERROR(IF(AC253&lt;&gt;"",INDEX('M04-S07'!$AF$38:$AF$199,2*(ROWS(V$246:V253)-1)+1),""),"")</f>
        <v>0</v>
      </c>
      <c r="W253" s="10" t="str">
        <f ca="1">IFERROR(IF(AC253&lt;&gt;"",ROUND(INDEX('M04-S07'!$BA$18:$BA$199,2*(ROWS(W$246:W253)-1)+1),3),""),"")</f>
        <v/>
      </c>
      <c r="X253" s="10" t="str">
        <f ca="1">IFERROR(IF(AC253&lt;&gt;"",ROUND(INDEX('M04-S07'!$BB$18:$BB$199,2*(ROWS(X$246:X253)-1)+1),3),""),"")</f>
        <v/>
      </c>
      <c r="Y253" s="210"/>
      <c r="Z253" s="31" t="str">
        <f ca="1">IFERROR(IF(AC253&lt;&gt;"",INDEX('M04-S07'!$AO$18:$AO$199,2*(ROWS(Z$246:Z253)-1)+1),""),"")</f>
        <v/>
      </c>
      <c r="AA253" s="37">
        <f ca="1">IFERROR(IF(AC253&lt;&gt;"",INDEX('M04-S07'!$BH$18:$BH$199,2*(ROWS(AA$246:AA253)-1)+1),""),"")</f>
        <v>0</v>
      </c>
      <c r="AB253" s="37" t="str">
        <f ca="1">IFERROR(IF(AC253&lt;&gt;"",INDEX('M04-S07'!$BG$18:$BG$199,2*(ROWS(AB$246:AB253)-1)+1),""),"")</f>
        <v/>
      </c>
      <c r="AC253" t="str">
        <f ca="1">IFERROR(INDEX('M04-S07'!$BN$18:$BN$199,2*(ROWS(AC$246:AC253)-1)+1),"")</f>
        <v>Submit for Review</v>
      </c>
      <c r="AD253" s="37" t="str" cm="1">
        <f t="array" ref="AD253">IFERROR(INDEX('M04-S07'!$BC$18:$BC$199,2*(ROWS(AD$246:AD253)-1)+1),"")</f>
        <v/>
      </c>
      <c r="AE253" s="37" t="str" cm="1">
        <f t="array" ref="AE253">IFERROR(INDEX('M04-S07'!$BD$18:$BD$199,2*(ROWS(AE$246:AE253)-1)+1),"")</f>
        <v/>
      </c>
      <c r="AF253" s="210"/>
      <c r="AG253" s="210"/>
      <c r="AH253" s="210"/>
      <c r="AI253">
        <f>IFERROR(INDEX('M04-S07'!$B$18:$B$199,2*(ROWS(AI$246:AI253)-1)+1),"")</f>
        <v>8</v>
      </c>
      <c r="AJ253" s="194"/>
      <c r="AK253">
        <f>IFERROR(INDEX('M04-S07'!$H$18:$H$199,2*(ROWS(AK$246:AK253)-1)+1),"")</f>
        <v>0</v>
      </c>
      <c r="AL253">
        <f>IFERROR(INDEX('M04-S07'!$N$18:$N$199,2*(ROWS(AL$246:AL253)-1)+1),"")</f>
        <v>0</v>
      </c>
      <c r="AM253">
        <f>IFERROR(INDEX('M04-S07'!$W$18:$W$199,2*(ROWS(AM$246:AM253)-1)+1),"")</f>
        <v>0</v>
      </c>
      <c r="AN253" s="14" t="str">
        <f>IFERROR(INDEX('M04-S07'!$AX$18:$AX$199,2*(ROWS(AN$246:AN253)-1)+1),"")</f>
        <v/>
      </c>
      <c r="AO253" s="14" t="str">
        <f>IFERROR(INDEX('M04-S07'!$AY$18:$AY$199,2*(ROWS(AO$246:AO253)-1)+1),"")</f>
        <v/>
      </c>
      <c r="AP253" t="str">
        <f>IFERROR(INDEX('M04-S07'!$AZ$18:$AZ$199,2*(ROWS(AP$246:AP253)-1)+1),"")</f>
        <v/>
      </c>
      <c r="AQ253" t="str">
        <f>IFERROR(INDEX('M04-S07'!$BE$18:$BE$199,2*(ROWS(AQ$246:AQ253)-1)+1),"")</f>
        <v/>
      </c>
      <c r="AR253" t="s">
        <v>1254</v>
      </c>
      <c r="AS253"/>
      <c r="BL253"/>
      <c r="BP253"/>
      <c r="BQ253"/>
      <c r="BR253"/>
      <c r="CD253"/>
      <c r="CE253"/>
      <c r="CF253"/>
      <c r="CQ253"/>
      <c r="CR253"/>
      <c r="CS253"/>
      <c r="DS253"/>
      <c r="DT253"/>
      <c r="DU253"/>
    </row>
    <row r="254" spans="1:125" hidden="1">
      <c r="A254" s="15">
        <f t="shared" si="26"/>
        <v>0</v>
      </c>
      <c r="B254" t="str">
        <f t="shared" si="27"/>
        <v/>
      </c>
      <c r="C254" t="str">
        <f>IFERROR(IF(INDEX('M04-S07'!$BL$18:$BL$199,2*(ROWS($C$246:C254)-1)+1)="","",INDEX('M04-S07'!$BL$18:$BL$199,2*(ROWS($C$246:C254)-1)+1)),"")</f>
        <v/>
      </c>
      <c r="D254" t="s">
        <v>135</v>
      </c>
      <c r="E254" t="str">
        <f>IFERROR(INDEX('M04-S07'!$BF$18:$BF$199,2*(ROWS(E$246:E254)-1)+1),"")</f>
        <v/>
      </c>
      <c r="F254" s="210"/>
      <c r="G254" s="194"/>
      <c r="H254" s="14" t="str">
        <f ca="1">IFERROR(ROUND(IF(AC254&lt;&gt;"","",INDEX('M04-S07'!$AH$18:$AH$199,2*(ROWS(H$246:H254)-1)+1)),2),"")</f>
        <v/>
      </c>
      <c r="I254" s="14" t="str">
        <f ca="1">IFERROR(ROUND(IF(AC254&lt;&gt;"","",INDEX('M04-S07'!$AJ$18:$AJ$199,2*(ROWS(I$246:I254)-1)+1)),2),"")</f>
        <v/>
      </c>
      <c r="J254" s="14" t="str">
        <f ca="1">IFERROR(ROUND(IF(AC254&lt;&gt;"","",INDEX('M04-S07'!$AL$18:$AL$199,2*(ROWS(J$246:J254)-1)+1)),2),"")</f>
        <v/>
      </c>
      <c r="K254" t="str">
        <f ca="1">IFERROR(IF(AC254&lt;&gt;"","",INDEX('M04-S07'!$AF$38:$AF$199,2*(ROWS(J$246:J254)-1)+1)),"")</f>
        <v/>
      </c>
      <c r="L254" s="10" t="str">
        <f ca="1">IFERROR(IF(AC254&lt;&gt;"","",ROUND(INDEX('M04-S07'!$BA$18:$BA$199,2*(ROWS(L$246:L254)-1)+1),3)),"")</f>
        <v/>
      </c>
      <c r="M254" s="10" t="str">
        <f ca="1">IFERROR(IF(AC254&lt;&gt;"","",ROUND(INDEX('M04-S07'!$BB$18:$BB$199,2*(ROWS(M$246:M254)-1)+1),3)),"")</f>
        <v/>
      </c>
      <c r="N254" s="219"/>
      <c r="O254" s="37" t="str">
        <f ca="1">IFERROR(IF(AC254&lt;&gt;"","",INDEX('M04-S07'!$AO$18:$AO$199,2*(ROWS(O$246:O254)-1)+1)),"")</f>
        <v/>
      </c>
      <c r="P254" s="37" t="str">
        <f ca="1">IFERROR(IF(AC254&lt;&gt;"","",INDEX('M04-S07'!$BH$18:$BH$199,2*(ROWS(P$246:P254)-1)+1)),"")</f>
        <v/>
      </c>
      <c r="Q254" s="37" t="str">
        <f ca="1">IFERROR(IF(AC254&lt;&gt;"","",INDEX('M04-S07'!$BG$18:$BG$199,2*(ROWS(Q$246:Q254)-1)+1)),"")</f>
        <v/>
      </c>
      <c r="R254" s="14" t="str">
        <f ca="1">IFERROR(IF(AC254&lt;&gt;"","",INDEX('M04-S07'!$AR$18:$AR$199,2*(ROWS(R$246:R254)-1)+1)),"")</f>
        <v/>
      </c>
      <c r="S254" s="14">
        <f ca="1">IFERROR(ROUND(IF(AC254&lt;&gt;"",INDEX('M04-S07'!$AH$18:$AH$199,2*(ROWS(S$246:S254)-1)+1),""),2),"")</f>
        <v>0</v>
      </c>
      <c r="T254" s="14" t="str">
        <f ca="1">IFERROR(ROUND(IF(AC254&lt;&gt;"",INDEX('M04-S07'!$AJ$18:$AJ$199,2*(ROWS(T$246:T254)-1)+1),""),2),"")</f>
        <v/>
      </c>
      <c r="U254" s="14" t="str">
        <f ca="1">IFERROR(ROUND(IF(AC254&lt;&gt;"",INDEX('M04-S07'!$AL$18:$AL$199,2*(ROWS(U$246:U254)-1)+1),""),2),"")</f>
        <v/>
      </c>
      <c r="V254">
        <f ca="1">IFERROR(IF(AC254&lt;&gt;"",INDEX('M04-S07'!$AF$38:$AF$199,2*(ROWS(V$246:V254)-1)+1),""),"")</f>
        <v>0</v>
      </c>
      <c r="W254" s="10" t="str">
        <f ca="1">IFERROR(IF(AC254&lt;&gt;"",ROUND(INDEX('M04-S07'!$BA$18:$BA$199,2*(ROWS(W$246:W254)-1)+1),3),""),"")</f>
        <v/>
      </c>
      <c r="X254" s="10" t="str">
        <f ca="1">IFERROR(IF(AC254&lt;&gt;"",ROUND(INDEX('M04-S07'!$BB$18:$BB$199,2*(ROWS(X$246:X254)-1)+1),3),""),"")</f>
        <v/>
      </c>
      <c r="Y254" s="210"/>
      <c r="Z254" s="31" t="str">
        <f ca="1">IFERROR(IF(AC254&lt;&gt;"",INDEX('M04-S07'!$AO$18:$AO$199,2*(ROWS(Z$246:Z254)-1)+1),""),"")</f>
        <v/>
      </c>
      <c r="AA254" s="37">
        <f ca="1">IFERROR(IF(AC254&lt;&gt;"",INDEX('M04-S07'!$BH$18:$BH$199,2*(ROWS(AA$246:AA254)-1)+1),""),"")</f>
        <v>0</v>
      </c>
      <c r="AB254" s="37" t="str">
        <f ca="1">IFERROR(IF(AC254&lt;&gt;"",INDEX('M04-S07'!$BG$18:$BG$199,2*(ROWS(AB$246:AB254)-1)+1),""),"")</f>
        <v/>
      </c>
      <c r="AC254" t="str">
        <f ca="1">IFERROR(INDEX('M04-S07'!$BN$18:$BN$199,2*(ROWS(AC$246:AC254)-1)+1),"")</f>
        <v>Submit for Review</v>
      </c>
      <c r="AD254" s="37" t="str" cm="1">
        <f t="array" ref="AD254">IFERROR(INDEX('M04-S07'!$BC$18:$BC$199,2*(ROWS(AD$246:AD254)-1)+1),"")</f>
        <v/>
      </c>
      <c r="AE254" s="37" t="str" cm="1">
        <f t="array" ref="AE254">IFERROR(INDEX('M04-S07'!$BD$18:$BD$199,2*(ROWS(AE$246:AE254)-1)+1),"")</f>
        <v/>
      </c>
      <c r="AF254" s="210"/>
      <c r="AG254" s="210"/>
      <c r="AH254" s="210"/>
      <c r="AI254">
        <f>IFERROR(INDEX('M04-S07'!$B$18:$B$199,2*(ROWS(AI$246:AI254)-1)+1),"")</f>
        <v>9</v>
      </c>
      <c r="AJ254" s="194"/>
      <c r="AK254">
        <f>IFERROR(INDEX('M04-S07'!$H$18:$H$199,2*(ROWS(AK$246:AK254)-1)+1),"")</f>
        <v>0</v>
      </c>
      <c r="AL254">
        <f>IFERROR(INDEX('M04-S07'!$N$18:$N$199,2*(ROWS(AL$246:AL254)-1)+1),"")</f>
        <v>0</v>
      </c>
      <c r="AM254">
        <f>IFERROR(INDEX('M04-S07'!$W$18:$W$199,2*(ROWS(AM$246:AM254)-1)+1),"")</f>
        <v>0</v>
      </c>
      <c r="AN254" s="14" t="str">
        <f>IFERROR(INDEX('M04-S07'!$AX$18:$AX$199,2*(ROWS(AN$246:AN254)-1)+1),"")</f>
        <v/>
      </c>
      <c r="AO254" s="14" t="str">
        <f>IFERROR(INDEX('M04-S07'!$AY$18:$AY$199,2*(ROWS(AO$246:AO254)-1)+1),"")</f>
        <v/>
      </c>
      <c r="AP254" t="str">
        <f>IFERROR(INDEX('M04-S07'!$AZ$18:$AZ$199,2*(ROWS(AP$246:AP254)-1)+1),"")</f>
        <v/>
      </c>
      <c r="AQ254" t="str">
        <f>IFERROR(INDEX('M04-S07'!$BE$18:$BE$199,2*(ROWS(AQ$246:AQ254)-1)+1),"")</f>
        <v/>
      </c>
      <c r="AR254" t="s">
        <v>1254</v>
      </c>
      <c r="AS254"/>
      <c r="BL254"/>
      <c r="BP254"/>
      <c r="BQ254"/>
      <c r="BR254"/>
      <c r="CD254"/>
      <c r="CE254"/>
      <c r="CF254"/>
      <c r="CQ254"/>
      <c r="CR254"/>
      <c r="CS254"/>
      <c r="DS254"/>
      <c r="DT254"/>
      <c r="DU254"/>
    </row>
    <row r="255" spans="1:125" hidden="1">
      <c r="A255" s="15">
        <f t="shared" si="26"/>
        <v>0</v>
      </c>
      <c r="B255" t="str">
        <f t="shared" si="27"/>
        <v/>
      </c>
      <c r="C255" t="str">
        <f>IFERROR(IF(INDEX('M04-S07'!$BL$18:$BL$199,2*(ROWS($C$246:C255)-1)+1)="","",INDEX('M04-S07'!$BL$18:$BL$199,2*(ROWS($C$246:C255)-1)+1)),"")</f>
        <v/>
      </c>
      <c r="D255" t="s">
        <v>135</v>
      </c>
      <c r="E255" t="str">
        <f>IFERROR(INDEX('M04-S07'!$BF$18:$BF$199,2*(ROWS(E$246:E255)-1)+1),"")</f>
        <v/>
      </c>
      <c r="F255" s="210"/>
      <c r="G255" s="194"/>
      <c r="H255" s="14" t="str">
        <f ca="1">IFERROR(ROUND(IF(AC255&lt;&gt;"","",INDEX('M04-S07'!$AH$18:$AH$199,2*(ROWS(H$246:H255)-1)+1)),2),"")</f>
        <v/>
      </c>
      <c r="I255" s="14" t="str">
        <f ca="1">IFERROR(ROUND(IF(AC255&lt;&gt;"","",INDEX('M04-S07'!$AJ$18:$AJ$199,2*(ROWS(I$246:I255)-1)+1)),2),"")</f>
        <v/>
      </c>
      <c r="J255" s="14" t="str">
        <f ca="1">IFERROR(ROUND(IF(AC255&lt;&gt;"","",INDEX('M04-S07'!$AL$18:$AL$199,2*(ROWS(J$246:J255)-1)+1)),2),"")</f>
        <v/>
      </c>
      <c r="K255" t="str">
        <f ca="1">IFERROR(IF(AC255&lt;&gt;"","",INDEX('M04-S07'!$AF$38:$AF$199,2*(ROWS(J$246:J255)-1)+1)),"")</f>
        <v/>
      </c>
      <c r="L255" s="10" t="str">
        <f ca="1">IFERROR(IF(AC255&lt;&gt;"","",ROUND(INDEX('M04-S07'!$BA$18:$BA$199,2*(ROWS(L$246:L255)-1)+1),3)),"")</f>
        <v/>
      </c>
      <c r="M255" s="10" t="str">
        <f ca="1">IFERROR(IF(AC255&lt;&gt;"","",ROUND(INDEX('M04-S07'!$BB$18:$BB$199,2*(ROWS(M$246:M255)-1)+1),3)),"")</f>
        <v/>
      </c>
      <c r="N255" s="219"/>
      <c r="O255" s="37" t="str">
        <f ca="1">IFERROR(IF(AC255&lt;&gt;"","",INDEX('M04-S07'!$AO$18:$AO$199,2*(ROWS(O$246:O255)-1)+1)),"")</f>
        <v/>
      </c>
      <c r="P255" s="37" t="str">
        <f ca="1">IFERROR(IF(AC255&lt;&gt;"","",INDEX('M04-S07'!$BH$18:$BH$199,2*(ROWS(P$246:P255)-1)+1)),"")</f>
        <v/>
      </c>
      <c r="Q255" s="37" t="str">
        <f ca="1">IFERROR(IF(AC255&lt;&gt;"","",INDEX('M04-S07'!$BG$18:$BG$199,2*(ROWS(Q$246:Q255)-1)+1)),"")</f>
        <v/>
      </c>
      <c r="R255" s="14" t="str">
        <f ca="1">IFERROR(IF(AC255&lt;&gt;"","",INDEX('M04-S07'!$AR$18:$AR$199,2*(ROWS(R$246:R255)-1)+1)),"")</f>
        <v/>
      </c>
      <c r="S255" s="14">
        <f ca="1">IFERROR(ROUND(IF(AC255&lt;&gt;"",INDEX('M04-S07'!$AH$18:$AH$199,2*(ROWS(S$246:S255)-1)+1),""),2),"")</f>
        <v>0</v>
      </c>
      <c r="T255" s="14" t="str">
        <f ca="1">IFERROR(ROUND(IF(AC255&lt;&gt;"",INDEX('M04-S07'!$AJ$18:$AJ$199,2*(ROWS(T$246:T255)-1)+1),""),2),"")</f>
        <v/>
      </c>
      <c r="U255" s="14" t="str">
        <f ca="1">IFERROR(ROUND(IF(AC255&lt;&gt;"",INDEX('M04-S07'!$AL$18:$AL$199,2*(ROWS(U$246:U255)-1)+1),""),2),"")</f>
        <v/>
      </c>
      <c r="V255">
        <f ca="1">IFERROR(IF(AC255&lt;&gt;"",INDEX('M04-S07'!$AF$38:$AF$199,2*(ROWS(V$246:V255)-1)+1),""),"")</f>
        <v>0</v>
      </c>
      <c r="W255" s="10" t="str">
        <f ca="1">IFERROR(IF(AC255&lt;&gt;"",ROUND(INDEX('M04-S07'!$BA$18:$BA$199,2*(ROWS(W$246:W255)-1)+1),3),""),"")</f>
        <v/>
      </c>
      <c r="X255" s="10" t="str">
        <f ca="1">IFERROR(IF(AC255&lt;&gt;"",ROUND(INDEX('M04-S07'!$BB$18:$BB$199,2*(ROWS(X$246:X255)-1)+1),3),""),"")</f>
        <v/>
      </c>
      <c r="Y255" s="210"/>
      <c r="Z255" s="31" t="str">
        <f ca="1">IFERROR(IF(AC255&lt;&gt;"",INDEX('M04-S07'!$AO$18:$AO$199,2*(ROWS(Z$246:Z255)-1)+1),""),"")</f>
        <v/>
      </c>
      <c r="AA255" s="37">
        <f ca="1">IFERROR(IF(AC255&lt;&gt;"",INDEX('M04-S07'!$BH$18:$BH$199,2*(ROWS(AA$246:AA255)-1)+1),""),"")</f>
        <v>0</v>
      </c>
      <c r="AB255" s="37" t="str">
        <f ca="1">IFERROR(IF(AC255&lt;&gt;"",INDEX('M04-S07'!$BG$18:$BG$199,2*(ROWS(AB$246:AB255)-1)+1),""),"")</f>
        <v/>
      </c>
      <c r="AC255" t="str">
        <f ca="1">IFERROR(INDEX('M04-S07'!$BN$18:$BN$199,2*(ROWS(AC$246:AC255)-1)+1),"")</f>
        <v>Submit for Review</v>
      </c>
      <c r="AD255" s="37" t="str" cm="1">
        <f t="array" ref="AD255">IFERROR(INDEX('M04-S07'!$BC$18:$BC$199,2*(ROWS(AD$246:AD255)-1)+1),"")</f>
        <v/>
      </c>
      <c r="AE255" s="37" t="str" cm="1">
        <f t="array" ref="AE255">IFERROR(INDEX('M04-S07'!$BD$18:$BD$199,2*(ROWS(AE$246:AE255)-1)+1),"")</f>
        <v/>
      </c>
      <c r="AF255" s="210"/>
      <c r="AG255" s="210"/>
      <c r="AH255" s="210"/>
      <c r="AI255">
        <f>IFERROR(INDEX('M04-S07'!$B$18:$B$199,2*(ROWS(AI$246:AI255)-1)+1),"")</f>
        <v>10</v>
      </c>
      <c r="AJ255" s="194"/>
      <c r="AK255">
        <f>IFERROR(INDEX('M04-S07'!$H$18:$H$199,2*(ROWS(AK$246:AK255)-1)+1),"")</f>
        <v>0</v>
      </c>
      <c r="AL255">
        <f>IFERROR(INDEX('M04-S07'!$N$18:$N$199,2*(ROWS(AL$246:AL255)-1)+1),"")</f>
        <v>0</v>
      </c>
      <c r="AM255">
        <f>IFERROR(INDEX('M04-S07'!$W$18:$W$199,2*(ROWS(AM$246:AM255)-1)+1),"")</f>
        <v>0</v>
      </c>
      <c r="AN255" s="14" t="str">
        <f>IFERROR(INDEX('M04-S07'!$AX$18:$AX$199,2*(ROWS(AN$246:AN255)-1)+1),"")</f>
        <v/>
      </c>
      <c r="AO255" s="14" t="str">
        <f>IFERROR(INDEX('M04-S07'!$AY$18:$AY$199,2*(ROWS(AO$246:AO255)-1)+1),"")</f>
        <v/>
      </c>
      <c r="AP255" t="str">
        <f>IFERROR(INDEX('M04-S07'!$AZ$18:$AZ$199,2*(ROWS(AP$246:AP255)-1)+1),"")</f>
        <v/>
      </c>
      <c r="AQ255" t="str">
        <f>IFERROR(INDEX('M04-S07'!$BE$18:$BE$199,2*(ROWS(AQ$246:AQ255)-1)+1),"")</f>
        <v/>
      </c>
      <c r="AR255" t="s">
        <v>1254</v>
      </c>
      <c r="AS255"/>
      <c r="BL255"/>
      <c r="BP255"/>
      <c r="BQ255"/>
      <c r="BR255"/>
      <c r="CD255"/>
      <c r="CE255"/>
      <c r="CF255"/>
      <c r="CQ255"/>
      <c r="CR255"/>
      <c r="CS255"/>
      <c r="DS255"/>
      <c r="DT255"/>
      <c r="DU255"/>
    </row>
    <row r="256" spans="1:125" hidden="1">
      <c r="A256" s="15">
        <f t="shared" si="26"/>
        <v>0</v>
      </c>
      <c r="B256" t="str">
        <f t="shared" si="27"/>
        <v/>
      </c>
      <c r="C256" t="str">
        <f>IFERROR(IF(INDEX('M04-S07'!$BL$18:$BL$199,2*(ROWS($C$246:C256)-1)+1)="","",INDEX('M04-S07'!$BL$18:$BL$199,2*(ROWS($C$246:C256)-1)+1)),"")</f>
        <v/>
      </c>
      <c r="D256" t="s">
        <v>135</v>
      </c>
      <c r="E256">
        <f>IFERROR(INDEX('M04-S07'!$BF$18:$BF$199,2*(ROWS(E$246:E256)-1)+1),"")</f>
        <v>0</v>
      </c>
      <c r="F256" s="210"/>
      <c r="G256" s="194"/>
      <c r="H256" s="14" t="str">
        <f>IFERROR(ROUND(IF(AC256&lt;&gt;"","",INDEX('M04-S07'!$AH$18:$AH$199,2*(ROWS(H$246:H256)-1)+1)),2),"")</f>
        <v/>
      </c>
      <c r="I256" s="14" t="str">
        <f>IFERROR(ROUND(IF(AC256&lt;&gt;"","",INDEX('M04-S07'!$AJ$18:$AJ$199,2*(ROWS(I$246:I256)-1)+1)),2),"")</f>
        <v/>
      </c>
      <c r="J256" s="14" t="str">
        <f>IFERROR(ROUND(IF(AC256&lt;&gt;"","",INDEX('M04-S07'!$AL$18:$AL$199,2*(ROWS(J$246:J256)-1)+1)),2),"")</f>
        <v/>
      </c>
      <c r="K256" t="str">
        <f>IFERROR(IF(AC256&lt;&gt;"","",INDEX('M04-S07'!$AF$38:$AF$199,2*(ROWS(J$246:J256)-1)+1)),"")</f>
        <v/>
      </c>
      <c r="L256" s="10" t="str">
        <f>IFERROR(IF(AC256&lt;&gt;"","",ROUND(INDEX('M04-S07'!$BA$18:$BA$199,2*(ROWS(L$246:L256)-1)+1),3)),"")</f>
        <v/>
      </c>
      <c r="M256" s="10" t="str">
        <f>IFERROR(IF(AC256&lt;&gt;"","",ROUND(INDEX('M04-S07'!$BB$18:$BB$199,2*(ROWS(M$246:M256)-1)+1),3)),"")</f>
        <v/>
      </c>
      <c r="N256" s="219"/>
      <c r="O256" s="37" t="str">
        <f>IFERROR(IF(AC256&lt;&gt;"","",INDEX('M04-S07'!$AO$18:$AO$199,2*(ROWS(O$246:O256)-1)+1)),"")</f>
        <v/>
      </c>
      <c r="P256" s="37" t="str">
        <f>IFERROR(IF(AC256&lt;&gt;"","",INDEX('M04-S07'!$BH$18:$BH$199,2*(ROWS(P$246:P256)-1)+1)),"")</f>
        <v/>
      </c>
      <c r="Q256" s="37" t="str">
        <f>IFERROR(IF(AC256&lt;&gt;"","",INDEX('M04-S07'!$BG$18:$BG$199,2*(ROWS(Q$246:Q256)-1)+1)),"")</f>
        <v/>
      </c>
      <c r="R256" s="14" t="str">
        <f>IFERROR(IF(AC256&lt;&gt;"","",INDEX('M04-S07'!$AR$18:$AR$199,2*(ROWS(R$246:R256)-1)+1)),"")</f>
        <v/>
      </c>
      <c r="S256" s="14">
        <f>IFERROR(ROUND(IF(AC256&lt;&gt;"",INDEX('M04-S07'!$AH$18:$AH$199,2*(ROWS(S$246:S256)-1)+1),""),2),"")</f>
        <v>0</v>
      </c>
      <c r="T256" s="14">
        <f>IFERROR(ROUND(IF(AC256&lt;&gt;"",INDEX('M04-S07'!$AJ$18:$AJ$199,2*(ROWS(T$246:T256)-1)+1),""),2),"")</f>
        <v>0</v>
      </c>
      <c r="U256" s="14">
        <f>IFERROR(ROUND(IF(AC256&lt;&gt;"",INDEX('M04-S07'!$AL$18:$AL$199,2*(ROWS(U$246:U256)-1)+1),""),2),"")</f>
        <v>0</v>
      </c>
      <c r="V256">
        <f>IFERROR(IF(AC256&lt;&gt;"",INDEX('M04-S07'!$AF$38:$AF$199,2*(ROWS(V$246:V256)-1)+1),""),"")</f>
        <v>0</v>
      </c>
      <c r="W256" s="10">
        <f>IFERROR(IF(AC256&lt;&gt;"",ROUND(INDEX('M04-S07'!$BA$18:$BA$199,2*(ROWS(W$246:W256)-1)+1),3),""),"")</f>
        <v>0</v>
      </c>
      <c r="X256" s="10">
        <f>IFERROR(IF(AC256&lt;&gt;"",ROUND(INDEX('M04-S07'!$BB$18:$BB$199,2*(ROWS(X$246:X256)-1)+1),3),""),"")</f>
        <v>0</v>
      </c>
      <c r="Y256" s="210"/>
      <c r="Z256" s="31">
        <f>IFERROR(IF(AC256&lt;&gt;"",INDEX('M04-S07'!$AO$18:$AO$199,2*(ROWS(Z$246:Z256)-1)+1),""),"")</f>
        <v>0</v>
      </c>
      <c r="AA256" s="37">
        <f>IFERROR(IF(AC256&lt;&gt;"",INDEX('M04-S07'!$BH$18:$BH$199,2*(ROWS(AA$246:AA256)-1)+1),""),"")</f>
        <v>0</v>
      </c>
      <c r="AB256" s="37">
        <f>IFERROR(IF(AC256&lt;&gt;"",INDEX('M04-S07'!$BG$18:$BG$199,2*(ROWS(AB$246:AB256)-1)+1),""),"")</f>
        <v>0</v>
      </c>
      <c r="AC256">
        <f>IFERROR(INDEX('M04-S07'!$BN$18:$BN$199,2*(ROWS(AC$246:AC256)-1)+1),"")</f>
        <v>0</v>
      </c>
      <c r="AD256" s="37" cm="1">
        <f t="array" ref="AD256">IFERROR(INDEX('M04-S07'!$BC$18:$BC$199,2*(ROWS(AD$246:AD256)-1)+1),"")</f>
        <v>0</v>
      </c>
      <c r="AE256" s="37" cm="1">
        <f t="array" ref="AE256">IFERROR(INDEX('M04-S07'!$BD$18:$BD$199,2*(ROWS(AE$246:AE256)-1)+1),"")</f>
        <v>0</v>
      </c>
      <c r="AF256" s="210"/>
      <c r="AG256" s="210"/>
      <c r="AH256" s="210"/>
      <c r="AI256">
        <f>IFERROR(INDEX('M04-S07'!$B$18:$B$199,2*(ROWS(AI$246:AI256)-1)+1),"")</f>
        <v>0</v>
      </c>
      <c r="AJ256" s="194"/>
      <c r="AK256">
        <f>IFERROR(INDEX('M04-S07'!$H$18:$H$199,2*(ROWS(AK$246:AK256)-1)+1),"")</f>
        <v>0</v>
      </c>
      <c r="AL256">
        <f>IFERROR(INDEX('M04-S07'!$N$18:$N$199,2*(ROWS(AL$246:AL256)-1)+1),"")</f>
        <v>0</v>
      </c>
      <c r="AM256">
        <f>IFERROR(INDEX('M04-S07'!$W$18:$W$199,2*(ROWS(AM$246:AM256)-1)+1),"")</f>
        <v>0</v>
      </c>
      <c r="AN256" s="14">
        <f>IFERROR(INDEX('M04-S07'!$AX$18:$AX$199,2*(ROWS(AN$246:AN256)-1)+1),"")</f>
        <v>0</v>
      </c>
      <c r="AO256" s="14">
        <f>IFERROR(INDEX('M04-S07'!$AY$18:$AY$199,2*(ROWS(AO$246:AO256)-1)+1),"")</f>
        <v>0</v>
      </c>
      <c r="AP256">
        <f>IFERROR(INDEX('M04-S07'!$AZ$18:$AZ$199,2*(ROWS(AP$246:AP256)-1)+1),"")</f>
        <v>0</v>
      </c>
      <c r="AQ256">
        <f>IFERROR(INDEX('M04-S07'!$BE$18:$BE$199,2*(ROWS(AQ$246:AQ256)-1)+1),"")</f>
        <v>0</v>
      </c>
      <c r="AR256" t="s">
        <v>1254</v>
      </c>
      <c r="AS256"/>
      <c r="BL256"/>
      <c r="BP256"/>
      <c r="BQ256"/>
      <c r="BR256"/>
      <c r="CD256"/>
      <c r="CE256"/>
      <c r="CF256"/>
      <c r="CQ256"/>
      <c r="CR256"/>
      <c r="CS256"/>
      <c r="DS256"/>
      <c r="DT256"/>
      <c r="DU256"/>
    </row>
    <row r="257" spans="1:125" hidden="1">
      <c r="A257" s="15">
        <f t="shared" si="26"/>
        <v>0</v>
      </c>
      <c r="B257" t="str">
        <f t="shared" si="27"/>
        <v/>
      </c>
      <c r="C257" t="str">
        <f>IFERROR(IF(INDEX('M04-S07'!$BL$18:$BL$199,2*(ROWS($C$246:C257)-1)+1)="","",INDEX('M04-S07'!$BL$18:$BL$199,2*(ROWS($C$246:C257)-1)+1)),"")</f>
        <v/>
      </c>
      <c r="D257" t="s">
        <v>135</v>
      </c>
      <c r="E257">
        <f>IFERROR(INDEX('M04-S07'!$BF$18:$BF$199,2*(ROWS(E$246:E257)-1)+1),"")</f>
        <v>0</v>
      </c>
      <c r="F257" s="210"/>
      <c r="G257" s="194"/>
      <c r="H257" s="14" t="str">
        <f>IFERROR(ROUND(IF(AC257&lt;&gt;"","",INDEX('M04-S07'!$AH$18:$AH$199,2*(ROWS(H$246:H257)-1)+1)),2),"")</f>
        <v/>
      </c>
      <c r="I257" s="14" t="str">
        <f>IFERROR(ROUND(IF(AC257&lt;&gt;"","",INDEX('M04-S07'!$AJ$18:$AJ$199,2*(ROWS(I$246:I257)-1)+1)),2),"")</f>
        <v/>
      </c>
      <c r="J257" s="14" t="str">
        <f>IFERROR(ROUND(IF(AC257&lt;&gt;"","",INDEX('M04-S07'!$AL$18:$AL$199,2*(ROWS(J$246:J257)-1)+1)),2),"")</f>
        <v/>
      </c>
      <c r="K257" t="str">
        <f>IFERROR(IF(AC257&lt;&gt;"","",INDEX('M04-S07'!$AF$38:$AF$199,2*(ROWS(J$246:J257)-1)+1)),"")</f>
        <v/>
      </c>
      <c r="L257" s="10" t="str">
        <f>IFERROR(IF(AC257&lt;&gt;"","",ROUND(INDEX('M04-S07'!$BA$18:$BA$199,2*(ROWS(L$246:L257)-1)+1),3)),"")</f>
        <v/>
      </c>
      <c r="M257" s="10" t="str">
        <f>IFERROR(IF(AC257&lt;&gt;"","",ROUND(INDEX('M04-S07'!$BB$18:$BB$199,2*(ROWS(M$246:M257)-1)+1),3)),"")</f>
        <v/>
      </c>
      <c r="N257" s="219"/>
      <c r="O257" s="37" t="str">
        <f>IFERROR(IF(AC257&lt;&gt;"","",INDEX('M04-S07'!$AO$18:$AO$199,2*(ROWS(O$246:O257)-1)+1)),"")</f>
        <v/>
      </c>
      <c r="P257" s="37" t="str">
        <f>IFERROR(IF(AC257&lt;&gt;"","",INDEX('M04-S07'!$BH$18:$BH$199,2*(ROWS(P$246:P257)-1)+1)),"")</f>
        <v/>
      </c>
      <c r="Q257" s="37" t="str">
        <f>IFERROR(IF(AC257&lt;&gt;"","",INDEX('M04-S07'!$BG$18:$BG$199,2*(ROWS(Q$246:Q257)-1)+1)),"")</f>
        <v/>
      </c>
      <c r="R257" s="14" t="str">
        <f>IFERROR(IF(AC257&lt;&gt;"","",INDEX('M04-S07'!$AR$18:$AR$199,2*(ROWS(R$246:R257)-1)+1)),"")</f>
        <v/>
      </c>
      <c r="S257" s="14">
        <f>IFERROR(ROUND(IF(AC257&lt;&gt;"",INDEX('M04-S07'!$AH$18:$AH$199,2*(ROWS(S$246:S257)-1)+1),""),2),"")</f>
        <v>0</v>
      </c>
      <c r="T257" s="14">
        <f>IFERROR(ROUND(IF(AC257&lt;&gt;"",INDEX('M04-S07'!$AJ$18:$AJ$199,2*(ROWS(T$246:T257)-1)+1),""),2),"")</f>
        <v>0</v>
      </c>
      <c r="U257" s="14">
        <f>IFERROR(ROUND(IF(AC257&lt;&gt;"",INDEX('M04-S07'!$AL$18:$AL$199,2*(ROWS(U$246:U257)-1)+1),""),2),"")</f>
        <v>0</v>
      </c>
      <c r="V257">
        <f>IFERROR(IF(AC257&lt;&gt;"",INDEX('M04-S07'!$AF$38:$AF$199,2*(ROWS(V$246:V257)-1)+1),""),"")</f>
        <v>0</v>
      </c>
      <c r="W257" s="10">
        <f>IFERROR(IF(AC257&lt;&gt;"",ROUND(INDEX('M04-S07'!$BA$18:$BA$199,2*(ROWS(W$246:W257)-1)+1),3),""),"")</f>
        <v>0</v>
      </c>
      <c r="X257" s="10">
        <f>IFERROR(IF(AC257&lt;&gt;"",ROUND(INDEX('M04-S07'!$BB$18:$BB$199,2*(ROWS(X$246:X257)-1)+1),3),""),"")</f>
        <v>0</v>
      </c>
      <c r="Y257" s="210"/>
      <c r="Z257" s="31">
        <f>IFERROR(IF(AC257&lt;&gt;"",INDEX('M04-S07'!$AO$18:$AO$199,2*(ROWS(Z$246:Z257)-1)+1),""),"")</f>
        <v>0</v>
      </c>
      <c r="AA257" s="37">
        <f>IFERROR(IF(AC257&lt;&gt;"",INDEX('M04-S07'!$BH$18:$BH$199,2*(ROWS(AA$246:AA257)-1)+1),""),"")</f>
        <v>0</v>
      </c>
      <c r="AB257" s="37">
        <f>IFERROR(IF(AC257&lt;&gt;"",INDEX('M04-S07'!$BG$18:$BG$199,2*(ROWS(AB$246:AB257)-1)+1),""),"")</f>
        <v>0</v>
      </c>
      <c r="AC257">
        <f>IFERROR(INDEX('M04-S07'!$BN$18:$BN$199,2*(ROWS(AC$246:AC257)-1)+1),"")</f>
        <v>0</v>
      </c>
      <c r="AD257" s="37" cm="1">
        <f t="array" ref="AD257">IFERROR(INDEX('M04-S07'!$BC$18:$BC$199,2*(ROWS(AD$246:AD257)-1)+1),"")</f>
        <v>0</v>
      </c>
      <c r="AE257" s="37" cm="1">
        <f t="array" ref="AE257">IFERROR(INDEX('M04-S07'!$BD$18:$BD$199,2*(ROWS(AE$246:AE257)-1)+1),"")</f>
        <v>0</v>
      </c>
      <c r="AF257" s="210"/>
      <c r="AG257" s="210"/>
      <c r="AH257" s="210"/>
      <c r="AI257">
        <f>IFERROR(INDEX('M04-S07'!$B$18:$B$199,2*(ROWS(AI$246:AI257)-1)+1),"")</f>
        <v>0</v>
      </c>
      <c r="AJ257" s="194"/>
      <c r="AK257">
        <f>IFERROR(INDEX('M04-S07'!$H$18:$H$199,2*(ROWS(AK$246:AK257)-1)+1),"")</f>
        <v>0</v>
      </c>
      <c r="AL257">
        <f>IFERROR(INDEX('M04-S07'!$N$18:$N$199,2*(ROWS(AL$246:AL257)-1)+1),"")</f>
        <v>0</v>
      </c>
      <c r="AM257">
        <f>IFERROR(INDEX('M04-S07'!$W$18:$W$199,2*(ROWS(AM$246:AM257)-1)+1),"")</f>
        <v>0</v>
      </c>
      <c r="AN257" s="14">
        <f>IFERROR(INDEX('M04-S07'!$AX$18:$AX$199,2*(ROWS(AN$246:AN257)-1)+1),"")</f>
        <v>0</v>
      </c>
      <c r="AO257" s="14">
        <f>IFERROR(INDEX('M04-S07'!$AY$18:$AY$199,2*(ROWS(AO$246:AO257)-1)+1),"")</f>
        <v>0</v>
      </c>
      <c r="AP257">
        <f>IFERROR(INDEX('M04-S07'!$AZ$18:$AZ$199,2*(ROWS(AP$246:AP257)-1)+1),"")</f>
        <v>0</v>
      </c>
      <c r="AQ257">
        <f>IFERROR(INDEX('M04-S07'!$BE$18:$BE$199,2*(ROWS(AQ$246:AQ257)-1)+1),"")</f>
        <v>0</v>
      </c>
      <c r="AR257" t="s">
        <v>1254</v>
      </c>
      <c r="AS257"/>
      <c r="BL257"/>
      <c r="BP257"/>
      <c r="BQ257"/>
      <c r="BR257"/>
      <c r="CD257"/>
      <c r="CE257"/>
      <c r="CF257"/>
      <c r="CQ257"/>
      <c r="CR257"/>
      <c r="CS257"/>
      <c r="DS257"/>
      <c r="DT257"/>
      <c r="DU257"/>
    </row>
    <row r="258" spans="1:125" hidden="1">
      <c r="A258" s="15">
        <f t="shared" si="26"/>
        <v>0</v>
      </c>
      <c r="B258" t="str">
        <f t="shared" si="27"/>
        <v/>
      </c>
      <c r="C258" t="str">
        <f>IFERROR(IF(INDEX('M04-S07'!$BL$18:$BL$199,2*(ROWS($C$246:C258)-1)+1)="","",INDEX('M04-S07'!$BL$18:$BL$199,2*(ROWS($C$246:C258)-1)+1)),"")</f>
        <v/>
      </c>
      <c r="D258" t="s">
        <v>135</v>
      </c>
      <c r="E258">
        <f>IFERROR(INDEX('M04-S07'!$BF$18:$BF$199,2*(ROWS(E$246:E258)-1)+1),"")</f>
        <v>0</v>
      </c>
      <c r="F258" s="210"/>
      <c r="G258" s="194"/>
      <c r="H258" s="14" t="str">
        <f>IFERROR(ROUND(IF(AC258&lt;&gt;"","",INDEX('M04-S07'!$AH$18:$AH$199,2*(ROWS(H$246:H258)-1)+1)),2),"")</f>
        <v/>
      </c>
      <c r="I258" s="14" t="str">
        <f>IFERROR(ROUND(IF(AC258&lt;&gt;"","",INDEX('M04-S07'!$AJ$18:$AJ$199,2*(ROWS(I$246:I258)-1)+1)),2),"")</f>
        <v/>
      </c>
      <c r="J258" s="14" t="str">
        <f>IFERROR(ROUND(IF(AC258&lt;&gt;"","",INDEX('M04-S07'!$AL$18:$AL$199,2*(ROWS(J$246:J258)-1)+1)),2),"")</f>
        <v/>
      </c>
      <c r="K258" t="str">
        <f>IFERROR(IF(AC258&lt;&gt;"","",INDEX('M04-S07'!$AF$38:$AF$199,2*(ROWS(J$246:J258)-1)+1)),"")</f>
        <v/>
      </c>
      <c r="L258" s="10" t="str">
        <f>IFERROR(IF(AC258&lt;&gt;"","",ROUND(INDEX('M04-S07'!$BA$18:$BA$199,2*(ROWS(L$246:L258)-1)+1),3)),"")</f>
        <v/>
      </c>
      <c r="M258" s="10" t="str">
        <f>IFERROR(IF(AC258&lt;&gt;"","",ROUND(INDEX('M04-S07'!$BB$18:$BB$199,2*(ROWS(M$246:M258)-1)+1),3)),"")</f>
        <v/>
      </c>
      <c r="N258" s="219"/>
      <c r="O258" s="37" t="str">
        <f>IFERROR(IF(AC258&lt;&gt;"","",INDEX('M04-S07'!$AO$18:$AO$199,2*(ROWS(O$246:O258)-1)+1)),"")</f>
        <v/>
      </c>
      <c r="P258" s="37" t="str">
        <f>IFERROR(IF(AC258&lt;&gt;"","",INDEX('M04-S07'!$BH$18:$BH$199,2*(ROWS(P$246:P258)-1)+1)),"")</f>
        <v/>
      </c>
      <c r="Q258" s="37" t="str">
        <f>IFERROR(IF(AC258&lt;&gt;"","",INDEX('M04-S07'!$BG$18:$BG$199,2*(ROWS(Q$246:Q258)-1)+1)),"")</f>
        <v/>
      </c>
      <c r="R258" s="14" t="str">
        <f>IFERROR(IF(AC258&lt;&gt;"","",INDEX('M04-S07'!$AR$18:$AR$199,2*(ROWS(R$246:R258)-1)+1)),"")</f>
        <v/>
      </c>
      <c r="S258" s="14">
        <f>IFERROR(ROUND(IF(AC258&lt;&gt;"",INDEX('M04-S07'!$AH$18:$AH$199,2*(ROWS(S$246:S258)-1)+1),""),2),"")</f>
        <v>0</v>
      </c>
      <c r="T258" s="14">
        <f>IFERROR(ROUND(IF(AC258&lt;&gt;"",INDEX('M04-S07'!$AJ$18:$AJ$199,2*(ROWS(T$246:T258)-1)+1),""),2),"")</f>
        <v>0</v>
      </c>
      <c r="U258" s="14">
        <f>IFERROR(ROUND(IF(AC258&lt;&gt;"",INDEX('M04-S07'!$AL$18:$AL$199,2*(ROWS(U$246:U258)-1)+1),""),2),"")</f>
        <v>0</v>
      </c>
      <c r="V258">
        <f>IFERROR(IF(AC258&lt;&gt;"",INDEX('M04-S07'!$AF$38:$AF$199,2*(ROWS(V$246:V258)-1)+1),""),"")</f>
        <v>0</v>
      </c>
      <c r="W258" s="10">
        <f>IFERROR(IF(AC258&lt;&gt;"",ROUND(INDEX('M04-S07'!$BA$18:$BA$199,2*(ROWS(W$246:W258)-1)+1),3),""),"")</f>
        <v>0</v>
      </c>
      <c r="X258" s="10">
        <f>IFERROR(IF(AC258&lt;&gt;"",ROUND(INDEX('M04-S07'!$BB$18:$BB$199,2*(ROWS(X$246:X258)-1)+1),3),""),"")</f>
        <v>0</v>
      </c>
      <c r="Y258" s="210"/>
      <c r="Z258" s="31">
        <f>IFERROR(IF(AC258&lt;&gt;"",INDEX('M04-S07'!$AO$18:$AO$199,2*(ROWS(Z$246:Z258)-1)+1),""),"")</f>
        <v>0</v>
      </c>
      <c r="AA258" s="37">
        <f>IFERROR(IF(AC258&lt;&gt;"",INDEX('M04-S07'!$BH$18:$BH$199,2*(ROWS(AA$246:AA258)-1)+1),""),"")</f>
        <v>0</v>
      </c>
      <c r="AB258" s="37">
        <f>IFERROR(IF(AC258&lt;&gt;"",INDEX('M04-S07'!$BG$18:$BG$199,2*(ROWS(AB$246:AB258)-1)+1),""),"")</f>
        <v>0</v>
      </c>
      <c r="AC258">
        <f>IFERROR(INDEX('M04-S07'!$BN$18:$BN$199,2*(ROWS(AC$246:AC258)-1)+1),"")</f>
        <v>0</v>
      </c>
      <c r="AD258" s="37" cm="1">
        <f t="array" ref="AD258">IFERROR(INDEX('M04-S07'!$BC$18:$BC$199,2*(ROWS(AD$246:AD258)-1)+1),"")</f>
        <v>0</v>
      </c>
      <c r="AE258" s="37" cm="1">
        <f t="array" ref="AE258">IFERROR(INDEX('M04-S07'!$BD$18:$BD$199,2*(ROWS(AE$246:AE258)-1)+1),"")</f>
        <v>0</v>
      </c>
      <c r="AF258" s="210"/>
      <c r="AG258" s="210"/>
      <c r="AH258" s="210"/>
      <c r="AI258">
        <f>IFERROR(INDEX('M04-S07'!$B$18:$B$199,2*(ROWS(AI$246:AI258)-1)+1),"")</f>
        <v>0</v>
      </c>
      <c r="AJ258" s="194"/>
      <c r="AK258">
        <f>IFERROR(INDEX('M04-S07'!$H$18:$H$199,2*(ROWS(AK$246:AK258)-1)+1),"")</f>
        <v>0</v>
      </c>
      <c r="AL258">
        <f>IFERROR(INDEX('M04-S07'!$N$18:$N$199,2*(ROWS(AL$246:AL258)-1)+1),"")</f>
        <v>0</v>
      </c>
      <c r="AM258">
        <f>IFERROR(INDEX('M04-S07'!$W$18:$W$199,2*(ROWS(AM$246:AM258)-1)+1),"")</f>
        <v>0</v>
      </c>
      <c r="AN258" s="14">
        <f>IFERROR(INDEX('M04-S07'!$AX$18:$AX$199,2*(ROWS(AN$246:AN258)-1)+1),"")</f>
        <v>0</v>
      </c>
      <c r="AO258" s="14">
        <f>IFERROR(INDEX('M04-S07'!$AY$18:$AY$199,2*(ROWS(AO$246:AO258)-1)+1),"")</f>
        <v>0</v>
      </c>
      <c r="AP258">
        <f>IFERROR(INDEX('M04-S07'!$AZ$18:$AZ$199,2*(ROWS(AP$246:AP258)-1)+1),"")</f>
        <v>0</v>
      </c>
      <c r="AQ258">
        <f>IFERROR(INDEX('M04-S07'!$BE$18:$BE$199,2*(ROWS(AQ$246:AQ258)-1)+1),"")</f>
        <v>0</v>
      </c>
      <c r="AR258" t="s">
        <v>1254</v>
      </c>
      <c r="AS258"/>
      <c r="BL258"/>
      <c r="BP258"/>
      <c r="BQ258"/>
      <c r="BR258"/>
      <c r="CD258"/>
      <c r="CE258"/>
      <c r="CF258"/>
      <c r="CQ258"/>
      <c r="CR258"/>
      <c r="CS258"/>
      <c r="DS258"/>
      <c r="DT258"/>
      <c r="DU258"/>
    </row>
    <row r="259" spans="1:125" hidden="1">
      <c r="A259" s="15">
        <f t="shared" si="26"/>
        <v>0</v>
      </c>
      <c r="B259" t="str">
        <f t="shared" si="27"/>
        <v/>
      </c>
      <c r="C259" t="str">
        <f>IFERROR(IF(INDEX('M04-S07'!$BL$18:$BL$199,2*(ROWS($C$246:C259)-1)+1)="","",INDEX('M04-S07'!$BL$18:$BL$199,2*(ROWS($C$246:C259)-1)+1)),"")</f>
        <v/>
      </c>
      <c r="D259" t="s">
        <v>135</v>
      </c>
      <c r="E259">
        <f>IFERROR(INDEX('M04-S07'!$BF$18:$BF$199,2*(ROWS(E$246:E259)-1)+1),"")</f>
        <v>0</v>
      </c>
      <c r="F259" s="210"/>
      <c r="G259" s="194"/>
      <c r="H259" s="14" t="str">
        <f>IFERROR(ROUND(IF(AC259&lt;&gt;"","",INDEX('M04-S07'!$AH$18:$AH$199,2*(ROWS(H$246:H259)-1)+1)),2),"")</f>
        <v/>
      </c>
      <c r="I259" s="14" t="str">
        <f>IFERROR(ROUND(IF(AC259&lt;&gt;"","",INDEX('M04-S07'!$AJ$18:$AJ$199,2*(ROWS(I$246:I259)-1)+1)),2),"")</f>
        <v/>
      </c>
      <c r="J259" s="14" t="str">
        <f>IFERROR(ROUND(IF(AC259&lt;&gt;"","",INDEX('M04-S07'!$AL$18:$AL$199,2*(ROWS(J$246:J259)-1)+1)),2),"")</f>
        <v/>
      </c>
      <c r="K259" t="str">
        <f>IFERROR(IF(AC259&lt;&gt;"","",INDEX('M04-S07'!$AF$38:$AF$199,2*(ROWS(J$246:J259)-1)+1)),"")</f>
        <v/>
      </c>
      <c r="L259" s="10" t="str">
        <f>IFERROR(IF(AC259&lt;&gt;"","",ROUND(INDEX('M04-S07'!$BA$18:$BA$199,2*(ROWS(L$246:L259)-1)+1),3)),"")</f>
        <v/>
      </c>
      <c r="M259" s="10" t="str">
        <f>IFERROR(IF(AC259&lt;&gt;"","",ROUND(INDEX('M04-S07'!$BB$18:$BB$199,2*(ROWS(M$246:M259)-1)+1),3)),"")</f>
        <v/>
      </c>
      <c r="N259" s="219"/>
      <c r="O259" s="37" t="str">
        <f>IFERROR(IF(AC259&lt;&gt;"","",INDEX('M04-S07'!$AO$18:$AO$199,2*(ROWS(O$246:O259)-1)+1)),"")</f>
        <v/>
      </c>
      <c r="P259" s="37" t="str">
        <f>IFERROR(IF(AC259&lt;&gt;"","",INDEX('M04-S07'!$BH$18:$BH$199,2*(ROWS(P$246:P259)-1)+1)),"")</f>
        <v/>
      </c>
      <c r="Q259" s="37" t="str">
        <f>IFERROR(IF(AC259&lt;&gt;"","",INDEX('M04-S07'!$BG$18:$BG$199,2*(ROWS(Q$246:Q259)-1)+1)),"")</f>
        <v/>
      </c>
      <c r="R259" s="14" t="str">
        <f>IFERROR(IF(AC259&lt;&gt;"","",INDEX('M04-S07'!$AR$18:$AR$199,2*(ROWS(R$246:R259)-1)+1)),"")</f>
        <v/>
      </c>
      <c r="S259" s="14">
        <f>IFERROR(ROUND(IF(AC259&lt;&gt;"",INDEX('M04-S07'!$AH$18:$AH$199,2*(ROWS(S$246:S259)-1)+1),""),2),"")</f>
        <v>0</v>
      </c>
      <c r="T259" s="14">
        <f>IFERROR(ROUND(IF(AC259&lt;&gt;"",INDEX('M04-S07'!$AJ$18:$AJ$199,2*(ROWS(T$246:T259)-1)+1),""),2),"")</f>
        <v>0</v>
      </c>
      <c r="U259" s="14">
        <f>IFERROR(ROUND(IF(AC259&lt;&gt;"",INDEX('M04-S07'!$AL$18:$AL$199,2*(ROWS(U$246:U259)-1)+1),""),2),"")</f>
        <v>0</v>
      </c>
      <c r="V259">
        <f>IFERROR(IF(AC259&lt;&gt;"",INDEX('M04-S07'!$AF$38:$AF$199,2*(ROWS(V$246:V259)-1)+1),""),"")</f>
        <v>0</v>
      </c>
      <c r="W259" s="10">
        <f>IFERROR(IF(AC259&lt;&gt;"",ROUND(INDEX('M04-S07'!$BA$18:$BA$199,2*(ROWS(W$246:W259)-1)+1),3),""),"")</f>
        <v>0</v>
      </c>
      <c r="X259" s="10">
        <f>IFERROR(IF(AC259&lt;&gt;"",ROUND(INDEX('M04-S07'!$BB$18:$BB$199,2*(ROWS(X$246:X259)-1)+1),3),""),"")</f>
        <v>0</v>
      </c>
      <c r="Y259" s="210"/>
      <c r="Z259" s="31">
        <f>IFERROR(IF(AC259&lt;&gt;"",INDEX('M04-S07'!$AO$18:$AO$199,2*(ROWS(Z$246:Z259)-1)+1),""),"")</f>
        <v>0</v>
      </c>
      <c r="AA259" s="37">
        <f>IFERROR(IF(AC259&lt;&gt;"",INDEX('M04-S07'!$BH$18:$BH$199,2*(ROWS(AA$246:AA259)-1)+1),""),"")</f>
        <v>0</v>
      </c>
      <c r="AB259" s="37">
        <f>IFERROR(IF(AC259&lt;&gt;"",INDEX('M04-S07'!$BG$18:$BG$199,2*(ROWS(AB$246:AB259)-1)+1),""),"")</f>
        <v>0</v>
      </c>
      <c r="AC259">
        <f>IFERROR(INDEX('M04-S07'!$BN$18:$BN$199,2*(ROWS(AC$246:AC259)-1)+1),"")</f>
        <v>0</v>
      </c>
      <c r="AD259" s="37" cm="1">
        <f t="array" ref="AD259">IFERROR(INDEX('M04-S07'!$BC$18:$BC$199,2*(ROWS(AD$246:AD259)-1)+1),"")</f>
        <v>0</v>
      </c>
      <c r="AE259" s="37" cm="1">
        <f t="array" ref="AE259">IFERROR(INDEX('M04-S07'!$BD$18:$BD$199,2*(ROWS(AE$246:AE259)-1)+1),"")</f>
        <v>0</v>
      </c>
      <c r="AF259" s="210"/>
      <c r="AG259" s="210"/>
      <c r="AH259" s="210"/>
      <c r="AI259">
        <f>IFERROR(INDEX('M04-S07'!$B$18:$B$199,2*(ROWS(AI$246:AI259)-1)+1),"")</f>
        <v>0</v>
      </c>
      <c r="AJ259" s="194"/>
      <c r="AK259">
        <f>IFERROR(INDEX('M04-S07'!$H$18:$H$199,2*(ROWS(AK$246:AK259)-1)+1),"")</f>
        <v>0</v>
      </c>
      <c r="AL259">
        <f>IFERROR(INDEX('M04-S07'!$N$18:$N$199,2*(ROWS(AL$246:AL259)-1)+1),"")</f>
        <v>0</v>
      </c>
      <c r="AM259">
        <f>IFERROR(INDEX('M04-S07'!$W$18:$W$199,2*(ROWS(AM$246:AM259)-1)+1),"")</f>
        <v>0</v>
      </c>
      <c r="AN259" s="14">
        <f>IFERROR(INDEX('M04-S07'!$AX$18:$AX$199,2*(ROWS(AN$246:AN259)-1)+1),"")</f>
        <v>0</v>
      </c>
      <c r="AO259" s="14">
        <f>IFERROR(INDEX('M04-S07'!$AY$18:$AY$199,2*(ROWS(AO$246:AO259)-1)+1),"")</f>
        <v>0</v>
      </c>
      <c r="AP259">
        <f>IFERROR(INDEX('M04-S07'!$AZ$18:$AZ$199,2*(ROWS(AP$246:AP259)-1)+1),"")</f>
        <v>0</v>
      </c>
      <c r="AQ259">
        <f>IFERROR(INDEX('M04-S07'!$BE$18:$BE$199,2*(ROWS(AQ$246:AQ259)-1)+1),"")</f>
        <v>0</v>
      </c>
      <c r="AR259" t="s">
        <v>1254</v>
      </c>
      <c r="AS259"/>
      <c r="BL259"/>
      <c r="BP259"/>
      <c r="BQ259"/>
      <c r="BR259"/>
      <c r="CD259"/>
      <c r="CE259"/>
      <c r="CF259"/>
      <c r="CQ259"/>
      <c r="CR259"/>
      <c r="CS259"/>
      <c r="DS259"/>
      <c r="DT259"/>
      <c r="DU259"/>
    </row>
    <row r="260" spans="1:125" hidden="1">
      <c r="A260" s="15">
        <f t="shared" si="26"/>
        <v>0</v>
      </c>
      <c r="B260" t="str">
        <f t="shared" si="27"/>
        <v/>
      </c>
      <c r="C260" t="str">
        <f>IFERROR(IF(INDEX('M04-S07'!$BL$18:$BL$199,2*(ROWS($C$246:C260)-1)+1)="","",INDEX('M04-S07'!$BL$18:$BL$199,2*(ROWS($C$246:C260)-1)+1)),"")</f>
        <v/>
      </c>
      <c r="D260" t="s">
        <v>135</v>
      </c>
      <c r="E260">
        <f>IFERROR(INDEX('M04-S07'!$BF$18:$BF$199,2*(ROWS(E$246:E260)-1)+1),"")</f>
        <v>0</v>
      </c>
      <c r="F260" s="210"/>
      <c r="G260" s="194"/>
      <c r="H260" s="14" t="str">
        <f>IFERROR(ROUND(IF(AC260&lt;&gt;"","",INDEX('M04-S07'!$AH$18:$AH$199,2*(ROWS(H$246:H260)-1)+1)),2),"")</f>
        <v/>
      </c>
      <c r="I260" s="14" t="str">
        <f>IFERROR(ROUND(IF(AC260&lt;&gt;"","",INDEX('M04-S07'!$AJ$18:$AJ$199,2*(ROWS(I$246:I260)-1)+1)),2),"")</f>
        <v/>
      </c>
      <c r="J260" s="14" t="str">
        <f>IFERROR(ROUND(IF(AC260&lt;&gt;"","",INDEX('M04-S07'!$AL$18:$AL$199,2*(ROWS(J$246:J260)-1)+1)),2),"")</f>
        <v/>
      </c>
      <c r="K260" t="str">
        <f>IFERROR(IF(AC260&lt;&gt;"","",INDEX('M04-S07'!$AF$38:$AF$199,2*(ROWS(J$246:J260)-1)+1)),"")</f>
        <v/>
      </c>
      <c r="L260" s="10" t="str">
        <f>IFERROR(IF(AC260&lt;&gt;"","",ROUND(INDEX('M04-S07'!$BA$18:$BA$199,2*(ROWS(L$246:L260)-1)+1),3)),"")</f>
        <v/>
      </c>
      <c r="M260" s="10" t="str">
        <f>IFERROR(IF(AC260&lt;&gt;"","",ROUND(INDEX('M04-S07'!$BB$18:$BB$199,2*(ROWS(M$246:M260)-1)+1),3)),"")</f>
        <v/>
      </c>
      <c r="N260" s="219"/>
      <c r="O260" s="37" t="str">
        <f>IFERROR(IF(AC260&lt;&gt;"","",INDEX('M04-S07'!$AO$18:$AO$199,2*(ROWS(O$246:O260)-1)+1)),"")</f>
        <v/>
      </c>
      <c r="P260" s="37" t="str">
        <f>IFERROR(IF(AC260&lt;&gt;"","",INDEX('M04-S07'!$BH$18:$BH$199,2*(ROWS(P$246:P260)-1)+1)),"")</f>
        <v/>
      </c>
      <c r="Q260" s="37" t="str">
        <f>IFERROR(IF(AC260&lt;&gt;"","",INDEX('M04-S07'!$BG$18:$BG$199,2*(ROWS(Q$246:Q260)-1)+1)),"")</f>
        <v/>
      </c>
      <c r="R260" s="14" t="str">
        <f>IFERROR(IF(AC260&lt;&gt;"","",INDEX('M04-S07'!$AR$18:$AR$199,2*(ROWS(R$246:R260)-1)+1)),"")</f>
        <v/>
      </c>
      <c r="S260" s="14">
        <f>IFERROR(ROUND(IF(AC260&lt;&gt;"",INDEX('M04-S07'!$AH$18:$AH$199,2*(ROWS(S$246:S260)-1)+1),""),2),"")</f>
        <v>0</v>
      </c>
      <c r="T260" s="14">
        <f>IFERROR(ROUND(IF(AC260&lt;&gt;"",INDEX('M04-S07'!$AJ$18:$AJ$199,2*(ROWS(T$246:T260)-1)+1),""),2),"")</f>
        <v>0</v>
      </c>
      <c r="U260" s="14">
        <f>IFERROR(ROUND(IF(AC260&lt;&gt;"",INDEX('M04-S07'!$AL$18:$AL$199,2*(ROWS(U$246:U260)-1)+1),""),2),"")</f>
        <v>0</v>
      </c>
      <c r="V260">
        <f>IFERROR(IF(AC260&lt;&gt;"",INDEX('M04-S07'!$AF$38:$AF$199,2*(ROWS(V$246:V260)-1)+1),""),"")</f>
        <v>0</v>
      </c>
      <c r="W260" s="10">
        <f>IFERROR(IF(AC260&lt;&gt;"",ROUND(INDEX('M04-S07'!$BA$18:$BA$199,2*(ROWS(W$246:W260)-1)+1),3),""),"")</f>
        <v>0</v>
      </c>
      <c r="X260" s="10">
        <f>IFERROR(IF(AC260&lt;&gt;"",ROUND(INDEX('M04-S07'!$BB$18:$BB$199,2*(ROWS(X$246:X260)-1)+1),3),""),"")</f>
        <v>0</v>
      </c>
      <c r="Y260" s="210"/>
      <c r="Z260" s="31">
        <f>IFERROR(IF(AC260&lt;&gt;"",INDEX('M04-S07'!$AO$18:$AO$199,2*(ROWS(Z$246:Z260)-1)+1),""),"")</f>
        <v>0</v>
      </c>
      <c r="AA260" s="37">
        <f>IFERROR(IF(AC260&lt;&gt;"",INDEX('M04-S07'!$BH$18:$BH$199,2*(ROWS(AA$246:AA260)-1)+1),""),"")</f>
        <v>0</v>
      </c>
      <c r="AB260" s="37">
        <f>IFERROR(IF(AC260&lt;&gt;"",INDEX('M04-S07'!$BG$18:$BG$199,2*(ROWS(AB$246:AB260)-1)+1),""),"")</f>
        <v>0</v>
      </c>
      <c r="AC260">
        <f>IFERROR(INDEX('M04-S07'!$BN$18:$BN$199,2*(ROWS(AC$246:AC260)-1)+1),"")</f>
        <v>0</v>
      </c>
      <c r="AD260" s="37" cm="1">
        <f t="array" ref="AD260">IFERROR(INDEX('M04-S07'!$BC$18:$BC$199,2*(ROWS(AD$246:AD260)-1)+1),"")</f>
        <v>0</v>
      </c>
      <c r="AE260" s="37" cm="1">
        <f t="array" ref="AE260">IFERROR(INDEX('M04-S07'!$BD$18:$BD$199,2*(ROWS(AE$246:AE260)-1)+1),"")</f>
        <v>0</v>
      </c>
      <c r="AF260" s="210"/>
      <c r="AG260" s="210"/>
      <c r="AH260" s="210"/>
      <c r="AI260">
        <f>IFERROR(INDEX('M04-S07'!$B$18:$B$199,2*(ROWS(AI$246:AI260)-1)+1),"")</f>
        <v>0</v>
      </c>
      <c r="AJ260" s="194"/>
      <c r="AK260">
        <f>IFERROR(INDEX('M04-S07'!$H$18:$H$199,2*(ROWS(AK$246:AK260)-1)+1),"")</f>
        <v>0</v>
      </c>
      <c r="AL260">
        <f>IFERROR(INDEX('M04-S07'!$N$18:$N$199,2*(ROWS(AL$246:AL260)-1)+1),"")</f>
        <v>0</v>
      </c>
      <c r="AM260">
        <f>IFERROR(INDEX('M04-S07'!$W$18:$W$199,2*(ROWS(AM$246:AM260)-1)+1),"")</f>
        <v>0</v>
      </c>
      <c r="AN260" s="14">
        <f>IFERROR(INDEX('M04-S07'!$AX$18:$AX$199,2*(ROWS(AN$246:AN260)-1)+1),"")</f>
        <v>0</v>
      </c>
      <c r="AO260" s="14">
        <f>IFERROR(INDEX('M04-S07'!$AY$18:$AY$199,2*(ROWS(AO$246:AO260)-1)+1),"")</f>
        <v>0</v>
      </c>
      <c r="AP260">
        <f>IFERROR(INDEX('M04-S07'!$AZ$18:$AZ$199,2*(ROWS(AP$246:AP260)-1)+1),"")</f>
        <v>0</v>
      </c>
      <c r="AQ260">
        <f>IFERROR(INDEX('M04-S07'!$BE$18:$BE$199,2*(ROWS(AQ$246:AQ260)-1)+1),"")</f>
        <v>0</v>
      </c>
      <c r="AR260" t="s">
        <v>1254</v>
      </c>
      <c r="AS260"/>
      <c r="BL260"/>
      <c r="BP260"/>
      <c r="BQ260"/>
      <c r="BR260"/>
      <c r="CD260"/>
      <c r="CE260"/>
      <c r="CF260"/>
      <c r="CQ260"/>
      <c r="CR260"/>
      <c r="CS260"/>
      <c r="DS260"/>
      <c r="DT260"/>
      <c r="DU260"/>
    </row>
    <row r="261" spans="1:125">
      <c r="A261" s="226" t="str">
        <f>"Custom "&amp;M4S8</f>
        <v>Custom Motors and Drives</v>
      </c>
      <c r="B261" s="36"/>
      <c r="C261" s="36"/>
      <c r="D261" s="36"/>
      <c r="E261" s="36"/>
      <c r="F261" s="211"/>
      <c r="G261" s="36"/>
      <c r="H261" s="206"/>
      <c r="I261" s="206"/>
      <c r="J261" s="206"/>
      <c r="K261" s="36"/>
      <c r="L261" s="214"/>
      <c r="M261" s="214"/>
      <c r="N261" s="217"/>
      <c r="O261" s="217"/>
      <c r="P261" s="217"/>
      <c r="Q261" s="217"/>
      <c r="R261" s="206"/>
      <c r="S261" s="206"/>
      <c r="T261" s="206"/>
      <c r="U261" s="206"/>
      <c r="V261" s="36"/>
      <c r="W261" s="214"/>
      <c r="X261" s="214"/>
      <c r="Y261" s="211"/>
      <c r="Z261" s="211"/>
      <c r="AA261" s="217"/>
      <c r="AB261" s="217"/>
      <c r="AC261" s="36"/>
      <c r="AD261" s="217"/>
      <c r="AE261" s="217"/>
      <c r="AF261" s="211"/>
      <c r="AG261" s="211"/>
      <c r="AH261" s="211"/>
      <c r="AI261" s="36"/>
      <c r="AJ261" s="36"/>
      <c r="AK261" s="109"/>
      <c r="AL261" s="36"/>
      <c r="AM261" s="36"/>
      <c r="AN261" s="206"/>
      <c r="AO261" s="206"/>
      <c r="AP261" s="36"/>
      <c r="AQ261" s="36"/>
      <c r="AR261" s="36"/>
      <c r="AS261" s="36"/>
      <c r="AT261" s="36"/>
      <c r="BL261"/>
      <c r="BP261"/>
      <c r="BQ261"/>
      <c r="BR261"/>
      <c r="CD261"/>
      <c r="CE261"/>
      <c r="CF261"/>
      <c r="CQ261"/>
      <c r="CR261"/>
      <c r="CS261"/>
      <c r="DS261"/>
      <c r="DT261"/>
      <c r="DU261"/>
    </row>
    <row r="262" spans="1:125" hidden="1">
      <c r="A262" s="15">
        <f t="shared" ref="A262:A276" si="28">PROJID</f>
        <v>0</v>
      </c>
      <c r="B262" t="str">
        <f t="shared" ref="B262" si="29">IF(C262="","",CONCATENATE(ROW(),"-",C262))</f>
        <v/>
      </c>
      <c r="C262" t="str">
        <f>IFERROR(IF(INDEX('M04-S08'!$BL$18:$BL$199,2*(ROWS($C262:C$262)-1)+1)="","",INDEX('M04-S08'!$BL$18:$BL$199,2*(ROWS($C262:C$262)-1)+1)),"")</f>
        <v/>
      </c>
      <c r="D262" t="s">
        <v>135</v>
      </c>
      <c r="E262" t="str">
        <f>IFERROR(INDEX('M04-S08'!$BF$18:$BF$199,2*(ROWS(E262:E$262)-1)+1),"")</f>
        <v/>
      </c>
      <c r="F262" s="210"/>
      <c r="G262" s="194"/>
      <c r="H262" s="14" t="str">
        <f ca="1">IFERROR(ROUND(IF(AC262&lt;&gt;"","",INDEX('M04-S08'!$AH$18:$AH$199,2*(ROWS(H262:H$262)-1)+1)),2),"")</f>
        <v/>
      </c>
      <c r="I262" s="14" t="str">
        <f ca="1">IFERROR(ROUND(IF(AC262&lt;&gt;"","",INDEX('M04-S08'!$AJ$18:$AJ$199,2*(ROWS(I262:I$262)-1)+1)),2),"")</f>
        <v/>
      </c>
      <c r="J262" s="14" t="str">
        <f ca="1">IFERROR(ROUND(IF(AC262&lt;&gt;"","",INDEX('M04-S08'!$AL$18:$AL$199,2*(ROWS(J262:J$262)-1)+1)),2),"")</f>
        <v/>
      </c>
      <c r="K262" t="str">
        <f ca="1">IFERROR(IF(AC262&lt;&gt;"","",INDEX('M04-S08'!$AF$38:$AF$199,2*(ROWS(J262:J$262)-1)+1)),"")</f>
        <v/>
      </c>
      <c r="L262" s="10" t="str">
        <f ca="1">IFERROR(IF(AC262&lt;&gt;"","",ROUND(INDEX('M04-S08'!$BA$18:$BA$199,2*(ROWS(L262:L$262)-1)+1),3)),"")</f>
        <v/>
      </c>
      <c r="M262" s="10" t="str">
        <f ca="1">IFERROR(IF(AC262&lt;&gt;"","",ROUND(INDEX('M04-S08'!$BB$18:$BB$199,2*(ROWS(M262:M$262)-1)+1),3)),"")</f>
        <v/>
      </c>
      <c r="N262" s="210"/>
      <c r="O262" s="31" t="str">
        <f ca="1">IFERROR(IF(AC262&lt;&gt;"","",INDEX('M04-S08'!$AO$18:$AO$199,2*(ROWS(O262:O$262)-1)+1)),"")</f>
        <v/>
      </c>
      <c r="P262" s="37" t="str">
        <f ca="1">IFERROR(IF(AC262&lt;&gt;"","",INDEX('M04-S08'!$BH$18:$BH$199,2*(ROWS(P$262:P262)-1)+1)),"")</f>
        <v/>
      </c>
      <c r="Q262" s="37" t="str">
        <f ca="1">IFERROR(IF(AC262&lt;&gt;"","",INDEX('M04-S08'!$BG$18:$BG$199,2*(ROWS(Q262:Q$262)-1)+1)),"")</f>
        <v/>
      </c>
      <c r="R262" s="14" t="str">
        <f ca="1">IFERROR(IF(AC262&lt;&gt;"","",INDEX('M04-S08'!$AR$18:$AR$199,2*(ROWS(R262:R$262)-1)+1)),"")</f>
        <v/>
      </c>
      <c r="S262" s="14">
        <f ca="1">IFERROR(ROUND(IF(AC262&lt;&gt;"",INDEX('M04-S08'!$AH$18:$AH$199,2*(ROWS(S262:S$262)-1)+1),""),2),"")</f>
        <v>0</v>
      </c>
      <c r="T262" s="14" t="str">
        <f ca="1">IFERROR(ROUND(IF(AC262&lt;&gt;"",INDEX('M04-S08'!$AJ$18:$AJ$199,2*(ROWS(T262:T$262)-1)+1),""),2),"")</f>
        <v/>
      </c>
      <c r="U262" s="14" t="str">
        <f ca="1">IFERROR(ROUND(IF(AC262&lt;&gt;"",INDEX('M04-S08'!$AL$18:$AL$199,2*(ROWS(U262:U$262)-1)+1),""),2),"")</f>
        <v/>
      </c>
      <c r="V262">
        <f ca="1">IFERROR(IF(AC262&lt;&gt;"",INDEX('M04-S08'!$AF$38:$AF$199,2*(ROWS(V262:V$262)-1)+1),""),"")</f>
        <v>0</v>
      </c>
      <c r="W262" s="10" t="str">
        <f ca="1">IFERROR(IF(AC262&lt;&gt;"",ROUND(INDEX('M04-S08'!$BA$18:$BA$199,2*(ROWS(W262:W$262)-1)+1),3),""),"")</f>
        <v/>
      </c>
      <c r="X262" s="10" t="str">
        <f ca="1">IFERROR(IF(AC262&lt;&gt;"",ROUND(INDEX('M04-S08'!$BB$18:$BB$199,2*(ROWS(X262:X$262)-1)+1),3),""),"")</f>
        <v/>
      </c>
      <c r="Y262" s="210"/>
      <c r="Z262" s="31" t="str">
        <f ca="1">IFERROR(IF(AC262&lt;&gt;"",INDEX('M04-S08'!$AO$18:$AO$199,2*(ROWS(Z262:Z$262)-1)+1),""),"")</f>
        <v/>
      </c>
      <c r="AA262" s="37">
        <f ca="1">IFERROR(IF(AC262&lt;&gt;"",INDEX('M04-S08'!$BH$18:$BH$199,2*(ROWS(AA$262:AA262)-1)+1),""),"")</f>
        <v>0</v>
      </c>
      <c r="AB262" s="37" t="str">
        <f ca="1">IFERROR(IF(AC262&lt;&gt;"",INDEX('M04-S08'!$BG$18:$BG$199,2*(ROWS(AB262:AB$262)-1)+1),""),"")</f>
        <v/>
      </c>
      <c r="AC262" t="str">
        <f ca="1">IFERROR(INDEX('M04-S08'!$BN$18:$BN$199,2*(ROWS(AC262:AC$262)-1)+1),"")</f>
        <v>Submit for Review</v>
      </c>
      <c r="AD262" s="37" t="str" cm="1">
        <f t="array" ref="AD262">IFERROR(INDEX('M04-S08'!$BC$18:$BC$199,2*(ROWS(AD262:AD$262)-1)+1),"")</f>
        <v/>
      </c>
      <c r="AE262" s="37" t="str" cm="1">
        <f t="array" ref="AE262">IFERROR(INDEX('M04-S08'!$BD$18:$BD$199,2*(ROWS(AE262:AE$262)-1)+1),"")</f>
        <v/>
      </c>
      <c r="AF262" s="210"/>
      <c r="AG262" s="210"/>
      <c r="AH262" s="210"/>
      <c r="AI262">
        <f>IFERROR(INDEX('M04-S08'!$B$18:$B$199,2*(ROWS(AI262:AI$262)-1)+1),"")</f>
        <v>1</v>
      </c>
      <c r="AJ262" s="194"/>
      <c r="AK262">
        <f>IFERROR(INDEX('M04-S08'!$H$18:$H$199,2*(ROWS(AK262:AK$262)-1)+1),"")</f>
        <v>0</v>
      </c>
      <c r="AL262">
        <f>IFERROR(INDEX('M04-S08'!$N$18:$N$199,2*(ROWS(AL262:AL$262)-1)+1),"")</f>
        <v>0</v>
      </c>
      <c r="AM262">
        <f>IFERROR(INDEX('M04-S08'!$W$18:$W$199,2*(ROWS(AM262:AM$262)-1)+1),"")</f>
        <v>0</v>
      </c>
      <c r="AN262" s="14" t="str">
        <f>IFERROR(INDEX('M04-S08'!$AX$18:$AX$199,2*(ROWS(AN262:AN$262)-1)+1),"")</f>
        <v/>
      </c>
      <c r="AO262" s="14" t="str">
        <f>IFERROR(INDEX('M04-S08'!$AY$18:$AY$199,2*(ROWS(AO262:AO$262)-1)+1),"")</f>
        <v/>
      </c>
      <c r="AP262" t="str">
        <f>IFERROR(INDEX('M04-S08'!$AZ$18:$AZ$199,2*(ROWS(AP262:AP$262)-1)+1),"")</f>
        <v/>
      </c>
      <c r="AQ262" t="str">
        <f>IFERROR(INDEX('M04-S08'!$BE$18:$BE$199,2*(ROWS(AQ262:AQ$262)-1)+1),"")</f>
        <v/>
      </c>
      <c r="AR262" t="s">
        <v>1254</v>
      </c>
    </row>
    <row r="263" spans="1:125" hidden="1">
      <c r="A263" s="15">
        <f t="shared" si="28"/>
        <v>0</v>
      </c>
      <c r="B263" t="str">
        <f t="shared" ref="B263:B276" si="30">IF(C263="","",CONCATENATE(ROW(),"-",C263))</f>
        <v/>
      </c>
      <c r="C263" t="str">
        <f>IFERROR(IF(INDEX('M04-S08'!$BL$18:$BL$199,2*(ROWS($C$262:C263)-1)+1)="","",INDEX('M04-S08'!$BL$18:$BL$199,2*(ROWS($C$262:C263)-1)+1)),"")</f>
        <v/>
      </c>
      <c r="D263" t="s">
        <v>135</v>
      </c>
      <c r="E263" t="str">
        <f>IFERROR(INDEX('M04-S08'!$BF$18:$BF$199,2*(ROWS(E$262:E263)-1)+1),"")</f>
        <v/>
      </c>
      <c r="F263" s="210"/>
      <c r="G263" s="194"/>
      <c r="H263" s="14" t="str">
        <f ca="1">IFERROR(ROUND(IF(AC263&lt;&gt;"","",INDEX('M04-S08'!$AH$18:$AH$199,2*(ROWS(H$262:H263)-1)+1)),2),"")</f>
        <v/>
      </c>
      <c r="I263" s="14" t="str">
        <f ca="1">IFERROR(ROUND(IF(AC263&lt;&gt;"","",INDEX('M04-S08'!$AJ$18:$AJ$199,2*(ROWS(I$262:I263)-1)+1)),2),"")</f>
        <v/>
      </c>
      <c r="J263" s="14" t="str">
        <f ca="1">IFERROR(ROUND(IF(AC263&lt;&gt;"","",INDEX('M04-S08'!$AL$18:$AL$199,2*(ROWS(J$262:J263)-1)+1)),2),"")</f>
        <v/>
      </c>
      <c r="K263" t="str">
        <f ca="1">IFERROR(IF(AC263&lt;&gt;"","",INDEX('M04-S08'!$AF$38:$AF$199,2*(ROWS(J$262:J263)-1)+1)),"")</f>
        <v/>
      </c>
      <c r="L263" s="10" t="str">
        <f ca="1">IFERROR(IF(AC263&lt;&gt;"","",ROUND(INDEX('M04-S08'!$BA$18:$BA$199,2*(ROWS(L$262:L263)-1)+1),3)),"")</f>
        <v/>
      </c>
      <c r="M263" s="10" t="str">
        <f ca="1">IFERROR(IF(AC263&lt;&gt;"","",ROUND(INDEX('M04-S08'!$BB$18:$BB$199,2*(ROWS(M$262:M263)-1)+1),3)),"")</f>
        <v/>
      </c>
      <c r="N263" s="210"/>
      <c r="O263" s="31" t="str">
        <f ca="1">IFERROR(IF(AC263&lt;&gt;"","",INDEX('M04-S08'!$AO$18:$AO$199,2*(ROWS(O$262:O263)-1)+1)),"")</f>
        <v/>
      </c>
      <c r="P263" s="37" t="str">
        <f ca="1">IFERROR(IF(AC263&lt;&gt;"","",INDEX('M04-S08'!$BH$18:$BH$199,2*(ROWS(P$262:P263)-1)+1)),"")</f>
        <v/>
      </c>
      <c r="Q263" s="37" t="str">
        <f ca="1">IFERROR(IF(AC263&lt;&gt;"","",INDEX('M04-S08'!$BG$18:$BG$199,2*(ROWS(Q$262:Q263)-1)+1)),"")</f>
        <v/>
      </c>
      <c r="R263" s="14" t="str">
        <f ca="1">IFERROR(IF(AC263&lt;&gt;"","",INDEX('M04-S08'!$AR$18:$AR$199,2*(ROWS(R$262:R263)-1)+1)),"")</f>
        <v/>
      </c>
      <c r="S263" s="14">
        <f ca="1">IFERROR(ROUND(IF(AC263&lt;&gt;"",INDEX('M04-S08'!$AH$18:$AH$199,2*(ROWS(S$262:S263)-1)+1),""),2),"")</f>
        <v>0</v>
      </c>
      <c r="T263" s="14" t="str">
        <f ca="1">IFERROR(ROUND(IF(AC263&lt;&gt;"",INDEX('M04-S08'!$AJ$18:$AJ$199,2*(ROWS(T$262:T263)-1)+1),""),2),"")</f>
        <v/>
      </c>
      <c r="U263" s="14" t="str">
        <f ca="1">IFERROR(ROUND(IF(AC263&lt;&gt;"",INDEX('M04-S08'!$AL$18:$AL$199,2*(ROWS(U$262:U263)-1)+1),""),2),"")</f>
        <v/>
      </c>
      <c r="V263">
        <f ca="1">IFERROR(IF(AC263&lt;&gt;"",INDEX('M04-S08'!$AF$38:$AF$199,2*(ROWS(V$262:V263)-1)+1),""),"")</f>
        <v>0</v>
      </c>
      <c r="W263" s="10" t="str">
        <f ca="1">IFERROR(IF(AC263&lt;&gt;"",ROUND(INDEX('M04-S08'!$BA$18:$BA$199,2*(ROWS(W$262:W263)-1)+1),3),""),"")</f>
        <v/>
      </c>
      <c r="X263" s="10" t="str">
        <f ca="1">IFERROR(IF(AC263&lt;&gt;"",ROUND(INDEX('M04-S08'!$BB$18:$BB$199,2*(ROWS(X$262:X263)-1)+1),3),""),"")</f>
        <v/>
      </c>
      <c r="Y263" s="210"/>
      <c r="Z263" s="31" t="str">
        <f ca="1">IFERROR(IF(AC263&lt;&gt;"",INDEX('M04-S08'!$AO$18:$AO$199,2*(ROWS(Z$262:Z263)-1)+1),""),"")</f>
        <v/>
      </c>
      <c r="AA263" s="37">
        <f ca="1">IFERROR(IF(AC263&lt;&gt;"",INDEX('M04-S08'!$BH$18:$BH$199,2*(ROWS(AA$262:AA263)-1)+1),""),"")</f>
        <v>0</v>
      </c>
      <c r="AB263" s="37" t="str">
        <f ca="1">IFERROR(IF(AC263&lt;&gt;"",INDEX('M04-S08'!$BG$18:$BG$199,2*(ROWS(AB$262:AB263)-1)+1),""),"")</f>
        <v/>
      </c>
      <c r="AC263" t="str">
        <f ca="1">IFERROR(INDEX('M04-S08'!$BN$18:$BN$199,2*(ROWS(AC$262:AC263)-1)+1),"")</f>
        <v>Submit for Review</v>
      </c>
      <c r="AD263" s="37" t="str" cm="1">
        <f t="array" ref="AD263">IFERROR(INDEX('M04-S08'!$BC$18:$BC$199,2*(ROWS(AD$262:AD263)-1)+1),"")</f>
        <v/>
      </c>
      <c r="AE263" s="37" t="str" cm="1">
        <f t="array" ref="AE263">IFERROR(INDEX('M04-S08'!$BD$18:$BD$199,2*(ROWS(AE$262:AE263)-1)+1),"")</f>
        <v/>
      </c>
      <c r="AF263" s="210"/>
      <c r="AG263" s="210"/>
      <c r="AH263" s="210"/>
      <c r="AI263">
        <f>IFERROR(INDEX('M04-S08'!$B$18:$B$199,2*(ROWS(AI$262:AI263)-1)+1),"")</f>
        <v>2</v>
      </c>
      <c r="AJ263" s="194"/>
      <c r="AK263">
        <f>IFERROR(INDEX('M04-S08'!$H$18:$H$199,2*(ROWS(AK$262:AK263)-1)+1),"")</f>
        <v>0</v>
      </c>
      <c r="AL263">
        <f>IFERROR(INDEX('M04-S08'!$N$18:$N$199,2*(ROWS(AL$262:AL263)-1)+1),"")</f>
        <v>0</v>
      </c>
      <c r="AM263">
        <f>IFERROR(INDEX('M04-S08'!$W$18:$W$199,2*(ROWS(AM$262:AM263)-1)+1),"")</f>
        <v>0</v>
      </c>
      <c r="AN263" s="14" t="str">
        <f>IFERROR(INDEX('M04-S08'!$AX$18:$AX$199,2*(ROWS(AN$262:AN263)-1)+1),"")</f>
        <v/>
      </c>
      <c r="AO263" s="14" t="str">
        <f>IFERROR(INDEX('M04-S08'!$AY$18:$AY$199,2*(ROWS(AO$262:AO263)-1)+1),"")</f>
        <v/>
      </c>
      <c r="AP263" t="str">
        <f>IFERROR(INDEX('M04-S08'!$AZ$18:$AZ$199,2*(ROWS(AP$262:AP263)-1)+1),"")</f>
        <v/>
      </c>
      <c r="AQ263" t="str">
        <f>IFERROR(INDEX('M04-S08'!$BE$18:$BE$199,2*(ROWS(AQ$262:AQ263)-1)+1),"")</f>
        <v/>
      </c>
      <c r="AR263" t="s">
        <v>1254</v>
      </c>
      <c r="BL263"/>
      <c r="BP263"/>
      <c r="BQ263"/>
      <c r="BR263"/>
      <c r="CD263"/>
      <c r="CE263"/>
      <c r="CF263"/>
      <c r="CQ263"/>
      <c r="CR263"/>
      <c r="CS263"/>
      <c r="DS263"/>
      <c r="DT263"/>
      <c r="DU263"/>
    </row>
    <row r="264" spans="1:125" hidden="1">
      <c r="A264" s="15">
        <f t="shared" si="28"/>
        <v>0</v>
      </c>
      <c r="B264" t="str">
        <f t="shared" si="30"/>
        <v/>
      </c>
      <c r="C264" t="str">
        <f>IFERROR(IF(INDEX('M04-S08'!$BL$18:$BL$199,2*(ROWS($C$262:C264)-1)+1)="","",INDEX('M04-S08'!$BL$18:$BL$199,2*(ROWS($C$262:C264)-1)+1)),"")</f>
        <v/>
      </c>
      <c r="D264" t="s">
        <v>135</v>
      </c>
      <c r="E264" t="str">
        <f>IFERROR(INDEX('M04-S08'!$BF$18:$BF$199,2*(ROWS(E$262:E264)-1)+1),"")</f>
        <v/>
      </c>
      <c r="F264" s="210"/>
      <c r="G264" s="194"/>
      <c r="H264" s="14" t="str">
        <f ca="1">IFERROR(ROUND(IF(AC264&lt;&gt;"","",INDEX('M04-S08'!$AH$18:$AH$199,2*(ROWS(H$262:H264)-1)+1)),2),"")</f>
        <v/>
      </c>
      <c r="I264" s="14" t="str">
        <f ca="1">IFERROR(ROUND(IF(AC264&lt;&gt;"","",INDEX('M04-S08'!$AJ$18:$AJ$199,2*(ROWS(I$262:I264)-1)+1)),2),"")</f>
        <v/>
      </c>
      <c r="J264" s="14" t="str">
        <f ca="1">IFERROR(ROUND(IF(AC264&lt;&gt;"","",INDEX('M04-S08'!$AL$18:$AL$199,2*(ROWS(J$262:J264)-1)+1)),2),"")</f>
        <v/>
      </c>
      <c r="K264" t="str">
        <f ca="1">IFERROR(IF(AC264&lt;&gt;"","",INDEX('M04-S08'!$AF$38:$AF$199,2*(ROWS(J$262:J264)-1)+1)),"")</f>
        <v/>
      </c>
      <c r="L264" s="10" t="str">
        <f ca="1">IFERROR(IF(AC264&lt;&gt;"","",ROUND(INDEX('M04-S08'!$BA$18:$BA$199,2*(ROWS(L$262:L264)-1)+1),3)),"")</f>
        <v/>
      </c>
      <c r="M264" s="10" t="str">
        <f ca="1">IFERROR(IF(AC264&lt;&gt;"","",ROUND(INDEX('M04-S08'!$BB$18:$BB$199,2*(ROWS(M$262:M264)-1)+1),3)),"")</f>
        <v/>
      </c>
      <c r="N264" s="210"/>
      <c r="O264" s="31" t="str">
        <f ca="1">IFERROR(IF(AC264&lt;&gt;"","",INDEX('M04-S08'!$AO$18:$AO$199,2*(ROWS(O$262:O264)-1)+1)),"")</f>
        <v/>
      </c>
      <c r="P264" s="37" t="str">
        <f ca="1">IFERROR(IF(AC264&lt;&gt;"","",INDEX('M04-S08'!$BH$18:$BH$199,2*(ROWS(P$262:P264)-1)+1)),"")</f>
        <v/>
      </c>
      <c r="Q264" s="37" t="str">
        <f ca="1">IFERROR(IF(AC264&lt;&gt;"","",INDEX('M04-S08'!$BG$18:$BG$199,2*(ROWS(Q$262:Q264)-1)+1)),"")</f>
        <v/>
      </c>
      <c r="R264" s="14" t="str">
        <f ca="1">IFERROR(IF(AC264&lt;&gt;"","",INDEX('M04-S08'!$AR$18:$AR$199,2*(ROWS(R$262:R264)-1)+1)),"")</f>
        <v/>
      </c>
      <c r="S264" s="14">
        <f ca="1">IFERROR(ROUND(IF(AC264&lt;&gt;"",INDEX('M04-S08'!$AH$18:$AH$199,2*(ROWS(S$262:S264)-1)+1),""),2),"")</f>
        <v>0</v>
      </c>
      <c r="T264" s="14" t="str">
        <f ca="1">IFERROR(ROUND(IF(AC264&lt;&gt;"",INDEX('M04-S08'!$AJ$18:$AJ$199,2*(ROWS(T$262:T264)-1)+1),""),2),"")</f>
        <v/>
      </c>
      <c r="U264" s="14" t="str">
        <f ca="1">IFERROR(ROUND(IF(AC264&lt;&gt;"",INDEX('M04-S08'!$AL$18:$AL$199,2*(ROWS(U$262:U264)-1)+1),""),2),"")</f>
        <v/>
      </c>
      <c r="V264">
        <f ca="1">IFERROR(IF(AC264&lt;&gt;"",INDEX('M04-S08'!$AF$38:$AF$199,2*(ROWS(V$262:V264)-1)+1),""),"")</f>
        <v>0</v>
      </c>
      <c r="W264" s="10" t="str">
        <f ca="1">IFERROR(IF(AC264&lt;&gt;"",ROUND(INDEX('M04-S08'!$BA$18:$BA$199,2*(ROWS(W$262:W264)-1)+1),3),""),"")</f>
        <v/>
      </c>
      <c r="X264" s="10" t="str">
        <f ca="1">IFERROR(IF(AC264&lt;&gt;"",ROUND(INDEX('M04-S08'!$BB$18:$BB$199,2*(ROWS(X$262:X264)-1)+1),3),""),"")</f>
        <v/>
      </c>
      <c r="Y264" s="210"/>
      <c r="Z264" s="31" t="str">
        <f ca="1">IFERROR(IF(AC264&lt;&gt;"",INDEX('M04-S08'!$AO$18:$AO$199,2*(ROWS(Z$262:Z264)-1)+1),""),"")</f>
        <v/>
      </c>
      <c r="AA264" s="37">
        <f ca="1">IFERROR(IF(AC264&lt;&gt;"",INDEX('M04-S08'!$BH$18:$BH$199,2*(ROWS(AA$262:AA264)-1)+1),""),"")</f>
        <v>0</v>
      </c>
      <c r="AB264" s="37" t="str">
        <f ca="1">IFERROR(IF(AC264&lt;&gt;"",INDEX('M04-S08'!$BG$18:$BG$199,2*(ROWS(AB$262:AB264)-1)+1),""),"")</f>
        <v/>
      </c>
      <c r="AC264" t="str">
        <f ca="1">IFERROR(INDEX('M04-S08'!$BN$18:$BN$199,2*(ROWS(AC$262:AC264)-1)+1),"")</f>
        <v>Submit for Review</v>
      </c>
      <c r="AD264" s="37" t="str" cm="1">
        <f t="array" ref="AD264">IFERROR(INDEX('M04-S08'!$BC$18:$BC$199,2*(ROWS(AD$262:AD264)-1)+1),"")</f>
        <v/>
      </c>
      <c r="AE264" s="37" t="str" cm="1">
        <f t="array" ref="AE264">IFERROR(INDEX('M04-S08'!$BD$18:$BD$199,2*(ROWS(AE$262:AE264)-1)+1),"")</f>
        <v/>
      </c>
      <c r="AF264" s="210"/>
      <c r="AG264" s="210"/>
      <c r="AH264" s="210"/>
      <c r="AI264">
        <f>IFERROR(INDEX('M04-S08'!$B$18:$B$199,2*(ROWS(AI$262:AI264)-1)+1),"")</f>
        <v>3</v>
      </c>
      <c r="AJ264" s="194"/>
      <c r="AK264">
        <f>IFERROR(INDEX('M04-S08'!$H$18:$H$199,2*(ROWS(AK$262:AK264)-1)+1),"")</f>
        <v>0</v>
      </c>
      <c r="AL264">
        <f>IFERROR(INDEX('M04-S08'!$N$18:$N$199,2*(ROWS(AL$262:AL264)-1)+1),"")</f>
        <v>0</v>
      </c>
      <c r="AM264">
        <f>IFERROR(INDEX('M04-S08'!$W$18:$W$199,2*(ROWS(AM$262:AM264)-1)+1),"")</f>
        <v>0</v>
      </c>
      <c r="AN264" s="14" t="str">
        <f>IFERROR(INDEX('M04-S08'!$AX$18:$AX$199,2*(ROWS(AN$262:AN264)-1)+1),"")</f>
        <v/>
      </c>
      <c r="AO264" s="14" t="str">
        <f>IFERROR(INDEX('M04-S08'!$AY$18:$AY$199,2*(ROWS(AO$262:AO264)-1)+1),"")</f>
        <v/>
      </c>
      <c r="AP264" t="str">
        <f>IFERROR(INDEX('M04-S08'!$AZ$18:$AZ$199,2*(ROWS(AP$262:AP264)-1)+1),"")</f>
        <v/>
      </c>
      <c r="AQ264" t="str">
        <f>IFERROR(INDEX('M04-S08'!$BE$18:$BE$199,2*(ROWS(AQ$262:AQ264)-1)+1),"")</f>
        <v/>
      </c>
      <c r="AR264" t="s">
        <v>1254</v>
      </c>
      <c r="BL264"/>
      <c r="BP264"/>
      <c r="BQ264"/>
      <c r="BR264"/>
      <c r="CD264"/>
      <c r="CE264"/>
      <c r="CF264"/>
      <c r="CQ264"/>
      <c r="CR264"/>
      <c r="CS264"/>
      <c r="DS264"/>
      <c r="DT264"/>
      <c r="DU264"/>
    </row>
    <row r="265" spans="1:125" hidden="1">
      <c r="A265" s="15">
        <f t="shared" si="28"/>
        <v>0</v>
      </c>
      <c r="B265" t="str">
        <f t="shared" si="30"/>
        <v/>
      </c>
      <c r="C265" t="str">
        <f>IFERROR(IF(INDEX('M04-S08'!$BL$18:$BL$199,2*(ROWS($C$262:C265)-1)+1)="","",INDEX('M04-S08'!$BL$18:$BL$199,2*(ROWS($C$262:C265)-1)+1)),"")</f>
        <v/>
      </c>
      <c r="D265" t="s">
        <v>135</v>
      </c>
      <c r="E265" t="str">
        <f>IFERROR(INDEX('M04-S08'!$BF$18:$BF$199,2*(ROWS(E$262:E265)-1)+1),"")</f>
        <v/>
      </c>
      <c r="F265" s="210"/>
      <c r="G265" s="194"/>
      <c r="H265" s="14" t="str">
        <f ca="1">IFERROR(ROUND(IF(AC265&lt;&gt;"","",INDEX('M04-S08'!$AH$18:$AH$199,2*(ROWS(H$262:H265)-1)+1)),2),"")</f>
        <v/>
      </c>
      <c r="I265" s="14" t="str">
        <f ca="1">IFERROR(ROUND(IF(AC265&lt;&gt;"","",INDEX('M04-S08'!$AJ$18:$AJ$199,2*(ROWS(I$262:I265)-1)+1)),2),"")</f>
        <v/>
      </c>
      <c r="J265" s="14" t="str">
        <f ca="1">IFERROR(ROUND(IF(AC265&lt;&gt;"","",INDEX('M04-S08'!$AL$18:$AL$199,2*(ROWS(J$262:J265)-1)+1)),2),"")</f>
        <v/>
      </c>
      <c r="K265" t="str">
        <f ca="1">IFERROR(IF(AC265&lt;&gt;"","",INDEX('M04-S08'!$AF$38:$AF$199,2*(ROWS(J$262:J265)-1)+1)),"")</f>
        <v/>
      </c>
      <c r="L265" s="10" t="str">
        <f ca="1">IFERROR(IF(AC265&lt;&gt;"","",ROUND(INDEX('M04-S08'!$BA$18:$BA$199,2*(ROWS(L$262:L265)-1)+1),3)),"")</f>
        <v/>
      </c>
      <c r="M265" s="10" t="str">
        <f ca="1">IFERROR(IF(AC265&lt;&gt;"","",ROUND(INDEX('M04-S08'!$BB$18:$BB$199,2*(ROWS(M$262:M265)-1)+1),3)),"")</f>
        <v/>
      </c>
      <c r="N265" s="210"/>
      <c r="O265" s="31" t="str">
        <f ca="1">IFERROR(IF(AC265&lt;&gt;"","",INDEX('M04-S08'!$AO$18:$AO$199,2*(ROWS(O$262:O265)-1)+1)),"")</f>
        <v/>
      </c>
      <c r="P265" s="37" t="str">
        <f ca="1">IFERROR(IF(AC265&lt;&gt;"","",INDEX('M04-S08'!$BH$18:$BH$199,2*(ROWS(P$262:P265)-1)+1)),"")</f>
        <v/>
      </c>
      <c r="Q265" s="37" t="str">
        <f ca="1">IFERROR(IF(AC265&lt;&gt;"","",INDEX('M04-S08'!$BG$18:$BG$199,2*(ROWS(Q$262:Q265)-1)+1)),"")</f>
        <v/>
      </c>
      <c r="R265" s="14" t="str">
        <f ca="1">IFERROR(IF(AC265&lt;&gt;"","",INDEX('M04-S08'!$AR$18:$AR$199,2*(ROWS(R$262:R265)-1)+1)),"")</f>
        <v/>
      </c>
      <c r="S265" s="14">
        <f ca="1">IFERROR(ROUND(IF(AC265&lt;&gt;"",INDEX('M04-S08'!$AH$18:$AH$199,2*(ROWS(S$262:S265)-1)+1),""),2),"")</f>
        <v>0</v>
      </c>
      <c r="T265" s="14" t="str">
        <f ca="1">IFERROR(ROUND(IF(AC265&lt;&gt;"",INDEX('M04-S08'!$AJ$18:$AJ$199,2*(ROWS(T$262:T265)-1)+1),""),2),"")</f>
        <v/>
      </c>
      <c r="U265" s="14" t="str">
        <f ca="1">IFERROR(ROUND(IF(AC265&lt;&gt;"",INDEX('M04-S08'!$AL$18:$AL$199,2*(ROWS(U$262:U265)-1)+1),""),2),"")</f>
        <v/>
      </c>
      <c r="V265">
        <f ca="1">IFERROR(IF(AC265&lt;&gt;"",INDEX('M04-S08'!$AF$38:$AF$199,2*(ROWS(V$262:V265)-1)+1),""),"")</f>
        <v>0</v>
      </c>
      <c r="W265" s="10" t="str">
        <f ca="1">IFERROR(IF(AC265&lt;&gt;"",ROUND(INDEX('M04-S08'!$BA$18:$BA$199,2*(ROWS(W$262:W265)-1)+1),3),""),"")</f>
        <v/>
      </c>
      <c r="X265" s="10" t="str">
        <f ca="1">IFERROR(IF(AC265&lt;&gt;"",ROUND(INDEX('M04-S08'!$BB$18:$BB$199,2*(ROWS(X$262:X265)-1)+1),3),""),"")</f>
        <v/>
      </c>
      <c r="Y265" s="210"/>
      <c r="Z265" s="31" t="str">
        <f ca="1">IFERROR(IF(AC265&lt;&gt;"",INDEX('M04-S08'!$AO$18:$AO$199,2*(ROWS(Z$262:Z265)-1)+1),""),"")</f>
        <v/>
      </c>
      <c r="AA265" s="37">
        <f ca="1">IFERROR(IF(AC265&lt;&gt;"",INDEX('M04-S08'!$BH$18:$BH$199,2*(ROWS(AA$262:AA265)-1)+1),""),"")</f>
        <v>0</v>
      </c>
      <c r="AB265" s="37" t="str">
        <f ca="1">IFERROR(IF(AC265&lt;&gt;"",INDEX('M04-S08'!$BG$18:$BG$199,2*(ROWS(AB$262:AB265)-1)+1),""),"")</f>
        <v/>
      </c>
      <c r="AC265" t="str">
        <f ca="1">IFERROR(INDEX('M04-S08'!$BN$18:$BN$199,2*(ROWS(AC$262:AC265)-1)+1),"")</f>
        <v>Submit for Review</v>
      </c>
      <c r="AD265" s="37" t="str" cm="1">
        <f t="array" ref="AD265">IFERROR(INDEX('M04-S08'!$BC$18:$BC$199,2*(ROWS(AD$262:AD265)-1)+1),"")</f>
        <v/>
      </c>
      <c r="AE265" s="37" t="str" cm="1">
        <f t="array" ref="AE265">IFERROR(INDEX('M04-S08'!$BD$18:$BD$199,2*(ROWS(AE$262:AE265)-1)+1),"")</f>
        <v/>
      </c>
      <c r="AF265" s="210"/>
      <c r="AG265" s="210"/>
      <c r="AH265" s="210"/>
      <c r="AI265">
        <f>IFERROR(INDEX('M04-S08'!$B$18:$B$199,2*(ROWS(AI$262:AI265)-1)+1),"")</f>
        <v>4</v>
      </c>
      <c r="AJ265" s="194"/>
      <c r="AK265">
        <f>IFERROR(INDEX('M04-S08'!$H$18:$H$199,2*(ROWS(AK$262:AK265)-1)+1),"")</f>
        <v>0</v>
      </c>
      <c r="AL265">
        <f>IFERROR(INDEX('M04-S08'!$N$18:$N$199,2*(ROWS(AL$262:AL265)-1)+1),"")</f>
        <v>0</v>
      </c>
      <c r="AM265">
        <f>IFERROR(INDEX('M04-S08'!$W$18:$W$199,2*(ROWS(AM$262:AM265)-1)+1),"")</f>
        <v>0</v>
      </c>
      <c r="AN265" s="14" t="str">
        <f>IFERROR(INDEX('M04-S08'!$AX$18:$AX$199,2*(ROWS(AN$262:AN265)-1)+1),"")</f>
        <v/>
      </c>
      <c r="AO265" s="14" t="str">
        <f>IFERROR(INDEX('M04-S08'!$AY$18:$AY$199,2*(ROWS(AO$262:AO265)-1)+1),"")</f>
        <v/>
      </c>
      <c r="AP265" t="str">
        <f>IFERROR(INDEX('M04-S08'!$AZ$18:$AZ$199,2*(ROWS(AP$262:AP265)-1)+1),"")</f>
        <v/>
      </c>
      <c r="AQ265" t="str">
        <f>IFERROR(INDEX('M04-S08'!$BE$18:$BE$199,2*(ROWS(AQ$262:AQ265)-1)+1),"")</f>
        <v/>
      </c>
      <c r="AR265" t="s">
        <v>1254</v>
      </c>
      <c r="BL265"/>
      <c r="BP265"/>
      <c r="BQ265"/>
      <c r="BR265"/>
      <c r="CD265"/>
      <c r="CE265"/>
      <c r="CF265"/>
      <c r="CQ265"/>
      <c r="CR265"/>
      <c r="CS265"/>
      <c r="DS265"/>
      <c r="DT265"/>
      <c r="DU265"/>
    </row>
    <row r="266" spans="1:125" hidden="1">
      <c r="A266" s="15">
        <f t="shared" si="28"/>
        <v>0</v>
      </c>
      <c r="B266" t="str">
        <f t="shared" si="30"/>
        <v/>
      </c>
      <c r="C266" t="str">
        <f>IFERROR(IF(INDEX('M04-S08'!$BL$18:$BL$199,2*(ROWS($C$262:C266)-1)+1)="","",INDEX('M04-S08'!$BL$18:$BL$199,2*(ROWS($C$262:C266)-1)+1)),"")</f>
        <v/>
      </c>
      <c r="D266" t="s">
        <v>135</v>
      </c>
      <c r="E266" t="str">
        <f>IFERROR(INDEX('M04-S08'!$BF$18:$BF$199,2*(ROWS(E$262:E266)-1)+1),"")</f>
        <v/>
      </c>
      <c r="F266" s="210"/>
      <c r="G266" s="194"/>
      <c r="H266" s="14" t="str">
        <f ca="1">IFERROR(ROUND(IF(AC266&lt;&gt;"","",INDEX('M04-S08'!$AH$18:$AH$199,2*(ROWS(H$262:H266)-1)+1)),2),"")</f>
        <v/>
      </c>
      <c r="I266" s="14" t="str">
        <f ca="1">IFERROR(ROUND(IF(AC266&lt;&gt;"","",INDEX('M04-S08'!$AJ$18:$AJ$199,2*(ROWS(I$262:I266)-1)+1)),2),"")</f>
        <v/>
      </c>
      <c r="J266" s="14" t="str">
        <f ca="1">IFERROR(ROUND(IF(AC266&lt;&gt;"","",INDEX('M04-S08'!$AL$18:$AL$199,2*(ROWS(J$262:J266)-1)+1)),2),"")</f>
        <v/>
      </c>
      <c r="K266" t="str">
        <f ca="1">IFERROR(IF(AC266&lt;&gt;"","",INDEX('M04-S08'!$AF$38:$AF$199,2*(ROWS(J$262:J266)-1)+1)),"")</f>
        <v/>
      </c>
      <c r="L266" s="10" t="str">
        <f ca="1">IFERROR(IF(AC266&lt;&gt;"","",ROUND(INDEX('M04-S08'!$BA$18:$BA$199,2*(ROWS(L$262:L266)-1)+1),3)),"")</f>
        <v/>
      </c>
      <c r="M266" s="10" t="str">
        <f ca="1">IFERROR(IF(AC266&lt;&gt;"","",ROUND(INDEX('M04-S08'!$BB$18:$BB$199,2*(ROWS(M$262:M266)-1)+1),3)),"")</f>
        <v/>
      </c>
      <c r="N266" s="210"/>
      <c r="O266" s="31" t="str">
        <f ca="1">IFERROR(IF(AC266&lt;&gt;"","",INDEX('M04-S08'!$AO$18:$AO$199,2*(ROWS(O$262:O266)-1)+1)),"")</f>
        <v/>
      </c>
      <c r="P266" s="37" t="str">
        <f ca="1">IFERROR(IF(AC266&lt;&gt;"","",INDEX('M04-S08'!$BH$18:$BH$199,2*(ROWS(P$262:P266)-1)+1)),"")</f>
        <v/>
      </c>
      <c r="Q266" s="37" t="str">
        <f ca="1">IFERROR(IF(AC266&lt;&gt;"","",INDEX('M04-S08'!$BG$18:$BG$199,2*(ROWS(Q$262:Q266)-1)+1)),"")</f>
        <v/>
      </c>
      <c r="R266" s="14" t="str">
        <f ca="1">IFERROR(IF(AC266&lt;&gt;"","",INDEX('M04-S08'!$AR$18:$AR$199,2*(ROWS(R$262:R266)-1)+1)),"")</f>
        <v/>
      </c>
      <c r="S266" s="14">
        <f ca="1">IFERROR(ROUND(IF(AC266&lt;&gt;"",INDEX('M04-S08'!$AH$18:$AH$199,2*(ROWS(S$262:S266)-1)+1),""),2),"")</f>
        <v>0</v>
      </c>
      <c r="T266" s="14" t="str">
        <f ca="1">IFERROR(ROUND(IF(AC266&lt;&gt;"",INDEX('M04-S08'!$AJ$18:$AJ$199,2*(ROWS(T$262:T266)-1)+1),""),2),"")</f>
        <v/>
      </c>
      <c r="U266" s="14" t="str">
        <f ca="1">IFERROR(ROUND(IF(AC266&lt;&gt;"",INDEX('M04-S08'!$AL$18:$AL$199,2*(ROWS(U$262:U266)-1)+1),""),2),"")</f>
        <v/>
      </c>
      <c r="V266">
        <f ca="1">IFERROR(IF(AC266&lt;&gt;"",INDEX('M04-S08'!$AF$38:$AF$199,2*(ROWS(V$262:V266)-1)+1),""),"")</f>
        <v>0</v>
      </c>
      <c r="W266" s="10" t="str">
        <f ca="1">IFERROR(IF(AC266&lt;&gt;"",ROUND(INDEX('M04-S08'!$BA$18:$BA$199,2*(ROWS(W$262:W266)-1)+1),3),""),"")</f>
        <v/>
      </c>
      <c r="X266" s="10" t="str">
        <f ca="1">IFERROR(IF(AC266&lt;&gt;"",ROUND(INDEX('M04-S08'!$BB$18:$BB$199,2*(ROWS(X$262:X266)-1)+1),3),""),"")</f>
        <v/>
      </c>
      <c r="Y266" s="210"/>
      <c r="Z266" s="31" t="str">
        <f ca="1">IFERROR(IF(AC266&lt;&gt;"",INDEX('M04-S08'!$AO$18:$AO$199,2*(ROWS(Z$262:Z266)-1)+1),""),"")</f>
        <v/>
      </c>
      <c r="AA266" s="37">
        <f ca="1">IFERROR(IF(AC266&lt;&gt;"",INDEX('M04-S08'!$BH$18:$BH$199,2*(ROWS(AA$262:AA266)-1)+1),""),"")</f>
        <v>0</v>
      </c>
      <c r="AB266" s="37" t="str">
        <f ca="1">IFERROR(IF(AC266&lt;&gt;"",INDEX('M04-S08'!$BG$18:$BG$199,2*(ROWS(AB$262:AB266)-1)+1),""),"")</f>
        <v/>
      </c>
      <c r="AC266" t="str">
        <f ca="1">IFERROR(INDEX('M04-S08'!$BN$18:$BN$199,2*(ROWS(AC$262:AC266)-1)+1),"")</f>
        <v>Submit for Review</v>
      </c>
      <c r="AD266" s="37" t="str" cm="1">
        <f t="array" ref="AD266">IFERROR(INDEX('M04-S08'!$BC$18:$BC$199,2*(ROWS(AD$262:AD266)-1)+1),"")</f>
        <v/>
      </c>
      <c r="AE266" s="37" t="str" cm="1">
        <f t="array" ref="AE266">IFERROR(INDEX('M04-S08'!$BD$18:$BD$199,2*(ROWS(AE$262:AE266)-1)+1),"")</f>
        <v/>
      </c>
      <c r="AF266" s="210"/>
      <c r="AG266" s="210"/>
      <c r="AH266" s="210"/>
      <c r="AI266">
        <f>IFERROR(INDEX('M04-S08'!$B$18:$B$199,2*(ROWS(AI$262:AI266)-1)+1),"")</f>
        <v>5</v>
      </c>
      <c r="AJ266" s="194"/>
      <c r="AK266">
        <f>IFERROR(INDEX('M04-S08'!$H$18:$H$199,2*(ROWS(AK$262:AK266)-1)+1),"")</f>
        <v>0</v>
      </c>
      <c r="AL266">
        <f>IFERROR(INDEX('M04-S08'!$N$18:$N$199,2*(ROWS(AL$262:AL266)-1)+1),"")</f>
        <v>0</v>
      </c>
      <c r="AM266">
        <f>IFERROR(INDEX('M04-S08'!$W$18:$W$199,2*(ROWS(AM$262:AM266)-1)+1),"")</f>
        <v>0</v>
      </c>
      <c r="AN266" s="14" t="str">
        <f>IFERROR(INDEX('M04-S08'!$AX$18:$AX$199,2*(ROWS(AN$262:AN266)-1)+1),"")</f>
        <v/>
      </c>
      <c r="AO266" s="14" t="str">
        <f>IFERROR(INDEX('M04-S08'!$AY$18:$AY$199,2*(ROWS(AO$262:AO266)-1)+1),"")</f>
        <v/>
      </c>
      <c r="AP266" t="str">
        <f>IFERROR(INDEX('M04-S08'!$AZ$18:$AZ$199,2*(ROWS(AP$262:AP266)-1)+1),"")</f>
        <v/>
      </c>
      <c r="AQ266" t="str">
        <f>IFERROR(INDEX('M04-S08'!$BE$18:$BE$199,2*(ROWS(AQ$262:AQ266)-1)+1),"")</f>
        <v/>
      </c>
      <c r="AR266" t="s">
        <v>1254</v>
      </c>
      <c r="BL266"/>
      <c r="BP266"/>
      <c r="BQ266"/>
      <c r="BR266"/>
      <c r="CD266"/>
      <c r="CE266"/>
      <c r="CF266"/>
      <c r="CQ266"/>
      <c r="CR266"/>
      <c r="CS266"/>
      <c r="DS266"/>
      <c r="DT266"/>
      <c r="DU266"/>
    </row>
    <row r="267" spans="1:125" hidden="1">
      <c r="A267" s="15">
        <f t="shared" si="28"/>
        <v>0</v>
      </c>
      <c r="B267" t="str">
        <f t="shared" si="30"/>
        <v/>
      </c>
      <c r="C267" t="str">
        <f>IFERROR(IF(INDEX('M04-S08'!$BL$18:$BL$199,2*(ROWS($C$262:C267)-1)+1)="","",INDEX('M04-S08'!$BL$18:$BL$199,2*(ROWS($C$262:C267)-1)+1)),"")</f>
        <v/>
      </c>
      <c r="D267" t="s">
        <v>135</v>
      </c>
      <c r="E267" t="str">
        <f>IFERROR(INDEX('M04-S08'!$BF$18:$BF$199,2*(ROWS(E$262:E267)-1)+1),"")</f>
        <v/>
      </c>
      <c r="F267" s="210"/>
      <c r="G267" s="194"/>
      <c r="H267" s="14" t="str">
        <f ca="1">IFERROR(ROUND(IF(AC267&lt;&gt;"","",INDEX('M04-S08'!$AH$18:$AH$199,2*(ROWS(H$262:H267)-1)+1)),2),"")</f>
        <v/>
      </c>
      <c r="I267" s="14" t="str">
        <f ca="1">IFERROR(ROUND(IF(AC267&lt;&gt;"","",INDEX('M04-S08'!$AJ$18:$AJ$199,2*(ROWS(I$262:I267)-1)+1)),2),"")</f>
        <v/>
      </c>
      <c r="J267" s="14" t="str">
        <f ca="1">IFERROR(ROUND(IF(AC267&lt;&gt;"","",INDEX('M04-S08'!$AL$18:$AL$199,2*(ROWS(J$262:J267)-1)+1)),2),"")</f>
        <v/>
      </c>
      <c r="K267" t="str">
        <f ca="1">IFERROR(IF(AC267&lt;&gt;"","",INDEX('M04-S08'!$AF$38:$AF$199,2*(ROWS(J$262:J267)-1)+1)),"")</f>
        <v/>
      </c>
      <c r="L267" s="10" t="str">
        <f ca="1">IFERROR(IF(AC267&lt;&gt;"","",ROUND(INDEX('M04-S08'!$BA$18:$BA$199,2*(ROWS(L$262:L267)-1)+1),3)),"")</f>
        <v/>
      </c>
      <c r="M267" s="10" t="str">
        <f ca="1">IFERROR(IF(AC267&lt;&gt;"","",ROUND(INDEX('M04-S08'!$BB$18:$BB$199,2*(ROWS(M$262:M267)-1)+1),3)),"")</f>
        <v/>
      </c>
      <c r="N267" s="210"/>
      <c r="O267" s="31" t="str">
        <f ca="1">IFERROR(IF(AC267&lt;&gt;"","",INDEX('M04-S08'!$AO$18:$AO$199,2*(ROWS(O$262:O267)-1)+1)),"")</f>
        <v/>
      </c>
      <c r="P267" s="37" t="str">
        <f ca="1">IFERROR(IF(AC267&lt;&gt;"","",INDEX('M04-S08'!$BH$18:$BH$199,2*(ROWS(P$262:P267)-1)+1)),"")</f>
        <v/>
      </c>
      <c r="Q267" s="37" t="str">
        <f ca="1">IFERROR(IF(AC267&lt;&gt;"","",INDEX('M04-S08'!$BG$18:$BG$199,2*(ROWS(Q$262:Q267)-1)+1)),"")</f>
        <v/>
      </c>
      <c r="R267" s="14" t="str">
        <f ca="1">IFERROR(IF(AC267&lt;&gt;"","",INDEX('M04-S08'!$AR$18:$AR$199,2*(ROWS(R$262:R267)-1)+1)),"")</f>
        <v/>
      </c>
      <c r="S267" s="14">
        <f ca="1">IFERROR(ROUND(IF(AC267&lt;&gt;"",INDEX('M04-S08'!$AH$18:$AH$199,2*(ROWS(S$262:S267)-1)+1),""),2),"")</f>
        <v>0</v>
      </c>
      <c r="T267" s="14" t="str">
        <f ca="1">IFERROR(ROUND(IF(AC267&lt;&gt;"",INDEX('M04-S08'!$AJ$18:$AJ$199,2*(ROWS(T$262:T267)-1)+1),""),2),"")</f>
        <v/>
      </c>
      <c r="U267" s="14" t="str">
        <f ca="1">IFERROR(ROUND(IF(AC267&lt;&gt;"",INDEX('M04-S08'!$AL$18:$AL$199,2*(ROWS(U$262:U267)-1)+1),""),2),"")</f>
        <v/>
      </c>
      <c r="V267">
        <f ca="1">IFERROR(IF(AC267&lt;&gt;"",INDEX('M04-S08'!$AF$38:$AF$199,2*(ROWS(V$262:V267)-1)+1),""),"")</f>
        <v>0</v>
      </c>
      <c r="W267" s="10" t="str">
        <f ca="1">IFERROR(IF(AC267&lt;&gt;"",ROUND(INDEX('M04-S08'!$BA$18:$BA$199,2*(ROWS(W$262:W267)-1)+1),3),""),"")</f>
        <v/>
      </c>
      <c r="X267" s="10" t="str">
        <f ca="1">IFERROR(IF(AC267&lt;&gt;"",ROUND(INDEX('M04-S08'!$BB$18:$BB$199,2*(ROWS(X$262:X267)-1)+1),3),""),"")</f>
        <v/>
      </c>
      <c r="Y267" s="210"/>
      <c r="Z267" s="31" t="str">
        <f ca="1">IFERROR(IF(AC267&lt;&gt;"",INDEX('M04-S08'!$AO$18:$AO$199,2*(ROWS(Z$262:Z267)-1)+1),""),"")</f>
        <v/>
      </c>
      <c r="AA267" s="37">
        <f ca="1">IFERROR(IF(AC267&lt;&gt;"",INDEX('M04-S08'!$BH$18:$BH$199,2*(ROWS(AA$262:AA267)-1)+1),""),"")</f>
        <v>0</v>
      </c>
      <c r="AB267" s="37" t="str">
        <f ca="1">IFERROR(IF(AC267&lt;&gt;"",INDEX('M04-S08'!$BG$18:$BG$199,2*(ROWS(AB$262:AB267)-1)+1),""),"")</f>
        <v/>
      </c>
      <c r="AC267" t="str">
        <f ca="1">IFERROR(INDEX('M04-S08'!$BN$18:$BN$199,2*(ROWS(AC$262:AC267)-1)+1),"")</f>
        <v>Submit for Review</v>
      </c>
      <c r="AD267" s="37" t="str" cm="1">
        <f t="array" ref="AD267">IFERROR(INDEX('M04-S08'!$BC$18:$BC$199,2*(ROWS(AD$262:AD267)-1)+1),"")</f>
        <v/>
      </c>
      <c r="AE267" s="37" t="str" cm="1">
        <f t="array" ref="AE267">IFERROR(INDEX('M04-S08'!$BD$18:$BD$199,2*(ROWS(AE$262:AE267)-1)+1),"")</f>
        <v/>
      </c>
      <c r="AF267" s="210"/>
      <c r="AG267" s="210"/>
      <c r="AH267" s="210"/>
      <c r="AI267">
        <f>IFERROR(INDEX('M04-S08'!$B$18:$B$199,2*(ROWS(AI$262:AI267)-1)+1),"")</f>
        <v>6</v>
      </c>
      <c r="AJ267" s="194"/>
      <c r="AK267">
        <f>IFERROR(INDEX('M04-S08'!$H$18:$H$199,2*(ROWS(AK$262:AK267)-1)+1),"")</f>
        <v>0</v>
      </c>
      <c r="AL267">
        <f>IFERROR(INDEX('M04-S08'!$N$18:$N$199,2*(ROWS(AL$262:AL267)-1)+1),"")</f>
        <v>0</v>
      </c>
      <c r="AM267">
        <f>IFERROR(INDEX('M04-S08'!$W$18:$W$199,2*(ROWS(AM$262:AM267)-1)+1),"")</f>
        <v>0</v>
      </c>
      <c r="AN267" s="14" t="str">
        <f>IFERROR(INDEX('M04-S08'!$AX$18:$AX$199,2*(ROWS(AN$262:AN267)-1)+1),"")</f>
        <v/>
      </c>
      <c r="AO267" s="14" t="str">
        <f>IFERROR(INDEX('M04-S08'!$AY$18:$AY$199,2*(ROWS(AO$262:AO267)-1)+1),"")</f>
        <v/>
      </c>
      <c r="AP267" t="str">
        <f>IFERROR(INDEX('M04-S08'!$AZ$18:$AZ$199,2*(ROWS(AP$262:AP267)-1)+1),"")</f>
        <v/>
      </c>
      <c r="AQ267" t="str">
        <f>IFERROR(INDEX('M04-S08'!$BE$18:$BE$199,2*(ROWS(AQ$262:AQ267)-1)+1),"")</f>
        <v/>
      </c>
      <c r="AR267" t="s">
        <v>1254</v>
      </c>
      <c r="BL267"/>
      <c r="BP267"/>
      <c r="BQ267"/>
      <c r="BR267"/>
      <c r="CD267"/>
      <c r="CE267"/>
      <c r="CF267"/>
      <c r="CQ267"/>
      <c r="CR267"/>
      <c r="CS267"/>
      <c r="DS267"/>
      <c r="DT267"/>
      <c r="DU267"/>
    </row>
    <row r="268" spans="1:125" hidden="1">
      <c r="A268" s="15">
        <f t="shared" si="28"/>
        <v>0</v>
      </c>
      <c r="B268" t="str">
        <f t="shared" si="30"/>
        <v/>
      </c>
      <c r="C268" t="str">
        <f>IFERROR(IF(INDEX('M04-S08'!$BL$18:$BL$199,2*(ROWS($C$262:C268)-1)+1)="","",INDEX('M04-S08'!$BL$18:$BL$199,2*(ROWS($C$262:C268)-1)+1)),"")</f>
        <v/>
      </c>
      <c r="D268" t="s">
        <v>135</v>
      </c>
      <c r="E268" t="str">
        <f>IFERROR(INDEX('M04-S08'!$BF$18:$BF$199,2*(ROWS(E$262:E268)-1)+1),"")</f>
        <v/>
      </c>
      <c r="F268" s="210"/>
      <c r="G268" s="194"/>
      <c r="H268" s="14" t="str">
        <f ca="1">IFERROR(ROUND(IF(AC268&lt;&gt;"","",INDEX('M04-S08'!$AH$18:$AH$199,2*(ROWS(H$262:H268)-1)+1)),2),"")</f>
        <v/>
      </c>
      <c r="I268" s="14" t="str">
        <f ca="1">IFERROR(ROUND(IF(AC268&lt;&gt;"","",INDEX('M04-S08'!$AJ$18:$AJ$199,2*(ROWS(I$262:I268)-1)+1)),2),"")</f>
        <v/>
      </c>
      <c r="J268" s="14" t="str">
        <f ca="1">IFERROR(ROUND(IF(AC268&lt;&gt;"","",INDEX('M04-S08'!$AL$18:$AL$199,2*(ROWS(J$262:J268)-1)+1)),2),"")</f>
        <v/>
      </c>
      <c r="K268" t="str">
        <f ca="1">IFERROR(IF(AC268&lt;&gt;"","",INDEX('M04-S08'!$AF$38:$AF$199,2*(ROWS(J$262:J268)-1)+1)),"")</f>
        <v/>
      </c>
      <c r="L268" s="10" t="str">
        <f ca="1">IFERROR(IF(AC268&lt;&gt;"","",ROUND(INDEX('M04-S08'!$BA$18:$BA$199,2*(ROWS(L$262:L268)-1)+1),3)),"")</f>
        <v/>
      </c>
      <c r="M268" s="10" t="str">
        <f ca="1">IFERROR(IF(AC268&lt;&gt;"","",ROUND(INDEX('M04-S08'!$BB$18:$BB$199,2*(ROWS(M$262:M268)-1)+1),3)),"")</f>
        <v/>
      </c>
      <c r="N268" s="210"/>
      <c r="O268" s="31" t="str">
        <f ca="1">IFERROR(IF(AC268&lt;&gt;"","",INDEX('M04-S08'!$AO$18:$AO$199,2*(ROWS(O$262:O268)-1)+1)),"")</f>
        <v/>
      </c>
      <c r="P268" s="37" t="str">
        <f ca="1">IFERROR(IF(AC268&lt;&gt;"","",INDEX('M04-S08'!$BH$18:$BH$199,2*(ROWS(P$262:P268)-1)+1)),"")</f>
        <v/>
      </c>
      <c r="Q268" s="37" t="str">
        <f ca="1">IFERROR(IF(AC268&lt;&gt;"","",INDEX('M04-S08'!$BG$18:$BG$199,2*(ROWS(Q$262:Q268)-1)+1)),"")</f>
        <v/>
      </c>
      <c r="R268" s="14" t="str">
        <f ca="1">IFERROR(IF(AC268&lt;&gt;"","",INDEX('M04-S08'!$AR$18:$AR$199,2*(ROWS(R$262:R268)-1)+1)),"")</f>
        <v/>
      </c>
      <c r="S268" s="14">
        <f ca="1">IFERROR(ROUND(IF(AC268&lt;&gt;"",INDEX('M04-S08'!$AH$18:$AH$199,2*(ROWS(S$262:S268)-1)+1),""),2),"")</f>
        <v>0</v>
      </c>
      <c r="T268" s="14" t="str">
        <f ca="1">IFERROR(ROUND(IF(AC268&lt;&gt;"",INDEX('M04-S08'!$AJ$18:$AJ$199,2*(ROWS(T$262:T268)-1)+1),""),2),"")</f>
        <v/>
      </c>
      <c r="U268" s="14" t="str">
        <f ca="1">IFERROR(ROUND(IF(AC268&lt;&gt;"",INDEX('M04-S08'!$AL$18:$AL$199,2*(ROWS(U$262:U268)-1)+1),""),2),"")</f>
        <v/>
      </c>
      <c r="V268">
        <f ca="1">IFERROR(IF(AC268&lt;&gt;"",INDEX('M04-S08'!$AF$38:$AF$199,2*(ROWS(V$262:V268)-1)+1),""),"")</f>
        <v>0</v>
      </c>
      <c r="W268" s="10" t="str">
        <f ca="1">IFERROR(IF(AC268&lt;&gt;"",ROUND(INDEX('M04-S08'!$BA$18:$BA$199,2*(ROWS(W$262:W268)-1)+1),3),""),"")</f>
        <v/>
      </c>
      <c r="X268" s="10" t="str">
        <f ca="1">IFERROR(IF(AC268&lt;&gt;"",ROUND(INDEX('M04-S08'!$BB$18:$BB$199,2*(ROWS(X$262:X268)-1)+1),3),""),"")</f>
        <v/>
      </c>
      <c r="Y268" s="210"/>
      <c r="Z268" s="31" t="str">
        <f ca="1">IFERROR(IF(AC268&lt;&gt;"",INDEX('M04-S08'!$AO$18:$AO$199,2*(ROWS(Z$262:Z268)-1)+1),""),"")</f>
        <v/>
      </c>
      <c r="AA268" s="37">
        <f ca="1">IFERROR(IF(AC268&lt;&gt;"",INDEX('M04-S08'!$BH$18:$BH$199,2*(ROWS(AA$262:AA268)-1)+1),""),"")</f>
        <v>0</v>
      </c>
      <c r="AB268" s="37" t="str">
        <f ca="1">IFERROR(IF(AC268&lt;&gt;"",INDEX('M04-S08'!$BG$18:$BG$199,2*(ROWS(AB$262:AB268)-1)+1),""),"")</f>
        <v/>
      </c>
      <c r="AC268" t="str">
        <f ca="1">IFERROR(INDEX('M04-S08'!$BN$18:$BN$199,2*(ROWS(AC$262:AC268)-1)+1),"")</f>
        <v>Submit for Review</v>
      </c>
      <c r="AD268" s="37" t="str" cm="1">
        <f t="array" ref="AD268">IFERROR(INDEX('M04-S08'!$BC$18:$BC$199,2*(ROWS(AD$262:AD268)-1)+1),"")</f>
        <v/>
      </c>
      <c r="AE268" s="37" t="str" cm="1">
        <f t="array" ref="AE268">IFERROR(INDEX('M04-S08'!$BD$18:$BD$199,2*(ROWS(AE$262:AE268)-1)+1),"")</f>
        <v/>
      </c>
      <c r="AF268" s="210"/>
      <c r="AG268" s="210"/>
      <c r="AH268" s="210"/>
      <c r="AI268">
        <f>IFERROR(INDEX('M04-S08'!$B$18:$B$199,2*(ROWS(AI$262:AI268)-1)+1),"")</f>
        <v>7</v>
      </c>
      <c r="AJ268" s="194"/>
      <c r="AK268">
        <f>IFERROR(INDEX('M04-S08'!$H$18:$H$199,2*(ROWS(AK$262:AK268)-1)+1),"")</f>
        <v>0</v>
      </c>
      <c r="AL268">
        <f>IFERROR(INDEX('M04-S08'!$N$18:$N$199,2*(ROWS(AL$262:AL268)-1)+1),"")</f>
        <v>0</v>
      </c>
      <c r="AM268">
        <f>IFERROR(INDEX('M04-S08'!$W$18:$W$199,2*(ROWS(AM$262:AM268)-1)+1),"")</f>
        <v>0</v>
      </c>
      <c r="AN268" s="14" t="str">
        <f>IFERROR(INDEX('M04-S08'!$AX$18:$AX$199,2*(ROWS(AN$262:AN268)-1)+1),"")</f>
        <v/>
      </c>
      <c r="AO268" s="14" t="str">
        <f>IFERROR(INDEX('M04-S08'!$AY$18:$AY$199,2*(ROWS(AO$262:AO268)-1)+1),"")</f>
        <v/>
      </c>
      <c r="AP268" t="str">
        <f>IFERROR(INDEX('M04-S08'!$AZ$18:$AZ$199,2*(ROWS(AP$262:AP268)-1)+1),"")</f>
        <v/>
      </c>
      <c r="AQ268" t="str">
        <f>IFERROR(INDEX('M04-S08'!$BE$18:$BE$199,2*(ROWS(AQ$262:AQ268)-1)+1),"")</f>
        <v/>
      </c>
      <c r="AR268" t="s">
        <v>1254</v>
      </c>
      <c r="BL268"/>
      <c r="BP268"/>
      <c r="BQ268"/>
      <c r="BR268"/>
      <c r="CD268"/>
      <c r="CE268"/>
      <c r="CF268"/>
      <c r="CQ268"/>
      <c r="CR268"/>
      <c r="CS268"/>
      <c r="DS268"/>
      <c r="DT268"/>
      <c r="DU268"/>
    </row>
    <row r="269" spans="1:125" hidden="1">
      <c r="A269" s="15">
        <f t="shared" si="28"/>
        <v>0</v>
      </c>
      <c r="B269" t="str">
        <f t="shared" si="30"/>
        <v/>
      </c>
      <c r="C269" t="str">
        <f>IFERROR(IF(INDEX('M04-S08'!$BL$18:$BL$199,2*(ROWS($C$262:C269)-1)+1)="","",INDEX('M04-S08'!$BL$18:$BL$199,2*(ROWS($C$262:C269)-1)+1)),"")</f>
        <v/>
      </c>
      <c r="D269" t="s">
        <v>135</v>
      </c>
      <c r="E269" t="str">
        <f>IFERROR(INDEX('M04-S08'!$BF$18:$BF$199,2*(ROWS(E$262:E269)-1)+1),"")</f>
        <v/>
      </c>
      <c r="F269" s="210"/>
      <c r="G269" s="194"/>
      <c r="H269" s="14" t="str">
        <f ca="1">IFERROR(ROUND(IF(AC269&lt;&gt;"","",INDEX('M04-S08'!$AH$18:$AH$199,2*(ROWS(H$262:H269)-1)+1)),2),"")</f>
        <v/>
      </c>
      <c r="I269" s="14" t="str">
        <f ca="1">IFERROR(ROUND(IF(AC269&lt;&gt;"","",INDEX('M04-S08'!$AJ$18:$AJ$199,2*(ROWS(I$262:I269)-1)+1)),2),"")</f>
        <v/>
      </c>
      <c r="J269" s="14" t="str">
        <f ca="1">IFERROR(ROUND(IF(AC269&lt;&gt;"","",INDEX('M04-S08'!$AL$18:$AL$199,2*(ROWS(J$262:J269)-1)+1)),2),"")</f>
        <v/>
      </c>
      <c r="K269" t="str">
        <f ca="1">IFERROR(IF(AC269&lt;&gt;"","",INDEX('M04-S08'!$AF$38:$AF$199,2*(ROWS(J$262:J269)-1)+1)),"")</f>
        <v/>
      </c>
      <c r="L269" s="10" t="str">
        <f ca="1">IFERROR(IF(AC269&lt;&gt;"","",ROUND(INDEX('M04-S08'!$BA$18:$BA$199,2*(ROWS(L$262:L269)-1)+1),3)),"")</f>
        <v/>
      </c>
      <c r="M269" s="10" t="str">
        <f ca="1">IFERROR(IF(AC269&lt;&gt;"","",ROUND(INDEX('M04-S08'!$BB$18:$BB$199,2*(ROWS(M$262:M269)-1)+1),3)),"")</f>
        <v/>
      </c>
      <c r="N269" s="210"/>
      <c r="O269" s="31" t="str">
        <f ca="1">IFERROR(IF(AC269&lt;&gt;"","",INDEX('M04-S08'!$AO$18:$AO$199,2*(ROWS(O$262:O269)-1)+1)),"")</f>
        <v/>
      </c>
      <c r="P269" s="37" t="str">
        <f ca="1">IFERROR(IF(AC269&lt;&gt;"","",INDEX('M04-S08'!$BH$18:$BH$199,2*(ROWS(P$262:P269)-1)+1)),"")</f>
        <v/>
      </c>
      <c r="Q269" s="37" t="str">
        <f ca="1">IFERROR(IF(AC269&lt;&gt;"","",INDEX('M04-S08'!$BG$18:$BG$199,2*(ROWS(Q$262:Q269)-1)+1)),"")</f>
        <v/>
      </c>
      <c r="R269" s="14" t="str">
        <f ca="1">IFERROR(IF(AC269&lt;&gt;"","",INDEX('M04-S08'!$AR$18:$AR$199,2*(ROWS(R$262:R269)-1)+1)),"")</f>
        <v/>
      </c>
      <c r="S269" s="14">
        <f ca="1">IFERROR(ROUND(IF(AC269&lt;&gt;"",INDEX('M04-S08'!$AH$18:$AH$199,2*(ROWS(S$262:S269)-1)+1),""),2),"")</f>
        <v>0</v>
      </c>
      <c r="T269" s="14" t="str">
        <f ca="1">IFERROR(ROUND(IF(AC269&lt;&gt;"",INDEX('M04-S08'!$AJ$18:$AJ$199,2*(ROWS(T$262:T269)-1)+1),""),2),"")</f>
        <v/>
      </c>
      <c r="U269" s="14" t="str">
        <f ca="1">IFERROR(ROUND(IF(AC269&lt;&gt;"",INDEX('M04-S08'!$AL$18:$AL$199,2*(ROWS(U$262:U269)-1)+1),""),2),"")</f>
        <v/>
      </c>
      <c r="V269">
        <f ca="1">IFERROR(IF(AC269&lt;&gt;"",INDEX('M04-S08'!$AF$38:$AF$199,2*(ROWS(V$262:V269)-1)+1),""),"")</f>
        <v>0</v>
      </c>
      <c r="W269" s="10" t="str">
        <f ca="1">IFERROR(IF(AC269&lt;&gt;"",ROUND(INDEX('M04-S08'!$BA$18:$BA$199,2*(ROWS(W$262:W269)-1)+1),3),""),"")</f>
        <v/>
      </c>
      <c r="X269" s="10" t="str">
        <f ca="1">IFERROR(IF(AC269&lt;&gt;"",ROUND(INDEX('M04-S08'!$BB$18:$BB$199,2*(ROWS(X$262:X269)-1)+1),3),""),"")</f>
        <v/>
      </c>
      <c r="Y269" s="210"/>
      <c r="Z269" s="31" t="str">
        <f ca="1">IFERROR(IF(AC269&lt;&gt;"",INDEX('M04-S08'!$AO$18:$AO$199,2*(ROWS(Z$262:Z269)-1)+1),""),"")</f>
        <v/>
      </c>
      <c r="AA269" s="37">
        <f ca="1">IFERROR(IF(AC269&lt;&gt;"",INDEX('M04-S08'!$BH$18:$BH$199,2*(ROWS(AA$262:AA269)-1)+1),""),"")</f>
        <v>0</v>
      </c>
      <c r="AB269" s="37" t="str">
        <f ca="1">IFERROR(IF(AC269&lt;&gt;"",INDEX('M04-S08'!$BG$18:$BG$199,2*(ROWS(AB$262:AB269)-1)+1),""),"")</f>
        <v/>
      </c>
      <c r="AC269" t="str">
        <f ca="1">IFERROR(INDEX('M04-S08'!$BN$18:$BN$199,2*(ROWS(AC$262:AC269)-1)+1),"")</f>
        <v>Submit for Review</v>
      </c>
      <c r="AD269" s="37" t="str" cm="1">
        <f t="array" ref="AD269">IFERROR(INDEX('M04-S08'!$BC$18:$BC$199,2*(ROWS(AD$262:AD269)-1)+1),"")</f>
        <v/>
      </c>
      <c r="AE269" s="37" t="str" cm="1">
        <f t="array" ref="AE269">IFERROR(INDEX('M04-S08'!$BD$18:$BD$199,2*(ROWS(AE$262:AE269)-1)+1),"")</f>
        <v/>
      </c>
      <c r="AF269" s="210"/>
      <c r="AG269" s="210"/>
      <c r="AH269" s="210"/>
      <c r="AI269">
        <f>IFERROR(INDEX('M04-S08'!$B$18:$B$199,2*(ROWS(AI$262:AI269)-1)+1),"")</f>
        <v>8</v>
      </c>
      <c r="AJ269" s="194"/>
      <c r="AK269">
        <f>IFERROR(INDEX('M04-S08'!$H$18:$H$199,2*(ROWS(AK$262:AK269)-1)+1),"")</f>
        <v>0</v>
      </c>
      <c r="AL269">
        <f>IFERROR(INDEX('M04-S08'!$N$18:$N$199,2*(ROWS(AL$262:AL269)-1)+1),"")</f>
        <v>0</v>
      </c>
      <c r="AM269">
        <f>IFERROR(INDEX('M04-S08'!$W$18:$W$199,2*(ROWS(AM$262:AM269)-1)+1),"")</f>
        <v>0</v>
      </c>
      <c r="AN269" s="14" t="str">
        <f>IFERROR(INDEX('M04-S08'!$AX$18:$AX$199,2*(ROWS(AN$262:AN269)-1)+1),"")</f>
        <v/>
      </c>
      <c r="AO269" s="14" t="str">
        <f>IFERROR(INDEX('M04-S08'!$AY$18:$AY$199,2*(ROWS(AO$262:AO269)-1)+1),"")</f>
        <v/>
      </c>
      <c r="AP269" t="str">
        <f>IFERROR(INDEX('M04-S08'!$AZ$18:$AZ$199,2*(ROWS(AP$262:AP269)-1)+1),"")</f>
        <v/>
      </c>
      <c r="AQ269" t="str">
        <f>IFERROR(INDEX('M04-S08'!$BE$18:$BE$199,2*(ROWS(AQ$262:AQ269)-1)+1),"")</f>
        <v/>
      </c>
      <c r="AR269" t="s">
        <v>1254</v>
      </c>
      <c r="BL269"/>
      <c r="BP269"/>
      <c r="BQ269"/>
      <c r="BR269"/>
      <c r="CD269"/>
      <c r="CE269"/>
      <c r="CF269"/>
      <c r="CQ269"/>
      <c r="CR269"/>
      <c r="CS269"/>
      <c r="DS269"/>
      <c r="DT269"/>
      <c r="DU269"/>
    </row>
    <row r="270" spans="1:125" hidden="1">
      <c r="A270" s="15">
        <f t="shared" si="28"/>
        <v>0</v>
      </c>
      <c r="B270" t="str">
        <f t="shared" si="30"/>
        <v/>
      </c>
      <c r="C270" t="str">
        <f>IFERROR(IF(INDEX('M04-S08'!$BL$18:$BL$199,2*(ROWS($C$262:C270)-1)+1)="","",INDEX('M04-S08'!$BL$18:$BL$199,2*(ROWS($C$262:C270)-1)+1)),"")</f>
        <v/>
      </c>
      <c r="D270" t="s">
        <v>135</v>
      </c>
      <c r="E270" t="str">
        <f>IFERROR(INDEX('M04-S08'!$BF$18:$BF$199,2*(ROWS(E$262:E270)-1)+1),"")</f>
        <v/>
      </c>
      <c r="F270" s="210"/>
      <c r="G270" s="194"/>
      <c r="H270" s="14" t="str">
        <f ca="1">IFERROR(ROUND(IF(AC270&lt;&gt;"","",INDEX('M04-S08'!$AH$18:$AH$199,2*(ROWS(H$262:H270)-1)+1)),2),"")</f>
        <v/>
      </c>
      <c r="I270" s="14" t="str">
        <f ca="1">IFERROR(ROUND(IF(AC270&lt;&gt;"","",INDEX('M04-S08'!$AJ$18:$AJ$199,2*(ROWS(I$262:I270)-1)+1)),2),"")</f>
        <v/>
      </c>
      <c r="J270" s="14" t="str">
        <f ca="1">IFERROR(ROUND(IF(AC270&lt;&gt;"","",INDEX('M04-S08'!$AL$18:$AL$199,2*(ROWS(J$262:J270)-1)+1)),2),"")</f>
        <v/>
      </c>
      <c r="K270" t="str">
        <f ca="1">IFERROR(IF(AC270&lt;&gt;"","",INDEX('M04-S08'!$AF$38:$AF$199,2*(ROWS(J$262:J270)-1)+1)),"")</f>
        <v/>
      </c>
      <c r="L270" s="10" t="str">
        <f ca="1">IFERROR(IF(AC270&lt;&gt;"","",ROUND(INDEX('M04-S08'!$BA$18:$BA$199,2*(ROWS(L$262:L270)-1)+1),3)),"")</f>
        <v/>
      </c>
      <c r="M270" s="10" t="str">
        <f ca="1">IFERROR(IF(AC270&lt;&gt;"","",ROUND(INDEX('M04-S08'!$BB$18:$BB$199,2*(ROWS(M$262:M270)-1)+1),3)),"")</f>
        <v/>
      </c>
      <c r="N270" s="210"/>
      <c r="O270" s="31" t="str">
        <f ca="1">IFERROR(IF(AC270&lt;&gt;"","",INDEX('M04-S08'!$AO$18:$AO$199,2*(ROWS(O$262:O270)-1)+1)),"")</f>
        <v/>
      </c>
      <c r="P270" s="37" t="str">
        <f ca="1">IFERROR(IF(AC270&lt;&gt;"","",INDEX('M04-S08'!$BH$18:$BH$199,2*(ROWS(P$262:P270)-1)+1)),"")</f>
        <v/>
      </c>
      <c r="Q270" s="37" t="str">
        <f ca="1">IFERROR(IF(AC270&lt;&gt;"","",INDEX('M04-S08'!$BG$18:$BG$199,2*(ROWS(Q$262:Q270)-1)+1)),"")</f>
        <v/>
      </c>
      <c r="R270" s="14" t="str">
        <f ca="1">IFERROR(IF(AC270&lt;&gt;"","",INDEX('M04-S08'!$AR$18:$AR$199,2*(ROWS(R$262:R270)-1)+1)),"")</f>
        <v/>
      </c>
      <c r="S270" s="14">
        <f ca="1">IFERROR(ROUND(IF(AC270&lt;&gt;"",INDEX('M04-S08'!$AH$18:$AH$199,2*(ROWS(S$262:S270)-1)+1),""),2),"")</f>
        <v>0</v>
      </c>
      <c r="T270" s="14" t="str">
        <f ca="1">IFERROR(ROUND(IF(AC270&lt;&gt;"",INDEX('M04-S08'!$AJ$18:$AJ$199,2*(ROWS(T$262:T270)-1)+1),""),2),"")</f>
        <v/>
      </c>
      <c r="U270" s="14" t="str">
        <f ca="1">IFERROR(ROUND(IF(AC270&lt;&gt;"",INDEX('M04-S08'!$AL$18:$AL$199,2*(ROWS(U$262:U270)-1)+1),""),2),"")</f>
        <v/>
      </c>
      <c r="V270">
        <f ca="1">IFERROR(IF(AC270&lt;&gt;"",INDEX('M04-S08'!$AF$38:$AF$199,2*(ROWS(V$262:V270)-1)+1),""),"")</f>
        <v>0</v>
      </c>
      <c r="W270" s="10" t="str">
        <f ca="1">IFERROR(IF(AC270&lt;&gt;"",ROUND(INDEX('M04-S08'!$BA$18:$BA$199,2*(ROWS(W$262:W270)-1)+1),3),""),"")</f>
        <v/>
      </c>
      <c r="X270" s="10" t="str">
        <f ca="1">IFERROR(IF(AC270&lt;&gt;"",ROUND(INDEX('M04-S08'!$BB$18:$BB$199,2*(ROWS(X$262:X270)-1)+1),3),""),"")</f>
        <v/>
      </c>
      <c r="Y270" s="210"/>
      <c r="Z270" s="31" t="str">
        <f ca="1">IFERROR(IF(AC270&lt;&gt;"",INDEX('M04-S08'!$AO$18:$AO$199,2*(ROWS(Z$262:Z270)-1)+1),""),"")</f>
        <v/>
      </c>
      <c r="AA270" s="37">
        <f ca="1">IFERROR(IF(AC270&lt;&gt;"",INDEX('M04-S08'!$BH$18:$BH$199,2*(ROWS(AA$262:AA270)-1)+1),""),"")</f>
        <v>0</v>
      </c>
      <c r="AB270" s="37" t="str">
        <f ca="1">IFERROR(IF(AC270&lt;&gt;"",INDEX('M04-S08'!$BG$18:$BG$199,2*(ROWS(AB$262:AB270)-1)+1),""),"")</f>
        <v/>
      </c>
      <c r="AC270" t="str">
        <f ca="1">IFERROR(INDEX('M04-S08'!$BN$18:$BN$199,2*(ROWS(AC$262:AC270)-1)+1),"")</f>
        <v>Submit for Review</v>
      </c>
      <c r="AD270" s="37" t="str" cm="1">
        <f t="array" ref="AD270">IFERROR(INDEX('M04-S08'!$BC$18:$BC$199,2*(ROWS(AD$262:AD270)-1)+1),"")</f>
        <v/>
      </c>
      <c r="AE270" s="37" t="str" cm="1">
        <f t="array" ref="AE270">IFERROR(INDEX('M04-S08'!$BD$18:$BD$199,2*(ROWS(AE$262:AE270)-1)+1),"")</f>
        <v/>
      </c>
      <c r="AF270" s="210"/>
      <c r="AG270" s="210"/>
      <c r="AH270" s="210"/>
      <c r="AI270">
        <f>IFERROR(INDEX('M04-S08'!$B$18:$B$199,2*(ROWS(AI$262:AI270)-1)+1),"")</f>
        <v>9</v>
      </c>
      <c r="AJ270" s="194"/>
      <c r="AK270">
        <f>IFERROR(INDEX('M04-S08'!$H$18:$H$199,2*(ROWS(AK$262:AK270)-1)+1),"")</f>
        <v>0</v>
      </c>
      <c r="AL270">
        <f>IFERROR(INDEX('M04-S08'!$N$18:$N$199,2*(ROWS(AL$262:AL270)-1)+1),"")</f>
        <v>0</v>
      </c>
      <c r="AM270">
        <f>IFERROR(INDEX('M04-S08'!$W$18:$W$199,2*(ROWS(AM$262:AM270)-1)+1),"")</f>
        <v>0</v>
      </c>
      <c r="AN270" s="14" t="str">
        <f>IFERROR(INDEX('M04-S08'!$AX$18:$AX$199,2*(ROWS(AN$262:AN270)-1)+1),"")</f>
        <v/>
      </c>
      <c r="AO270" s="14" t="str">
        <f>IFERROR(INDEX('M04-S08'!$AY$18:$AY$199,2*(ROWS(AO$262:AO270)-1)+1),"")</f>
        <v/>
      </c>
      <c r="AP270" t="str">
        <f>IFERROR(INDEX('M04-S08'!$AZ$18:$AZ$199,2*(ROWS(AP$262:AP270)-1)+1),"")</f>
        <v/>
      </c>
      <c r="AQ270" t="str">
        <f>IFERROR(INDEX('M04-S08'!$BE$18:$BE$199,2*(ROWS(AQ$262:AQ270)-1)+1),"")</f>
        <v/>
      </c>
      <c r="AR270" t="s">
        <v>1254</v>
      </c>
      <c r="BL270"/>
      <c r="BP270"/>
      <c r="BQ270"/>
      <c r="BR270"/>
      <c r="CD270"/>
      <c r="CE270"/>
      <c r="CF270"/>
      <c r="CQ270"/>
      <c r="CR270"/>
      <c r="CS270"/>
      <c r="DS270"/>
      <c r="DT270"/>
      <c r="DU270"/>
    </row>
    <row r="271" spans="1:125" hidden="1">
      <c r="A271" s="15">
        <f t="shared" si="28"/>
        <v>0</v>
      </c>
      <c r="B271" t="str">
        <f t="shared" si="30"/>
        <v/>
      </c>
      <c r="C271" t="str">
        <f>IFERROR(IF(INDEX('M04-S08'!$BL$18:$BL$199,2*(ROWS($C$262:C271)-1)+1)="","",INDEX('M04-S08'!$BL$18:$BL$199,2*(ROWS($C$262:C271)-1)+1)),"")</f>
        <v/>
      </c>
      <c r="D271" t="s">
        <v>135</v>
      </c>
      <c r="E271" t="str">
        <f>IFERROR(INDEX('M04-S08'!$BF$18:$BF$199,2*(ROWS(E$262:E271)-1)+1),"")</f>
        <v/>
      </c>
      <c r="F271" s="210"/>
      <c r="G271" s="194"/>
      <c r="H271" s="14" t="str">
        <f ca="1">IFERROR(ROUND(IF(AC271&lt;&gt;"","",INDEX('M04-S08'!$AH$18:$AH$199,2*(ROWS(H$262:H271)-1)+1)),2),"")</f>
        <v/>
      </c>
      <c r="I271" s="14" t="str">
        <f ca="1">IFERROR(ROUND(IF(AC271&lt;&gt;"","",INDEX('M04-S08'!$AJ$18:$AJ$199,2*(ROWS(I$262:I271)-1)+1)),2),"")</f>
        <v/>
      </c>
      <c r="J271" s="14" t="str">
        <f ca="1">IFERROR(ROUND(IF(AC271&lt;&gt;"","",INDEX('M04-S08'!$AL$18:$AL$199,2*(ROWS(J$262:J271)-1)+1)),2),"")</f>
        <v/>
      </c>
      <c r="K271" t="str">
        <f ca="1">IFERROR(IF(AC271&lt;&gt;"","",INDEX('M04-S08'!$AF$38:$AF$199,2*(ROWS(J$262:J271)-1)+1)),"")</f>
        <v/>
      </c>
      <c r="L271" s="10" t="str">
        <f ca="1">IFERROR(IF(AC271&lt;&gt;"","",ROUND(INDEX('M04-S08'!$BA$18:$BA$199,2*(ROWS(L$262:L271)-1)+1),3)),"")</f>
        <v/>
      </c>
      <c r="M271" s="10" t="str">
        <f ca="1">IFERROR(IF(AC271&lt;&gt;"","",ROUND(INDEX('M04-S08'!$BB$18:$BB$199,2*(ROWS(M$262:M271)-1)+1),3)),"")</f>
        <v/>
      </c>
      <c r="N271" s="210"/>
      <c r="O271" s="31" t="str">
        <f ca="1">IFERROR(IF(AC271&lt;&gt;"","",INDEX('M04-S08'!$AO$18:$AO$199,2*(ROWS(O$262:O271)-1)+1)),"")</f>
        <v/>
      </c>
      <c r="P271" s="37" t="str">
        <f ca="1">IFERROR(IF(AC271&lt;&gt;"","",INDEX('M04-S08'!$BH$18:$BH$199,2*(ROWS(P$262:P271)-1)+1)),"")</f>
        <v/>
      </c>
      <c r="Q271" s="37" t="str">
        <f ca="1">IFERROR(IF(AC271&lt;&gt;"","",INDEX('M04-S08'!$BG$18:$BG$199,2*(ROWS(Q$262:Q271)-1)+1)),"")</f>
        <v/>
      </c>
      <c r="R271" s="14" t="str">
        <f ca="1">IFERROR(IF(AC271&lt;&gt;"","",INDEX('M04-S08'!$AR$18:$AR$199,2*(ROWS(R$262:R271)-1)+1)),"")</f>
        <v/>
      </c>
      <c r="S271" s="14">
        <f ca="1">IFERROR(ROUND(IF(AC271&lt;&gt;"",INDEX('M04-S08'!$AH$18:$AH$199,2*(ROWS(S$262:S271)-1)+1),""),2),"")</f>
        <v>0</v>
      </c>
      <c r="T271" s="14" t="str">
        <f ca="1">IFERROR(ROUND(IF(AC271&lt;&gt;"",INDEX('M04-S08'!$AJ$18:$AJ$199,2*(ROWS(T$262:T271)-1)+1),""),2),"")</f>
        <v/>
      </c>
      <c r="U271" s="14" t="str">
        <f ca="1">IFERROR(ROUND(IF(AC271&lt;&gt;"",INDEX('M04-S08'!$AL$18:$AL$199,2*(ROWS(U$262:U271)-1)+1),""),2),"")</f>
        <v/>
      </c>
      <c r="V271">
        <f ca="1">IFERROR(IF(AC271&lt;&gt;"",INDEX('M04-S08'!$AF$38:$AF$199,2*(ROWS(V$262:V271)-1)+1),""),"")</f>
        <v>0</v>
      </c>
      <c r="W271" s="10" t="str">
        <f ca="1">IFERROR(IF(AC271&lt;&gt;"",ROUND(INDEX('M04-S08'!$BA$18:$BA$199,2*(ROWS(W$262:W271)-1)+1),3),""),"")</f>
        <v/>
      </c>
      <c r="X271" s="10" t="str">
        <f ca="1">IFERROR(IF(AC271&lt;&gt;"",ROUND(INDEX('M04-S08'!$BB$18:$BB$199,2*(ROWS(X$262:X271)-1)+1),3),""),"")</f>
        <v/>
      </c>
      <c r="Y271" s="210"/>
      <c r="Z271" s="31" t="str">
        <f ca="1">IFERROR(IF(AC271&lt;&gt;"",INDEX('M04-S08'!$AO$18:$AO$199,2*(ROWS(Z$262:Z271)-1)+1),""),"")</f>
        <v/>
      </c>
      <c r="AA271" s="37">
        <f ca="1">IFERROR(IF(AC271&lt;&gt;"",INDEX('M04-S08'!$BH$18:$BH$199,2*(ROWS(AA$262:AA271)-1)+1),""),"")</f>
        <v>0</v>
      </c>
      <c r="AB271" s="37" t="str">
        <f ca="1">IFERROR(IF(AC271&lt;&gt;"",INDEX('M04-S08'!$BG$18:$BG$199,2*(ROWS(AB$262:AB271)-1)+1),""),"")</f>
        <v/>
      </c>
      <c r="AC271" t="str">
        <f ca="1">IFERROR(INDEX('M04-S08'!$BN$18:$BN$199,2*(ROWS(AC$262:AC271)-1)+1),"")</f>
        <v>Submit for Review</v>
      </c>
      <c r="AD271" s="37" t="str" cm="1">
        <f t="array" ref="AD271">IFERROR(INDEX('M04-S08'!$BC$18:$BC$199,2*(ROWS(AD$262:AD271)-1)+1),"")</f>
        <v/>
      </c>
      <c r="AE271" s="37" t="str" cm="1">
        <f t="array" ref="AE271">IFERROR(INDEX('M04-S08'!$BD$18:$BD$199,2*(ROWS(AE$262:AE271)-1)+1),"")</f>
        <v/>
      </c>
      <c r="AF271" s="210"/>
      <c r="AG271" s="210"/>
      <c r="AH271" s="210"/>
      <c r="AI271">
        <f>IFERROR(INDEX('M04-S08'!$B$18:$B$199,2*(ROWS(AI$262:AI271)-1)+1),"")</f>
        <v>10</v>
      </c>
      <c r="AJ271" s="194"/>
      <c r="AK271">
        <f>IFERROR(INDEX('M04-S08'!$H$18:$H$199,2*(ROWS(AK$262:AK271)-1)+1),"")</f>
        <v>0</v>
      </c>
      <c r="AL271">
        <f>IFERROR(INDEX('M04-S08'!$N$18:$N$199,2*(ROWS(AL$262:AL271)-1)+1),"")</f>
        <v>0</v>
      </c>
      <c r="AM271">
        <f>IFERROR(INDEX('M04-S08'!$W$18:$W$199,2*(ROWS(AM$262:AM271)-1)+1),"")</f>
        <v>0</v>
      </c>
      <c r="AN271" s="14" t="str">
        <f>IFERROR(INDEX('M04-S08'!$AX$18:$AX$199,2*(ROWS(AN$262:AN271)-1)+1),"")</f>
        <v/>
      </c>
      <c r="AO271" s="14" t="str">
        <f>IFERROR(INDEX('M04-S08'!$AY$18:$AY$199,2*(ROWS(AO$262:AO271)-1)+1),"")</f>
        <v/>
      </c>
      <c r="AP271" t="str">
        <f>IFERROR(INDEX('M04-S08'!$AZ$18:$AZ$199,2*(ROWS(AP$262:AP271)-1)+1),"")</f>
        <v/>
      </c>
      <c r="AQ271" t="str">
        <f>IFERROR(INDEX('M04-S08'!$BE$18:$BE$199,2*(ROWS(AQ$262:AQ271)-1)+1),"")</f>
        <v/>
      </c>
      <c r="AR271" t="s">
        <v>1254</v>
      </c>
      <c r="BL271"/>
      <c r="BP271"/>
      <c r="BQ271"/>
      <c r="BR271"/>
      <c r="CD271"/>
      <c r="CE271"/>
      <c r="CF271"/>
      <c r="CQ271"/>
      <c r="CR271"/>
      <c r="CS271"/>
      <c r="DS271"/>
      <c r="DT271"/>
      <c r="DU271"/>
    </row>
    <row r="272" spans="1:125" hidden="1">
      <c r="A272" s="15">
        <f t="shared" si="28"/>
        <v>0</v>
      </c>
      <c r="B272" t="str">
        <f t="shared" si="30"/>
        <v/>
      </c>
      <c r="C272" t="str">
        <f>IFERROR(IF(INDEX('M04-S08'!$BL$18:$BL$199,2*(ROWS($C$262:C272)-1)+1)="","",INDEX('M04-S08'!$BL$18:$BL$199,2*(ROWS($C$262:C272)-1)+1)),"")</f>
        <v/>
      </c>
      <c r="D272" t="s">
        <v>135</v>
      </c>
      <c r="E272">
        <f>IFERROR(INDEX('M04-S08'!$BF$18:$BF$199,2*(ROWS(E$262:E272)-1)+1),"")</f>
        <v>0</v>
      </c>
      <c r="F272" s="210"/>
      <c r="G272" s="194"/>
      <c r="H272" s="14" t="str">
        <f>IFERROR(ROUND(IF(AC272&lt;&gt;"","",INDEX('M04-S08'!$AH$18:$AH$199,2*(ROWS(H$262:H272)-1)+1)),2),"")</f>
        <v/>
      </c>
      <c r="I272" s="14" t="str">
        <f>IFERROR(ROUND(IF(AC272&lt;&gt;"","",INDEX('M04-S08'!$AJ$18:$AJ$199,2*(ROWS(I$262:I272)-1)+1)),2),"")</f>
        <v/>
      </c>
      <c r="J272" s="14" t="str">
        <f>IFERROR(ROUND(IF(AC272&lt;&gt;"","",INDEX('M04-S08'!$AL$18:$AL$199,2*(ROWS(J$262:J272)-1)+1)),2),"")</f>
        <v/>
      </c>
      <c r="K272" t="str">
        <f>IFERROR(IF(AC272&lt;&gt;"","",INDEX('M04-S08'!$AF$38:$AF$199,2*(ROWS(J$262:J272)-1)+1)),"")</f>
        <v/>
      </c>
      <c r="L272" s="10" t="str">
        <f>IFERROR(IF(AC272&lt;&gt;"","",ROUND(INDEX('M04-S08'!$BA$18:$BA$199,2*(ROWS(L$262:L272)-1)+1),3)),"")</f>
        <v/>
      </c>
      <c r="M272" s="10" t="str">
        <f>IFERROR(IF(AC272&lt;&gt;"","",ROUND(INDEX('M04-S08'!$BB$18:$BB$199,2*(ROWS(M$262:M272)-1)+1),3)),"")</f>
        <v/>
      </c>
      <c r="N272" s="210"/>
      <c r="O272" s="31" t="str">
        <f>IFERROR(IF(AC272&lt;&gt;"","",INDEX('M04-S08'!$AO$18:$AO$199,2*(ROWS(O$262:O272)-1)+1)),"")</f>
        <v/>
      </c>
      <c r="P272" s="37" t="str">
        <f>IFERROR(IF(AC272&lt;&gt;"","",INDEX('M04-S08'!$BH$18:$BH$199,2*(ROWS(P$262:P272)-1)+1)),"")</f>
        <v/>
      </c>
      <c r="Q272" s="37" t="str">
        <f>IFERROR(IF(AC272&lt;&gt;"","",INDEX('M04-S08'!$BG$18:$BG$199,2*(ROWS(Q$262:Q272)-1)+1)),"")</f>
        <v/>
      </c>
      <c r="R272" s="14" t="str">
        <f>IFERROR(IF(AC272&lt;&gt;"","",INDEX('M04-S08'!$AR$18:$AR$199,2*(ROWS(R$262:R272)-1)+1)),"")</f>
        <v/>
      </c>
      <c r="S272" s="14">
        <f>IFERROR(ROUND(IF(AC272&lt;&gt;"",INDEX('M04-S08'!$AH$18:$AH$199,2*(ROWS(S$262:S272)-1)+1),""),2),"")</f>
        <v>0</v>
      </c>
      <c r="T272" s="14">
        <f>IFERROR(ROUND(IF(AC272&lt;&gt;"",INDEX('M04-S08'!$AJ$18:$AJ$199,2*(ROWS(T$262:T272)-1)+1),""),2),"")</f>
        <v>0</v>
      </c>
      <c r="U272" s="14">
        <f>IFERROR(ROUND(IF(AC272&lt;&gt;"",INDEX('M04-S08'!$AL$18:$AL$199,2*(ROWS(U$262:U272)-1)+1),""),2),"")</f>
        <v>0</v>
      </c>
      <c r="V272">
        <f>IFERROR(IF(AC272&lt;&gt;"",INDEX('M04-S08'!$AF$38:$AF$199,2*(ROWS(V$262:V272)-1)+1),""),"")</f>
        <v>0</v>
      </c>
      <c r="W272" s="10">
        <f>IFERROR(IF(AC272&lt;&gt;"",ROUND(INDEX('M04-S08'!$BA$18:$BA$199,2*(ROWS(W$262:W272)-1)+1),3),""),"")</f>
        <v>0</v>
      </c>
      <c r="X272" s="10">
        <f>IFERROR(IF(AC272&lt;&gt;"",ROUND(INDEX('M04-S08'!$BB$18:$BB$199,2*(ROWS(X$262:X272)-1)+1),3),""),"")</f>
        <v>0</v>
      </c>
      <c r="Y272" s="210"/>
      <c r="Z272" s="31">
        <f>IFERROR(IF(AC272&lt;&gt;"",INDEX('M04-S08'!$AO$18:$AO$199,2*(ROWS(Z$262:Z272)-1)+1),""),"")</f>
        <v>0</v>
      </c>
      <c r="AA272" s="37">
        <f>IFERROR(IF(AC272&lt;&gt;"",INDEX('M04-S08'!$BH$18:$BH$199,2*(ROWS(AA$262:AA272)-1)+1),""),"")</f>
        <v>0</v>
      </c>
      <c r="AB272" s="37">
        <f>IFERROR(IF(AC272&lt;&gt;"",INDEX('M04-S08'!$BG$18:$BG$199,2*(ROWS(AB$262:AB272)-1)+1),""),"")</f>
        <v>0</v>
      </c>
      <c r="AC272">
        <f>IFERROR(INDEX('M04-S08'!$BN$18:$BN$199,2*(ROWS(AC$262:AC272)-1)+1),"")</f>
        <v>0</v>
      </c>
      <c r="AD272" s="37" cm="1">
        <f t="array" ref="AD272">IFERROR(INDEX('M04-S08'!$BC$18:$BC$199,2*(ROWS(AD$262:AD272)-1)+1),"")</f>
        <v>0</v>
      </c>
      <c r="AE272" s="37" cm="1">
        <f t="array" ref="AE272">IFERROR(INDEX('M04-S08'!$BD$18:$BD$199,2*(ROWS(AE$262:AE272)-1)+1),"")</f>
        <v>0</v>
      </c>
      <c r="AF272" s="210"/>
      <c r="AG272" s="210"/>
      <c r="AH272" s="210"/>
      <c r="AI272">
        <f>IFERROR(INDEX('M04-S08'!$B$18:$B$199,2*(ROWS(AI$262:AI272)-1)+1),"")</f>
        <v>0</v>
      </c>
      <c r="AJ272" s="194"/>
      <c r="AK272">
        <f>IFERROR(INDEX('M04-S08'!$H$18:$H$199,2*(ROWS(AK$262:AK272)-1)+1),"")</f>
        <v>0</v>
      </c>
      <c r="AL272">
        <f>IFERROR(INDEX('M04-S08'!$N$18:$N$199,2*(ROWS(AL$262:AL272)-1)+1),"")</f>
        <v>0</v>
      </c>
      <c r="AM272">
        <f>IFERROR(INDEX('M04-S08'!$W$18:$W$199,2*(ROWS(AM$262:AM272)-1)+1),"")</f>
        <v>0</v>
      </c>
      <c r="AN272" s="14">
        <f>IFERROR(INDEX('M04-S08'!$AX$18:$AX$199,2*(ROWS(AN$262:AN272)-1)+1),"")</f>
        <v>0</v>
      </c>
      <c r="AO272" s="14">
        <f>IFERROR(INDEX('M04-S08'!$AY$18:$AY$199,2*(ROWS(AO$262:AO272)-1)+1),"")</f>
        <v>0</v>
      </c>
      <c r="AP272">
        <f>IFERROR(INDEX('M04-S08'!$AZ$18:$AZ$199,2*(ROWS(AP$262:AP272)-1)+1),"")</f>
        <v>0</v>
      </c>
      <c r="AQ272">
        <f>IFERROR(INDEX('M04-S08'!$BE$18:$BE$199,2*(ROWS(AQ$262:AQ272)-1)+1),"")</f>
        <v>0</v>
      </c>
      <c r="AR272" t="s">
        <v>1254</v>
      </c>
      <c r="BL272"/>
      <c r="BP272"/>
      <c r="BQ272"/>
      <c r="BR272"/>
      <c r="CD272"/>
      <c r="CE272"/>
      <c r="CF272"/>
      <c r="CQ272"/>
      <c r="CR272"/>
      <c r="CS272"/>
      <c r="DS272"/>
      <c r="DT272"/>
      <c r="DU272"/>
    </row>
    <row r="273" spans="1:125" hidden="1">
      <c r="A273" s="15">
        <f t="shared" si="28"/>
        <v>0</v>
      </c>
      <c r="B273" t="str">
        <f t="shared" si="30"/>
        <v/>
      </c>
      <c r="C273" t="str">
        <f>IFERROR(IF(INDEX('M04-S08'!$BL$18:$BL$199,2*(ROWS($C$262:C273)-1)+1)="","",INDEX('M04-S08'!$BL$18:$BL$199,2*(ROWS($C$262:C273)-1)+1)),"")</f>
        <v/>
      </c>
      <c r="D273" t="s">
        <v>135</v>
      </c>
      <c r="E273">
        <f>IFERROR(INDEX('M04-S08'!$BF$18:$BF$199,2*(ROWS(E$262:E273)-1)+1),"")</f>
        <v>0</v>
      </c>
      <c r="F273" s="210"/>
      <c r="G273" s="194"/>
      <c r="H273" s="14" t="str">
        <f>IFERROR(ROUND(IF(AC273&lt;&gt;"","",INDEX('M04-S08'!$AH$18:$AH$199,2*(ROWS(H$262:H273)-1)+1)),2),"")</f>
        <v/>
      </c>
      <c r="I273" s="14" t="str">
        <f>IFERROR(ROUND(IF(AC273&lt;&gt;"","",INDEX('M04-S08'!$AJ$18:$AJ$199,2*(ROWS(I$262:I273)-1)+1)),2),"")</f>
        <v/>
      </c>
      <c r="J273" s="14" t="str">
        <f>IFERROR(ROUND(IF(AC273&lt;&gt;"","",INDEX('M04-S08'!$AL$18:$AL$199,2*(ROWS(J$262:J273)-1)+1)),2),"")</f>
        <v/>
      </c>
      <c r="K273" t="str">
        <f>IFERROR(IF(AC273&lt;&gt;"","",INDEX('M04-S08'!$AF$38:$AF$199,2*(ROWS(J$262:J273)-1)+1)),"")</f>
        <v/>
      </c>
      <c r="L273" s="10" t="str">
        <f>IFERROR(IF(AC273&lt;&gt;"","",ROUND(INDEX('M04-S08'!$BA$18:$BA$199,2*(ROWS(L$262:L273)-1)+1),3)),"")</f>
        <v/>
      </c>
      <c r="M273" s="10" t="str">
        <f>IFERROR(IF(AC273&lt;&gt;"","",ROUND(INDEX('M04-S08'!$BB$18:$BB$199,2*(ROWS(M$262:M273)-1)+1),3)),"")</f>
        <v/>
      </c>
      <c r="N273" s="210"/>
      <c r="O273" s="31" t="str">
        <f>IFERROR(IF(AC273&lt;&gt;"","",INDEX('M04-S08'!$AO$18:$AO$199,2*(ROWS(O$262:O273)-1)+1)),"")</f>
        <v/>
      </c>
      <c r="P273" s="37" t="str">
        <f>IFERROR(IF(AC273&lt;&gt;"","",INDEX('M04-S08'!$BH$18:$BH$199,2*(ROWS(P$262:P273)-1)+1)),"")</f>
        <v/>
      </c>
      <c r="Q273" s="37" t="str">
        <f>IFERROR(IF(AC273&lt;&gt;"","",INDEX('M04-S08'!$BG$18:$BG$199,2*(ROWS(Q$262:Q273)-1)+1)),"")</f>
        <v/>
      </c>
      <c r="R273" s="14" t="str">
        <f>IFERROR(IF(AC273&lt;&gt;"","",INDEX('M04-S08'!$AR$18:$AR$199,2*(ROWS(R$262:R273)-1)+1)),"")</f>
        <v/>
      </c>
      <c r="S273" s="14">
        <f>IFERROR(ROUND(IF(AC273&lt;&gt;"",INDEX('M04-S08'!$AH$18:$AH$199,2*(ROWS(S$262:S273)-1)+1),""),2),"")</f>
        <v>0</v>
      </c>
      <c r="T273" s="14">
        <f>IFERROR(ROUND(IF(AC273&lt;&gt;"",INDEX('M04-S08'!$AJ$18:$AJ$199,2*(ROWS(T$262:T273)-1)+1),""),2),"")</f>
        <v>0</v>
      </c>
      <c r="U273" s="14">
        <f>IFERROR(ROUND(IF(AC273&lt;&gt;"",INDEX('M04-S08'!$AL$18:$AL$199,2*(ROWS(U$262:U273)-1)+1),""),2),"")</f>
        <v>0</v>
      </c>
      <c r="V273">
        <f>IFERROR(IF(AC273&lt;&gt;"",INDEX('M04-S08'!$AF$38:$AF$199,2*(ROWS(V$262:V273)-1)+1),""),"")</f>
        <v>0</v>
      </c>
      <c r="W273" s="10">
        <f>IFERROR(IF(AC273&lt;&gt;"",ROUND(INDEX('M04-S08'!$BA$18:$BA$199,2*(ROWS(W$262:W273)-1)+1),3),""),"")</f>
        <v>0</v>
      </c>
      <c r="X273" s="10">
        <f>IFERROR(IF(AC273&lt;&gt;"",ROUND(INDEX('M04-S08'!$BB$18:$BB$199,2*(ROWS(X$262:X273)-1)+1),3),""),"")</f>
        <v>0</v>
      </c>
      <c r="Y273" s="210"/>
      <c r="Z273" s="31">
        <f>IFERROR(IF(AC273&lt;&gt;"",INDEX('M04-S08'!$AO$18:$AO$199,2*(ROWS(Z$262:Z273)-1)+1),""),"")</f>
        <v>0</v>
      </c>
      <c r="AA273" s="37">
        <f>IFERROR(IF(AC273&lt;&gt;"",INDEX('M04-S08'!$BH$18:$BH$199,2*(ROWS(AA$262:AA273)-1)+1),""),"")</f>
        <v>0</v>
      </c>
      <c r="AB273" s="37">
        <f>IFERROR(IF(AC273&lt;&gt;"",INDEX('M04-S08'!$BG$18:$BG$199,2*(ROWS(AB$262:AB273)-1)+1),""),"")</f>
        <v>0</v>
      </c>
      <c r="AC273">
        <f>IFERROR(INDEX('M04-S08'!$BN$18:$BN$199,2*(ROWS(AC$262:AC273)-1)+1),"")</f>
        <v>0</v>
      </c>
      <c r="AD273" s="37" cm="1">
        <f t="array" ref="AD273">IFERROR(INDEX('M04-S08'!$BC$18:$BC$199,2*(ROWS(AD$262:AD273)-1)+1),"")</f>
        <v>0</v>
      </c>
      <c r="AE273" s="37" cm="1">
        <f t="array" ref="AE273">IFERROR(INDEX('M04-S08'!$BD$18:$BD$199,2*(ROWS(AE$262:AE273)-1)+1),"")</f>
        <v>0</v>
      </c>
      <c r="AF273" s="210"/>
      <c r="AG273" s="210"/>
      <c r="AH273" s="210"/>
      <c r="AI273">
        <f>IFERROR(INDEX('M04-S08'!$B$18:$B$199,2*(ROWS(AI$262:AI273)-1)+1),"")</f>
        <v>0</v>
      </c>
      <c r="AJ273" s="194"/>
      <c r="AK273">
        <f>IFERROR(INDEX('M04-S08'!$H$18:$H$199,2*(ROWS(AK$262:AK273)-1)+1),"")</f>
        <v>0</v>
      </c>
      <c r="AL273">
        <f>IFERROR(INDEX('M04-S08'!$N$18:$N$199,2*(ROWS(AL$262:AL273)-1)+1),"")</f>
        <v>0</v>
      </c>
      <c r="AM273">
        <f>IFERROR(INDEX('M04-S08'!$W$18:$W$199,2*(ROWS(AM$262:AM273)-1)+1),"")</f>
        <v>0</v>
      </c>
      <c r="AN273" s="14">
        <f>IFERROR(INDEX('M04-S08'!$AX$18:$AX$199,2*(ROWS(AN$262:AN273)-1)+1),"")</f>
        <v>0</v>
      </c>
      <c r="AO273" s="14">
        <f>IFERROR(INDEX('M04-S08'!$AY$18:$AY$199,2*(ROWS(AO$262:AO273)-1)+1),"")</f>
        <v>0</v>
      </c>
      <c r="AP273">
        <f>IFERROR(INDEX('M04-S08'!$AZ$18:$AZ$199,2*(ROWS(AP$262:AP273)-1)+1),"")</f>
        <v>0</v>
      </c>
      <c r="AQ273">
        <f>IFERROR(INDEX('M04-S08'!$BE$18:$BE$199,2*(ROWS(AQ$262:AQ273)-1)+1),"")</f>
        <v>0</v>
      </c>
      <c r="AR273" t="s">
        <v>1254</v>
      </c>
      <c r="BL273"/>
      <c r="BP273"/>
      <c r="BQ273"/>
      <c r="BR273"/>
      <c r="CD273"/>
      <c r="CE273"/>
      <c r="CF273"/>
      <c r="CQ273"/>
      <c r="CR273"/>
      <c r="CS273"/>
      <c r="DS273"/>
      <c r="DT273"/>
      <c r="DU273"/>
    </row>
    <row r="274" spans="1:125" hidden="1">
      <c r="A274" s="15">
        <f t="shared" si="28"/>
        <v>0</v>
      </c>
      <c r="B274" t="str">
        <f t="shared" si="30"/>
        <v/>
      </c>
      <c r="C274" t="str">
        <f>IFERROR(IF(INDEX('M04-S08'!$BL$18:$BL$199,2*(ROWS($C$262:C274)-1)+1)="","",INDEX('M04-S08'!$BL$18:$BL$199,2*(ROWS($C$262:C274)-1)+1)),"")</f>
        <v/>
      </c>
      <c r="D274" t="s">
        <v>135</v>
      </c>
      <c r="E274">
        <f>IFERROR(INDEX('M04-S08'!$BF$18:$BF$199,2*(ROWS(E$262:E274)-1)+1),"")</f>
        <v>0</v>
      </c>
      <c r="F274" s="210"/>
      <c r="G274" s="194"/>
      <c r="H274" s="14" t="str">
        <f>IFERROR(ROUND(IF(AC274&lt;&gt;"","",INDEX('M04-S08'!$AH$18:$AH$199,2*(ROWS(H$262:H274)-1)+1)),2),"")</f>
        <v/>
      </c>
      <c r="I274" s="14" t="str">
        <f>IFERROR(ROUND(IF(AC274&lt;&gt;"","",INDEX('M04-S08'!$AJ$18:$AJ$199,2*(ROWS(I$262:I274)-1)+1)),2),"")</f>
        <v/>
      </c>
      <c r="J274" s="14" t="str">
        <f>IFERROR(ROUND(IF(AC274&lt;&gt;"","",INDEX('M04-S08'!$AL$18:$AL$199,2*(ROWS(J$262:J274)-1)+1)),2),"")</f>
        <v/>
      </c>
      <c r="K274" t="str">
        <f>IFERROR(IF(AC274&lt;&gt;"","",INDEX('M04-S08'!$AF$38:$AF$199,2*(ROWS(J$262:J274)-1)+1)),"")</f>
        <v/>
      </c>
      <c r="L274" s="10" t="str">
        <f>IFERROR(IF(AC274&lt;&gt;"","",ROUND(INDEX('M04-S08'!$BA$18:$BA$199,2*(ROWS(L$262:L274)-1)+1),3)),"")</f>
        <v/>
      </c>
      <c r="M274" s="10" t="str">
        <f>IFERROR(IF(AC274&lt;&gt;"","",ROUND(INDEX('M04-S08'!$BB$18:$BB$199,2*(ROWS(M$262:M274)-1)+1),3)),"")</f>
        <v/>
      </c>
      <c r="N274" s="210"/>
      <c r="O274" s="31" t="str">
        <f>IFERROR(IF(AC274&lt;&gt;"","",INDEX('M04-S08'!$AO$18:$AO$199,2*(ROWS(O$262:O274)-1)+1)),"")</f>
        <v/>
      </c>
      <c r="P274" s="37" t="str">
        <f>IFERROR(IF(AC274&lt;&gt;"","",INDEX('M04-S08'!$BH$18:$BH$199,2*(ROWS(P$262:P274)-1)+1)),"")</f>
        <v/>
      </c>
      <c r="Q274" s="37" t="str">
        <f>IFERROR(IF(AC274&lt;&gt;"","",INDEX('M04-S08'!$BG$18:$BG$199,2*(ROWS(Q$262:Q274)-1)+1)),"")</f>
        <v/>
      </c>
      <c r="R274" s="14" t="str">
        <f>IFERROR(IF(AC274&lt;&gt;"","",INDEX('M04-S08'!$AR$18:$AR$199,2*(ROWS(R$262:R274)-1)+1)),"")</f>
        <v/>
      </c>
      <c r="S274" s="14">
        <f>IFERROR(ROUND(IF(AC274&lt;&gt;"",INDEX('M04-S08'!$AH$18:$AH$199,2*(ROWS(S$262:S274)-1)+1),""),2),"")</f>
        <v>0</v>
      </c>
      <c r="T274" s="14">
        <f>IFERROR(ROUND(IF(AC274&lt;&gt;"",INDEX('M04-S08'!$AJ$18:$AJ$199,2*(ROWS(T$262:T274)-1)+1),""),2),"")</f>
        <v>0</v>
      </c>
      <c r="U274" s="14">
        <f>IFERROR(ROUND(IF(AC274&lt;&gt;"",INDEX('M04-S08'!$AL$18:$AL$199,2*(ROWS(U$262:U274)-1)+1),""),2),"")</f>
        <v>0</v>
      </c>
      <c r="V274">
        <f>IFERROR(IF(AC274&lt;&gt;"",INDEX('M04-S08'!$AF$38:$AF$199,2*(ROWS(V$262:V274)-1)+1),""),"")</f>
        <v>0</v>
      </c>
      <c r="W274" s="10">
        <f>IFERROR(IF(AC274&lt;&gt;"",ROUND(INDEX('M04-S08'!$BA$18:$BA$199,2*(ROWS(W$262:W274)-1)+1),3),""),"")</f>
        <v>0</v>
      </c>
      <c r="X274" s="10">
        <f>IFERROR(IF(AC274&lt;&gt;"",ROUND(INDEX('M04-S08'!$BB$18:$BB$199,2*(ROWS(X$262:X274)-1)+1),3),""),"")</f>
        <v>0</v>
      </c>
      <c r="Y274" s="210"/>
      <c r="Z274" s="31">
        <f>IFERROR(IF(AC274&lt;&gt;"",INDEX('M04-S08'!$AO$18:$AO$199,2*(ROWS(Z$262:Z274)-1)+1),""),"")</f>
        <v>0</v>
      </c>
      <c r="AA274" s="37">
        <f>IFERROR(IF(AC274&lt;&gt;"",INDEX('M04-S08'!$BH$18:$BH$199,2*(ROWS(AA$262:AA274)-1)+1),""),"")</f>
        <v>0</v>
      </c>
      <c r="AB274" s="37">
        <f>IFERROR(IF(AC274&lt;&gt;"",INDEX('M04-S08'!$BG$18:$BG$199,2*(ROWS(AB$262:AB274)-1)+1),""),"")</f>
        <v>0</v>
      </c>
      <c r="AC274">
        <f>IFERROR(INDEX('M04-S08'!$BN$18:$BN$199,2*(ROWS(AC$262:AC274)-1)+1),"")</f>
        <v>0</v>
      </c>
      <c r="AD274" s="37" cm="1">
        <f t="array" ref="AD274">IFERROR(INDEX('M04-S08'!$BC$18:$BC$199,2*(ROWS(AD$262:AD274)-1)+1),"")</f>
        <v>0</v>
      </c>
      <c r="AE274" s="37" cm="1">
        <f t="array" ref="AE274">IFERROR(INDEX('M04-S08'!$BD$18:$BD$199,2*(ROWS(AE$262:AE274)-1)+1),"")</f>
        <v>0</v>
      </c>
      <c r="AF274" s="210"/>
      <c r="AG274" s="210"/>
      <c r="AH274" s="210"/>
      <c r="AI274">
        <f>IFERROR(INDEX('M04-S08'!$B$18:$B$199,2*(ROWS(AI$262:AI274)-1)+1),"")</f>
        <v>0</v>
      </c>
      <c r="AJ274" s="194"/>
      <c r="AK274">
        <f>IFERROR(INDEX('M04-S08'!$H$18:$H$199,2*(ROWS(AK$262:AK274)-1)+1),"")</f>
        <v>0</v>
      </c>
      <c r="AL274">
        <f>IFERROR(INDEX('M04-S08'!$N$18:$N$199,2*(ROWS(AL$262:AL274)-1)+1),"")</f>
        <v>0</v>
      </c>
      <c r="AM274">
        <f>IFERROR(INDEX('M04-S08'!$W$18:$W$199,2*(ROWS(AM$262:AM274)-1)+1),"")</f>
        <v>0</v>
      </c>
      <c r="AN274" s="14">
        <f>IFERROR(INDEX('M04-S08'!$AX$18:$AX$199,2*(ROWS(AN$262:AN274)-1)+1),"")</f>
        <v>0</v>
      </c>
      <c r="AO274" s="14">
        <f>IFERROR(INDEX('M04-S08'!$AY$18:$AY$199,2*(ROWS(AO$262:AO274)-1)+1),"")</f>
        <v>0</v>
      </c>
      <c r="AP274">
        <f>IFERROR(INDEX('M04-S08'!$AZ$18:$AZ$199,2*(ROWS(AP$262:AP274)-1)+1),"")</f>
        <v>0</v>
      </c>
      <c r="AQ274">
        <f>IFERROR(INDEX('M04-S08'!$BE$18:$BE$199,2*(ROWS(AQ$262:AQ274)-1)+1),"")</f>
        <v>0</v>
      </c>
      <c r="AR274" t="s">
        <v>1254</v>
      </c>
      <c r="BL274"/>
      <c r="BP274"/>
      <c r="BQ274"/>
      <c r="BR274"/>
      <c r="CD274"/>
      <c r="CE274"/>
      <c r="CF274"/>
      <c r="CQ274"/>
      <c r="CR274"/>
      <c r="CS274"/>
      <c r="DS274"/>
      <c r="DT274"/>
      <c r="DU274"/>
    </row>
    <row r="275" spans="1:125" hidden="1">
      <c r="A275" s="15">
        <f t="shared" si="28"/>
        <v>0</v>
      </c>
      <c r="B275" t="str">
        <f t="shared" si="30"/>
        <v/>
      </c>
      <c r="C275" t="str">
        <f>IFERROR(IF(INDEX('M04-S08'!$BL$18:$BL$199,2*(ROWS($C$262:C275)-1)+1)="","",INDEX('M04-S08'!$BL$18:$BL$199,2*(ROWS($C$262:C275)-1)+1)),"")</f>
        <v/>
      </c>
      <c r="D275" t="s">
        <v>135</v>
      </c>
      <c r="E275">
        <f>IFERROR(INDEX('M04-S08'!$BF$18:$BF$199,2*(ROWS(E$262:E275)-1)+1),"")</f>
        <v>0</v>
      </c>
      <c r="F275" s="210"/>
      <c r="G275" s="194"/>
      <c r="H275" s="14" t="str">
        <f>IFERROR(ROUND(IF(AC275&lt;&gt;"","",INDEX('M04-S08'!$AH$18:$AH$199,2*(ROWS(H$262:H275)-1)+1)),2),"")</f>
        <v/>
      </c>
      <c r="I275" s="14" t="str">
        <f>IFERROR(ROUND(IF(AC275&lt;&gt;"","",INDEX('M04-S08'!$AJ$18:$AJ$199,2*(ROWS(I$262:I275)-1)+1)),2),"")</f>
        <v/>
      </c>
      <c r="J275" s="14" t="str">
        <f>IFERROR(ROUND(IF(AC275&lt;&gt;"","",INDEX('M04-S08'!$AL$18:$AL$199,2*(ROWS(J$262:J275)-1)+1)),2),"")</f>
        <v/>
      </c>
      <c r="K275" t="str">
        <f>IFERROR(IF(AC275&lt;&gt;"","",INDEX('M04-S08'!$AF$38:$AF$199,2*(ROWS(J$262:J275)-1)+1)),"")</f>
        <v/>
      </c>
      <c r="L275" s="10" t="str">
        <f>IFERROR(IF(AC275&lt;&gt;"","",ROUND(INDEX('M04-S08'!$BA$18:$BA$199,2*(ROWS(L$262:L275)-1)+1),3)),"")</f>
        <v/>
      </c>
      <c r="M275" s="10" t="str">
        <f>IFERROR(IF(AC275&lt;&gt;"","",ROUND(INDEX('M04-S08'!$BB$18:$BB$199,2*(ROWS(M$262:M275)-1)+1),3)),"")</f>
        <v/>
      </c>
      <c r="N275" s="210"/>
      <c r="O275" s="31" t="str">
        <f>IFERROR(IF(AC275&lt;&gt;"","",INDEX('M04-S08'!$AO$18:$AO$199,2*(ROWS(O$262:O275)-1)+1)),"")</f>
        <v/>
      </c>
      <c r="P275" s="37" t="str">
        <f>IFERROR(IF(AC275&lt;&gt;"","",INDEX('M04-S08'!$BH$18:$BH$199,2*(ROWS(P$262:P275)-1)+1)),"")</f>
        <v/>
      </c>
      <c r="Q275" s="37" t="str">
        <f>IFERROR(IF(AC275&lt;&gt;"","",INDEX('M04-S08'!$BG$18:$BG$199,2*(ROWS(Q$262:Q275)-1)+1)),"")</f>
        <v/>
      </c>
      <c r="R275" s="14" t="str">
        <f>IFERROR(IF(AC275&lt;&gt;"","",INDEX('M04-S08'!$AR$18:$AR$199,2*(ROWS(R$262:R275)-1)+1)),"")</f>
        <v/>
      </c>
      <c r="S275" s="14">
        <f>IFERROR(ROUND(IF(AC275&lt;&gt;"",INDEX('M04-S08'!$AH$18:$AH$199,2*(ROWS(S$262:S275)-1)+1),""),2),"")</f>
        <v>0</v>
      </c>
      <c r="T275" s="14">
        <f>IFERROR(ROUND(IF(AC275&lt;&gt;"",INDEX('M04-S08'!$AJ$18:$AJ$199,2*(ROWS(T$262:T275)-1)+1),""),2),"")</f>
        <v>0</v>
      </c>
      <c r="U275" s="14">
        <f>IFERROR(ROUND(IF(AC275&lt;&gt;"",INDEX('M04-S08'!$AL$18:$AL$199,2*(ROWS(U$262:U275)-1)+1),""),2),"")</f>
        <v>0</v>
      </c>
      <c r="V275">
        <f>IFERROR(IF(AC275&lt;&gt;"",INDEX('M04-S08'!$AF$38:$AF$199,2*(ROWS(V$262:V275)-1)+1),""),"")</f>
        <v>0</v>
      </c>
      <c r="W275" s="10">
        <f>IFERROR(IF(AC275&lt;&gt;"",ROUND(INDEX('M04-S08'!$BA$18:$BA$199,2*(ROWS(W$262:W275)-1)+1),3),""),"")</f>
        <v>0</v>
      </c>
      <c r="X275" s="10">
        <f>IFERROR(IF(AC275&lt;&gt;"",ROUND(INDEX('M04-S08'!$BB$18:$BB$199,2*(ROWS(X$262:X275)-1)+1),3),""),"")</f>
        <v>0</v>
      </c>
      <c r="Y275" s="210"/>
      <c r="Z275" s="31">
        <f>IFERROR(IF(AC275&lt;&gt;"",INDEX('M04-S08'!$AO$18:$AO$199,2*(ROWS(Z$262:Z275)-1)+1),""),"")</f>
        <v>0</v>
      </c>
      <c r="AA275" s="37">
        <f>IFERROR(IF(AC275&lt;&gt;"",INDEX('M04-S08'!$BH$18:$BH$199,2*(ROWS(AA$262:AA275)-1)+1),""),"")</f>
        <v>0</v>
      </c>
      <c r="AB275" s="37">
        <f>IFERROR(IF(AC275&lt;&gt;"",INDEX('M04-S08'!$BG$18:$BG$199,2*(ROWS(AB$262:AB275)-1)+1),""),"")</f>
        <v>0</v>
      </c>
      <c r="AC275">
        <f>IFERROR(INDEX('M04-S08'!$BN$18:$BN$199,2*(ROWS(AC$262:AC275)-1)+1),"")</f>
        <v>0</v>
      </c>
      <c r="AD275" s="37" cm="1">
        <f t="array" ref="AD275">IFERROR(INDEX('M04-S08'!$BC$18:$BC$199,2*(ROWS(AD$262:AD275)-1)+1),"")</f>
        <v>0</v>
      </c>
      <c r="AE275" s="37" cm="1">
        <f t="array" ref="AE275">IFERROR(INDEX('M04-S08'!$BD$18:$BD$199,2*(ROWS(AE$262:AE275)-1)+1),"")</f>
        <v>0</v>
      </c>
      <c r="AF275" s="210"/>
      <c r="AG275" s="210"/>
      <c r="AH275" s="210"/>
      <c r="AI275">
        <f>IFERROR(INDEX('M04-S08'!$B$18:$B$199,2*(ROWS(AI$262:AI275)-1)+1),"")</f>
        <v>0</v>
      </c>
      <c r="AJ275" s="194"/>
      <c r="AK275">
        <f>IFERROR(INDEX('M04-S08'!$H$18:$H$199,2*(ROWS(AK$262:AK275)-1)+1),"")</f>
        <v>0</v>
      </c>
      <c r="AL275">
        <f>IFERROR(INDEX('M04-S08'!$N$18:$N$199,2*(ROWS(AL$262:AL275)-1)+1),"")</f>
        <v>0</v>
      </c>
      <c r="AM275">
        <f>IFERROR(INDEX('M04-S08'!$W$18:$W$199,2*(ROWS(AM$262:AM275)-1)+1),"")</f>
        <v>0</v>
      </c>
      <c r="AN275" s="14">
        <f>IFERROR(INDEX('M04-S08'!$AX$18:$AX$199,2*(ROWS(AN$262:AN275)-1)+1),"")</f>
        <v>0</v>
      </c>
      <c r="AO275" s="14">
        <f>IFERROR(INDEX('M04-S08'!$AY$18:$AY$199,2*(ROWS(AO$262:AO275)-1)+1),"")</f>
        <v>0</v>
      </c>
      <c r="AP275">
        <f>IFERROR(INDEX('M04-S08'!$AZ$18:$AZ$199,2*(ROWS(AP$262:AP275)-1)+1),"")</f>
        <v>0</v>
      </c>
      <c r="AQ275">
        <f>IFERROR(INDEX('M04-S08'!$BE$18:$BE$199,2*(ROWS(AQ$262:AQ275)-1)+1),"")</f>
        <v>0</v>
      </c>
      <c r="AR275" t="s">
        <v>1254</v>
      </c>
      <c r="BL275"/>
      <c r="BP275"/>
      <c r="BQ275"/>
      <c r="BR275"/>
      <c r="CD275"/>
      <c r="CE275"/>
      <c r="CF275"/>
      <c r="CQ275"/>
      <c r="CR275"/>
      <c r="CS275"/>
      <c r="DS275"/>
      <c r="DT275"/>
      <c r="DU275"/>
    </row>
    <row r="276" spans="1:125" hidden="1">
      <c r="A276" s="15">
        <f t="shared" si="28"/>
        <v>0</v>
      </c>
      <c r="B276" t="str">
        <f t="shared" si="30"/>
        <v/>
      </c>
      <c r="C276" t="str">
        <f>IFERROR(IF(INDEX('M04-S08'!$BL$18:$BL$199,2*(ROWS($C$262:C276)-1)+1)="","",INDEX('M04-S08'!$BL$18:$BL$199,2*(ROWS($C$262:C276)-1)+1)),"")</f>
        <v/>
      </c>
      <c r="D276" t="s">
        <v>135</v>
      </c>
      <c r="E276">
        <f>IFERROR(INDEX('M04-S08'!$BF$18:$BF$199,2*(ROWS(E$262:E276)-1)+1),"")</f>
        <v>0</v>
      </c>
      <c r="F276" s="210"/>
      <c r="G276" s="194"/>
      <c r="H276" s="14" t="str">
        <f>IFERROR(ROUND(IF(AC276&lt;&gt;"","",INDEX('M04-S08'!$AH$18:$AH$199,2*(ROWS(H$262:H276)-1)+1)),2),"")</f>
        <v/>
      </c>
      <c r="I276" s="14" t="str">
        <f>IFERROR(ROUND(IF(AC276&lt;&gt;"","",INDEX('M04-S08'!$AJ$18:$AJ$199,2*(ROWS(I$262:I276)-1)+1)),2),"")</f>
        <v/>
      </c>
      <c r="J276" s="14" t="str">
        <f>IFERROR(ROUND(IF(AC276&lt;&gt;"","",INDEX('M04-S08'!$AL$18:$AL$199,2*(ROWS(J$262:J276)-1)+1)),2),"")</f>
        <v/>
      </c>
      <c r="K276" t="str">
        <f>IFERROR(IF(AC276&lt;&gt;"","",INDEX('M04-S08'!$AF$38:$AF$199,2*(ROWS(J$262:J276)-1)+1)),"")</f>
        <v/>
      </c>
      <c r="L276" s="10" t="str">
        <f>IFERROR(IF(AC276&lt;&gt;"","",ROUND(INDEX('M04-S08'!$BA$18:$BA$199,2*(ROWS(L$262:L276)-1)+1),3)),"")</f>
        <v/>
      </c>
      <c r="M276" s="10" t="str">
        <f>IFERROR(IF(AC276&lt;&gt;"","",ROUND(INDEX('M04-S08'!$BB$18:$BB$199,2*(ROWS(M$262:M276)-1)+1),3)),"")</f>
        <v/>
      </c>
      <c r="N276" s="210"/>
      <c r="O276" s="31" t="str">
        <f>IFERROR(IF(AC276&lt;&gt;"","",INDEX('M04-S08'!$AO$18:$AO$199,2*(ROWS(O$262:O276)-1)+1)),"")</f>
        <v/>
      </c>
      <c r="P276" s="37" t="str">
        <f>IFERROR(IF(AC276&lt;&gt;"","",INDEX('M04-S08'!$BH$18:$BH$199,2*(ROWS(P$262:P276)-1)+1)),"")</f>
        <v/>
      </c>
      <c r="Q276" s="37" t="str">
        <f>IFERROR(IF(AC276&lt;&gt;"","",INDEX('M04-S08'!$BG$18:$BG$199,2*(ROWS(Q$262:Q276)-1)+1)),"")</f>
        <v/>
      </c>
      <c r="R276" s="14" t="str">
        <f>IFERROR(IF(AC276&lt;&gt;"","",INDEX('M04-S08'!$AR$18:$AR$199,2*(ROWS(R$262:R276)-1)+1)),"")</f>
        <v/>
      </c>
      <c r="S276" s="14">
        <f>IFERROR(ROUND(IF(AC276&lt;&gt;"",INDEX('M04-S08'!$AH$18:$AH$199,2*(ROWS(S$262:S276)-1)+1),""),2),"")</f>
        <v>0</v>
      </c>
      <c r="T276" s="14">
        <f>IFERROR(ROUND(IF(AC276&lt;&gt;"",INDEX('M04-S08'!$AJ$18:$AJ$199,2*(ROWS(T$262:T276)-1)+1),""),2),"")</f>
        <v>0</v>
      </c>
      <c r="U276" s="14">
        <f>IFERROR(ROUND(IF(AC276&lt;&gt;"",INDEX('M04-S08'!$AL$18:$AL$199,2*(ROWS(U$262:U276)-1)+1),""),2),"")</f>
        <v>0</v>
      </c>
      <c r="V276">
        <f>IFERROR(IF(AC276&lt;&gt;"",INDEX('M04-S08'!$AF$38:$AF$199,2*(ROWS(V$262:V276)-1)+1),""),"")</f>
        <v>0</v>
      </c>
      <c r="W276" s="10">
        <f>IFERROR(IF(AC276&lt;&gt;"",ROUND(INDEX('M04-S08'!$BA$18:$BA$199,2*(ROWS(W$262:W276)-1)+1),3),""),"")</f>
        <v>0</v>
      </c>
      <c r="X276" s="10">
        <f>IFERROR(IF(AC276&lt;&gt;"",ROUND(INDEX('M04-S08'!$BB$18:$BB$199,2*(ROWS(X$262:X276)-1)+1),3),""),"")</f>
        <v>0</v>
      </c>
      <c r="Y276" s="210"/>
      <c r="Z276" s="31">
        <f>IFERROR(IF(AC276&lt;&gt;"",INDEX('M04-S08'!$AO$18:$AO$199,2*(ROWS(Z$262:Z276)-1)+1),""),"")</f>
        <v>0</v>
      </c>
      <c r="AA276" s="37">
        <f>IFERROR(IF(AC276&lt;&gt;"",INDEX('M04-S08'!$BH$18:$BH$199,2*(ROWS(AA$262:AA276)-1)+1),""),"")</f>
        <v>0</v>
      </c>
      <c r="AB276" s="37">
        <f>IFERROR(IF(AC276&lt;&gt;"",INDEX('M04-S08'!$BG$18:$BG$199,2*(ROWS(AB$262:AB276)-1)+1),""),"")</f>
        <v>0</v>
      </c>
      <c r="AC276">
        <f>IFERROR(INDEX('M04-S08'!$BN$18:$BN$199,2*(ROWS(AC$262:AC276)-1)+1),"")</f>
        <v>0</v>
      </c>
      <c r="AD276" s="37" cm="1">
        <f t="array" ref="AD276">IFERROR(INDEX('M04-S08'!$BC$18:$BC$199,2*(ROWS(AD$262:AD276)-1)+1),"")</f>
        <v>0</v>
      </c>
      <c r="AE276" s="37" cm="1">
        <f t="array" ref="AE276">IFERROR(INDEX('M04-S08'!$BD$18:$BD$199,2*(ROWS(AE$262:AE276)-1)+1),"")</f>
        <v>0</v>
      </c>
      <c r="AF276" s="210"/>
      <c r="AG276" s="210"/>
      <c r="AH276" s="210"/>
      <c r="AI276">
        <f>IFERROR(INDEX('M04-S08'!$B$18:$B$199,2*(ROWS(AI$262:AI276)-1)+1),"")</f>
        <v>0</v>
      </c>
      <c r="AJ276" s="194"/>
      <c r="AK276">
        <f>IFERROR(INDEX('M04-S08'!$H$18:$H$199,2*(ROWS(AK$262:AK276)-1)+1),"")</f>
        <v>0</v>
      </c>
      <c r="AL276">
        <f>IFERROR(INDEX('M04-S08'!$N$18:$N$199,2*(ROWS(AL$262:AL276)-1)+1),"")</f>
        <v>0</v>
      </c>
      <c r="AM276">
        <f>IFERROR(INDEX('M04-S08'!$W$18:$W$199,2*(ROWS(AM$262:AM276)-1)+1),"")</f>
        <v>0</v>
      </c>
      <c r="AN276" s="14">
        <f>IFERROR(INDEX('M04-S08'!$AX$18:$AX$199,2*(ROWS(AN$262:AN276)-1)+1),"")</f>
        <v>0</v>
      </c>
      <c r="AO276" s="14">
        <f>IFERROR(INDEX('M04-S08'!$AY$18:$AY$199,2*(ROWS(AO$262:AO276)-1)+1),"")</f>
        <v>0</v>
      </c>
      <c r="AP276">
        <f>IFERROR(INDEX('M04-S08'!$AZ$18:$AZ$199,2*(ROWS(AP$262:AP276)-1)+1),"")</f>
        <v>0</v>
      </c>
      <c r="AQ276">
        <f>IFERROR(INDEX('M04-S08'!$BE$18:$BE$199,2*(ROWS(AQ$262:AQ276)-1)+1),"")</f>
        <v>0</v>
      </c>
      <c r="AR276" t="s">
        <v>1254</v>
      </c>
      <c r="BL276"/>
      <c r="BP276"/>
      <c r="BQ276"/>
      <c r="BR276"/>
      <c r="CD276"/>
      <c r="CE276"/>
      <c r="CF276"/>
      <c r="CQ276"/>
      <c r="CR276"/>
      <c r="CS276"/>
      <c r="DS276"/>
      <c r="DT276"/>
      <c r="DU276"/>
    </row>
    <row r="277" spans="1:125">
      <c r="A277" s="226" t="str">
        <f>"Custom "&amp;M4S9</f>
        <v>Custom Miscellaneous</v>
      </c>
      <c r="B277" s="36"/>
      <c r="C277" s="36"/>
      <c r="D277" s="36"/>
      <c r="E277" s="36"/>
      <c r="F277" s="211"/>
      <c r="G277" s="36"/>
      <c r="H277" s="206"/>
      <c r="I277" s="206"/>
      <c r="J277" s="206"/>
      <c r="K277" s="36"/>
      <c r="L277" s="214"/>
      <c r="M277" s="214"/>
      <c r="N277" s="211"/>
      <c r="O277" s="211"/>
      <c r="P277" s="217"/>
      <c r="Q277" s="217"/>
      <c r="R277" s="206"/>
      <c r="S277" s="206"/>
      <c r="T277" s="206"/>
      <c r="U277" s="206"/>
      <c r="V277" s="36"/>
      <c r="W277" s="214"/>
      <c r="X277" s="214"/>
      <c r="Y277" s="211"/>
      <c r="Z277" s="211"/>
      <c r="AA277" s="217"/>
      <c r="AB277" s="217"/>
      <c r="AC277" s="36"/>
      <c r="AD277" s="217"/>
      <c r="AE277" s="217"/>
      <c r="AF277" s="211"/>
      <c r="AG277" s="211"/>
      <c r="AH277" s="211"/>
      <c r="AI277" s="36"/>
      <c r="AJ277" s="36"/>
      <c r="AK277" s="109"/>
      <c r="AL277" s="36"/>
      <c r="AM277" s="36"/>
      <c r="AN277" s="206"/>
      <c r="AO277" s="206"/>
      <c r="AP277" s="36"/>
      <c r="AQ277" s="36"/>
      <c r="AR277" s="36"/>
      <c r="AS277" s="36"/>
      <c r="AT277" s="36"/>
      <c r="BL277"/>
      <c r="BP277"/>
      <c r="BQ277"/>
      <c r="BR277"/>
      <c r="CD277"/>
      <c r="CE277"/>
      <c r="CF277"/>
      <c r="CQ277"/>
      <c r="CR277"/>
      <c r="CS277"/>
      <c r="DS277"/>
      <c r="DT277"/>
      <c r="DU277"/>
    </row>
    <row r="278" spans="1:125" hidden="1">
      <c r="A278" s="15">
        <f t="shared" ref="A278:A284" si="31">PROJID</f>
        <v>0</v>
      </c>
      <c r="B278" t="str">
        <f>IF(C278="","",CONCATENATE(ROW(),"-",C278))</f>
        <v/>
      </c>
      <c r="C278" t="str">
        <f>IFERROR(IF(INDEX('M04-S09'!$BL$18:$BL$199,2*(ROWS($C$278:C278)-1)+1)="","",INDEX('M04-S09'!$BL$18:$BL$199,2*(ROWS($C$278:C278)-1)+1)),"")</f>
        <v/>
      </c>
      <c r="D278" t="s">
        <v>135</v>
      </c>
      <c r="E278" t="str">
        <f>IFERROR(INDEX('M04-S09'!$BF$18:$BF$199,2*(ROWS(E$278:E278)-1)+1),"")</f>
        <v/>
      </c>
      <c r="F278" s="210"/>
      <c r="G278" s="194"/>
      <c r="H278" s="14" t="str">
        <f ca="1">IFERROR(ROUND(IF(AC278&lt;&gt;"","",INDEX('M04-S09'!$AH$18:$AH$199,2*(ROWS(H$278:H278)-1)+1)),2),"")</f>
        <v/>
      </c>
      <c r="I278" s="14" t="str">
        <f ca="1">IFERROR(ROUND(IF(AC278&lt;&gt;"","",INDEX('M04-S09'!$AJ$18:$AJ$199,2*(ROWS(I$278:I278)-1)+1)),2),"")</f>
        <v/>
      </c>
      <c r="J278" s="14" t="str">
        <f ca="1">IFERROR(ROUND(IF(AC278&lt;&gt;"","",INDEX('M04-S09'!$AL$18:$AL$199,2*(ROWS(J$278:J278)-1)+1)),2),"")</f>
        <v/>
      </c>
      <c r="K278" t="str">
        <f ca="1">IFERROR(IF(AC278&lt;&gt;"","",INDEX('M04-S09'!$AF$26:$AF$199,2*(ROWS(J$278:J278)-1)+1)),"")</f>
        <v/>
      </c>
      <c r="L278" s="10" t="str">
        <f ca="1">IFERROR(IF(AC278&lt;&gt;"","",ROUND(INDEX('M04-S09'!$BA$18:$BA$199,2*(ROWS(L$278:L278)-1)+1),3)),"")</f>
        <v/>
      </c>
      <c r="M278" s="10" t="str">
        <f ca="1">IFERROR(IF(AC278&lt;&gt;"","",ROUND(INDEX('M04-S09'!$BB$18:$BB$199,2*(ROWS(M$278:M278)-1)+1),3)),"")</f>
        <v/>
      </c>
      <c r="N278" s="210"/>
      <c r="O278" s="31" t="str">
        <f ca="1">IFERROR(IF(AC278&lt;&gt;"","",INDEX('M04-S09'!$AO$18:$AO$199,2*(ROWS(O$278:O278)-1)+1)),"")</f>
        <v/>
      </c>
      <c r="P278" s="37" t="str">
        <f ca="1">IFERROR(IF(AC278&lt;&gt;"","",INDEX('M04-S09'!$BH$18:$BH$199,2*(ROWS(P$278:P278)-1)+1)),"")</f>
        <v/>
      </c>
      <c r="Q278" s="37" t="str">
        <f ca="1">IFERROR(IF(AC278&lt;&gt;"","",INDEX('M04-S09'!$BG$18:$BG$199,2*(ROWS(Q$278:Q278)-1)+1)),"")</f>
        <v/>
      </c>
      <c r="R278" s="14" t="str">
        <f ca="1">IFERROR(IF(AC278&lt;&gt;"","",INDEX('M04-S09'!$AR$18:$AR$199,2*(ROWS(R$278:R278)-1)+1)),"")</f>
        <v/>
      </c>
      <c r="S278" s="14">
        <f ca="1">IFERROR(ROUND(IF(AC278&lt;&gt;"",INDEX('M04-S09'!$AH$18:$AH$199,2*(ROWS(S$278:S278)-1)+1),""),2),"")</f>
        <v>0</v>
      </c>
      <c r="T278" s="14" t="str">
        <f ca="1">IFERROR(ROUND(IF(AC278&lt;&gt;"",INDEX('M04-S09'!$AJ$18:$AJ$199,2*(ROWS(T$278:T278)-1)+1),""),2),"")</f>
        <v/>
      </c>
      <c r="U278" s="14" t="str">
        <f ca="1">IFERROR(ROUND(IF(AC278&lt;&gt;"",INDEX('M04-S09'!$AL$18:$AL$199,2*(ROWS(U$278:U278)-1)+1),""),2),"")</f>
        <v/>
      </c>
      <c r="V278">
        <f ca="1">IFERROR(IF(AC278&lt;&gt;"",INDEX('M04-S09'!$AF$26:$AF$199,2*(ROWS(V$278:V278)-1)+1),""),"")</f>
        <v>0</v>
      </c>
      <c r="W278" s="10" t="str">
        <f ca="1">IFERROR(IF(AC278&lt;&gt;"",ROUND(INDEX('M04-S09'!$BA$18:$BA$199,2*(ROWS(W$278:W278)-1)+1),3),""),"")</f>
        <v/>
      </c>
      <c r="X278" s="10" t="str">
        <f ca="1">IFERROR(IF(AC278&lt;&gt;"",ROUND(INDEX('M04-S09'!$BB$18:$BB$199,2*(ROWS(X$278:X278)-1)+1),3),""),"")</f>
        <v/>
      </c>
      <c r="Y278" s="210"/>
      <c r="Z278" s="31" t="str">
        <f ca="1">IFERROR(IF(AC278&lt;&gt;"",INDEX('M04-S09'!$AO$18:$AO$199,2*(ROWS(Z$278:Z278)-1)+1),""),"")</f>
        <v/>
      </c>
      <c r="AA278" s="37">
        <f ca="1">IFERROR(IF(AC278&lt;&gt;"",INDEX('M04-S09'!$BH$18:$BH$199,2*(ROWS(AA$278:AA278)-1)+1),""),"")</f>
        <v>0</v>
      </c>
      <c r="AB278" s="37" t="str">
        <f ca="1">IFERROR(IF(AC278&lt;&gt;"",INDEX('M04-S09'!$BG$18:$BG$199,2*(ROWS(AB$278:AB278)-1)+1),""),"")</f>
        <v/>
      </c>
      <c r="AC278" t="str">
        <f ca="1">IFERROR(INDEX('M04-S09'!$BN$18:$BN$199,2*(ROWS(AC$278:AC278)-1)+1),"")</f>
        <v>Submit for Review</v>
      </c>
      <c r="AD278" s="37" t="str" cm="1">
        <f t="array" ref="AD278">IFERROR(INDEX('M04-S09'!$BC$18:$BC$199,2*(ROWS(AD$278:AD278)-1)+1),"")</f>
        <v/>
      </c>
      <c r="AE278" s="37" t="str" cm="1">
        <f t="array" ref="AE278">IFERROR(INDEX('M04-S09'!$BD$18:$BD$199,2*(ROWS(AE$278:AE278)-1)+1),"")</f>
        <v/>
      </c>
      <c r="AF278" s="210"/>
      <c r="AG278" s="210"/>
      <c r="AH278" s="210"/>
      <c r="AI278">
        <f>IFERROR(INDEX('M04-S09'!$B$18:$B$199,2*(ROWS(AI$278:AI278)-1)+1),"")</f>
        <v>1</v>
      </c>
      <c r="AJ278" s="194"/>
      <c r="AK278">
        <f>IFERROR(INDEX('M04-S09'!$H$18:$H$199,2*(ROWS(AK$278:AK278)-1)+1),"")</f>
        <v>0</v>
      </c>
      <c r="AL278">
        <f>IFERROR(INDEX('M04-S09'!$N$18:$N$199,2*(ROWS(AL$278:AL278)-1)+1),"")</f>
        <v>0</v>
      </c>
      <c r="AM278">
        <f>IFERROR(INDEX('M04-S09'!$W$18:$W$199,2*(ROWS(AM$278:AM278)-1)+1),"")</f>
        <v>0</v>
      </c>
      <c r="AN278" s="14" t="str">
        <f>IFERROR(INDEX('M04-S09'!$AX$18:$AX$199,2*(ROWS(AN$278:AN278)-1)+1),"")</f>
        <v/>
      </c>
      <c r="AO278" s="14" t="str">
        <f>IFERROR(INDEX('M04-S09'!$AY$18:$AY$199,2*(ROWS(AO$278:AO278)-1)+1),"")</f>
        <v/>
      </c>
      <c r="AP278" t="str">
        <f>IFERROR(INDEX('M04-S09'!$AZ$18:$AZ$199,2*(ROWS(AP$278:AP278)-1)+1),"")</f>
        <v/>
      </c>
      <c r="AQ278" t="str">
        <f>IFERROR(INDEX('M04-S09'!$BE$18:$BE$199,2*(ROWS(AQ$278:AQ278)-1)+1),"")</f>
        <v/>
      </c>
      <c r="AR278" t="s">
        <v>1254</v>
      </c>
      <c r="AS278"/>
      <c r="BL278"/>
      <c r="BP278"/>
      <c r="BQ278"/>
      <c r="BR278"/>
      <c r="CD278"/>
      <c r="CE278"/>
      <c r="CF278"/>
      <c r="CQ278"/>
      <c r="CR278"/>
      <c r="CS278"/>
      <c r="DS278"/>
      <c r="DT278"/>
      <c r="DU278"/>
    </row>
    <row r="279" spans="1:125" hidden="1">
      <c r="A279" s="15">
        <f t="shared" si="31"/>
        <v>0</v>
      </c>
      <c r="B279" t="str">
        <f t="shared" ref="B279:B284" si="32">IF(C279="","",CONCATENATE(ROW(),"-",C279))</f>
        <v/>
      </c>
      <c r="C279" t="str">
        <f>IFERROR(IF(INDEX('M04-S09'!$BL$18:$BL$199,2*(ROWS($C$278:C279)-1)+1)="","",INDEX('M04-S09'!$BL$18:$BL$199,2*(ROWS($C$278:C279)-1)+1)),"")</f>
        <v/>
      </c>
      <c r="D279" t="s">
        <v>135</v>
      </c>
      <c r="E279" t="str">
        <f>IFERROR(INDEX('M04-S09'!$BF$18:$BF$199,2*(ROWS(E$278:E279)-1)+1),"")</f>
        <v/>
      </c>
      <c r="F279" s="210"/>
      <c r="G279" s="194"/>
      <c r="H279" s="14" t="str">
        <f ca="1">IFERROR(ROUND(IF(AC279&lt;&gt;"","",INDEX('M04-S09'!$AH$18:$AH$199,2*(ROWS(H$278:H279)-1)+1)),2),"")</f>
        <v/>
      </c>
      <c r="I279" s="14" t="str">
        <f ca="1">IFERROR(ROUND(IF(AC279&lt;&gt;"","",INDEX('M04-S09'!$AJ$18:$AJ$199,2*(ROWS(I$278:I279)-1)+1)),2),"")</f>
        <v/>
      </c>
      <c r="J279" s="14" t="str">
        <f ca="1">IFERROR(ROUND(IF(AC279&lt;&gt;"","",INDEX('M04-S09'!$AL$18:$AL$199,2*(ROWS(J$278:J279)-1)+1)),2),"")</f>
        <v/>
      </c>
      <c r="K279" t="str">
        <f ca="1">IFERROR(IF(AC279&lt;&gt;"","",INDEX('M04-S09'!$AF$26:$AF$199,2*(ROWS(J$278:J279)-1)+1)),"")</f>
        <v/>
      </c>
      <c r="L279" s="10" t="str">
        <f ca="1">IFERROR(IF(AC279&lt;&gt;"","",ROUND(INDEX('M04-S09'!$BA$18:$BA$199,2*(ROWS(L$278:L279)-1)+1),3)),"")</f>
        <v/>
      </c>
      <c r="M279" s="10" t="str">
        <f ca="1">IFERROR(IF(AC279&lt;&gt;"","",ROUND(INDEX('M04-S09'!$BB$18:$BB$199,2*(ROWS(M$278:M279)-1)+1),3)),"")</f>
        <v/>
      </c>
      <c r="N279" s="210"/>
      <c r="O279" s="31" t="str">
        <f ca="1">IFERROR(IF(AC279&lt;&gt;"","",INDEX('M04-S09'!$AO$18:$AO$199,2*(ROWS(O$278:O279)-1)+1)),"")</f>
        <v/>
      </c>
      <c r="P279" s="37" t="str">
        <f ca="1">IFERROR(IF(AC279&lt;&gt;"","",INDEX('M04-S09'!$BH$18:$BH$199,2*(ROWS(P$278:P279)-1)+1)),"")</f>
        <v/>
      </c>
      <c r="Q279" s="37" t="str">
        <f ca="1">IFERROR(IF(AC279&lt;&gt;"","",INDEX('M04-S09'!$BG$18:$BG$199,2*(ROWS(Q$278:Q279)-1)+1)),"")</f>
        <v/>
      </c>
      <c r="R279" s="14" t="str">
        <f ca="1">IFERROR(IF(AC279&lt;&gt;"","",INDEX('M04-S09'!$AR$18:$AR$199,2*(ROWS(R$278:R279)-1)+1)),"")</f>
        <v/>
      </c>
      <c r="S279" s="14">
        <f ca="1">IFERROR(ROUND(IF(AC279&lt;&gt;"",INDEX('M04-S09'!$AH$18:$AH$199,2*(ROWS(S$278:S279)-1)+1),""),2),"")</f>
        <v>0</v>
      </c>
      <c r="T279" s="14" t="str">
        <f ca="1">IFERROR(ROUND(IF(AC279&lt;&gt;"",INDEX('M04-S09'!$AJ$18:$AJ$199,2*(ROWS(T$278:T279)-1)+1),""),2),"")</f>
        <v/>
      </c>
      <c r="U279" s="14" t="str">
        <f ca="1">IFERROR(ROUND(IF(AC279&lt;&gt;"",INDEX('M04-S09'!$AL$18:$AL$199,2*(ROWS(U$278:U279)-1)+1),""),2),"")</f>
        <v/>
      </c>
      <c r="V279" t="str">
        <f ca="1">IFERROR(IF(AC279&lt;&gt;"",INDEX('M04-S09'!$AF$26:$AF$199,2*(ROWS(V$278:V279)-1)+1),""),"")</f>
        <v>Cost Type</v>
      </c>
      <c r="W279" s="10" t="str">
        <f ca="1">IFERROR(IF(AC279&lt;&gt;"",ROUND(INDEX('M04-S09'!$BA$18:$BA$199,2*(ROWS(W$278:W279)-1)+1),3),""),"")</f>
        <v/>
      </c>
      <c r="X279" s="10" t="str">
        <f ca="1">IFERROR(IF(AC279&lt;&gt;"",ROUND(INDEX('M04-S09'!$BB$18:$BB$199,2*(ROWS(X$278:X279)-1)+1),3),""),"")</f>
        <v/>
      </c>
      <c r="Y279" s="210"/>
      <c r="Z279" s="31" t="str">
        <f ca="1">IFERROR(IF(AC279&lt;&gt;"",INDEX('M04-S09'!$AO$18:$AO$199,2*(ROWS(Z$278:Z279)-1)+1),""),"")</f>
        <v/>
      </c>
      <c r="AA279" s="37">
        <f ca="1">IFERROR(IF(AC279&lt;&gt;"",INDEX('M04-S09'!$BH$18:$BH$199,2*(ROWS(AA$278:AA279)-1)+1),""),"")</f>
        <v>0</v>
      </c>
      <c r="AB279" s="37" t="str">
        <f ca="1">IFERROR(IF(AC279&lt;&gt;"",INDEX('M04-S09'!$BG$18:$BG$199,2*(ROWS(AB$278:AB279)-1)+1),""),"")</f>
        <v/>
      </c>
      <c r="AC279" t="str">
        <f ca="1">IFERROR(INDEX('M04-S09'!$BN$18:$BN$199,2*(ROWS(AC$278:AC279)-1)+1),"")</f>
        <v>Submit for Review</v>
      </c>
      <c r="AD279" s="37" t="str" cm="1">
        <f t="array" ref="AD279">IFERROR(INDEX('M04-S09'!$BC$18:$BC$199,2*(ROWS(AD$278:AD279)-1)+1),"")</f>
        <v/>
      </c>
      <c r="AE279" s="37" t="str" cm="1">
        <f t="array" ref="AE279">IFERROR(INDEX('M04-S09'!$BD$18:$BD$199,2*(ROWS(AE$278:AE279)-1)+1),"")</f>
        <v/>
      </c>
      <c r="AF279" s="210"/>
      <c r="AG279" s="210"/>
      <c r="AH279" s="210"/>
      <c r="AI279">
        <f>IFERROR(INDEX('M04-S09'!$B$18:$B$199,2*(ROWS(AI$278:AI279)-1)+1),"")</f>
        <v>2</v>
      </c>
      <c r="AJ279" s="194"/>
      <c r="AK279">
        <f>IFERROR(INDEX('M04-S09'!$H$18:$H$199,2*(ROWS(AK$278:AK279)-1)+1),"")</f>
        <v>0</v>
      </c>
      <c r="AL279">
        <f>IFERROR(INDEX('M04-S09'!$N$18:$N$199,2*(ROWS(AL$278:AL279)-1)+1),"")</f>
        <v>0</v>
      </c>
      <c r="AM279">
        <f>IFERROR(INDEX('M04-S09'!$W$18:$W$199,2*(ROWS(AM$278:AM279)-1)+1),"")</f>
        <v>0</v>
      </c>
      <c r="AN279" s="14" t="str">
        <f>IFERROR(INDEX('M04-S09'!$AX$18:$AX$199,2*(ROWS(AN$278:AN279)-1)+1),"")</f>
        <v/>
      </c>
      <c r="AO279" s="14" t="str">
        <f>IFERROR(INDEX('M04-S09'!$AY$18:$AY$199,2*(ROWS(AO$278:AO279)-1)+1),"")</f>
        <v/>
      </c>
      <c r="AP279" t="str">
        <f>IFERROR(INDEX('M04-S09'!$AZ$18:$AZ$199,2*(ROWS(AP$278:AP279)-1)+1),"")</f>
        <v/>
      </c>
      <c r="AQ279" t="str">
        <f>IFERROR(INDEX('M04-S09'!$BE$18:$BE$199,2*(ROWS(AQ$278:AQ279)-1)+1),"")</f>
        <v/>
      </c>
      <c r="AR279" t="s">
        <v>1254</v>
      </c>
      <c r="AS279"/>
      <c r="BL279"/>
      <c r="BP279"/>
      <c r="BQ279"/>
      <c r="BR279"/>
      <c r="CD279"/>
      <c r="CE279"/>
      <c r="CF279"/>
      <c r="CQ279"/>
      <c r="CR279"/>
      <c r="CS279"/>
      <c r="DS279"/>
      <c r="DT279"/>
      <c r="DU279"/>
    </row>
    <row r="280" spans="1:125" hidden="1">
      <c r="A280" s="15">
        <f t="shared" si="31"/>
        <v>0</v>
      </c>
      <c r="B280" t="str">
        <f t="shared" si="32"/>
        <v/>
      </c>
      <c r="C280" t="str">
        <f>IFERROR(IF(INDEX('M04-S09'!$BL$18:$BL$199,2*(ROWS($C$278:C280)-1)+1)="","",INDEX('M04-S09'!$BL$18:$BL$199,2*(ROWS($C$278:C280)-1)+1)),"")</f>
        <v/>
      </c>
      <c r="D280" t="s">
        <v>135</v>
      </c>
      <c r="E280" t="str">
        <f>IFERROR(INDEX('M04-S09'!$BF$18:$BF$199,2*(ROWS(E$278:E280)-1)+1),"")</f>
        <v/>
      </c>
      <c r="F280" s="210"/>
      <c r="G280" s="194"/>
      <c r="H280" s="14" t="str">
        <f ca="1">IFERROR(ROUND(IF(AC280&lt;&gt;"","",INDEX('M04-S09'!$AH$18:$AH$199,2*(ROWS(H$278:H280)-1)+1)),2),"")</f>
        <v/>
      </c>
      <c r="I280" s="14" t="str">
        <f ca="1">IFERROR(ROUND(IF(AC280&lt;&gt;"","",INDEX('M04-S09'!$AJ$18:$AJ$199,2*(ROWS(I$278:I280)-1)+1)),2),"")</f>
        <v/>
      </c>
      <c r="J280" s="14" t="str">
        <f ca="1">IFERROR(ROUND(IF(AC280&lt;&gt;"","",INDEX('M04-S09'!$AL$18:$AL$199,2*(ROWS(J$278:J280)-1)+1)),2),"")</f>
        <v/>
      </c>
      <c r="K280" t="str">
        <f ca="1">IFERROR(IF(AC280&lt;&gt;"","",INDEX('M04-S09'!$AF$26:$AF$199,2*(ROWS(J$278:J280)-1)+1)),"")</f>
        <v/>
      </c>
      <c r="L280" s="10" t="str">
        <f ca="1">IFERROR(IF(AC280&lt;&gt;"","",ROUND(INDEX('M04-S09'!$BA$18:$BA$199,2*(ROWS(L$278:L280)-1)+1),3)),"")</f>
        <v/>
      </c>
      <c r="M280" s="10" t="str">
        <f ca="1">IFERROR(IF(AC280&lt;&gt;"","",ROUND(INDEX('M04-S09'!$BB$18:$BB$199,2*(ROWS(M$278:M280)-1)+1),3)),"")</f>
        <v/>
      </c>
      <c r="N280" s="210"/>
      <c r="O280" s="31" t="str">
        <f ca="1">IFERROR(IF(AC280&lt;&gt;"","",INDEX('M04-S09'!$AO$18:$AO$199,2*(ROWS(O$278:O280)-1)+1)),"")</f>
        <v/>
      </c>
      <c r="P280" s="37" t="str">
        <f ca="1">IFERROR(IF(AC280&lt;&gt;"","",INDEX('M04-S09'!$BH$18:$BH$199,2*(ROWS(P$278:P280)-1)+1)),"")</f>
        <v/>
      </c>
      <c r="Q280" s="37" t="str">
        <f ca="1">IFERROR(IF(AC280&lt;&gt;"","",INDEX('M04-S09'!$BG$18:$BG$199,2*(ROWS(Q$278:Q280)-1)+1)),"")</f>
        <v/>
      </c>
      <c r="R280" s="14" t="str">
        <f ca="1">IFERROR(IF(AC280&lt;&gt;"","",INDEX('M04-S09'!$AR$18:$AR$199,2*(ROWS(R$278:R280)-1)+1)),"")</f>
        <v/>
      </c>
      <c r="S280" s="14">
        <f ca="1">IFERROR(ROUND(IF(AC280&lt;&gt;"",INDEX('M04-S09'!$AH$18:$AH$199,2*(ROWS(S$278:S280)-1)+1),""),2),"")</f>
        <v>0</v>
      </c>
      <c r="T280" s="14" t="str">
        <f ca="1">IFERROR(ROUND(IF(AC280&lt;&gt;"",INDEX('M04-S09'!$AJ$18:$AJ$199,2*(ROWS(T$278:T280)-1)+1),""),2),"")</f>
        <v/>
      </c>
      <c r="U280" s="14" t="str">
        <f ca="1">IFERROR(ROUND(IF(AC280&lt;&gt;"",INDEX('M04-S09'!$AL$18:$AL$199,2*(ROWS(U$278:U280)-1)+1),""),2),"")</f>
        <v/>
      </c>
      <c r="V280">
        <f ca="1">IFERROR(IF(AC280&lt;&gt;"",INDEX('M04-S09'!$AF$26:$AF$199,2*(ROWS(V$278:V280)-1)+1),""),"")</f>
        <v>0</v>
      </c>
      <c r="W280" s="10" t="str">
        <f ca="1">IFERROR(IF(AC280&lt;&gt;"",ROUND(INDEX('M04-S09'!$BA$18:$BA$199,2*(ROWS(W$278:W280)-1)+1),3),""),"")</f>
        <v/>
      </c>
      <c r="X280" s="10" t="str">
        <f ca="1">IFERROR(IF(AC280&lt;&gt;"",ROUND(INDEX('M04-S09'!$BB$18:$BB$199,2*(ROWS(X$278:X280)-1)+1),3),""),"")</f>
        <v/>
      </c>
      <c r="Y280" s="210"/>
      <c r="Z280" s="31" t="str">
        <f ca="1">IFERROR(IF(AC280&lt;&gt;"",INDEX('M04-S09'!$AO$18:$AO$199,2*(ROWS(Z$278:Z280)-1)+1),""),"")</f>
        <v/>
      </c>
      <c r="AA280" s="37">
        <f ca="1">IFERROR(IF(AC280&lt;&gt;"",INDEX('M04-S09'!$BH$18:$BH$199,2*(ROWS(AA$278:AA280)-1)+1),""),"")</f>
        <v>0</v>
      </c>
      <c r="AB280" s="37" t="str">
        <f ca="1">IFERROR(IF(AC280&lt;&gt;"",INDEX('M04-S09'!$BG$18:$BG$199,2*(ROWS(AB$278:AB280)-1)+1),""),"")</f>
        <v/>
      </c>
      <c r="AC280" t="str">
        <f ca="1">IFERROR(INDEX('M04-S09'!$BN$18:$BN$199,2*(ROWS(AC$278:AC280)-1)+1),"")</f>
        <v>Submit for Review</v>
      </c>
      <c r="AD280" s="37" t="str" cm="1">
        <f t="array" ref="AD280">IFERROR(INDEX('M04-S09'!$BC$18:$BC$199,2*(ROWS(AD$278:AD280)-1)+1),"")</f>
        <v/>
      </c>
      <c r="AE280" s="37" t="str" cm="1">
        <f t="array" ref="AE280">IFERROR(INDEX('M04-S09'!$BD$18:$BD$199,2*(ROWS(AE$278:AE280)-1)+1),"")</f>
        <v/>
      </c>
      <c r="AF280" s="210"/>
      <c r="AG280" s="210"/>
      <c r="AH280" s="210"/>
      <c r="AI280">
        <f>IFERROR(INDEX('M04-S09'!$B$18:$B$199,2*(ROWS(AI$278:AI280)-1)+1),"")</f>
        <v>3</v>
      </c>
      <c r="AJ280" s="194"/>
      <c r="AK280">
        <f>IFERROR(INDEX('M04-S09'!$H$18:$H$199,2*(ROWS(AK$278:AK280)-1)+1),"")</f>
        <v>0</v>
      </c>
      <c r="AL280">
        <f>IFERROR(INDEX('M04-S09'!$N$18:$N$199,2*(ROWS(AL$278:AL280)-1)+1),"")</f>
        <v>0</v>
      </c>
      <c r="AM280">
        <f>IFERROR(INDEX('M04-S09'!$W$18:$W$199,2*(ROWS(AM$278:AM280)-1)+1),"")</f>
        <v>0</v>
      </c>
      <c r="AN280" s="14" t="str">
        <f>IFERROR(INDEX('M04-S09'!$AX$18:$AX$199,2*(ROWS(AN$278:AN280)-1)+1),"")</f>
        <v/>
      </c>
      <c r="AO280" s="14" t="str">
        <f>IFERROR(INDEX('M04-S09'!$AY$18:$AY$199,2*(ROWS(AO$278:AO280)-1)+1),"")</f>
        <v/>
      </c>
      <c r="AP280" t="str">
        <f>IFERROR(INDEX('M04-S09'!$AZ$18:$AZ$199,2*(ROWS(AP$278:AP280)-1)+1),"")</f>
        <v/>
      </c>
      <c r="AQ280" t="str">
        <f>IFERROR(INDEX('M04-S09'!$BE$18:$BE$199,2*(ROWS(AQ$278:AQ280)-1)+1),"")</f>
        <v/>
      </c>
      <c r="AR280" t="s">
        <v>1254</v>
      </c>
      <c r="AS280"/>
      <c r="BL280"/>
      <c r="BP280"/>
      <c r="BQ280"/>
      <c r="BR280"/>
      <c r="CD280"/>
      <c r="CE280"/>
      <c r="CF280"/>
      <c r="CQ280"/>
      <c r="CR280"/>
      <c r="CS280"/>
      <c r="DS280"/>
      <c r="DT280"/>
      <c r="DU280"/>
    </row>
    <row r="281" spans="1:125" hidden="1">
      <c r="A281" s="15">
        <f t="shared" si="31"/>
        <v>0</v>
      </c>
      <c r="B281" t="str">
        <f t="shared" si="32"/>
        <v/>
      </c>
      <c r="C281" t="str">
        <f>IFERROR(IF(INDEX('M04-S09'!$BL$18:$BL$199,2*(ROWS($C$278:C281)-1)+1)="","",INDEX('M04-S09'!$BL$18:$BL$199,2*(ROWS($C$278:C281)-1)+1)),"")</f>
        <v/>
      </c>
      <c r="D281" t="s">
        <v>135</v>
      </c>
      <c r="E281" t="str">
        <f>IFERROR(INDEX('M04-S09'!$BF$18:$BF$199,2*(ROWS(E$278:E281)-1)+1),"")</f>
        <v/>
      </c>
      <c r="F281" s="210"/>
      <c r="G281" s="194"/>
      <c r="H281" s="14" t="str">
        <f ca="1">IFERROR(ROUND(IF(AC281&lt;&gt;"","",INDEX('M04-S09'!$AH$18:$AH$199,2*(ROWS(H$278:H281)-1)+1)),2),"")</f>
        <v/>
      </c>
      <c r="I281" s="14" t="str">
        <f ca="1">IFERROR(ROUND(IF(AC281&lt;&gt;"","",INDEX('M04-S09'!$AJ$18:$AJ$199,2*(ROWS(I$278:I281)-1)+1)),2),"")</f>
        <v/>
      </c>
      <c r="J281" s="14" t="str">
        <f ca="1">IFERROR(ROUND(IF(AC281&lt;&gt;"","",INDEX('M04-S09'!$AL$18:$AL$199,2*(ROWS(J$278:J281)-1)+1)),2),"")</f>
        <v/>
      </c>
      <c r="K281" t="str">
        <f ca="1">IFERROR(IF(AC281&lt;&gt;"","",INDEX('M04-S09'!$AF$26:$AF$199,2*(ROWS(J$278:J281)-1)+1)),"")</f>
        <v/>
      </c>
      <c r="L281" s="10" t="str">
        <f ca="1">IFERROR(IF(AC281&lt;&gt;"","",ROUND(INDEX('M04-S09'!$BA$18:$BA$199,2*(ROWS(L$278:L281)-1)+1),3)),"")</f>
        <v/>
      </c>
      <c r="M281" s="10" t="str">
        <f ca="1">IFERROR(IF(AC281&lt;&gt;"","",ROUND(INDEX('M04-S09'!$BB$18:$BB$199,2*(ROWS(M$278:M281)-1)+1),3)),"")</f>
        <v/>
      </c>
      <c r="N281" s="210"/>
      <c r="O281" s="31" t="str">
        <f ca="1">IFERROR(IF(AC281&lt;&gt;"","",INDEX('M04-S09'!$AO$18:$AO$199,2*(ROWS(O$278:O281)-1)+1)),"")</f>
        <v/>
      </c>
      <c r="P281" s="37" t="str">
        <f ca="1">IFERROR(IF(AC281&lt;&gt;"","",INDEX('M04-S09'!$BH$18:$BH$199,2*(ROWS(P$278:P281)-1)+1)),"")</f>
        <v/>
      </c>
      <c r="Q281" s="37" t="str">
        <f ca="1">IFERROR(IF(AC281&lt;&gt;"","",INDEX('M04-S09'!$BG$18:$BG$199,2*(ROWS(Q$278:Q281)-1)+1)),"")</f>
        <v/>
      </c>
      <c r="R281" s="14" t="str">
        <f ca="1">IFERROR(IF(AC281&lt;&gt;"","",INDEX('M04-S09'!$AR$18:$AR$199,2*(ROWS(R$278:R281)-1)+1)),"")</f>
        <v/>
      </c>
      <c r="S281" s="14">
        <f ca="1">IFERROR(ROUND(IF(AC281&lt;&gt;"",INDEX('M04-S09'!$AH$18:$AH$199,2*(ROWS(S$278:S281)-1)+1),""),2),"")</f>
        <v>0</v>
      </c>
      <c r="T281" s="14" t="str">
        <f ca="1">IFERROR(ROUND(IF(AC281&lt;&gt;"",INDEX('M04-S09'!$AJ$18:$AJ$199,2*(ROWS(T$278:T281)-1)+1),""),2),"")</f>
        <v/>
      </c>
      <c r="U281" s="14" t="str">
        <f ca="1">IFERROR(ROUND(IF(AC281&lt;&gt;"",INDEX('M04-S09'!$AL$18:$AL$199,2*(ROWS(U$278:U281)-1)+1),""),2),"")</f>
        <v/>
      </c>
      <c r="V281">
        <f ca="1">IFERROR(IF(AC281&lt;&gt;"",INDEX('M04-S09'!$AF$26:$AF$199,2*(ROWS(V$278:V281)-1)+1),""),"")</f>
        <v>0</v>
      </c>
      <c r="W281" s="10" t="str">
        <f ca="1">IFERROR(IF(AC281&lt;&gt;"",ROUND(INDEX('M04-S09'!$BA$18:$BA$199,2*(ROWS(W$278:W281)-1)+1),3),""),"")</f>
        <v/>
      </c>
      <c r="X281" s="10" t="str">
        <f ca="1">IFERROR(IF(AC281&lt;&gt;"",ROUND(INDEX('M04-S09'!$BB$18:$BB$199,2*(ROWS(X$278:X281)-1)+1),3),""),"")</f>
        <v/>
      </c>
      <c r="Y281" s="210"/>
      <c r="Z281" s="31" t="str">
        <f ca="1">IFERROR(IF(AC281&lt;&gt;"",INDEX('M04-S09'!$AO$18:$AO$199,2*(ROWS(Z$278:Z281)-1)+1),""),"")</f>
        <v/>
      </c>
      <c r="AA281" s="37">
        <f ca="1">IFERROR(IF(AC281&lt;&gt;"",INDEX('M04-S09'!$BH$18:$BH$199,2*(ROWS(AA$278:AA281)-1)+1),""),"")</f>
        <v>0</v>
      </c>
      <c r="AB281" s="37" t="str">
        <f ca="1">IFERROR(IF(AC281&lt;&gt;"",INDEX('M04-S09'!$BG$18:$BG$199,2*(ROWS(AB$278:AB281)-1)+1),""),"")</f>
        <v/>
      </c>
      <c r="AC281" t="str">
        <f ca="1">IFERROR(INDEX('M04-S09'!$BN$18:$BN$199,2*(ROWS(AC$278:AC281)-1)+1),"")</f>
        <v>Submit for Review</v>
      </c>
      <c r="AD281" s="37" t="str" cm="1">
        <f t="array" ref="AD281">IFERROR(INDEX('M04-S09'!$BC$18:$BC$199,2*(ROWS(AD$278:AD281)-1)+1),"")</f>
        <v/>
      </c>
      <c r="AE281" s="37" t="str" cm="1">
        <f t="array" ref="AE281">IFERROR(INDEX('M04-S09'!$BD$18:$BD$199,2*(ROWS(AE$278:AE281)-1)+1),"")</f>
        <v/>
      </c>
      <c r="AF281" s="210"/>
      <c r="AG281" s="210"/>
      <c r="AH281" s="210"/>
      <c r="AI281">
        <f>IFERROR(INDEX('M04-S09'!$B$18:$B$199,2*(ROWS(AI$278:AI281)-1)+1),"")</f>
        <v>4</v>
      </c>
      <c r="AJ281" s="194"/>
      <c r="AK281">
        <f>IFERROR(INDEX('M04-S09'!$H$18:$H$199,2*(ROWS(AK$278:AK281)-1)+1),"")</f>
        <v>0</v>
      </c>
      <c r="AL281">
        <f>IFERROR(INDEX('M04-S09'!$N$18:$N$199,2*(ROWS(AL$278:AL281)-1)+1),"")</f>
        <v>0</v>
      </c>
      <c r="AM281">
        <f>IFERROR(INDEX('M04-S09'!$W$18:$W$199,2*(ROWS(AM$278:AM281)-1)+1),"")</f>
        <v>0</v>
      </c>
      <c r="AN281" s="14" t="str">
        <f>IFERROR(INDEX('M04-S09'!$AX$18:$AX$199,2*(ROWS(AN$278:AN281)-1)+1),"")</f>
        <v/>
      </c>
      <c r="AO281" s="14" t="str">
        <f>IFERROR(INDEX('M04-S09'!$AY$18:$AY$199,2*(ROWS(AO$278:AO281)-1)+1),"")</f>
        <v/>
      </c>
      <c r="AP281" t="str">
        <f>IFERROR(INDEX('M04-S09'!$AZ$18:$AZ$199,2*(ROWS(AP$278:AP281)-1)+1),"")</f>
        <v/>
      </c>
      <c r="AQ281" t="str">
        <f>IFERROR(INDEX('M04-S09'!$BE$18:$BE$199,2*(ROWS(AQ$278:AQ281)-1)+1),"")</f>
        <v/>
      </c>
      <c r="AR281" t="s">
        <v>1254</v>
      </c>
      <c r="AS281"/>
      <c r="BL281"/>
      <c r="BP281"/>
      <c r="BQ281"/>
      <c r="BR281"/>
      <c r="CD281"/>
      <c r="CE281"/>
      <c r="CF281"/>
      <c r="CQ281"/>
      <c r="CR281"/>
      <c r="CS281"/>
      <c r="DS281"/>
      <c r="DT281"/>
      <c r="DU281"/>
    </row>
    <row r="282" spans="1:125" hidden="1">
      <c r="A282" s="210"/>
      <c r="B282" s="210"/>
      <c r="C282" s="210"/>
      <c r="D282" s="210"/>
      <c r="E282" s="210"/>
      <c r="F282" s="210"/>
      <c r="G282" s="210"/>
      <c r="H282" s="210"/>
      <c r="I282" s="210"/>
      <c r="J282" s="210"/>
      <c r="K282" s="210"/>
      <c r="L282" s="210"/>
      <c r="M282" s="210"/>
      <c r="N282" s="210"/>
      <c r="O282" s="210"/>
      <c r="P282" s="210"/>
      <c r="Q282" s="210"/>
      <c r="R282" s="210"/>
      <c r="S282" s="210"/>
      <c r="T282" s="210"/>
      <c r="U282" s="210"/>
      <c r="V282" s="210"/>
      <c r="W282" s="210"/>
      <c r="X282" s="210"/>
      <c r="Y282" s="210"/>
      <c r="Z282" s="210"/>
      <c r="AA282" s="219"/>
      <c r="AB282" s="219"/>
      <c r="AC282" s="210"/>
      <c r="AD282" s="210"/>
      <c r="AE282" s="210"/>
      <c r="AF282" s="210"/>
      <c r="AG282" s="210"/>
      <c r="AH282" s="210"/>
      <c r="AI282" s="210"/>
      <c r="AJ282" s="210"/>
      <c r="AK282" s="210"/>
      <c r="AL282" s="210"/>
      <c r="AM282" s="210"/>
      <c r="AN282" s="210"/>
      <c r="AO282" s="210"/>
      <c r="AP282" s="210"/>
      <c r="AQ282" s="210"/>
      <c r="AR282"/>
      <c r="AS282"/>
      <c r="BL282"/>
      <c r="BP282"/>
      <c r="BQ282"/>
      <c r="BR282"/>
      <c r="CD282"/>
      <c r="CE282"/>
      <c r="CF282"/>
      <c r="CQ282"/>
      <c r="CR282"/>
      <c r="CS282"/>
      <c r="DS282"/>
      <c r="DT282"/>
      <c r="DU282"/>
    </row>
    <row r="283" spans="1:125" hidden="1">
      <c r="A283" s="210"/>
      <c r="B283" s="210"/>
      <c r="C283" s="210"/>
      <c r="D283" s="210"/>
      <c r="E283" s="210"/>
      <c r="F283" s="210"/>
      <c r="G283" s="210"/>
      <c r="H283" s="210"/>
      <c r="I283" s="210"/>
      <c r="J283" s="210"/>
      <c r="K283" s="210"/>
      <c r="L283" s="210"/>
      <c r="M283" s="210"/>
      <c r="N283" s="210"/>
      <c r="O283" s="210"/>
      <c r="P283" s="210"/>
      <c r="Q283" s="210"/>
      <c r="R283" s="210"/>
      <c r="S283" s="210"/>
      <c r="T283" s="210"/>
      <c r="U283" s="210"/>
      <c r="V283" s="210"/>
      <c r="W283" s="210"/>
      <c r="X283" s="210"/>
      <c r="Y283" s="210"/>
      <c r="Z283" s="210"/>
      <c r="AA283" s="219"/>
      <c r="AB283" s="219"/>
      <c r="AC283" s="210"/>
      <c r="AD283" s="210"/>
      <c r="AE283" s="210"/>
      <c r="AF283" s="210"/>
      <c r="AG283" s="210"/>
      <c r="AH283" s="210"/>
      <c r="AI283" s="210"/>
      <c r="AJ283" s="210"/>
      <c r="AK283" s="210"/>
      <c r="AL283" s="210"/>
      <c r="AM283" s="210"/>
      <c r="AN283" s="210"/>
      <c r="AO283" s="210"/>
      <c r="AP283" s="210"/>
      <c r="AQ283" s="210"/>
      <c r="AR283"/>
      <c r="AS283"/>
      <c r="BL283"/>
      <c r="BP283"/>
      <c r="BQ283"/>
      <c r="BR283"/>
      <c r="CD283"/>
      <c r="CE283"/>
      <c r="CF283"/>
      <c r="CQ283"/>
      <c r="CR283"/>
      <c r="CS283"/>
      <c r="DS283"/>
      <c r="DT283"/>
      <c r="DU283"/>
    </row>
    <row r="284" spans="1:125" hidden="1">
      <c r="A284" s="15">
        <f t="shared" si="31"/>
        <v>0</v>
      </c>
      <c r="B284" t="str">
        <f t="shared" si="32"/>
        <v/>
      </c>
      <c r="C284" t="str">
        <f>IFERROR(IF(INDEX('M04-S09'!$BL$18:$BL$199,2*(ROWS($C$278:C284)-1)+1)="","",INDEX('M04-S09'!$BL$18:$BL$199,2*(ROWS($C$278:C284)-1)+1)),"")</f>
        <v/>
      </c>
      <c r="D284" t="s">
        <v>135</v>
      </c>
      <c r="E284" s="210"/>
      <c r="F284" s="210"/>
      <c r="G284" s="194"/>
      <c r="H284" s="14" t="str">
        <f ca="1">IFERROR(ROUND(IF(AC284&lt;&gt;"","",INDEX('M04-S09'!$AH$18:$AH$199,2*(ROWS(H$278:H284)-1)+1)),2),"")</f>
        <v/>
      </c>
      <c r="I284" s="14" t="str">
        <f ca="1">IFERROR(ROUND(IF(AC284&lt;&gt;"","",INDEX('M04-S09'!$AJ$18:$AJ$199,2*(ROWS(I$278:I284)-1)+1)),2),"")</f>
        <v/>
      </c>
      <c r="J284" s="14" t="str">
        <f ca="1">IFERROR(ROUND(IF(AC284&lt;&gt;"","",INDEX('M04-S09'!$AL$18:$AL$199,2*(ROWS(J$278:J284)-1)+1)),2),"")</f>
        <v/>
      </c>
      <c r="K284" t="str">
        <f ca="1">IFERROR(IF(AC284&lt;&gt;"","",INDEX('M04-S09'!$AF$26:$AF$199,2*(ROWS(J$278:J284)-1)+1)),"")</f>
        <v/>
      </c>
      <c r="L284" s="10" t="str">
        <f ca="1">IFERROR(IF(AC284&lt;&gt;"","",ROUND(INDEX('M04-S09'!$BA$18:$BA$199,2*(ROWS(L$278:L284)-1)+1),3)),"")</f>
        <v/>
      </c>
      <c r="M284" s="10" t="str">
        <f ca="1">IFERROR(IF(AC284&lt;&gt;"","",ROUND(INDEX('M04-S09'!$BB$18:$BB$199,2*(ROWS(M$278:M284)-1)+1),3)),"")</f>
        <v/>
      </c>
      <c r="N284" s="210"/>
      <c r="O284" s="31" t="str">
        <f ca="1">IFERROR(IF(AC284&lt;&gt;"","",INDEX('M04-S09'!$AO$18:$AO$199,2*(ROWS(O$278:O284)-1)+1)),"")</f>
        <v/>
      </c>
      <c r="P284" s="210"/>
      <c r="Q284" s="37" t="str">
        <f ca="1">IFERROR(IF(AC284&lt;&gt;"","",INDEX('M04-S09'!$BG$18:$BG$199,2*(ROWS(Q$278:Q284)-1)+1)),"")</f>
        <v/>
      </c>
      <c r="R284" s="14" t="str">
        <f ca="1">IFERROR(IF(AC284&lt;&gt;"","",INDEX('M04-S09'!$AR$18:$AR$199,2*(ROWS(R$278:R284)-1)+1)),"")</f>
        <v/>
      </c>
      <c r="S284" s="14">
        <f ca="1">IFERROR(ROUND(IF(AC284&lt;&gt;"",INDEX('M04-S09'!$AH$18:$AH$199,2*(ROWS(S$278:S284)-1)+1),""),2),"")</f>
        <v>0</v>
      </c>
      <c r="T284" s="14">
        <f ca="1">IFERROR(ROUND(IF(AC284&lt;&gt;"",INDEX('M04-S09'!$AJ$18:$AJ$199,2*(ROWS(T$278:T284)-1)+1),""),2),"")</f>
        <v>0</v>
      </c>
      <c r="U284" s="14" t="str">
        <f ca="1">IFERROR(ROUND(IF(AC284&lt;&gt;"",INDEX('M04-S09'!$AL$18:$AL$199,2*(ROWS(U$278:U284)-1)+1),""),2),"")</f>
        <v/>
      </c>
      <c r="V284">
        <f ca="1">IFERROR(IF(AC284&lt;&gt;"",INDEX('M04-S09'!$AF$26:$AF$199,2*(ROWS(V$278:V284)-1)+1),""),"")</f>
        <v>0</v>
      </c>
      <c r="W284" s="10" t="str">
        <f ca="1">IFERROR(IF(AC284&lt;&gt;"",ROUND(INDEX('M04-S09'!$BA$18:$BA$199,2*(ROWS(W$278:W284)-1)+1),3),""),"")</f>
        <v/>
      </c>
      <c r="X284" s="10" t="str">
        <f ca="1">IFERROR(IF(AC284&lt;&gt;"",ROUND(INDEX('M04-S09'!$BB$18:$BB$199,2*(ROWS(X$278:X284)-1)+1),3),""),"")</f>
        <v/>
      </c>
      <c r="Y284" s="210"/>
      <c r="Z284" s="31" t="str">
        <f ca="1">IFERROR(IF(AC284&lt;&gt;"",INDEX('M04-S09'!$AO$18:$AO$199,2*(ROWS(Z$278:Z284)-1)+1),""),"")</f>
        <v/>
      </c>
      <c r="AA284" s="219"/>
      <c r="AB284" s="37">
        <f ca="1">IFERROR(IF(AC284&lt;&gt;"",INDEX('M04-S09'!$BG$18:$BG$199,2*(ROWS(AB$278:AB284)-1)+1),""),"")</f>
        <v>0</v>
      </c>
      <c r="AC284" t="str">
        <f ca="1">IFERROR(INDEX('M04-S09'!$BN$18:$BN$199,2*(ROWS(AC$278:AC284)-1)+1),"")</f>
        <v>Submit for Review</v>
      </c>
      <c r="AD284" s="37" t="str" cm="1">
        <f t="array" ref="AD284">IFERROR(INDEX('M04-S09'!$BC$18:$BC$199,2*(ROWS(AD$278:AD284)-1)+1),"")</f>
        <v/>
      </c>
      <c r="AE284" s="37" t="str" cm="1">
        <f t="array" ref="AE284">IFERROR(INDEX('M04-S09'!$BD$18:$BD$199,2*(ROWS(AE$278:AE284)-1)+1),"")</f>
        <v/>
      </c>
      <c r="AF284" s="210"/>
      <c r="AG284" s="210"/>
      <c r="AH284" s="210"/>
      <c r="AI284">
        <f>IFERROR(INDEX('M04-S09'!$B$18:$B$199,2*(ROWS(AI$278:AI284)-1)+1),"")</f>
        <v>1</v>
      </c>
      <c r="AJ284" s="194"/>
      <c r="AK284">
        <f>IFERROR(INDEX('M04-S09'!$H$18:$H$199,2*(ROWS(AK$278:AK284)-1)+1),"")</f>
        <v>0</v>
      </c>
      <c r="AL284">
        <f>IFERROR(INDEX('M04-S09'!$N$18:$N$199,2*(ROWS(AL$278:AL284)-1)+1),"")</f>
        <v>0</v>
      </c>
      <c r="AM284">
        <f>IFERROR(INDEX('M04-S09'!$W$18:$W$199,2*(ROWS(AM$278:AM284)-1)+1),"")</f>
        <v>0</v>
      </c>
      <c r="AN284" s="14" t="str">
        <f>IFERROR(INDEX('M04-S09'!$AX$18:$AX$199,2*(ROWS(AN$278:AN284)-1)+1),"")</f>
        <v/>
      </c>
      <c r="AO284" s="14" t="str">
        <f>IFERROR(INDEX('M04-S09'!$AY$18:$AY$199,2*(ROWS(AO$278:AO284)-1)+1),"")</f>
        <v/>
      </c>
      <c r="AP284" t="str">
        <f>IFERROR(INDEX('M04-S09'!$AZ$18:$AZ$199,2*(ROWS(AP$278:AP284)-1)+1),"")</f>
        <v/>
      </c>
      <c r="AQ284" t="str">
        <f>IFERROR(INDEX('M04-S09'!$BE$18:$BE$199,2*(ROWS(AQ$278:AQ284)-1)+1),"")</f>
        <v/>
      </c>
      <c r="AR284" t="s">
        <v>1254</v>
      </c>
      <c r="AS284"/>
      <c r="BL284"/>
      <c r="BP284"/>
      <c r="BQ284"/>
      <c r="BR284"/>
      <c r="CD284"/>
      <c r="CE284"/>
      <c r="CF284"/>
      <c r="CQ284"/>
      <c r="CR284"/>
      <c r="CS284"/>
      <c r="DS284"/>
      <c r="DT284"/>
      <c r="DU284"/>
    </row>
    <row r="285" spans="1:125" hidden="1">
      <c r="A285" s="210"/>
      <c r="B285" s="210"/>
      <c r="C285" s="210"/>
      <c r="D285" s="210"/>
      <c r="E285" s="210"/>
      <c r="F285" s="210"/>
      <c r="G285" s="210"/>
      <c r="H285" s="210"/>
      <c r="I285" s="210"/>
      <c r="J285" s="210"/>
      <c r="K285" s="210"/>
      <c r="L285" s="210"/>
      <c r="M285" s="210"/>
      <c r="N285" s="210"/>
      <c r="O285" s="210"/>
      <c r="P285" s="210"/>
      <c r="Q285" s="210"/>
      <c r="R285" s="210"/>
      <c r="S285" s="210"/>
      <c r="T285" s="210"/>
      <c r="U285" s="210"/>
      <c r="V285" s="210"/>
      <c r="W285" s="210"/>
      <c r="X285" s="210"/>
      <c r="Y285" s="210"/>
      <c r="Z285" s="210"/>
      <c r="AA285" s="219"/>
      <c r="AB285" s="210"/>
      <c r="AC285" s="210"/>
      <c r="AD285" s="219"/>
      <c r="AE285" s="219"/>
      <c r="AF285" s="210"/>
      <c r="AG285" s="210"/>
      <c r="AH285" s="210"/>
      <c r="AI285" s="210"/>
      <c r="AJ285" s="210"/>
      <c r="AK285" s="210"/>
      <c r="AL285" s="210"/>
      <c r="AM285" s="210"/>
      <c r="AN285" s="210"/>
      <c r="AO285" s="210"/>
      <c r="AP285" s="210"/>
      <c r="AQ285" s="210"/>
      <c r="AR285"/>
      <c r="AS285"/>
      <c r="BL285"/>
      <c r="BP285"/>
      <c r="BQ285"/>
      <c r="BR285"/>
      <c r="CD285"/>
      <c r="CE285"/>
      <c r="CF285"/>
      <c r="CQ285"/>
      <c r="CR285"/>
      <c r="CS285"/>
      <c r="DS285"/>
      <c r="DT285"/>
      <c r="DU285"/>
    </row>
    <row r="286" spans="1:125" hidden="1">
      <c r="A286" s="210"/>
      <c r="B286" s="210"/>
      <c r="C286" s="210"/>
      <c r="D286" s="210"/>
      <c r="E286" s="210"/>
      <c r="F286" s="210"/>
      <c r="G286" s="210"/>
      <c r="H286" s="210"/>
      <c r="I286" s="210"/>
      <c r="J286" s="210"/>
      <c r="K286" s="210"/>
      <c r="L286" s="210"/>
      <c r="M286" s="210"/>
      <c r="N286" s="210"/>
      <c r="O286" s="210"/>
      <c r="P286" s="210"/>
      <c r="Q286" s="210"/>
      <c r="R286" s="210"/>
      <c r="S286" s="210"/>
      <c r="T286" s="210"/>
      <c r="U286" s="210"/>
      <c r="V286" s="210"/>
      <c r="W286" s="210"/>
      <c r="X286" s="210"/>
      <c r="Y286" s="210"/>
      <c r="Z286" s="210"/>
      <c r="AA286" s="219"/>
      <c r="AB286" s="210"/>
      <c r="AC286" s="210"/>
      <c r="AD286" s="219"/>
      <c r="AE286" s="219"/>
      <c r="AF286" s="210"/>
      <c r="AG286" s="210"/>
      <c r="AH286" s="210"/>
      <c r="AI286" s="210"/>
      <c r="AJ286" s="210"/>
      <c r="AK286" s="210"/>
      <c r="AL286" s="210"/>
      <c r="AM286" s="210"/>
      <c r="AN286" s="210"/>
      <c r="AO286" s="210"/>
      <c r="AP286" s="210"/>
      <c r="AQ286" s="210"/>
      <c r="AR286"/>
      <c r="AS286"/>
      <c r="BL286"/>
      <c r="BP286"/>
      <c r="BQ286"/>
      <c r="BR286"/>
      <c r="CD286"/>
      <c r="CE286"/>
      <c r="CF286"/>
      <c r="CQ286"/>
      <c r="CR286"/>
      <c r="CS286"/>
      <c r="DS286"/>
      <c r="DT286"/>
      <c r="DU286"/>
    </row>
    <row r="287" spans="1:125" hidden="1">
      <c r="A287" s="15">
        <f t="shared" ref="A287" si="33">PROJID</f>
        <v>0</v>
      </c>
      <c r="B287" t="str">
        <f t="shared" ref="B287" si="34">IF(C287="","",CONCATENATE(ROW(),"-",C287))</f>
        <v/>
      </c>
      <c r="C287" t="str">
        <f>IFERROR(IF(INDEX('M04-S09'!$BL$18:$BL$199,2*(ROWS($C$278:C287)-1)+1)="","",INDEX('M04-S09'!$BL$18:$BL$199,2*(ROWS($C$278:C287)-1)+1)),"")</f>
        <v/>
      </c>
      <c r="D287" t="s">
        <v>135</v>
      </c>
      <c r="E287" t="str">
        <f>IFERROR(INDEX('M04-S09'!$BF$18:$BF$199,2*(ROWS(E$278:E287)-1)+1),"")</f>
        <v/>
      </c>
      <c r="F287" s="210"/>
      <c r="G287" s="194"/>
      <c r="H287" s="14" t="str">
        <f ca="1">IFERROR(ROUND(IF(AC287&lt;&gt;"","",INDEX('M04-S09'!$AH$18:$AH$199,2*(ROWS(H$278:H287)-1)+1)),2),"")</f>
        <v/>
      </c>
      <c r="I287" s="14" t="str">
        <f ca="1">IFERROR(ROUND(IF(AC287&lt;&gt;"","",INDEX('M04-S09'!$AJ$18:$AJ$199,2*(ROWS(I$278:I287)-1)+1)),2),"")</f>
        <v/>
      </c>
      <c r="J287" s="14" t="str">
        <f ca="1">IFERROR(ROUND(IF(AC287&lt;&gt;"","",INDEX('M04-S09'!$AL$18:$AL$199,2*(ROWS(J$278:J287)-1)+1)),2),"")</f>
        <v/>
      </c>
      <c r="K287" t="str">
        <f ca="1">IFERROR(IF(AC287&lt;&gt;"","",INDEX('M04-S09'!$AF$26:$AF$199,2*(ROWS(J$278:J287)-1)+1)),"")</f>
        <v/>
      </c>
      <c r="L287" s="10" t="str">
        <f ca="1">IFERROR(IF(AC287&lt;&gt;"","",ROUND(INDEX('M04-S09'!$BA$18:$BA$199,2*(ROWS(L$278:L287)-1)+1),3)),"")</f>
        <v/>
      </c>
      <c r="M287" s="10" t="str">
        <f ca="1">IFERROR(IF(AC287&lt;&gt;"","",ROUND(INDEX('M04-S09'!$BB$18:$BB$199,2*(ROWS(M$278:M287)-1)+1),3)),"")</f>
        <v/>
      </c>
      <c r="N287" s="210"/>
      <c r="O287" s="31" t="str">
        <f ca="1">IFERROR(IF(AC287&lt;&gt;"","",INDEX('M04-S09'!$AO$18:$AO$199,2*(ROWS(O$278:O287)-1)+1)),"")</f>
        <v/>
      </c>
      <c r="P287" s="37" t="str">
        <f ca="1">IFERROR(IF(AC287&lt;&gt;"","",INDEX('M04-S09'!$BH$18:$BH$199,2*(ROWS(P$278:P287)-1)+1)),"")</f>
        <v/>
      </c>
      <c r="Q287" s="37" t="str">
        <f ca="1">IFERROR(IF(AC287&lt;&gt;"","",INDEX('M04-S09'!$BG$18:$BG$199,2*(ROWS(Q$278:Q287)-1)+1)),"")</f>
        <v/>
      </c>
      <c r="R287" s="14" t="str">
        <f ca="1">IFERROR(IF(AC287&lt;&gt;"","",INDEX('M04-S09'!$AR$18:$AR$199,2*(ROWS(R$278:R287)-1)+1)),"")</f>
        <v/>
      </c>
      <c r="S287" s="14">
        <f ca="1">IFERROR(ROUND(IF(AC287&lt;&gt;"",INDEX('M04-S09'!$AH$18:$AH$199,2*(ROWS(S$278:S287)-1)+1),""),2),"")</f>
        <v>0</v>
      </c>
      <c r="T287" s="14" t="str">
        <f ca="1">IFERROR(ROUND(IF(AC287&lt;&gt;"",INDEX('M04-S09'!$AJ$18:$AJ$199,2*(ROWS(T$278:T287)-1)+1),""),2),"")</f>
        <v/>
      </c>
      <c r="U287" s="14" t="str">
        <f ca="1">IFERROR(ROUND(IF(AC287&lt;&gt;"",INDEX('M04-S09'!$AL$18:$AL$199,2*(ROWS(U$278:U287)-1)+1),""),2),"")</f>
        <v/>
      </c>
      <c r="V287">
        <f ca="1">IFERROR(IF(AC287&lt;&gt;"",INDEX('M04-S09'!$AF$26:$AF$199,2*(ROWS(V$278:V287)-1)+1),""),"")</f>
        <v>0</v>
      </c>
      <c r="W287" s="10">
        <f ca="1">IFERROR(IF(AC287&lt;&gt;"",ROUND(INDEX('M04-S09'!$BA$18:$BA$199,2*(ROWS(W$278:W287)-1)+1),3),""),"")</f>
        <v>0</v>
      </c>
      <c r="X287" s="10">
        <f ca="1">IFERROR(IF(AC287&lt;&gt;"",ROUND(INDEX('M04-S09'!$BB$18:$BB$199,2*(ROWS(X$278:X287)-1)+1),3),""),"")</f>
        <v>0</v>
      </c>
      <c r="Y287" s="210"/>
      <c r="Z287" s="31" t="str">
        <f ca="1">IFERROR(IF(AC287&lt;&gt;"",INDEX('M04-S09'!$AO$18:$AO$199,2*(ROWS(Z$278:Z287)-1)+1),""),"")</f>
        <v/>
      </c>
      <c r="AA287" s="37">
        <f ca="1">IFERROR(IF(AC287&lt;&gt;"",INDEX('M04-S09'!$BH$18:$BH$199,2*(ROWS(AA$278:AA287)-1)+1),""),"")</f>
        <v>0</v>
      </c>
      <c r="AB287" s="37" t="str">
        <f ca="1">IFERROR(IF(AC287&lt;&gt;"",INDEX('M04-S09'!$BG$18:$BG$199,2*(ROWS(AB$278:AB287)-1)+1),""),"")</f>
        <v/>
      </c>
      <c r="AC287" t="str">
        <f ca="1">IFERROR(INDEX('M04-S09'!$BN$18:$BN$199,2*(ROWS(AC$278:AC287)-1)+1),"")</f>
        <v>Submit for Review</v>
      </c>
      <c r="AD287" s="37" t="str" cm="1">
        <f t="array" ref="AD287">IFERROR(INDEX('M04-S09'!$BC$18:$BC$199,2*(ROWS(AD$278:AD287)-1)+1),"")</f>
        <v/>
      </c>
      <c r="AE287" s="37" t="str" cm="1">
        <f t="array" ref="AE287">IFERROR(INDEX('M04-S09'!$BD$18:$BD$199,2*(ROWS(AE$278:AE287)-1)+1),"")</f>
        <v/>
      </c>
      <c r="AF287" s="210"/>
      <c r="AG287" s="210"/>
      <c r="AH287" s="210"/>
      <c r="AI287">
        <f>IFERROR(INDEX('M04-S09'!$B$18:$B$199,2*(ROWS(AI$278:AI287)-1)+1),"")</f>
        <v>1</v>
      </c>
      <c r="AJ287" s="194"/>
      <c r="AK287">
        <f>IFERROR(INDEX('M04-S09'!$H$18:$H$199,2*(ROWS(AK$278:AK287)-1)+1),"")</f>
        <v>0</v>
      </c>
      <c r="AL287">
        <f>IFERROR(INDEX('M04-S09'!$N$18:$N$199,2*(ROWS(AL$278:AL287)-1)+1),"")</f>
        <v>0</v>
      </c>
      <c r="AM287">
        <f>IFERROR(INDEX('M04-S09'!$W$26:$W$199,2*(ROWS(AM$278:AM287)-1)+1),"")</f>
        <v>0</v>
      </c>
      <c r="AN287" s="14" t="str">
        <f>IFERROR(INDEX('M04-S09'!$AX$18:$AX$199,2*(ROWS(AN$278:AN287)-1)+1),"")</f>
        <v/>
      </c>
      <c r="AO287" s="14" t="str">
        <f>IFERROR(INDEX('M04-S09'!$AY$18:$AY$199,2*(ROWS(AO$278:AO287)-1)+1),"")</f>
        <v/>
      </c>
      <c r="AP287" t="str">
        <f>IFERROR(INDEX('M04-S09'!$AZ$18:$AZ$199,2*(ROWS(AP$278:AP287)-1)+1),"")</f>
        <v/>
      </c>
      <c r="AQ287" t="str">
        <f>IFERROR(INDEX('M04-S09'!$BE$18:$BE$199,2*(ROWS(AQ$278:AQ287)-1)+1),"")</f>
        <v/>
      </c>
      <c r="AR287" t="s">
        <v>1254</v>
      </c>
      <c r="AS287"/>
      <c r="BL287"/>
      <c r="BP287"/>
      <c r="BQ287"/>
      <c r="BR287"/>
      <c r="CD287"/>
      <c r="CE287"/>
      <c r="CF287"/>
      <c r="CQ287"/>
      <c r="CR287"/>
      <c r="CS287"/>
      <c r="DS287"/>
      <c r="DT287"/>
      <c r="DU287"/>
    </row>
    <row r="288" spans="1:125" hidden="1">
      <c r="A288" s="210"/>
      <c r="B288" s="210"/>
      <c r="C288" s="210"/>
      <c r="D288" s="210"/>
      <c r="E288" s="210"/>
      <c r="F288" s="210"/>
      <c r="G288" s="210"/>
      <c r="H288" s="210"/>
      <c r="I288" s="210"/>
      <c r="J288" s="210"/>
      <c r="K288" s="210"/>
      <c r="L288" s="210"/>
      <c r="M288" s="210"/>
      <c r="N288" s="210"/>
      <c r="O288" s="210"/>
      <c r="P288" s="210"/>
      <c r="Q288" s="210"/>
      <c r="R288" s="210"/>
      <c r="S288" s="210"/>
      <c r="T288" s="210"/>
      <c r="U288" s="210"/>
      <c r="V288" s="210"/>
      <c r="W288" s="210"/>
      <c r="X288" s="210"/>
      <c r="Y288" s="210"/>
      <c r="Z288" s="210"/>
      <c r="AA288" s="219"/>
      <c r="AB288" s="210"/>
      <c r="AC288" s="210"/>
      <c r="AD288" s="219"/>
      <c r="AE288" s="219"/>
      <c r="AF288" s="210"/>
      <c r="AG288" s="210"/>
      <c r="AH288" s="210"/>
      <c r="AI288" s="210"/>
      <c r="AJ288" s="210"/>
      <c r="AK288" s="210"/>
      <c r="AL288" s="210"/>
      <c r="AM288" s="210"/>
      <c r="AN288" s="210"/>
      <c r="AO288" s="210"/>
      <c r="AP288" s="210"/>
      <c r="AQ288" s="210"/>
      <c r="AR288"/>
      <c r="AS288"/>
      <c r="BL288"/>
      <c r="BP288"/>
      <c r="BQ288"/>
      <c r="BR288"/>
      <c r="CD288"/>
      <c r="CE288"/>
      <c r="CF288"/>
      <c r="CQ288"/>
      <c r="CR288"/>
      <c r="CS288"/>
      <c r="DS288"/>
      <c r="DT288"/>
      <c r="DU288"/>
    </row>
    <row r="289" spans="1:125" hidden="1">
      <c r="A289" s="210"/>
      <c r="B289" s="210"/>
      <c r="C289" s="210"/>
      <c r="D289" s="210"/>
      <c r="E289" s="210"/>
      <c r="F289" s="210"/>
      <c r="G289" s="210"/>
      <c r="H289" s="210"/>
      <c r="I289" s="210"/>
      <c r="J289" s="210"/>
      <c r="K289" s="210"/>
      <c r="L289" s="210"/>
      <c r="M289" s="210"/>
      <c r="N289" s="210"/>
      <c r="O289" s="210"/>
      <c r="P289" s="210"/>
      <c r="Q289" s="210"/>
      <c r="R289" s="210"/>
      <c r="S289" s="210"/>
      <c r="T289" s="210"/>
      <c r="U289" s="210"/>
      <c r="V289" s="210"/>
      <c r="W289" s="210"/>
      <c r="X289" s="210"/>
      <c r="Y289" s="210"/>
      <c r="Z289" s="210"/>
      <c r="AA289" s="219"/>
      <c r="AB289" s="210"/>
      <c r="AC289" s="210"/>
      <c r="AD289" s="219"/>
      <c r="AE289" s="219"/>
      <c r="AF289" s="210"/>
      <c r="AG289" s="210"/>
      <c r="AH289" s="210"/>
      <c r="AI289" s="210"/>
      <c r="AJ289" s="210"/>
      <c r="AK289" s="210"/>
      <c r="AL289" s="210"/>
      <c r="AM289" s="210"/>
      <c r="AN289" s="210"/>
      <c r="AO289" s="210"/>
      <c r="AP289" s="210"/>
      <c r="AQ289" s="210"/>
      <c r="AR289"/>
      <c r="AS289"/>
      <c r="BL289"/>
      <c r="BP289"/>
      <c r="BQ289"/>
      <c r="BR289"/>
      <c r="CD289"/>
      <c r="CE289"/>
      <c r="CF289"/>
      <c r="CQ289"/>
      <c r="CR289"/>
      <c r="CS289"/>
      <c r="DS289"/>
      <c r="DT289"/>
      <c r="DU289"/>
    </row>
    <row r="290" spans="1:125" hidden="1">
      <c r="A290" s="210"/>
      <c r="B290" s="210"/>
      <c r="C290" s="210"/>
      <c r="D290" s="210"/>
      <c r="E290" s="210"/>
      <c r="F290" s="210"/>
      <c r="G290" s="210"/>
      <c r="H290" s="210"/>
      <c r="I290" s="210"/>
      <c r="J290" s="210"/>
      <c r="K290" s="210"/>
      <c r="L290" s="210"/>
      <c r="M290" s="210"/>
      <c r="N290" s="210"/>
      <c r="O290" s="210"/>
      <c r="P290" s="210"/>
      <c r="Q290" s="210"/>
      <c r="R290" s="210"/>
      <c r="S290" s="210"/>
      <c r="T290" s="210"/>
      <c r="U290" s="210"/>
      <c r="V290" s="210"/>
      <c r="W290" s="210"/>
      <c r="X290" s="210"/>
      <c r="Y290" s="210"/>
      <c r="Z290" s="210"/>
      <c r="AA290" s="219"/>
      <c r="AB290" s="210"/>
      <c r="AC290" s="210"/>
      <c r="AD290" s="219"/>
      <c r="AE290" s="219"/>
      <c r="AF290" s="210"/>
      <c r="AG290" s="210"/>
      <c r="AH290" s="210"/>
      <c r="AI290" s="210"/>
      <c r="AJ290" s="210"/>
      <c r="AK290" s="210"/>
      <c r="AL290" s="210"/>
      <c r="AM290" s="210"/>
      <c r="AN290" s="210"/>
      <c r="AO290" s="210"/>
      <c r="AP290" s="210"/>
      <c r="AQ290" s="210"/>
      <c r="AR290"/>
      <c r="AS290"/>
      <c r="BL290"/>
      <c r="BP290"/>
      <c r="BQ290"/>
      <c r="BR290"/>
      <c r="CD290"/>
      <c r="CE290"/>
      <c r="CF290"/>
      <c r="CQ290"/>
      <c r="CR290"/>
      <c r="CS290"/>
      <c r="DS290"/>
      <c r="DT290"/>
      <c r="DU290"/>
    </row>
    <row r="291" spans="1:125" hidden="1">
      <c r="A291" s="210"/>
      <c r="B291" s="210"/>
      <c r="C291" s="210"/>
      <c r="D291" s="210"/>
      <c r="E291" s="210"/>
      <c r="F291" s="210"/>
      <c r="G291" s="210"/>
      <c r="H291" s="210"/>
      <c r="I291" s="210"/>
      <c r="J291" s="210"/>
      <c r="K291" s="210"/>
      <c r="L291" s="210"/>
      <c r="M291" s="210"/>
      <c r="N291" s="210"/>
      <c r="O291" s="210"/>
      <c r="P291" s="210"/>
      <c r="Q291" s="210"/>
      <c r="R291" s="210"/>
      <c r="S291" s="210"/>
      <c r="T291" s="210"/>
      <c r="U291" s="210"/>
      <c r="V291" s="210"/>
      <c r="W291" s="210"/>
      <c r="X291" s="210"/>
      <c r="Y291" s="210"/>
      <c r="Z291" s="210"/>
      <c r="AA291" s="219"/>
      <c r="AB291" s="210"/>
      <c r="AC291" s="210"/>
      <c r="AD291" s="219"/>
      <c r="AE291" s="219"/>
      <c r="AF291" s="210"/>
      <c r="AG291" s="210"/>
      <c r="AH291" s="210"/>
      <c r="AI291" s="210"/>
      <c r="AJ291" s="210"/>
      <c r="AK291" s="210"/>
      <c r="AL291" s="210"/>
      <c r="AM291" s="210"/>
      <c r="AN291" s="210"/>
      <c r="AO291" s="210"/>
      <c r="AP291" s="210"/>
      <c r="AQ291" s="210"/>
      <c r="AR291"/>
      <c r="AS291"/>
      <c r="BL291"/>
      <c r="BP291"/>
      <c r="BQ291"/>
      <c r="BR291"/>
      <c r="CD291"/>
      <c r="CE291"/>
      <c r="CF291"/>
      <c r="CQ291"/>
      <c r="CR291"/>
      <c r="CS291"/>
      <c r="DS291"/>
      <c r="DT291"/>
      <c r="DU291"/>
    </row>
    <row r="292" spans="1:125" hidden="1">
      <c r="A292" s="210"/>
      <c r="B292" s="210"/>
      <c r="C292" s="210"/>
      <c r="D292" s="210"/>
      <c r="E292" s="210"/>
      <c r="F292" s="210"/>
      <c r="G292" s="210"/>
      <c r="H292" s="210"/>
      <c r="I292" s="210"/>
      <c r="J292" s="210"/>
      <c r="K292" s="210"/>
      <c r="L292" s="210"/>
      <c r="M292" s="210"/>
      <c r="N292" s="210"/>
      <c r="O292" s="210"/>
      <c r="P292" s="210"/>
      <c r="Q292" s="210"/>
      <c r="R292" s="210"/>
      <c r="S292" s="210"/>
      <c r="T292" s="210"/>
      <c r="U292" s="210"/>
      <c r="V292" s="210"/>
      <c r="W292" s="210"/>
      <c r="X292" s="210"/>
      <c r="Y292" s="210"/>
      <c r="Z292" s="210"/>
      <c r="AA292" s="219"/>
      <c r="AB292" s="210"/>
      <c r="AC292" s="210"/>
      <c r="AD292" s="219"/>
      <c r="AE292" s="219"/>
      <c r="AF292" s="210"/>
      <c r="AG292" s="210"/>
      <c r="AH292" s="210"/>
      <c r="AI292" s="210"/>
      <c r="AJ292" s="210"/>
      <c r="AK292" s="210"/>
      <c r="AL292" s="210"/>
      <c r="AM292" s="210"/>
      <c r="AN292" s="210"/>
      <c r="AO292" s="210"/>
      <c r="AP292" s="210"/>
      <c r="AQ292" s="210"/>
      <c r="AR292"/>
      <c r="AS292"/>
      <c r="BL292"/>
      <c r="BP292"/>
      <c r="BQ292"/>
      <c r="BR292"/>
      <c r="CD292"/>
      <c r="CE292"/>
      <c r="CF292"/>
      <c r="CQ292"/>
      <c r="CR292"/>
      <c r="CS292"/>
      <c r="DS292"/>
      <c r="DT292"/>
      <c r="DU292"/>
    </row>
    <row r="293" spans="1:125" hidden="1">
      <c r="A293" s="36"/>
      <c r="B293" s="36"/>
      <c r="C293" s="36"/>
      <c r="D293" s="36"/>
      <c r="E293" s="36"/>
      <c r="F293" s="211"/>
      <c r="G293" s="36"/>
      <c r="H293" s="206"/>
      <c r="I293" s="206"/>
      <c r="J293" s="206"/>
      <c r="K293" s="36"/>
      <c r="L293" s="214"/>
      <c r="M293" s="214"/>
      <c r="N293" s="211"/>
      <c r="O293" s="211"/>
      <c r="P293" s="217"/>
      <c r="Q293" s="217"/>
      <c r="R293" s="206"/>
      <c r="S293" s="206"/>
      <c r="T293" s="206"/>
      <c r="U293" s="206"/>
      <c r="V293" s="36"/>
      <c r="W293" s="214"/>
      <c r="X293" s="214"/>
      <c r="Y293" s="211"/>
      <c r="Z293" s="211"/>
      <c r="AA293" s="217"/>
      <c r="AB293" s="217"/>
      <c r="AC293" s="36"/>
      <c r="AD293" s="217"/>
      <c r="AE293" s="217"/>
      <c r="AF293" s="211"/>
      <c r="AG293" s="211"/>
      <c r="AH293" s="211"/>
      <c r="AI293" s="36"/>
      <c r="AJ293" s="36"/>
      <c r="AK293" s="109"/>
      <c r="AL293" s="36"/>
      <c r="AM293" s="36"/>
      <c r="AN293" s="206"/>
      <c r="AO293" s="206"/>
      <c r="AP293" s="36"/>
      <c r="AQ293" s="36"/>
      <c r="AR293" s="36"/>
      <c r="AS293" s="36"/>
      <c r="AT293" s="36"/>
      <c r="BL293"/>
      <c r="BP293"/>
      <c r="BQ293"/>
      <c r="BR293"/>
      <c r="CD293"/>
      <c r="CE293"/>
      <c r="CF293"/>
      <c r="CQ293"/>
      <c r="CR293"/>
      <c r="CS293"/>
      <c r="DS293"/>
      <c r="DT293"/>
      <c r="DU293"/>
    </row>
    <row r="294" spans="1:125" hidden="1">
      <c r="A294"/>
      <c r="AJ294"/>
      <c r="AK294"/>
      <c r="AR294"/>
      <c r="AS294"/>
      <c r="AT294"/>
      <c r="AU294"/>
      <c r="AV294"/>
      <c r="AW294"/>
      <c r="AX294"/>
      <c r="AY294"/>
      <c r="AZ294"/>
      <c r="BA294"/>
      <c r="BB294"/>
      <c r="BC294"/>
      <c r="BD294"/>
      <c r="BE294"/>
      <c r="BL294"/>
      <c r="BP294"/>
      <c r="BQ294"/>
      <c r="BR294"/>
      <c r="CD294"/>
      <c r="CE294"/>
      <c r="CF294"/>
      <c r="CQ294"/>
      <c r="CR294"/>
      <c r="CS294"/>
      <c r="DS294"/>
      <c r="DT294"/>
      <c r="DU294"/>
    </row>
    <row r="295" spans="1:125" hidden="1">
      <c r="A295"/>
      <c r="AJ295"/>
      <c r="AK295"/>
      <c r="AR295"/>
      <c r="AS295"/>
      <c r="AT295"/>
      <c r="AU295"/>
      <c r="AV295"/>
      <c r="AW295"/>
      <c r="AX295"/>
      <c r="AY295"/>
      <c r="AZ295"/>
      <c r="BA295"/>
      <c r="BB295"/>
      <c r="BC295"/>
      <c r="BD295"/>
      <c r="BE295"/>
      <c r="BL295"/>
      <c r="BP295"/>
      <c r="BQ295"/>
      <c r="BR295"/>
      <c r="CD295"/>
      <c r="CE295"/>
      <c r="CF295"/>
      <c r="CQ295"/>
      <c r="CR295"/>
      <c r="CS295"/>
      <c r="DS295"/>
      <c r="DT295"/>
      <c r="DU295"/>
    </row>
    <row r="296" spans="1:125" hidden="1">
      <c r="A296"/>
      <c r="AJ296"/>
      <c r="AK296"/>
      <c r="AR296"/>
      <c r="AS296"/>
      <c r="AT296"/>
      <c r="AU296"/>
      <c r="AV296"/>
      <c r="AW296"/>
      <c r="AX296"/>
      <c r="AY296"/>
      <c r="AZ296"/>
      <c r="BA296"/>
      <c r="BB296"/>
      <c r="BC296"/>
      <c r="BD296"/>
      <c r="BE296"/>
      <c r="BL296"/>
      <c r="BP296"/>
      <c r="BQ296"/>
      <c r="BR296"/>
      <c r="CD296"/>
      <c r="CE296"/>
      <c r="CF296"/>
      <c r="CQ296"/>
      <c r="CR296"/>
      <c r="CS296"/>
      <c r="DS296"/>
      <c r="DT296"/>
      <c r="DU296"/>
    </row>
    <row r="297" spans="1:125" hidden="1">
      <c r="A297"/>
      <c r="AJ297"/>
      <c r="AK297"/>
      <c r="AR297"/>
      <c r="AS297"/>
      <c r="AT297"/>
      <c r="AU297"/>
      <c r="AV297"/>
      <c r="AW297"/>
      <c r="AX297"/>
      <c r="AY297"/>
      <c r="AZ297"/>
      <c r="BA297"/>
      <c r="BB297"/>
      <c r="BC297"/>
      <c r="BD297"/>
      <c r="BE297"/>
      <c r="BL297"/>
      <c r="BP297"/>
      <c r="BQ297"/>
      <c r="BR297"/>
      <c r="CD297"/>
      <c r="CE297"/>
      <c r="CF297"/>
      <c r="CQ297"/>
      <c r="CR297"/>
      <c r="CS297"/>
      <c r="DS297"/>
      <c r="DT297"/>
      <c r="DU297"/>
    </row>
    <row r="298" spans="1:125" hidden="1">
      <c r="A298"/>
      <c r="AJ298"/>
      <c r="AK298"/>
      <c r="AR298"/>
      <c r="AS298"/>
      <c r="AT298"/>
      <c r="AU298"/>
      <c r="AV298"/>
      <c r="AW298"/>
      <c r="AX298"/>
      <c r="AY298"/>
      <c r="AZ298"/>
      <c r="BA298"/>
      <c r="BB298"/>
      <c r="BC298"/>
      <c r="BD298"/>
      <c r="BE298"/>
      <c r="BL298"/>
      <c r="BP298"/>
      <c r="BQ298"/>
      <c r="BR298"/>
      <c r="CD298"/>
      <c r="CE298"/>
      <c r="CF298"/>
      <c r="CQ298"/>
      <c r="CR298"/>
      <c r="CS298"/>
      <c r="DS298"/>
      <c r="DT298"/>
      <c r="DU298"/>
    </row>
    <row r="299" spans="1:125" hidden="1">
      <c r="A299"/>
      <c r="AJ299"/>
      <c r="AK299"/>
      <c r="AR299"/>
      <c r="AS299"/>
      <c r="AT299"/>
      <c r="AU299"/>
      <c r="AV299"/>
      <c r="AW299"/>
      <c r="AX299"/>
      <c r="AY299"/>
      <c r="AZ299"/>
      <c r="BA299"/>
      <c r="BB299"/>
      <c r="BC299"/>
      <c r="BD299"/>
      <c r="BE299"/>
      <c r="BL299"/>
      <c r="BP299"/>
      <c r="BQ299"/>
      <c r="BR299"/>
      <c r="CD299"/>
      <c r="CE299"/>
      <c r="CF299"/>
      <c r="CQ299"/>
      <c r="CR299"/>
      <c r="CS299"/>
      <c r="DS299"/>
      <c r="DT299"/>
      <c r="DU299"/>
    </row>
    <row r="300" spans="1:125" hidden="1">
      <c r="A300"/>
      <c r="AJ300"/>
      <c r="AK300"/>
      <c r="AR300"/>
      <c r="AS300"/>
      <c r="AT300"/>
      <c r="AU300"/>
      <c r="AV300"/>
      <c r="AW300"/>
      <c r="AX300"/>
      <c r="AY300"/>
      <c r="AZ300"/>
      <c r="BA300"/>
      <c r="BB300"/>
      <c r="BC300"/>
      <c r="BD300"/>
      <c r="BE300"/>
      <c r="BL300"/>
      <c r="BP300"/>
      <c r="BQ300"/>
      <c r="BR300"/>
      <c r="CD300"/>
      <c r="CE300"/>
      <c r="CF300"/>
      <c r="CQ300"/>
      <c r="CR300"/>
      <c r="CS300"/>
      <c r="DS300"/>
      <c r="DT300"/>
      <c r="DU300"/>
    </row>
    <row r="301" spans="1:125" hidden="1">
      <c r="A301"/>
      <c r="AJ301"/>
      <c r="AK301"/>
      <c r="AR301"/>
      <c r="AS301"/>
      <c r="AT301"/>
      <c r="AU301"/>
      <c r="AV301"/>
      <c r="AW301"/>
      <c r="AX301"/>
      <c r="AY301"/>
      <c r="AZ301"/>
      <c r="BA301"/>
      <c r="BB301"/>
      <c r="BC301"/>
      <c r="BD301"/>
      <c r="BE301"/>
      <c r="BL301"/>
      <c r="BP301"/>
      <c r="BQ301"/>
      <c r="BR301"/>
      <c r="CD301"/>
      <c r="CE301"/>
      <c r="CF301"/>
      <c r="CQ301"/>
      <c r="CR301"/>
      <c r="CS301"/>
      <c r="DS301"/>
      <c r="DT301"/>
      <c r="DU301"/>
    </row>
    <row r="302" spans="1:125" hidden="1">
      <c r="A302"/>
      <c r="AJ302"/>
      <c r="AK302"/>
      <c r="AR302"/>
      <c r="AS302"/>
      <c r="AT302"/>
      <c r="AU302"/>
      <c r="AV302"/>
      <c r="AW302"/>
      <c r="AX302"/>
      <c r="AY302"/>
      <c r="AZ302"/>
      <c r="BA302"/>
      <c r="BB302"/>
      <c r="BC302"/>
      <c r="BD302"/>
      <c r="BE302"/>
      <c r="BL302"/>
      <c r="BP302"/>
      <c r="BQ302"/>
      <c r="BR302"/>
      <c r="CD302"/>
      <c r="CE302"/>
      <c r="CF302"/>
      <c r="CQ302"/>
      <c r="CR302"/>
      <c r="CS302"/>
      <c r="DS302"/>
      <c r="DT302"/>
      <c r="DU302"/>
    </row>
    <row r="303" spans="1:125" hidden="1">
      <c r="A303"/>
      <c r="AJ303"/>
      <c r="AK303"/>
      <c r="AR303"/>
      <c r="AS303"/>
      <c r="AT303"/>
      <c r="AU303"/>
      <c r="AV303"/>
      <c r="AW303"/>
      <c r="AX303"/>
      <c r="AY303"/>
      <c r="AZ303"/>
      <c r="BA303"/>
      <c r="BB303"/>
      <c r="BC303"/>
      <c r="BD303"/>
      <c r="BE303"/>
      <c r="BL303"/>
      <c r="BP303"/>
      <c r="BQ303"/>
      <c r="BR303"/>
      <c r="CD303"/>
      <c r="CE303"/>
      <c r="CF303"/>
      <c r="CQ303"/>
      <c r="CR303"/>
      <c r="CS303"/>
      <c r="DS303"/>
      <c r="DT303"/>
      <c r="DU303"/>
    </row>
    <row r="304" spans="1:125" hidden="1">
      <c r="A304"/>
      <c r="AJ304"/>
      <c r="AK304"/>
      <c r="AR304"/>
      <c r="AS304"/>
      <c r="AT304"/>
      <c r="AU304"/>
      <c r="AV304"/>
      <c r="AW304"/>
      <c r="AX304"/>
      <c r="AY304"/>
      <c r="AZ304"/>
      <c r="BA304"/>
      <c r="BB304"/>
      <c r="BC304"/>
      <c r="BD304"/>
      <c r="BE304"/>
      <c r="BL304"/>
      <c r="BP304"/>
      <c r="BQ304"/>
      <c r="BR304"/>
      <c r="CD304"/>
      <c r="CE304"/>
      <c r="CF304"/>
      <c r="CQ304"/>
      <c r="CR304"/>
      <c r="CS304"/>
      <c r="DS304"/>
      <c r="DT304"/>
      <c r="DU304"/>
    </row>
    <row r="305" spans="1:125" hidden="1">
      <c r="A305"/>
      <c r="AJ305"/>
      <c r="AK305"/>
      <c r="AR305"/>
      <c r="AS305"/>
      <c r="AT305"/>
      <c r="AU305"/>
      <c r="AV305"/>
      <c r="AW305"/>
      <c r="AX305"/>
      <c r="AY305"/>
      <c r="AZ305"/>
      <c r="BA305"/>
      <c r="BB305"/>
      <c r="BC305"/>
      <c r="BD305"/>
      <c r="BE305"/>
      <c r="BL305"/>
      <c r="BP305"/>
      <c r="BQ305"/>
      <c r="BR305"/>
      <c r="CD305"/>
      <c r="CE305"/>
      <c r="CF305"/>
      <c r="CQ305"/>
      <c r="CR305"/>
      <c r="CS305"/>
      <c r="DS305"/>
      <c r="DT305"/>
      <c r="DU305"/>
    </row>
    <row r="306" spans="1:125" hidden="1">
      <c r="A306"/>
      <c r="AJ306"/>
      <c r="AK306"/>
      <c r="AR306"/>
      <c r="AS306"/>
      <c r="AT306"/>
      <c r="AU306"/>
      <c r="AV306"/>
      <c r="AW306"/>
      <c r="AX306"/>
      <c r="AY306"/>
      <c r="AZ306"/>
      <c r="BA306"/>
      <c r="BB306"/>
      <c r="BC306"/>
      <c r="BD306"/>
      <c r="BE306"/>
      <c r="BL306"/>
      <c r="BP306"/>
      <c r="BQ306"/>
      <c r="BR306"/>
      <c r="CD306"/>
      <c r="CE306"/>
      <c r="CF306"/>
      <c r="CQ306"/>
      <c r="CR306"/>
      <c r="CS306"/>
      <c r="DS306"/>
      <c r="DT306"/>
      <c r="DU306"/>
    </row>
    <row r="307" spans="1:125" hidden="1">
      <c r="A307"/>
      <c r="AJ307"/>
      <c r="AK307"/>
      <c r="AR307"/>
      <c r="AS307"/>
      <c r="AT307"/>
      <c r="AU307"/>
      <c r="AV307"/>
      <c r="AW307"/>
      <c r="AX307"/>
      <c r="AY307"/>
      <c r="AZ307"/>
      <c r="BA307"/>
      <c r="BB307"/>
      <c r="BC307"/>
      <c r="BD307"/>
      <c r="BE307"/>
      <c r="BL307"/>
      <c r="BP307"/>
      <c r="BQ307"/>
      <c r="BR307"/>
      <c r="CD307"/>
      <c r="CE307"/>
      <c r="CF307"/>
      <c r="CQ307"/>
      <c r="CR307"/>
      <c r="CS307"/>
      <c r="DS307"/>
      <c r="DT307"/>
      <c r="DU307"/>
    </row>
    <row r="308" spans="1:125" hidden="1">
      <c r="A308"/>
      <c r="AJ308"/>
      <c r="AK308"/>
      <c r="AR308"/>
      <c r="AS308"/>
      <c r="AT308"/>
      <c r="AU308"/>
      <c r="AV308"/>
      <c r="AW308"/>
      <c r="AX308"/>
      <c r="AY308"/>
      <c r="AZ308"/>
      <c r="BA308"/>
      <c r="BB308"/>
      <c r="BC308"/>
      <c r="BD308"/>
      <c r="BE308"/>
      <c r="BL308"/>
      <c r="BP308"/>
      <c r="BQ308"/>
      <c r="BR308"/>
      <c r="CD308"/>
      <c r="CE308"/>
      <c r="CF308"/>
      <c r="CQ308"/>
      <c r="CR308"/>
      <c r="CS308"/>
      <c r="DS308"/>
      <c r="DT308"/>
      <c r="DU308"/>
    </row>
    <row r="309" spans="1:125" hidden="1">
      <c r="A309"/>
      <c r="AJ309"/>
      <c r="AK309"/>
      <c r="AR309"/>
      <c r="AS309"/>
      <c r="AT309"/>
      <c r="AU309"/>
      <c r="AV309"/>
      <c r="AW309"/>
      <c r="AX309"/>
      <c r="AY309"/>
      <c r="AZ309"/>
      <c r="BA309"/>
      <c r="BB309"/>
      <c r="BC309"/>
      <c r="BD309"/>
      <c r="BE309"/>
      <c r="BL309"/>
      <c r="BP309"/>
      <c r="BQ309"/>
      <c r="BR309"/>
      <c r="CD309"/>
      <c r="CE309"/>
      <c r="CF309"/>
      <c r="CQ309"/>
      <c r="CR309"/>
      <c r="CS309"/>
      <c r="DS309"/>
      <c r="DT309"/>
      <c r="DU309"/>
    </row>
    <row r="310" spans="1:125" hidden="1">
      <c r="A310"/>
      <c r="AJ310"/>
      <c r="AK310"/>
      <c r="AR310"/>
      <c r="AS310"/>
      <c r="AT310"/>
      <c r="AU310"/>
      <c r="AV310"/>
      <c r="AW310"/>
      <c r="AX310"/>
      <c r="AY310"/>
      <c r="AZ310"/>
      <c r="BA310"/>
      <c r="BB310"/>
      <c r="BC310"/>
      <c r="BD310"/>
      <c r="BE310"/>
      <c r="BL310"/>
      <c r="BP310"/>
      <c r="BQ310"/>
      <c r="BR310"/>
      <c r="CD310"/>
      <c r="CE310"/>
      <c r="CF310"/>
      <c r="CQ310"/>
      <c r="CR310"/>
      <c r="CS310"/>
      <c r="DS310"/>
      <c r="DT310"/>
      <c r="DU310"/>
    </row>
    <row r="311" spans="1:125" hidden="1">
      <c r="A311"/>
      <c r="AJ311"/>
      <c r="AK311"/>
      <c r="AR311"/>
      <c r="AS311"/>
      <c r="AT311"/>
      <c r="AU311"/>
      <c r="AV311"/>
      <c r="AW311"/>
      <c r="AX311"/>
      <c r="AY311"/>
      <c r="AZ311"/>
      <c r="BA311"/>
      <c r="BB311"/>
      <c r="BC311"/>
      <c r="BD311"/>
      <c r="BE311"/>
      <c r="BL311"/>
      <c r="BP311"/>
      <c r="BQ311"/>
      <c r="BR311"/>
      <c r="CD311"/>
      <c r="CE311"/>
      <c r="CF311"/>
      <c r="CQ311"/>
      <c r="CR311"/>
      <c r="CS311"/>
      <c r="DS311"/>
      <c r="DT311"/>
      <c r="DU311"/>
    </row>
    <row r="312" spans="1:125" hidden="1">
      <c r="A312"/>
      <c r="AJ312"/>
      <c r="AK312"/>
      <c r="AR312"/>
      <c r="AS312"/>
      <c r="AT312"/>
      <c r="AU312"/>
      <c r="AV312"/>
      <c r="AW312"/>
      <c r="AX312"/>
      <c r="AY312"/>
      <c r="AZ312"/>
      <c r="BA312"/>
      <c r="BB312"/>
      <c r="BC312"/>
      <c r="BD312"/>
      <c r="BE312"/>
      <c r="BL312"/>
      <c r="BP312"/>
      <c r="BQ312"/>
      <c r="BR312"/>
      <c r="CD312"/>
      <c r="CE312"/>
      <c r="CF312"/>
      <c r="CQ312"/>
      <c r="CR312"/>
      <c r="CS312"/>
      <c r="DS312"/>
      <c r="DT312"/>
      <c r="DU312"/>
    </row>
    <row r="313" spans="1:125" hidden="1">
      <c r="A313"/>
      <c r="AJ313"/>
      <c r="AK313"/>
      <c r="AR313"/>
      <c r="AS313"/>
      <c r="AT313"/>
      <c r="AU313"/>
      <c r="AV313"/>
      <c r="AW313"/>
      <c r="AX313"/>
      <c r="AY313"/>
      <c r="AZ313"/>
      <c r="BA313"/>
      <c r="BB313"/>
      <c r="BC313"/>
      <c r="BD313"/>
      <c r="BE313"/>
      <c r="BL313"/>
      <c r="BP313"/>
      <c r="BQ313"/>
      <c r="BR313"/>
      <c r="CD313"/>
      <c r="CE313"/>
      <c r="CF313"/>
      <c r="CQ313"/>
      <c r="CR313"/>
      <c r="CS313"/>
      <c r="DS313"/>
      <c r="DT313"/>
      <c r="DU313"/>
    </row>
    <row r="314" spans="1:125" hidden="1">
      <c r="A314"/>
      <c r="AJ314"/>
      <c r="AK314"/>
      <c r="AR314"/>
      <c r="AS314"/>
      <c r="AT314"/>
      <c r="AU314"/>
      <c r="AV314"/>
      <c r="AW314"/>
      <c r="AX314"/>
      <c r="AY314"/>
      <c r="AZ314"/>
      <c r="BA314"/>
      <c r="BB314"/>
      <c r="BC314"/>
      <c r="BD314"/>
      <c r="BE314"/>
      <c r="BL314"/>
      <c r="BP314"/>
      <c r="BQ314"/>
      <c r="BR314"/>
      <c r="CD314"/>
      <c r="CE314"/>
      <c r="CF314"/>
      <c r="CQ314"/>
      <c r="CR314"/>
      <c r="CS314"/>
      <c r="DS314"/>
      <c r="DT314"/>
      <c r="DU314"/>
    </row>
    <row r="315" spans="1:125" hidden="1">
      <c r="A315"/>
      <c r="AJ315"/>
      <c r="AK315"/>
      <c r="AR315"/>
      <c r="AS315"/>
      <c r="AT315"/>
      <c r="AU315"/>
      <c r="AV315"/>
      <c r="AW315"/>
      <c r="AX315"/>
      <c r="AY315"/>
      <c r="AZ315"/>
      <c r="BA315"/>
      <c r="BB315"/>
      <c r="BC315"/>
      <c r="BD315"/>
      <c r="BE315"/>
      <c r="BL315"/>
      <c r="BP315"/>
      <c r="BQ315"/>
      <c r="BR315"/>
      <c r="CD315"/>
      <c r="CE315"/>
      <c r="CF315"/>
      <c r="CQ315"/>
      <c r="CR315"/>
      <c r="CS315"/>
      <c r="DS315"/>
      <c r="DT315"/>
      <c r="DU315"/>
    </row>
    <row r="316" spans="1:125" hidden="1">
      <c r="A316"/>
      <c r="AJ316"/>
      <c r="AK316"/>
      <c r="AR316"/>
      <c r="AS316"/>
      <c r="AT316"/>
      <c r="AU316"/>
      <c r="AV316"/>
      <c r="AW316"/>
      <c r="AX316"/>
      <c r="AY316"/>
      <c r="AZ316"/>
      <c r="BA316"/>
      <c r="BB316"/>
      <c r="BC316"/>
      <c r="BD316"/>
      <c r="BE316"/>
      <c r="BL316"/>
      <c r="BP316"/>
      <c r="BQ316"/>
      <c r="BR316"/>
      <c r="CD316"/>
      <c r="CE316"/>
      <c r="CF316"/>
      <c r="CQ316"/>
      <c r="CR316"/>
      <c r="CS316"/>
      <c r="DS316"/>
      <c r="DT316"/>
      <c r="DU316"/>
    </row>
    <row r="317" spans="1:125" hidden="1">
      <c r="A317"/>
      <c r="AJ317"/>
      <c r="AK317"/>
      <c r="AR317"/>
      <c r="AS317"/>
      <c r="AT317"/>
      <c r="AU317"/>
      <c r="AV317"/>
      <c r="AW317"/>
      <c r="AX317"/>
      <c r="AY317"/>
      <c r="AZ317"/>
      <c r="BA317"/>
      <c r="BB317"/>
      <c r="BC317"/>
      <c r="BD317"/>
      <c r="BE317"/>
      <c r="BL317"/>
      <c r="BP317"/>
      <c r="BQ317"/>
      <c r="BR317"/>
      <c r="CD317"/>
      <c r="CE317"/>
      <c r="CF317"/>
      <c r="CQ317"/>
      <c r="CR317"/>
      <c r="CS317"/>
      <c r="DS317"/>
      <c r="DT317"/>
      <c r="DU317"/>
    </row>
    <row r="318" spans="1:125" hidden="1">
      <c r="A318"/>
      <c r="AJ318"/>
      <c r="AK318"/>
      <c r="AR318"/>
      <c r="AS318"/>
      <c r="AT318"/>
      <c r="AU318"/>
      <c r="AV318"/>
      <c r="AW318"/>
      <c r="AX318"/>
      <c r="AY318"/>
      <c r="AZ318"/>
      <c r="BA318"/>
      <c r="BB318"/>
      <c r="BC318"/>
      <c r="BD318"/>
      <c r="BE318"/>
      <c r="BL318"/>
      <c r="BP318"/>
      <c r="BQ318"/>
      <c r="BR318"/>
      <c r="CD318"/>
      <c r="CE318"/>
      <c r="CF318"/>
      <c r="CQ318"/>
      <c r="CR318"/>
      <c r="CS318"/>
      <c r="DS318"/>
      <c r="DT318"/>
      <c r="DU318"/>
    </row>
    <row r="319" spans="1:125" hidden="1">
      <c r="A319"/>
      <c r="AJ319"/>
      <c r="AK319"/>
      <c r="AR319"/>
      <c r="AS319"/>
      <c r="AT319"/>
      <c r="AU319"/>
      <c r="AV319"/>
      <c r="AW319"/>
      <c r="AX319"/>
      <c r="AY319"/>
      <c r="AZ319"/>
      <c r="BA319"/>
      <c r="BB319"/>
      <c r="BC319"/>
      <c r="BD319"/>
      <c r="BE319"/>
      <c r="BL319"/>
      <c r="BP319"/>
      <c r="BQ319"/>
      <c r="BR319"/>
      <c r="CD319"/>
      <c r="CE319"/>
      <c r="CF319"/>
      <c r="CQ319"/>
      <c r="CR319"/>
      <c r="CS319"/>
      <c r="DS319"/>
      <c r="DT319"/>
      <c r="DU319"/>
    </row>
    <row r="320" spans="1:125" hidden="1">
      <c r="A320"/>
      <c r="AJ320"/>
      <c r="AK320"/>
      <c r="AR320"/>
      <c r="AS320"/>
      <c r="AT320"/>
      <c r="AU320"/>
      <c r="AV320"/>
      <c r="AW320"/>
      <c r="AX320"/>
      <c r="AY320"/>
      <c r="AZ320"/>
      <c r="BA320"/>
      <c r="BB320"/>
      <c r="BC320"/>
      <c r="BD320"/>
      <c r="BE320"/>
      <c r="BL320"/>
      <c r="BP320"/>
      <c r="BQ320"/>
      <c r="BR320"/>
      <c r="CD320"/>
      <c r="CE320"/>
      <c r="CF320"/>
      <c r="CQ320"/>
      <c r="CR320"/>
      <c r="CS320"/>
      <c r="DS320"/>
      <c r="DT320"/>
      <c r="DU320"/>
    </row>
    <row r="321" spans="1:125" hidden="1">
      <c r="A321"/>
      <c r="AJ321"/>
      <c r="AK321"/>
      <c r="AR321"/>
      <c r="AS321"/>
      <c r="AT321"/>
      <c r="AU321"/>
      <c r="AV321"/>
      <c r="AW321"/>
      <c r="AX321"/>
      <c r="AY321"/>
      <c r="AZ321"/>
      <c r="BA321"/>
      <c r="BB321"/>
      <c r="BC321"/>
      <c r="BD321"/>
      <c r="BE321"/>
      <c r="BL321"/>
      <c r="BP321"/>
      <c r="BQ321"/>
      <c r="BR321"/>
      <c r="CD321"/>
      <c r="CE321"/>
      <c r="CF321"/>
      <c r="CQ321"/>
      <c r="CR321"/>
      <c r="CS321"/>
      <c r="DS321"/>
      <c r="DT321"/>
      <c r="DU321"/>
    </row>
    <row r="322" spans="1:125" hidden="1">
      <c r="A322"/>
      <c r="AJ322"/>
      <c r="AK322"/>
      <c r="AR322"/>
      <c r="AS322"/>
      <c r="AT322"/>
      <c r="AU322"/>
      <c r="AV322"/>
      <c r="AW322"/>
      <c r="AX322"/>
      <c r="AY322"/>
      <c r="AZ322"/>
      <c r="BA322"/>
      <c r="BB322"/>
      <c r="BC322"/>
      <c r="BD322"/>
      <c r="BE322"/>
      <c r="BL322"/>
      <c r="BP322"/>
      <c r="BQ322"/>
      <c r="BR322"/>
      <c r="CD322"/>
      <c r="CE322"/>
      <c r="CF322"/>
      <c r="CQ322"/>
      <c r="CR322"/>
      <c r="CS322"/>
      <c r="DS322"/>
      <c r="DT322"/>
      <c r="DU322"/>
    </row>
    <row r="323" spans="1:125" hidden="1">
      <c r="A323"/>
      <c r="AJ323"/>
      <c r="AK323"/>
      <c r="AR323"/>
      <c r="AS323"/>
      <c r="AT323"/>
      <c r="AU323"/>
      <c r="AV323"/>
      <c r="AW323"/>
      <c r="AX323"/>
      <c r="AY323"/>
      <c r="AZ323"/>
      <c r="BA323"/>
      <c r="BB323"/>
      <c r="BC323"/>
      <c r="BD323"/>
      <c r="BE323"/>
      <c r="BL323"/>
      <c r="BP323"/>
      <c r="BQ323"/>
      <c r="BR323"/>
      <c r="CD323"/>
      <c r="CE323"/>
      <c r="CF323"/>
      <c r="CQ323"/>
      <c r="CR323"/>
      <c r="CS323"/>
      <c r="DS323"/>
      <c r="DT323"/>
      <c r="DU323"/>
    </row>
    <row r="324" spans="1:125" hidden="1">
      <c r="A324"/>
      <c r="AJ324"/>
      <c r="AK324"/>
      <c r="AR324"/>
      <c r="AS324"/>
      <c r="AT324"/>
      <c r="AU324"/>
      <c r="AV324"/>
      <c r="AW324"/>
      <c r="AX324"/>
      <c r="AY324"/>
      <c r="AZ324"/>
      <c r="BA324"/>
      <c r="BB324"/>
      <c r="BC324"/>
      <c r="BD324"/>
      <c r="BE324"/>
      <c r="BL324"/>
      <c r="BP324"/>
      <c r="BQ324"/>
      <c r="BR324"/>
      <c r="CD324"/>
      <c r="CE324"/>
      <c r="CF324"/>
      <c r="CQ324"/>
      <c r="CR324"/>
      <c r="CS324"/>
      <c r="DS324"/>
      <c r="DT324"/>
      <c r="DU324"/>
    </row>
    <row r="325" spans="1:125" hidden="1">
      <c r="A325"/>
      <c r="AJ325"/>
      <c r="AK325"/>
      <c r="AR325"/>
      <c r="AS325"/>
      <c r="AT325"/>
      <c r="AU325"/>
      <c r="AV325"/>
      <c r="AW325"/>
      <c r="AX325"/>
      <c r="AY325"/>
      <c r="AZ325"/>
      <c r="BA325"/>
      <c r="BB325"/>
      <c r="BC325"/>
      <c r="BD325"/>
      <c r="BE325"/>
      <c r="BL325"/>
      <c r="BP325"/>
      <c r="BQ325"/>
      <c r="BR325"/>
      <c r="CD325"/>
      <c r="CE325"/>
      <c r="CF325"/>
      <c r="CQ325"/>
      <c r="CR325"/>
      <c r="CS325"/>
      <c r="DS325"/>
      <c r="DT325"/>
      <c r="DU325"/>
    </row>
    <row r="326" spans="1:125" hidden="1">
      <c r="A326"/>
      <c r="AJ326"/>
      <c r="AK326"/>
      <c r="AR326"/>
      <c r="AS326"/>
      <c r="AT326"/>
      <c r="AU326"/>
      <c r="AV326"/>
      <c r="AW326"/>
      <c r="AX326"/>
      <c r="AY326"/>
      <c r="AZ326"/>
      <c r="BA326"/>
      <c r="BB326"/>
      <c r="BC326"/>
      <c r="BD326"/>
      <c r="BE326"/>
      <c r="BL326"/>
      <c r="BP326"/>
      <c r="BQ326"/>
      <c r="BR326"/>
      <c r="CD326"/>
      <c r="CE326"/>
      <c r="CF326"/>
      <c r="CQ326"/>
      <c r="CR326"/>
      <c r="CS326"/>
      <c r="DS326"/>
      <c r="DT326"/>
      <c r="DU326"/>
    </row>
    <row r="327" spans="1:125" hidden="1">
      <c r="A327"/>
      <c r="AJ327"/>
      <c r="AK327"/>
      <c r="AR327"/>
      <c r="AS327"/>
      <c r="AT327"/>
      <c r="AU327"/>
      <c r="AV327"/>
      <c r="AW327"/>
      <c r="AX327"/>
      <c r="AY327"/>
      <c r="AZ327"/>
      <c r="BA327"/>
      <c r="BB327"/>
      <c r="BC327"/>
      <c r="BD327"/>
      <c r="BE327"/>
      <c r="BL327"/>
      <c r="BP327"/>
      <c r="BQ327"/>
      <c r="BR327"/>
      <c r="CD327"/>
      <c r="CE327"/>
      <c r="CF327"/>
      <c r="CQ327"/>
      <c r="CR327"/>
      <c r="CS327"/>
      <c r="DS327"/>
      <c r="DT327"/>
      <c r="DU327"/>
    </row>
    <row r="328" spans="1:125" hidden="1">
      <c r="A328"/>
      <c r="AJ328"/>
      <c r="AK328"/>
      <c r="AR328"/>
      <c r="AS328"/>
      <c r="AT328"/>
      <c r="AU328"/>
      <c r="AV328"/>
      <c r="AW328"/>
      <c r="AX328"/>
      <c r="AY328"/>
      <c r="AZ328"/>
      <c r="BA328"/>
      <c r="BB328"/>
      <c r="BC328"/>
      <c r="BD328"/>
      <c r="BE328"/>
      <c r="BL328"/>
      <c r="BP328"/>
      <c r="BQ328"/>
      <c r="BR328"/>
      <c r="CD328"/>
      <c r="CE328"/>
      <c r="CF328"/>
      <c r="CQ328"/>
      <c r="CR328"/>
      <c r="CS328"/>
      <c r="DS328"/>
      <c r="DT328"/>
      <c r="DU328"/>
    </row>
    <row r="329" spans="1:125" hidden="1">
      <c r="A329"/>
      <c r="AJ329"/>
      <c r="AK329"/>
      <c r="AR329"/>
      <c r="AS329"/>
      <c r="AT329"/>
      <c r="AU329"/>
      <c r="AV329"/>
      <c r="AW329"/>
      <c r="AX329"/>
      <c r="AY329"/>
      <c r="AZ329"/>
      <c r="BA329"/>
      <c r="BB329"/>
      <c r="BC329"/>
      <c r="BD329"/>
      <c r="BE329"/>
      <c r="BL329"/>
      <c r="BP329"/>
      <c r="BQ329"/>
      <c r="BR329"/>
      <c r="CD329"/>
      <c r="CE329"/>
      <c r="CF329"/>
      <c r="CQ329"/>
      <c r="CR329"/>
      <c r="CS329"/>
      <c r="DS329"/>
      <c r="DT329"/>
      <c r="DU329"/>
    </row>
    <row r="330" spans="1:125" hidden="1">
      <c r="A330"/>
      <c r="AJ330"/>
      <c r="AK330"/>
      <c r="AR330"/>
      <c r="AS330"/>
      <c r="AT330"/>
      <c r="AU330"/>
      <c r="AV330"/>
      <c r="AW330"/>
      <c r="AX330"/>
      <c r="AY330"/>
      <c r="AZ330"/>
      <c r="BA330"/>
      <c r="BB330"/>
      <c r="BC330"/>
      <c r="BD330"/>
      <c r="BE330"/>
      <c r="BL330"/>
      <c r="BP330"/>
      <c r="BQ330"/>
      <c r="BR330"/>
      <c r="CD330"/>
      <c r="CE330"/>
      <c r="CF330"/>
      <c r="CQ330"/>
      <c r="CR330"/>
      <c r="CS330"/>
      <c r="DS330"/>
      <c r="DT330"/>
      <c r="DU330"/>
    </row>
    <row r="331" spans="1:125" hidden="1">
      <c r="A331"/>
      <c r="AJ331"/>
      <c r="AK331"/>
      <c r="AR331"/>
      <c r="AS331"/>
      <c r="AT331"/>
      <c r="AU331"/>
      <c r="AV331"/>
      <c r="AW331"/>
      <c r="AX331"/>
      <c r="AY331"/>
      <c r="AZ331"/>
      <c r="BA331"/>
      <c r="BB331"/>
      <c r="BC331"/>
      <c r="BD331"/>
      <c r="BE331"/>
      <c r="BL331"/>
      <c r="BP331"/>
      <c r="BQ331"/>
      <c r="BR331"/>
      <c r="CD331"/>
      <c r="CE331"/>
      <c r="CF331"/>
      <c r="CQ331"/>
      <c r="CR331"/>
      <c r="CS331"/>
      <c r="DS331"/>
      <c r="DT331"/>
      <c r="DU331"/>
    </row>
    <row r="332" spans="1:125" hidden="1">
      <c r="A332"/>
      <c r="AJ332"/>
      <c r="AK332"/>
      <c r="AR332"/>
      <c r="AS332"/>
      <c r="AT332"/>
      <c r="AU332"/>
      <c r="AV332"/>
      <c r="AW332"/>
      <c r="AX332"/>
      <c r="AY332"/>
      <c r="AZ332"/>
      <c r="BA332"/>
      <c r="BB332"/>
      <c r="BC332"/>
      <c r="BD332"/>
      <c r="BE332"/>
      <c r="BL332"/>
      <c r="BP332"/>
      <c r="BQ332"/>
      <c r="BR332"/>
      <c r="CD332"/>
      <c r="CE332"/>
      <c r="CF332"/>
      <c r="CQ332"/>
      <c r="CR332"/>
      <c r="CS332"/>
      <c r="DS332"/>
      <c r="DT332"/>
      <c r="DU332"/>
    </row>
    <row r="333" spans="1:125" hidden="1">
      <c r="A333"/>
      <c r="AJ333"/>
      <c r="AK333"/>
      <c r="AR333"/>
      <c r="AS333"/>
      <c r="AT333"/>
      <c r="AU333"/>
      <c r="AV333"/>
      <c r="AW333"/>
      <c r="AX333"/>
      <c r="AY333"/>
      <c r="AZ333"/>
      <c r="BA333"/>
      <c r="BB333"/>
      <c r="BC333"/>
      <c r="BD333"/>
      <c r="BE333"/>
      <c r="BL333"/>
      <c r="BP333"/>
      <c r="BQ333"/>
      <c r="BR333"/>
      <c r="CD333"/>
      <c r="CE333"/>
      <c r="CF333"/>
      <c r="CQ333"/>
      <c r="CR333"/>
      <c r="CS333"/>
      <c r="DS333"/>
      <c r="DT333"/>
      <c r="DU333"/>
    </row>
    <row r="334" spans="1:125" hidden="1">
      <c r="A334"/>
      <c r="AJ334"/>
      <c r="AK334"/>
      <c r="AR334"/>
      <c r="AS334"/>
      <c r="AT334"/>
      <c r="AU334"/>
      <c r="AV334"/>
      <c r="AW334"/>
      <c r="AX334"/>
      <c r="AY334"/>
      <c r="AZ334"/>
      <c r="BA334"/>
      <c r="BB334"/>
      <c r="BC334"/>
      <c r="BD334"/>
      <c r="BE334"/>
      <c r="BL334"/>
      <c r="BP334"/>
      <c r="BQ334"/>
      <c r="BR334"/>
      <c r="CD334"/>
      <c r="CE334"/>
      <c r="CF334"/>
      <c r="CQ334"/>
      <c r="CR334"/>
      <c r="CS334"/>
      <c r="DS334"/>
      <c r="DT334"/>
      <c r="DU334"/>
    </row>
    <row r="335" spans="1:125" hidden="1">
      <c r="A335"/>
      <c r="AJ335"/>
      <c r="AK335"/>
      <c r="AR335"/>
      <c r="AS335"/>
      <c r="AT335"/>
      <c r="AU335"/>
      <c r="AV335"/>
      <c r="AW335"/>
      <c r="AX335"/>
      <c r="AY335"/>
      <c r="AZ335"/>
      <c r="BA335"/>
      <c r="BB335"/>
      <c r="BC335"/>
      <c r="BD335"/>
      <c r="BE335"/>
      <c r="BL335"/>
      <c r="BP335"/>
      <c r="BQ335"/>
      <c r="BR335"/>
      <c r="CD335"/>
      <c r="CE335"/>
      <c r="CF335"/>
      <c r="CQ335"/>
      <c r="CR335"/>
      <c r="CS335"/>
      <c r="DS335"/>
      <c r="DT335"/>
      <c r="DU335"/>
    </row>
    <row r="336" spans="1:125" hidden="1">
      <c r="A336"/>
      <c r="AJ336"/>
      <c r="AK336"/>
      <c r="AR336"/>
      <c r="AS336"/>
      <c r="AT336"/>
      <c r="AU336"/>
      <c r="AV336"/>
      <c r="AW336"/>
      <c r="AX336"/>
      <c r="AY336"/>
      <c r="AZ336"/>
      <c r="BA336"/>
      <c r="BB336"/>
      <c r="BC336"/>
      <c r="BD336"/>
      <c r="BE336"/>
      <c r="BL336"/>
      <c r="BP336"/>
      <c r="BQ336"/>
      <c r="BR336"/>
      <c r="CD336"/>
      <c r="CE336"/>
      <c r="CF336"/>
      <c r="CQ336"/>
      <c r="CR336"/>
      <c r="CS336"/>
      <c r="DS336"/>
      <c r="DT336"/>
      <c r="DU336"/>
    </row>
    <row r="337" spans="1:125" hidden="1">
      <c r="A337"/>
      <c r="AJ337"/>
      <c r="AK337"/>
      <c r="AR337"/>
      <c r="AS337"/>
      <c r="AT337"/>
      <c r="AU337"/>
      <c r="AV337"/>
      <c r="AW337"/>
      <c r="AX337"/>
      <c r="AY337"/>
      <c r="AZ337"/>
      <c r="BA337"/>
      <c r="BB337"/>
      <c r="BC337"/>
      <c r="BD337"/>
      <c r="BE337"/>
      <c r="BL337"/>
      <c r="BP337"/>
      <c r="BQ337"/>
      <c r="BR337"/>
      <c r="CD337"/>
      <c r="CE337"/>
      <c r="CF337"/>
      <c r="CQ337"/>
      <c r="CR337"/>
      <c r="CS337"/>
      <c r="DS337"/>
      <c r="DT337"/>
      <c r="DU337"/>
    </row>
    <row r="338" spans="1:125" hidden="1">
      <c r="A338"/>
      <c r="AJ338"/>
      <c r="AK338"/>
      <c r="AR338"/>
      <c r="AS338"/>
      <c r="AT338"/>
      <c r="AU338"/>
      <c r="AV338"/>
      <c r="AW338"/>
      <c r="AX338"/>
      <c r="AY338"/>
      <c r="AZ338"/>
      <c r="BA338"/>
      <c r="BB338"/>
      <c r="BC338"/>
      <c r="BD338"/>
      <c r="BE338"/>
      <c r="BL338"/>
      <c r="BP338"/>
      <c r="BQ338"/>
      <c r="BR338"/>
      <c r="CD338"/>
      <c r="CE338"/>
      <c r="CF338"/>
      <c r="CQ338"/>
      <c r="CR338"/>
      <c r="CS338"/>
      <c r="DS338"/>
      <c r="DT338"/>
      <c r="DU338"/>
    </row>
    <row r="339" spans="1:125" hidden="1">
      <c r="A339"/>
      <c r="AJ339"/>
      <c r="AK339"/>
      <c r="AR339"/>
      <c r="AS339"/>
      <c r="AT339"/>
      <c r="AU339"/>
      <c r="AV339"/>
      <c r="AW339"/>
      <c r="AX339"/>
      <c r="AY339"/>
      <c r="AZ339"/>
      <c r="BA339"/>
      <c r="BB339"/>
      <c r="BC339"/>
      <c r="BD339"/>
      <c r="BE339"/>
      <c r="BL339"/>
      <c r="BP339"/>
      <c r="BQ339"/>
      <c r="BR339"/>
      <c r="CD339"/>
      <c r="CE339"/>
      <c r="CF339"/>
      <c r="CQ339"/>
      <c r="CR339"/>
      <c r="CS339"/>
      <c r="DS339"/>
      <c r="DT339"/>
      <c r="DU339"/>
    </row>
    <row r="340" spans="1:125" hidden="1">
      <c r="A340"/>
      <c r="AJ340"/>
      <c r="AK340"/>
      <c r="AR340"/>
      <c r="AS340"/>
      <c r="AT340"/>
      <c r="AU340"/>
      <c r="AV340"/>
      <c r="AW340"/>
      <c r="AX340"/>
      <c r="AY340"/>
      <c r="AZ340"/>
      <c r="BA340"/>
      <c r="BB340"/>
      <c r="BC340"/>
      <c r="BD340"/>
      <c r="BE340"/>
      <c r="BL340"/>
      <c r="BP340"/>
      <c r="BQ340"/>
      <c r="BR340"/>
      <c r="CD340"/>
      <c r="CE340"/>
      <c r="CF340"/>
      <c r="CQ340"/>
      <c r="CR340"/>
      <c r="CS340"/>
      <c r="DS340"/>
      <c r="DT340"/>
      <c r="DU340"/>
    </row>
    <row r="341" spans="1:125" hidden="1">
      <c r="A341"/>
      <c r="AJ341"/>
      <c r="AK341"/>
      <c r="AR341"/>
      <c r="AS341"/>
      <c r="AT341"/>
      <c r="AU341"/>
      <c r="AV341"/>
      <c r="AW341"/>
      <c r="AX341"/>
      <c r="AY341"/>
      <c r="AZ341"/>
      <c r="BA341"/>
      <c r="BB341"/>
      <c r="BC341"/>
      <c r="BD341"/>
      <c r="BE341"/>
      <c r="BL341"/>
      <c r="BP341"/>
      <c r="BQ341"/>
      <c r="BR341"/>
      <c r="CD341"/>
      <c r="CE341"/>
      <c r="CF341"/>
      <c r="CQ341"/>
      <c r="CR341"/>
      <c r="CS341"/>
      <c r="DS341"/>
      <c r="DT341"/>
      <c r="DU341"/>
    </row>
    <row r="342" spans="1:125" hidden="1">
      <c r="A342"/>
      <c r="AJ342"/>
      <c r="AK342"/>
      <c r="AR342"/>
      <c r="AS342"/>
      <c r="AT342"/>
      <c r="AU342"/>
      <c r="AV342"/>
      <c r="AW342"/>
      <c r="AX342"/>
      <c r="AY342"/>
      <c r="AZ342"/>
      <c r="BA342"/>
      <c r="BB342"/>
      <c r="BC342"/>
      <c r="BD342"/>
      <c r="BE342"/>
      <c r="BL342"/>
      <c r="BP342"/>
      <c r="BQ342"/>
      <c r="BR342"/>
      <c r="CD342"/>
      <c r="CE342"/>
      <c r="CF342"/>
      <c r="CQ342"/>
      <c r="CR342"/>
      <c r="CS342"/>
      <c r="DS342"/>
      <c r="DT342"/>
      <c r="DU342"/>
    </row>
    <row r="343" spans="1:125" hidden="1">
      <c r="A343"/>
      <c r="AJ343"/>
      <c r="AK343"/>
      <c r="AR343"/>
      <c r="AS343"/>
      <c r="AT343"/>
      <c r="AU343"/>
      <c r="AV343"/>
      <c r="AW343"/>
      <c r="AX343"/>
      <c r="AY343"/>
      <c r="AZ343"/>
      <c r="BA343"/>
      <c r="BB343"/>
      <c r="BC343"/>
      <c r="BD343"/>
      <c r="BE343"/>
      <c r="BL343"/>
      <c r="BP343"/>
      <c r="BQ343"/>
      <c r="BR343"/>
      <c r="CD343"/>
      <c r="CE343"/>
      <c r="CF343"/>
      <c r="CQ343"/>
      <c r="CR343"/>
      <c r="CS343"/>
      <c r="DS343"/>
      <c r="DT343"/>
      <c r="DU343"/>
    </row>
    <row r="344" spans="1:125" hidden="1">
      <c r="A344"/>
      <c r="AJ344"/>
      <c r="AK344"/>
      <c r="AR344"/>
      <c r="AS344"/>
      <c r="AT344"/>
      <c r="AU344"/>
      <c r="AV344"/>
      <c r="AW344"/>
      <c r="AX344"/>
      <c r="AY344"/>
      <c r="AZ344"/>
      <c r="BA344"/>
      <c r="BB344"/>
      <c r="BC344"/>
      <c r="BD344"/>
      <c r="BE344"/>
      <c r="BL344"/>
      <c r="BP344"/>
      <c r="BQ344"/>
      <c r="BR344"/>
      <c r="CD344"/>
      <c r="CE344"/>
      <c r="CF344"/>
      <c r="CQ344"/>
      <c r="CR344"/>
      <c r="CS344"/>
      <c r="DS344"/>
      <c r="DT344"/>
      <c r="DU344"/>
    </row>
    <row r="345" spans="1:125" hidden="1">
      <c r="A345"/>
      <c r="AJ345"/>
      <c r="AK345"/>
      <c r="AR345"/>
      <c r="AS345"/>
      <c r="AT345"/>
      <c r="AU345"/>
      <c r="AV345"/>
      <c r="AW345"/>
      <c r="AX345"/>
      <c r="AY345"/>
      <c r="AZ345"/>
      <c r="BA345"/>
      <c r="BB345"/>
      <c r="BC345"/>
      <c r="BD345"/>
      <c r="BE345"/>
      <c r="BL345"/>
      <c r="BP345"/>
      <c r="BQ345"/>
      <c r="BR345"/>
      <c r="CD345"/>
      <c r="CE345"/>
      <c r="CF345"/>
      <c r="CQ345"/>
      <c r="CR345"/>
      <c r="CS345"/>
      <c r="DS345"/>
      <c r="DT345"/>
      <c r="DU345"/>
    </row>
    <row r="346" spans="1:125" hidden="1">
      <c r="A346"/>
      <c r="AJ346"/>
      <c r="AK346"/>
      <c r="AR346"/>
      <c r="AS346"/>
      <c r="AT346"/>
      <c r="AU346"/>
      <c r="AV346"/>
      <c r="AW346"/>
      <c r="AX346"/>
      <c r="AY346"/>
      <c r="AZ346"/>
      <c r="BA346"/>
      <c r="BB346"/>
      <c r="BC346"/>
      <c r="BD346"/>
      <c r="BE346"/>
      <c r="BL346"/>
      <c r="BP346"/>
      <c r="BQ346"/>
      <c r="BR346"/>
      <c r="CD346"/>
      <c r="CE346"/>
      <c r="CF346"/>
      <c r="CQ346"/>
      <c r="CR346"/>
      <c r="CS346"/>
      <c r="DS346"/>
      <c r="DT346"/>
      <c r="DU346"/>
    </row>
    <row r="347" spans="1:125" hidden="1">
      <c r="A347"/>
      <c r="AJ347"/>
      <c r="AK347"/>
      <c r="AR347"/>
      <c r="AS347"/>
      <c r="AT347"/>
      <c r="AU347"/>
      <c r="AV347"/>
      <c r="AW347"/>
      <c r="AX347"/>
      <c r="AY347"/>
      <c r="AZ347"/>
      <c r="BA347"/>
      <c r="BB347"/>
      <c r="BC347"/>
      <c r="BD347"/>
      <c r="BE347"/>
      <c r="BL347"/>
      <c r="BP347"/>
      <c r="BQ347"/>
      <c r="BR347"/>
      <c r="CD347"/>
      <c r="CE347"/>
      <c r="CF347"/>
      <c r="CQ347"/>
      <c r="CR347"/>
      <c r="CS347"/>
      <c r="DS347"/>
      <c r="DT347"/>
      <c r="DU347"/>
    </row>
    <row r="348" spans="1:125" hidden="1">
      <c r="A348"/>
      <c r="AJ348"/>
      <c r="AK348"/>
      <c r="AR348"/>
      <c r="AS348"/>
      <c r="AT348"/>
      <c r="AU348"/>
      <c r="AV348"/>
      <c r="AW348"/>
      <c r="AX348"/>
      <c r="AY348"/>
      <c r="AZ348"/>
      <c r="BA348"/>
      <c r="BB348"/>
      <c r="BC348"/>
      <c r="BD348"/>
      <c r="BE348"/>
      <c r="BL348"/>
      <c r="BP348"/>
      <c r="BQ348"/>
      <c r="BR348"/>
      <c r="CD348"/>
      <c r="CE348"/>
      <c r="CF348"/>
      <c r="CQ348"/>
      <c r="CR348"/>
      <c r="CS348"/>
      <c r="DS348"/>
      <c r="DT348"/>
      <c r="DU348"/>
    </row>
    <row r="349" spans="1:125" hidden="1">
      <c r="A349"/>
      <c r="AJ349"/>
      <c r="AK349"/>
      <c r="AR349"/>
      <c r="AS349"/>
      <c r="AT349"/>
      <c r="AU349"/>
      <c r="AV349"/>
      <c r="AW349"/>
      <c r="AX349"/>
      <c r="AY349"/>
      <c r="AZ349"/>
      <c r="BA349"/>
      <c r="BB349"/>
      <c r="BC349"/>
      <c r="BD349"/>
      <c r="BE349"/>
      <c r="BL349"/>
      <c r="BP349"/>
      <c r="BQ349"/>
      <c r="BR349"/>
      <c r="CD349"/>
      <c r="CE349"/>
      <c r="CF349"/>
      <c r="CQ349"/>
      <c r="CR349"/>
      <c r="CS349"/>
      <c r="DS349"/>
      <c r="DT349"/>
      <c r="DU349"/>
    </row>
    <row r="350" spans="1:125" hidden="1">
      <c r="A350"/>
      <c r="AJ350"/>
      <c r="AK350"/>
      <c r="AR350"/>
      <c r="AS350"/>
      <c r="AT350"/>
      <c r="AU350"/>
      <c r="AV350"/>
      <c r="AW350"/>
      <c r="AX350"/>
      <c r="AY350"/>
      <c r="AZ350"/>
      <c r="BA350"/>
      <c r="BB350"/>
      <c r="BC350"/>
      <c r="BD350"/>
      <c r="BE350"/>
      <c r="BL350"/>
      <c r="BP350"/>
      <c r="BQ350"/>
      <c r="BR350"/>
      <c r="CD350"/>
      <c r="CE350"/>
      <c r="CF350"/>
      <c r="CQ350"/>
      <c r="CR350"/>
      <c r="CS350"/>
      <c r="DS350"/>
      <c r="DT350"/>
      <c r="DU350"/>
    </row>
    <row r="351" spans="1:125" hidden="1">
      <c r="A351"/>
      <c r="AJ351"/>
      <c r="AK351"/>
      <c r="AR351"/>
      <c r="AS351"/>
      <c r="AT351"/>
      <c r="AU351"/>
      <c r="AV351"/>
      <c r="AW351"/>
      <c r="AX351"/>
      <c r="AY351"/>
      <c r="AZ351"/>
      <c r="BA351"/>
      <c r="BB351"/>
      <c r="BC351"/>
      <c r="BD351"/>
      <c r="BE351"/>
      <c r="BL351"/>
      <c r="BP351"/>
      <c r="BQ351"/>
      <c r="BR351"/>
      <c r="CD351"/>
      <c r="CE351"/>
      <c r="CF351"/>
      <c r="CQ351"/>
      <c r="CR351"/>
      <c r="CS351"/>
      <c r="DS351"/>
      <c r="DT351"/>
      <c r="DU351"/>
    </row>
    <row r="352" spans="1:125" hidden="1">
      <c r="A352"/>
      <c r="AJ352"/>
      <c r="AK352"/>
      <c r="AR352"/>
      <c r="AS352"/>
      <c r="AT352"/>
      <c r="AU352"/>
      <c r="AV352"/>
      <c r="AW352"/>
      <c r="AX352"/>
      <c r="AY352"/>
      <c r="AZ352"/>
      <c r="BA352"/>
      <c r="BB352"/>
      <c r="BC352"/>
      <c r="BD352"/>
      <c r="BE352"/>
      <c r="BL352"/>
      <c r="BP352"/>
      <c r="BQ352"/>
      <c r="BR352"/>
      <c r="CD352"/>
      <c r="CE352"/>
      <c r="CF352"/>
      <c r="CQ352"/>
      <c r="CR352"/>
      <c r="CS352"/>
      <c r="DS352"/>
      <c r="DT352"/>
      <c r="DU352"/>
    </row>
    <row r="353" spans="1:125" hidden="1">
      <c r="A353"/>
      <c r="AJ353"/>
      <c r="AK353"/>
      <c r="AR353"/>
      <c r="AS353"/>
      <c r="AT353"/>
      <c r="AU353"/>
      <c r="AV353"/>
      <c r="AW353"/>
      <c r="AX353"/>
      <c r="AY353"/>
      <c r="AZ353"/>
      <c r="BA353"/>
      <c r="BB353"/>
      <c r="BC353"/>
      <c r="BD353"/>
      <c r="BE353"/>
      <c r="BL353"/>
      <c r="BP353"/>
      <c r="BQ353"/>
      <c r="BR353"/>
      <c r="CD353"/>
      <c r="CE353"/>
      <c r="CF353"/>
      <c r="CQ353"/>
      <c r="CR353"/>
      <c r="CS353"/>
      <c r="DS353"/>
      <c r="DT353"/>
      <c r="DU353"/>
    </row>
    <row r="354" spans="1:125" hidden="1">
      <c r="A354"/>
      <c r="AJ354"/>
      <c r="AK354"/>
      <c r="AR354"/>
      <c r="AS354"/>
      <c r="AT354"/>
      <c r="AU354"/>
      <c r="AV354"/>
      <c r="AW354"/>
      <c r="AX354"/>
      <c r="AY354"/>
      <c r="AZ354"/>
      <c r="BA354"/>
      <c r="BB354"/>
      <c r="BC354"/>
      <c r="BD354"/>
      <c r="BE354"/>
      <c r="BL354"/>
      <c r="BP354"/>
      <c r="BQ354"/>
      <c r="BR354"/>
      <c r="CD354"/>
      <c r="CE354"/>
      <c r="CF354"/>
      <c r="CQ354"/>
      <c r="CR354"/>
      <c r="CS354"/>
      <c r="DS354"/>
      <c r="DT354"/>
      <c r="DU354"/>
    </row>
    <row r="355" spans="1:125" hidden="1">
      <c r="A355"/>
      <c r="AJ355"/>
      <c r="AK355"/>
      <c r="AR355"/>
      <c r="AS355"/>
      <c r="AT355"/>
      <c r="AU355"/>
      <c r="AV355"/>
      <c r="AW355"/>
      <c r="AX355"/>
      <c r="AY355"/>
      <c r="AZ355"/>
      <c r="BA355"/>
      <c r="BB355"/>
      <c r="BC355"/>
      <c r="BD355"/>
      <c r="BE355"/>
      <c r="BL355"/>
      <c r="BP355"/>
      <c r="BQ355"/>
      <c r="BR355"/>
      <c r="CD355"/>
      <c r="CE355"/>
      <c r="CF355"/>
      <c r="CQ355"/>
      <c r="CR355"/>
      <c r="CS355"/>
      <c r="DS355"/>
      <c r="DT355"/>
      <c r="DU355"/>
    </row>
    <row r="356" spans="1:125" hidden="1">
      <c r="A356"/>
      <c r="AJ356"/>
      <c r="AK356"/>
      <c r="AR356"/>
      <c r="AS356"/>
      <c r="AT356"/>
      <c r="AU356"/>
      <c r="AV356"/>
      <c r="AW356"/>
      <c r="AX356"/>
      <c r="AY356"/>
      <c r="AZ356"/>
      <c r="BA356"/>
      <c r="BB356"/>
      <c r="BC356"/>
      <c r="BD356"/>
      <c r="BE356"/>
      <c r="BL356"/>
      <c r="BP356"/>
      <c r="BQ356"/>
      <c r="BR356"/>
      <c r="CD356"/>
      <c r="CE356"/>
      <c r="CF356"/>
      <c r="CQ356"/>
      <c r="CR356"/>
      <c r="CS356"/>
      <c r="DS356"/>
      <c r="DT356"/>
      <c r="DU356"/>
    </row>
    <row r="357" spans="1:125" hidden="1">
      <c r="A357"/>
      <c r="AJ357"/>
      <c r="AK357"/>
      <c r="AR357"/>
      <c r="AS357"/>
      <c r="AT357"/>
      <c r="AU357"/>
      <c r="AV357"/>
      <c r="AW357"/>
      <c r="AX357"/>
      <c r="AY357"/>
      <c r="AZ357"/>
      <c r="BA357"/>
      <c r="BB357"/>
      <c r="BC357"/>
      <c r="BD357"/>
      <c r="BE357"/>
      <c r="BL357"/>
      <c r="BP357"/>
      <c r="BQ357"/>
      <c r="BR357"/>
      <c r="CD357"/>
      <c r="CE357"/>
      <c r="CF357"/>
      <c r="CQ357"/>
      <c r="CR357"/>
      <c r="CS357"/>
      <c r="DS357"/>
      <c r="DT357"/>
      <c r="DU357"/>
    </row>
    <row r="358" spans="1:125" hidden="1">
      <c r="A358"/>
      <c r="AJ358"/>
      <c r="AK358"/>
      <c r="AR358"/>
      <c r="AS358"/>
      <c r="AT358"/>
      <c r="AU358"/>
      <c r="AV358"/>
      <c r="AW358"/>
      <c r="AX358"/>
      <c r="AY358"/>
      <c r="AZ358"/>
      <c r="BA358"/>
      <c r="BB358"/>
      <c r="BC358"/>
      <c r="BD358"/>
      <c r="BE358"/>
      <c r="BL358"/>
      <c r="BP358"/>
      <c r="BQ358"/>
      <c r="BR358"/>
      <c r="CD358"/>
      <c r="CE358"/>
      <c r="CF358"/>
      <c r="CQ358"/>
      <c r="CR358"/>
      <c r="CS358"/>
      <c r="DS358"/>
      <c r="DT358"/>
      <c r="DU358"/>
    </row>
    <row r="359" spans="1:125" hidden="1">
      <c r="A359"/>
      <c r="AJ359"/>
      <c r="AK359"/>
      <c r="AR359"/>
      <c r="AS359"/>
      <c r="AT359"/>
      <c r="AU359"/>
      <c r="AV359"/>
      <c r="AW359"/>
      <c r="AX359"/>
      <c r="AY359"/>
      <c r="AZ359"/>
      <c r="BA359"/>
      <c r="BB359"/>
      <c r="BC359"/>
      <c r="BD359"/>
      <c r="BE359"/>
      <c r="BL359"/>
      <c r="BP359"/>
      <c r="BQ359"/>
      <c r="BR359"/>
      <c r="CD359"/>
      <c r="CE359"/>
      <c r="CF359"/>
      <c r="CQ359"/>
      <c r="CR359"/>
      <c r="CS359"/>
      <c r="DS359"/>
      <c r="DT359"/>
      <c r="DU359"/>
    </row>
    <row r="360" spans="1:125" hidden="1">
      <c r="A360"/>
      <c r="AJ360"/>
      <c r="AK360"/>
      <c r="AR360"/>
      <c r="AS360"/>
      <c r="AT360"/>
      <c r="AU360"/>
      <c r="AV360"/>
      <c r="AW360"/>
      <c r="AX360"/>
      <c r="AY360"/>
      <c r="AZ360"/>
      <c r="BA360"/>
      <c r="BB360"/>
      <c r="BC360"/>
      <c r="BD360"/>
      <c r="BE360"/>
      <c r="BL360"/>
      <c r="BP360"/>
      <c r="BQ360"/>
      <c r="BR360"/>
      <c r="CD360"/>
      <c r="CE360"/>
      <c r="CF360"/>
      <c r="CQ360"/>
      <c r="CR360"/>
      <c r="CS360"/>
      <c r="DS360"/>
      <c r="DT360"/>
      <c r="DU360"/>
    </row>
    <row r="361" spans="1:125" hidden="1">
      <c r="A361"/>
      <c r="AJ361"/>
      <c r="AK361"/>
      <c r="AR361"/>
      <c r="AS361"/>
      <c r="AT361"/>
      <c r="AU361"/>
      <c r="AV361"/>
      <c r="AW361"/>
      <c r="AX361"/>
      <c r="AY361"/>
      <c r="AZ361"/>
      <c r="BA361"/>
      <c r="BB361"/>
      <c r="BC361"/>
      <c r="BD361"/>
      <c r="BE361"/>
      <c r="BL361"/>
      <c r="BP361"/>
      <c r="BQ361"/>
      <c r="BR361"/>
      <c r="CD361"/>
      <c r="CE361"/>
      <c r="CF361"/>
      <c r="CQ361"/>
      <c r="CR361"/>
      <c r="CS361"/>
      <c r="DS361"/>
      <c r="DT361"/>
      <c r="DU361"/>
    </row>
    <row r="362" spans="1:125" hidden="1">
      <c r="A362"/>
      <c r="AJ362"/>
      <c r="AK362"/>
      <c r="AR362"/>
      <c r="AS362"/>
      <c r="AT362"/>
      <c r="AU362"/>
      <c r="AV362"/>
      <c r="AW362"/>
      <c r="AX362"/>
      <c r="AY362"/>
      <c r="AZ362"/>
      <c r="BA362"/>
      <c r="BB362"/>
      <c r="BC362"/>
      <c r="BD362"/>
      <c r="BE362"/>
      <c r="BL362"/>
      <c r="BP362"/>
      <c r="BQ362"/>
      <c r="BR362"/>
      <c r="CD362"/>
      <c r="CE362"/>
      <c r="CF362"/>
      <c r="CQ362"/>
      <c r="CR362"/>
      <c r="CS362"/>
      <c r="DS362"/>
      <c r="DT362"/>
      <c r="DU362"/>
    </row>
    <row r="363" spans="1:125" hidden="1">
      <c r="A363"/>
      <c r="AJ363"/>
      <c r="AK363"/>
      <c r="AR363"/>
      <c r="AS363"/>
      <c r="AT363"/>
      <c r="AU363"/>
      <c r="AV363"/>
      <c r="AW363"/>
      <c r="AX363"/>
      <c r="AY363"/>
      <c r="AZ363"/>
      <c r="BA363"/>
      <c r="BB363"/>
      <c r="BC363"/>
      <c r="BD363"/>
      <c r="BE363"/>
      <c r="BL363"/>
      <c r="BP363"/>
      <c r="BQ363"/>
      <c r="BR363"/>
      <c r="CD363"/>
      <c r="CE363"/>
      <c r="CF363"/>
      <c r="CQ363"/>
      <c r="CR363"/>
      <c r="CS363"/>
      <c r="DS363"/>
      <c r="DT363"/>
      <c r="DU363"/>
    </row>
    <row r="364" spans="1:125" hidden="1">
      <c r="A364"/>
      <c r="AJ364"/>
      <c r="AK364"/>
      <c r="AR364"/>
      <c r="AS364"/>
      <c r="AT364"/>
      <c r="AU364"/>
      <c r="AV364"/>
      <c r="AW364"/>
      <c r="AX364"/>
      <c r="AY364"/>
      <c r="AZ364"/>
      <c r="BA364"/>
      <c r="BB364"/>
      <c r="BC364"/>
      <c r="BD364"/>
      <c r="BE364"/>
      <c r="BL364"/>
      <c r="BP364"/>
      <c r="BQ364"/>
      <c r="BR364"/>
      <c r="CD364"/>
      <c r="CE364"/>
      <c r="CF364"/>
      <c r="CQ364"/>
      <c r="CR364"/>
      <c r="CS364"/>
      <c r="DS364"/>
      <c r="DT364"/>
      <c r="DU364"/>
    </row>
    <row r="365" spans="1:125" hidden="1">
      <c r="A365"/>
      <c r="AJ365"/>
      <c r="AK365"/>
      <c r="AR365"/>
      <c r="AS365"/>
      <c r="AT365"/>
      <c r="AU365"/>
      <c r="AV365"/>
      <c r="AW365"/>
      <c r="AX365"/>
      <c r="AY365"/>
      <c r="AZ365"/>
      <c r="BA365"/>
      <c r="BB365"/>
      <c r="BC365"/>
      <c r="BD365"/>
      <c r="BE365"/>
      <c r="BL365"/>
      <c r="BP365"/>
      <c r="BQ365"/>
      <c r="BR365"/>
      <c r="CD365"/>
      <c r="CE365"/>
      <c r="CF365"/>
      <c r="CQ365"/>
      <c r="CR365"/>
      <c r="CS365"/>
      <c r="DS365"/>
      <c r="DT365"/>
      <c r="DU365"/>
    </row>
    <row r="366" spans="1:125" hidden="1">
      <c r="A366"/>
      <c r="AJ366"/>
      <c r="AK366"/>
      <c r="AR366"/>
      <c r="AS366"/>
      <c r="AT366"/>
      <c r="AU366"/>
      <c r="AV366"/>
      <c r="AW366"/>
      <c r="AX366"/>
      <c r="AY366"/>
      <c r="AZ366"/>
      <c r="BA366"/>
      <c r="BB366"/>
      <c r="BC366"/>
      <c r="BD366"/>
      <c r="BE366"/>
      <c r="BL366"/>
      <c r="BP366"/>
      <c r="BQ366"/>
      <c r="BR366"/>
      <c r="CD366"/>
      <c r="CE366"/>
      <c r="CF366"/>
      <c r="CQ366"/>
      <c r="CR366"/>
      <c r="CS366"/>
      <c r="DS366"/>
      <c r="DT366"/>
      <c r="DU366"/>
    </row>
    <row r="367" spans="1:125" hidden="1">
      <c r="A367"/>
      <c r="AJ367"/>
      <c r="AK367"/>
      <c r="AR367"/>
      <c r="AS367"/>
      <c r="AT367"/>
      <c r="AU367"/>
      <c r="AV367"/>
      <c r="AW367"/>
      <c r="AX367"/>
      <c r="AY367"/>
      <c r="AZ367"/>
      <c r="BA367"/>
      <c r="BB367"/>
      <c r="BC367"/>
      <c r="BD367"/>
      <c r="BE367"/>
      <c r="BL367"/>
      <c r="BP367"/>
      <c r="BQ367"/>
      <c r="BR367"/>
      <c r="CD367"/>
      <c r="CE367"/>
      <c r="CF367"/>
      <c r="CQ367"/>
      <c r="CR367"/>
      <c r="CS367"/>
      <c r="DS367"/>
      <c r="DT367"/>
      <c r="DU367"/>
    </row>
    <row r="368" spans="1:125" hidden="1">
      <c r="A368"/>
      <c r="AJ368"/>
      <c r="AK368"/>
      <c r="AR368"/>
      <c r="AS368"/>
      <c r="AT368"/>
      <c r="AU368"/>
      <c r="AV368"/>
      <c r="AW368"/>
      <c r="AX368"/>
      <c r="AY368"/>
      <c r="AZ368"/>
      <c r="BA368"/>
      <c r="BB368"/>
      <c r="BC368"/>
      <c r="BD368"/>
      <c r="BE368"/>
      <c r="BL368"/>
      <c r="BP368"/>
      <c r="BQ368"/>
      <c r="BR368"/>
      <c r="CD368"/>
      <c r="CE368"/>
      <c r="CF368"/>
      <c r="CQ368"/>
      <c r="CR368"/>
      <c r="CS368"/>
      <c r="DS368"/>
      <c r="DT368"/>
      <c r="DU368"/>
    </row>
    <row r="369" spans="1:125" hidden="1">
      <c r="A369"/>
      <c r="AJ369"/>
      <c r="AK369"/>
      <c r="AR369"/>
      <c r="AS369"/>
      <c r="AT369"/>
      <c r="AU369"/>
      <c r="AV369"/>
      <c r="AW369"/>
      <c r="AX369"/>
      <c r="AY369"/>
      <c r="AZ369"/>
      <c r="BA369"/>
      <c r="BB369"/>
      <c r="BC369"/>
      <c r="BD369"/>
      <c r="BE369"/>
      <c r="BL369"/>
      <c r="BP369"/>
      <c r="BQ369"/>
      <c r="BR369"/>
      <c r="CD369"/>
      <c r="CE369"/>
      <c r="CF369"/>
      <c r="CQ369"/>
      <c r="CR369"/>
      <c r="CS369"/>
      <c r="DS369"/>
      <c r="DT369"/>
      <c r="DU369"/>
    </row>
    <row r="370" spans="1:125" hidden="1">
      <c r="A370"/>
      <c r="AJ370"/>
      <c r="AK370"/>
      <c r="AR370"/>
      <c r="AS370"/>
      <c r="AT370"/>
      <c r="AU370"/>
      <c r="AV370"/>
      <c r="AW370"/>
      <c r="AX370"/>
      <c r="AY370"/>
      <c r="AZ370"/>
      <c r="BA370"/>
      <c r="BB370"/>
      <c r="BC370"/>
      <c r="BD370"/>
      <c r="BE370"/>
      <c r="BL370"/>
      <c r="BP370"/>
      <c r="BQ370"/>
      <c r="BR370"/>
      <c r="CD370"/>
      <c r="CE370"/>
      <c r="CF370"/>
      <c r="CQ370"/>
      <c r="CR370"/>
      <c r="CS370"/>
      <c r="DS370"/>
      <c r="DT370"/>
      <c r="DU370"/>
    </row>
    <row r="371" spans="1:125" hidden="1">
      <c r="A371"/>
      <c r="AJ371"/>
      <c r="AK371"/>
      <c r="AR371"/>
      <c r="AS371"/>
      <c r="AT371"/>
      <c r="AU371"/>
      <c r="AV371"/>
      <c r="AW371"/>
      <c r="AX371"/>
      <c r="AY371"/>
      <c r="AZ371"/>
      <c r="BA371"/>
      <c r="BB371"/>
      <c r="BC371"/>
      <c r="BD371"/>
      <c r="BE371"/>
      <c r="BL371"/>
      <c r="BP371"/>
      <c r="BQ371"/>
      <c r="BR371"/>
      <c r="CD371"/>
      <c r="CE371"/>
      <c r="CF371"/>
      <c r="CQ371"/>
      <c r="CR371"/>
      <c r="CS371"/>
      <c r="DS371"/>
      <c r="DT371"/>
      <c r="DU371"/>
    </row>
    <row r="372" spans="1:125" hidden="1">
      <c r="A372"/>
      <c r="AJ372"/>
      <c r="AK372"/>
      <c r="AR372"/>
      <c r="AS372"/>
      <c r="AT372"/>
      <c r="AU372"/>
      <c r="AV372"/>
      <c r="AW372"/>
      <c r="AX372"/>
      <c r="AY372"/>
      <c r="AZ372"/>
      <c r="BA372"/>
      <c r="BB372"/>
      <c r="BC372"/>
      <c r="BD372"/>
      <c r="BE372"/>
      <c r="BL372"/>
      <c r="BP372"/>
      <c r="BQ372"/>
      <c r="BR372"/>
      <c r="CD372"/>
      <c r="CE372"/>
      <c r="CF372"/>
      <c r="CQ372"/>
      <c r="CR372"/>
      <c r="CS372"/>
      <c r="DS372"/>
      <c r="DT372"/>
      <c r="DU372"/>
    </row>
    <row r="373" spans="1:125" hidden="1">
      <c r="A373"/>
      <c r="AJ373"/>
      <c r="AK373"/>
      <c r="AR373"/>
      <c r="AS373"/>
      <c r="AT373"/>
      <c r="AU373"/>
      <c r="AV373"/>
      <c r="AW373"/>
      <c r="AX373"/>
      <c r="AY373"/>
      <c r="AZ373"/>
      <c r="BA373"/>
      <c r="BB373"/>
      <c r="BC373"/>
      <c r="BD373"/>
      <c r="BE373"/>
      <c r="BL373"/>
      <c r="BP373"/>
      <c r="BQ373"/>
      <c r="BR373"/>
      <c r="CD373"/>
      <c r="CE373"/>
      <c r="CF373"/>
      <c r="CQ373"/>
      <c r="CR373"/>
      <c r="CS373"/>
      <c r="DS373"/>
      <c r="DT373"/>
      <c r="DU373"/>
    </row>
    <row r="374" spans="1:125" hidden="1">
      <c r="A374"/>
      <c r="AJ374"/>
      <c r="AK374"/>
      <c r="AR374"/>
      <c r="AS374"/>
      <c r="AT374"/>
      <c r="AU374"/>
      <c r="AV374"/>
      <c r="AW374"/>
      <c r="AX374"/>
      <c r="AY374"/>
      <c r="AZ374"/>
      <c r="BA374"/>
      <c r="BB374"/>
      <c r="BC374"/>
      <c r="BD374"/>
      <c r="BE374"/>
      <c r="BL374"/>
      <c r="BP374"/>
      <c r="BQ374"/>
      <c r="BR374"/>
      <c r="CD374"/>
      <c r="CE374"/>
      <c r="CF374"/>
      <c r="CQ374"/>
      <c r="CR374"/>
      <c r="CS374"/>
      <c r="DS374"/>
      <c r="DT374"/>
      <c r="DU374"/>
    </row>
    <row r="375" spans="1:125" hidden="1">
      <c r="A375"/>
      <c r="AJ375"/>
      <c r="AK375"/>
      <c r="AR375"/>
      <c r="AS375"/>
      <c r="AT375"/>
      <c r="AU375"/>
      <c r="AV375"/>
      <c r="AW375"/>
      <c r="AX375"/>
      <c r="AY375"/>
      <c r="AZ375"/>
      <c r="BA375"/>
      <c r="BB375"/>
      <c r="BC375"/>
      <c r="BD375"/>
      <c r="BE375"/>
      <c r="BL375"/>
      <c r="BP375"/>
      <c r="BQ375"/>
      <c r="BR375"/>
      <c r="CD375"/>
      <c r="CE375"/>
      <c r="CF375"/>
      <c r="CQ375"/>
      <c r="CR375"/>
      <c r="CS375"/>
      <c r="DS375"/>
      <c r="DT375"/>
      <c r="DU375"/>
    </row>
    <row r="376" spans="1:125" hidden="1">
      <c r="A376"/>
      <c r="AJ376"/>
      <c r="AK376"/>
      <c r="AR376"/>
      <c r="AS376"/>
      <c r="AT376"/>
      <c r="AU376"/>
      <c r="AV376"/>
      <c r="AW376"/>
      <c r="AX376"/>
      <c r="AY376"/>
      <c r="AZ376"/>
      <c r="BA376"/>
      <c r="BB376"/>
      <c r="BC376"/>
      <c r="BD376"/>
      <c r="BE376"/>
      <c r="BL376"/>
      <c r="BP376"/>
      <c r="BQ376"/>
      <c r="BR376"/>
      <c r="CD376"/>
      <c r="CE376"/>
      <c r="CF376"/>
      <c r="CQ376"/>
      <c r="CR376"/>
      <c r="CS376"/>
      <c r="DS376"/>
      <c r="DT376"/>
      <c r="DU376"/>
    </row>
    <row r="377" spans="1:125" hidden="1">
      <c r="A377"/>
      <c r="AJ377"/>
      <c r="AK377"/>
      <c r="AR377"/>
      <c r="AS377"/>
      <c r="AT377"/>
      <c r="AU377"/>
      <c r="AV377"/>
      <c r="AW377"/>
      <c r="AX377"/>
      <c r="AY377"/>
      <c r="AZ377"/>
      <c r="BA377"/>
      <c r="BB377"/>
      <c r="BC377"/>
      <c r="BD377"/>
      <c r="BE377"/>
      <c r="BL377"/>
      <c r="BP377"/>
      <c r="BQ377"/>
      <c r="BR377"/>
      <c r="CD377"/>
      <c r="CE377"/>
      <c r="CF377"/>
      <c r="CQ377"/>
      <c r="CR377"/>
      <c r="CS377"/>
      <c r="DS377"/>
      <c r="DT377"/>
      <c r="DU377"/>
    </row>
    <row r="378" spans="1:125" hidden="1">
      <c r="A378"/>
      <c r="AJ378"/>
      <c r="AK378"/>
      <c r="AR378"/>
      <c r="AS378"/>
      <c r="AT378"/>
      <c r="AU378"/>
      <c r="AV378"/>
      <c r="AW378"/>
      <c r="AX378"/>
      <c r="AY378"/>
      <c r="AZ378"/>
      <c r="BA378"/>
      <c r="BB378"/>
      <c r="BC378"/>
      <c r="BD378"/>
      <c r="BE378"/>
      <c r="BL378"/>
      <c r="BP378"/>
      <c r="BQ378"/>
      <c r="BR378"/>
      <c r="CD378"/>
      <c r="CE378"/>
      <c r="CF378"/>
      <c r="CQ378"/>
      <c r="CR378"/>
      <c r="CS378"/>
      <c r="DS378"/>
      <c r="DT378"/>
      <c r="DU378"/>
    </row>
    <row r="379" spans="1:125" hidden="1">
      <c r="A379"/>
      <c r="AJ379"/>
      <c r="AK379"/>
      <c r="AR379"/>
      <c r="AS379"/>
      <c r="AT379"/>
      <c r="AU379"/>
      <c r="AV379"/>
      <c r="AW379"/>
      <c r="AX379"/>
      <c r="AY379"/>
      <c r="AZ379"/>
      <c r="BA379"/>
      <c r="BB379"/>
      <c r="BC379"/>
      <c r="BD379"/>
      <c r="BE379"/>
      <c r="BL379"/>
      <c r="BP379"/>
      <c r="BQ379"/>
      <c r="BR379"/>
      <c r="CD379"/>
      <c r="CE379"/>
      <c r="CF379"/>
      <c r="CQ379"/>
      <c r="CR379"/>
      <c r="CS379"/>
      <c r="DS379"/>
      <c r="DT379"/>
      <c r="DU379"/>
    </row>
    <row r="380" spans="1:125" hidden="1">
      <c r="A380"/>
      <c r="AJ380"/>
      <c r="AK380"/>
      <c r="AR380"/>
      <c r="AS380"/>
      <c r="AT380"/>
      <c r="AU380"/>
      <c r="AV380"/>
      <c r="AW380"/>
      <c r="AX380"/>
      <c r="AY380"/>
      <c r="AZ380"/>
      <c r="BA380"/>
      <c r="BB380"/>
      <c r="BC380"/>
      <c r="BD380"/>
      <c r="BE380"/>
      <c r="BL380"/>
      <c r="BP380"/>
      <c r="BQ380"/>
      <c r="BR380"/>
      <c r="CD380"/>
      <c r="CE380"/>
      <c r="CF380"/>
      <c r="CQ380"/>
      <c r="CR380"/>
      <c r="CS380"/>
      <c r="DS380"/>
      <c r="DT380"/>
      <c r="DU380"/>
    </row>
    <row r="381" spans="1:125" hidden="1">
      <c r="A381"/>
      <c r="AJ381"/>
      <c r="AK381"/>
      <c r="AR381"/>
      <c r="AS381"/>
      <c r="AT381"/>
      <c r="AU381"/>
      <c r="AV381"/>
      <c r="AW381"/>
      <c r="AX381"/>
      <c r="AY381"/>
      <c r="AZ381"/>
      <c r="BA381"/>
      <c r="BB381"/>
      <c r="BC381"/>
      <c r="BD381"/>
      <c r="BE381"/>
      <c r="BL381"/>
      <c r="BP381"/>
      <c r="BQ381"/>
      <c r="BR381"/>
      <c r="CD381"/>
      <c r="CE381"/>
      <c r="CF381"/>
      <c r="CQ381"/>
      <c r="CR381"/>
      <c r="CS381"/>
      <c r="DS381"/>
      <c r="DT381"/>
      <c r="DU381"/>
    </row>
    <row r="382" spans="1:125" hidden="1">
      <c r="A382"/>
      <c r="AJ382"/>
      <c r="AK382"/>
      <c r="AR382"/>
      <c r="AS382"/>
      <c r="AT382"/>
      <c r="AU382"/>
      <c r="AV382"/>
      <c r="AW382"/>
      <c r="AX382"/>
      <c r="AY382"/>
      <c r="AZ382"/>
      <c r="BA382"/>
      <c r="BB382"/>
      <c r="BC382"/>
      <c r="BD382"/>
      <c r="BE382"/>
      <c r="BL382"/>
      <c r="BP382"/>
      <c r="BQ382"/>
      <c r="BR382"/>
      <c r="CD382"/>
      <c r="CE382"/>
      <c r="CF382"/>
      <c r="CQ382"/>
      <c r="CR382"/>
      <c r="CS382"/>
      <c r="DS382"/>
      <c r="DT382"/>
      <c r="DU382"/>
    </row>
    <row r="383" spans="1:125" hidden="1">
      <c r="A383"/>
      <c r="AJ383"/>
      <c r="AK383"/>
      <c r="AR383"/>
      <c r="AS383"/>
      <c r="AT383"/>
      <c r="AU383"/>
      <c r="AV383"/>
      <c r="AW383"/>
      <c r="AX383"/>
      <c r="AY383"/>
      <c r="AZ383"/>
      <c r="BA383"/>
      <c r="BB383"/>
      <c r="BC383"/>
      <c r="BD383"/>
      <c r="BE383"/>
      <c r="BL383"/>
      <c r="BP383"/>
      <c r="BQ383"/>
      <c r="BR383"/>
      <c r="CD383"/>
      <c r="CE383"/>
      <c r="CF383"/>
      <c r="CQ383"/>
      <c r="CR383"/>
      <c r="CS383"/>
      <c r="DS383"/>
      <c r="DT383"/>
      <c r="DU383"/>
    </row>
    <row r="384" spans="1:125" hidden="1">
      <c r="A384"/>
      <c r="AJ384"/>
      <c r="AK384"/>
      <c r="AR384"/>
      <c r="AS384"/>
      <c r="AT384"/>
      <c r="AU384"/>
      <c r="AV384"/>
      <c r="AW384"/>
      <c r="AX384"/>
      <c r="AY384"/>
      <c r="AZ384"/>
      <c r="BA384"/>
      <c r="BB384"/>
      <c r="BC384"/>
      <c r="BD384"/>
      <c r="BE384"/>
      <c r="BL384"/>
      <c r="BP384"/>
      <c r="BQ384"/>
      <c r="BR384"/>
      <c r="CD384"/>
      <c r="CE384"/>
      <c r="CF384"/>
      <c r="CQ384"/>
      <c r="CR384"/>
      <c r="CS384"/>
      <c r="DS384"/>
      <c r="DT384"/>
      <c r="DU384"/>
    </row>
    <row r="385" spans="1:125" hidden="1">
      <c r="A385"/>
      <c r="AJ385"/>
      <c r="AK385"/>
      <c r="AR385"/>
      <c r="AS385"/>
      <c r="AT385"/>
      <c r="AU385"/>
      <c r="AV385"/>
      <c r="AW385"/>
      <c r="AX385"/>
      <c r="AY385"/>
      <c r="AZ385"/>
      <c r="BA385"/>
      <c r="BB385"/>
      <c r="BC385"/>
      <c r="BD385"/>
      <c r="BE385"/>
      <c r="BL385"/>
      <c r="BP385"/>
      <c r="BQ385"/>
      <c r="BR385"/>
      <c r="CD385"/>
      <c r="CE385"/>
      <c r="CF385"/>
      <c r="CQ385"/>
      <c r="CR385"/>
      <c r="CS385"/>
      <c r="DS385"/>
      <c r="DT385"/>
      <c r="DU385"/>
    </row>
    <row r="386" spans="1:125" hidden="1">
      <c r="A386"/>
      <c r="AJ386"/>
      <c r="AK386"/>
      <c r="AR386"/>
      <c r="AS386"/>
      <c r="AT386"/>
      <c r="AU386"/>
      <c r="AV386"/>
      <c r="AW386"/>
      <c r="AX386"/>
      <c r="AY386"/>
      <c r="AZ386"/>
      <c r="BA386"/>
      <c r="BB386"/>
      <c r="BC386"/>
      <c r="BD386"/>
      <c r="BE386"/>
      <c r="BL386"/>
      <c r="BP386"/>
      <c r="BQ386"/>
      <c r="BR386"/>
      <c r="CD386"/>
      <c r="CE386"/>
      <c r="CF386"/>
      <c r="CQ386"/>
      <c r="CR386"/>
      <c r="CS386"/>
      <c r="DS386"/>
      <c r="DT386"/>
      <c r="DU386"/>
    </row>
    <row r="387" spans="1:125" hidden="1">
      <c r="A387"/>
      <c r="AJ387"/>
      <c r="AK387"/>
      <c r="AR387"/>
      <c r="AS387"/>
      <c r="AT387"/>
      <c r="AU387"/>
      <c r="AV387"/>
      <c r="AW387"/>
      <c r="AX387"/>
      <c r="AY387"/>
      <c r="AZ387"/>
      <c r="BA387"/>
      <c r="BB387"/>
      <c r="BC387"/>
      <c r="BD387"/>
      <c r="BE387"/>
      <c r="BL387"/>
      <c r="BP387"/>
      <c r="BQ387"/>
      <c r="BR387"/>
      <c r="CD387"/>
      <c r="CE387"/>
      <c r="CF387"/>
      <c r="CQ387"/>
      <c r="CR387"/>
      <c r="CS387"/>
      <c r="DS387"/>
      <c r="DT387"/>
      <c r="DU387"/>
    </row>
    <row r="388" spans="1:125" hidden="1">
      <c r="A388"/>
      <c r="AJ388"/>
      <c r="AK388"/>
      <c r="AR388"/>
      <c r="AS388"/>
      <c r="AT388"/>
      <c r="AU388"/>
      <c r="AV388"/>
      <c r="AW388"/>
      <c r="AX388"/>
      <c r="AY388"/>
      <c r="AZ388"/>
      <c r="BA388"/>
      <c r="BB388"/>
      <c r="BC388"/>
      <c r="BD388"/>
      <c r="BE388"/>
      <c r="BL388"/>
      <c r="BP388"/>
      <c r="BQ388"/>
      <c r="BR388"/>
      <c r="CD388"/>
      <c r="CE388"/>
      <c r="CF388"/>
      <c r="CQ388"/>
      <c r="CR388"/>
      <c r="CS388"/>
      <c r="DS388"/>
      <c r="DT388"/>
      <c r="DU388"/>
    </row>
    <row r="389" spans="1:125" hidden="1">
      <c r="A389"/>
      <c r="AJ389"/>
      <c r="AK389"/>
      <c r="AR389"/>
      <c r="AS389"/>
      <c r="AT389"/>
      <c r="AU389"/>
      <c r="AV389"/>
      <c r="AW389"/>
      <c r="AX389"/>
      <c r="AY389"/>
      <c r="AZ389"/>
      <c r="BA389"/>
      <c r="BB389"/>
      <c r="BC389"/>
      <c r="BD389"/>
      <c r="BE389"/>
      <c r="BL389"/>
      <c r="BP389"/>
      <c r="BQ389"/>
      <c r="BR389"/>
      <c r="CD389"/>
      <c r="CE389"/>
      <c r="CF389"/>
      <c r="CQ389"/>
      <c r="CR389"/>
      <c r="CS389"/>
      <c r="DS389"/>
      <c r="DT389"/>
      <c r="DU389"/>
    </row>
    <row r="390" spans="1:125" hidden="1">
      <c r="A390"/>
      <c r="AJ390"/>
      <c r="AK390"/>
      <c r="AR390"/>
      <c r="AS390"/>
      <c r="AT390"/>
      <c r="AU390"/>
      <c r="AV390"/>
      <c r="AW390"/>
      <c r="AX390"/>
      <c r="AY390"/>
      <c r="AZ390"/>
      <c r="BA390"/>
      <c r="BB390"/>
      <c r="BC390"/>
      <c r="BD390"/>
      <c r="BE390"/>
      <c r="BL390"/>
      <c r="BP390"/>
      <c r="BQ390"/>
      <c r="BR390"/>
      <c r="CD390"/>
      <c r="CE390"/>
      <c r="CF390"/>
      <c r="CQ390"/>
      <c r="CR390"/>
      <c r="CS390"/>
      <c r="DS390"/>
      <c r="DT390"/>
      <c r="DU390"/>
    </row>
    <row r="391" spans="1:125" hidden="1">
      <c r="A391"/>
      <c r="AJ391"/>
      <c r="AK391"/>
      <c r="AR391"/>
      <c r="AS391"/>
      <c r="AT391"/>
      <c r="AU391"/>
      <c r="AV391"/>
      <c r="AW391"/>
      <c r="AX391"/>
      <c r="AY391"/>
      <c r="AZ391"/>
      <c r="BA391"/>
      <c r="BB391"/>
      <c r="BC391"/>
      <c r="BD391"/>
      <c r="BE391"/>
      <c r="BL391"/>
      <c r="BP391"/>
      <c r="BQ391"/>
      <c r="BR391"/>
      <c r="CD391"/>
      <c r="CE391"/>
      <c r="CF391"/>
      <c r="CQ391"/>
      <c r="CR391"/>
      <c r="CS391"/>
      <c r="DS391"/>
      <c r="DT391"/>
      <c r="DU391"/>
    </row>
    <row r="392" spans="1:125" hidden="1">
      <c r="A392"/>
      <c r="AJ392"/>
      <c r="AK392"/>
      <c r="AR392"/>
      <c r="AS392"/>
      <c r="AT392"/>
      <c r="AU392"/>
      <c r="AV392"/>
      <c r="AW392"/>
      <c r="AX392"/>
      <c r="AY392"/>
      <c r="AZ392"/>
      <c r="BA392"/>
      <c r="BB392"/>
      <c r="BC392"/>
      <c r="BD392"/>
      <c r="BE392"/>
      <c r="BL392"/>
      <c r="BP392"/>
      <c r="BQ392"/>
      <c r="BR392"/>
      <c r="CD392"/>
      <c r="CE392"/>
      <c r="CF392"/>
      <c r="CQ392"/>
      <c r="CR392"/>
      <c r="CS392"/>
      <c r="DS392"/>
      <c r="DT392"/>
      <c r="DU392"/>
    </row>
    <row r="393" spans="1:125" hidden="1">
      <c r="A393"/>
      <c r="AJ393"/>
      <c r="AK393"/>
      <c r="AR393"/>
      <c r="AS393"/>
      <c r="AT393"/>
      <c r="AU393"/>
      <c r="AV393"/>
      <c r="AW393"/>
      <c r="AX393"/>
      <c r="AY393"/>
      <c r="AZ393"/>
      <c r="BA393"/>
      <c r="BB393"/>
      <c r="BC393"/>
      <c r="BD393"/>
      <c r="BE393"/>
      <c r="BL393"/>
      <c r="BP393"/>
      <c r="BQ393"/>
      <c r="BR393"/>
      <c r="CD393"/>
      <c r="CE393"/>
      <c r="CF393"/>
      <c r="CQ393"/>
      <c r="CR393"/>
      <c r="CS393"/>
      <c r="DS393"/>
      <c r="DT393"/>
      <c r="DU393"/>
    </row>
    <row r="394" spans="1:125" hidden="1">
      <c r="A394"/>
      <c r="AJ394"/>
      <c r="AK394"/>
      <c r="AR394"/>
      <c r="AS394"/>
      <c r="AT394"/>
      <c r="AU394"/>
      <c r="AV394"/>
      <c r="AW394"/>
      <c r="AX394"/>
      <c r="AY394"/>
      <c r="AZ394"/>
      <c r="BA394"/>
      <c r="BB394"/>
      <c r="BC394"/>
      <c r="BD394"/>
      <c r="BE394"/>
      <c r="BL394"/>
      <c r="BP394"/>
      <c r="BQ394"/>
      <c r="BR394"/>
      <c r="CD394"/>
      <c r="CE394"/>
      <c r="CF394"/>
      <c r="CQ394"/>
      <c r="CR394"/>
      <c r="CS394"/>
      <c r="DS394"/>
      <c r="DT394"/>
      <c r="DU394"/>
    </row>
    <row r="395" spans="1:125" hidden="1">
      <c r="A395"/>
      <c r="AJ395"/>
      <c r="AK395"/>
      <c r="AR395"/>
      <c r="AS395"/>
      <c r="AT395"/>
      <c r="AU395"/>
      <c r="AV395"/>
      <c r="AW395"/>
      <c r="AX395"/>
      <c r="AY395"/>
      <c r="AZ395"/>
      <c r="BA395"/>
      <c r="BB395"/>
      <c r="BC395"/>
      <c r="BD395"/>
      <c r="BE395"/>
      <c r="BL395"/>
      <c r="BP395"/>
      <c r="BQ395"/>
      <c r="BR395"/>
      <c r="CD395"/>
      <c r="CE395"/>
      <c r="CF395"/>
      <c r="CQ395"/>
      <c r="CR395"/>
      <c r="CS395"/>
      <c r="DS395"/>
      <c r="DT395"/>
      <c r="DU395"/>
    </row>
    <row r="396" spans="1:125" hidden="1">
      <c r="A396"/>
      <c r="AJ396"/>
      <c r="AK396"/>
      <c r="AR396"/>
      <c r="AS396"/>
      <c r="AT396"/>
      <c r="AU396"/>
      <c r="AV396"/>
      <c r="AW396"/>
      <c r="AX396"/>
      <c r="AY396"/>
      <c r="AZ396"/>
      <c r="BA396"/>
      <c r="BB396"/>
      <c r="BC396"/>
      <c r="BD396"/>
      <c r="BE396"/>
      <c r="BL396"/>
      <c r="BP396"/>
      <c r="BQ396"/>
      <c r="BR396"/>
      <c r="CD396"/>
      <c r="CE396"/>
      <c r="CF396"/>
      <c r="CQ396"/>
      <c r="CR396"/>
      <c r="CS396"/>
      <c r="DS396"/>
      <c r="DT396"/>
      <c r="DU396"/>
    </row>
    <row r="397" spans="1:125" hidden="1">
      <c r="A397"/>
      <c r="AJ397"/>
      <c r="AK397"/>
      <c r="AR397"/>
      <c r="AS397"/>
      <c r="AT397"/>
      <c r="AU397"/>
      <c r="AV397"/>
      <c r="AW397"/>
      <c r="AX397"/>
      <c r="AY397"/>
      <c r="AZ397"/>
      <c r="BA397"/>
      <c r="BB397"/>
      <c r="BC397"/>
      <c r="BD397"/>
      <c r="BE397"/>
      <c r="BL397"/>
      <c r="BP397"/>
      <c r="BQ397"/>
      <c r="BR397"/>
      <c r="CD397"/>
      <c r="CE397"/>
      <c r="CF397"/>
      <c r="CQ397"/>
      <c r="CR397"/>
      <c r="CS397"/>
      <c r="DS397"/>
      <c r="DT397"/>
      <c r="DU397"/>
    </row>
    <row r="398" spans="1:125" hidden="1">
      <c r="A398"/>
      <c r="AJ398"/>
      <c r="AK398"/>
      <c r="AR398"/>
      <c r="AS398"/>
      <c r="AT398"/>
      <c r="AU398"/>
      <c r="AV398"/>
      <c r="AW398"/>
      <c r="AX398"/>
      <c r="AY398"/>
      <c r="AZ398"/>
      <c r="BA398"/>
      <c r="BB398"/>
      <c r="BC398"/>
      <c r="BD398"/>
      <c r="BE398"/>
      <c r="BL398"/>
      <c r="BP398"/>
      <c r="BQ398"/>
      <c r="BR398"/>
      <c r="CD398"/>
      <c r="CE398"/>
      <c r="CF398"/>
      <c r="CQ398"/>
      <c r="CR398"/>
      <c r="CS398"/>
      <c r="DS398"/>
      <c r="DT398"/>
      <c r="DU398"/>
    </row>
    <row r="399" spans="1:125" hidden="1">
      <c r="A399"/>
      <c r="AJ399"/>
      <c r="AK399"/>
      <c r="AR399"/>
      <c r="AS399"/>
      <c r="AT399"/>
      <c r="AU399"/>
      <c r="AV399"/>
      <c r="AW399"/>
      <c r="AX399"/>
      <c r="AY399"/>
      <c r="AZ399"/>
      <c r="BA399"/>
      <c r="BB399"/>
      <c r="BC399"/>
      <c r="BD399"/>
      <c r="BE399"/>
      <c r="BL399"/>
      <c r="BP399"/>
      <c r="BQ399"/>
      <c r="BR399"/>
      <c r="CD399"/>
      <c r="CE399"/>
      <c r="CF399"/>
      <c r="CQ399"/>
      <c r="CR399"/>
      <c r="CS399"/>
      <c r="DS399"/>
      <c r="DT399"/>
      <c r="DU399"/>
    </row>
    <row r="400" spans="1:125" hidden="1">
      <c r="A400"/>
      <c r="AJ400"/>
      <c r="AK400"/>
      <c r="AR400"/>
      <c r="AS400"/>
      <c r="AT400"/>
      <c r="AU400"/>
      <c r="AV400"/>
      <c r="AW400"/>
      <c r="AX400"/>
      <c r="AY400"/>
      <c r="AZ400"/>
      <c r="BA400"/>
      <c r="BB400"/>
      <c r="BC400"/>
      <c r="BD400"/>
      <c r="BE400"/>
      <c r="BL400"/>
      <c r="BP400"/>
      <c r="BQ400"/>
      <c r="BR400"/>
      <c r="CD400"/>
      <c r="CE400"/>
      <c r="CF400"/>
      <c r="CQ400"/>
      <c r="CR400"/>
      <c r="CS400"/>
      <c r="DS400"/>
      <c r="DT400"/>
      <c r="DU400"/>
    </row>
    <row r="401" spans="1:125">
      <c r="A401"/>
      <c r="AJ401"/>
      <c r="AK401"/>
      <c r="AR401"/>
      <c r="AS401"/>
      <c r="AT401"/>
      <c r="AU401"/>
      <c r="AV401"/>
      <c r="AW401"/>
      <c r="AX401"/>
      <c r="AY401"/>
      <c r="AZ401"/>
      <c r="BA401"/>
      <c r="BB401"/>
      <c r="BC401"/>
      <c r="BD401"/>
      <c r="BE401"/>
      <c r="BL401"/>
      <c r="BP401"/>
      <c r="BQ401"/>
      <c r="BR401"/>
      <c r="CD401"/>
      <c r="CE401"/>
      <c r="CF401"/>
      <c r="CQ401"/>
      <c r="CR401"/>
      <c r="CS401"/>
      <c r="DS401"/>
      <c r="DT401"/>
      <c r="DU401"/>
    </row>
    <row r="402" spans="1:125">
      <c r="A402"/>
      <c r="AJ402"/>
      <c r="AK402"/>
      <c r="AR402"/>
      <c r="AS402"/>
      <c r="AT402"/>
      <c r="AU402"/>
      <c r="AV402"/>
      <c r="AW402"/>
      <c r="AX402"/>
      <c r="AY402"/>
      <c r="AZ402"/>
      <c r="BA402"/>
      <c r="BB402"/>
      <c r="BC402"/>
      <c r="BD402"/>
      <c r="BE402"/>
      <c r="BL402"/>
      <c r="BP402"/>
      <c r="BQ402"/>
      <c r="BR402"/>
      <c r="CD402"/>
      <c r="CE402"/>
      <c r="CF402"/>
      <c r="CQ402"/>
      <c r="CR402"/>
      <c r="CS402"/>
      <c r="DS402"/>
      <c r="DT402"/>
      <c r="DU402"/>
    </row>
    <row r="403" spans="1:125">
      <c r="A403"/>
      <c r="AJ403"/>
      <c r="AK403"/>
      <c r="AR403"/>
      <c r="AS403"/>
      <c r="AT403"/>
      <c r="AU403"/>
      <c r="AV403"/>
      <c r="AW403"/>
      <c r="AX403"/>
      <c r="AY403"/>
      <c r="AZ403"/>
      <c r="BA403"/>
      <c r="BB403"/>
      <c r="BC403"/>
      <c r="BD403"/>
      <c r="BE403"/>
      <c r="BL403"/>
      <c r="BP403"/>
      <c r="BQ403"/>
      <c r="BR403"/>
      <c r="CD403"/>
      <c r="CE403"/>
      <c r="CF403"/>
      <c r="CQ403"/>
      <c r="CR403"/>
      <c r="CS403"/>
      <c r="DS403"/>
      <c r="DT403"/>
      <c r="DU403"/>
    </row>
    <row r="404" spans="1:125">
      <c r="A404"/>
      <c r="AJ404"/>
      <c r="AK404"/>
      <c r="AR404"/>
      <c r="AS404"/>
      <c r="AT404"/>
      <c r="AU404"/>
      <c r="AV404"/>
      <c r="AW404"/>
      <c r="AX404"/>
      <c r="AY404"/>
      <c r="AZ404"/>
      <c r="BA404"/>
      <c r="BB404"/>
      <c r="BC404"/>
      <c r="BD404"/>
      <c r="BE404"/>
      <c r="BL404"/>
      <c r="BP404"/>
      <c r="BQ404"/>
      <c r="BR404"/>
      <c r="CD404"/>
      <c r="CE404"/>
      <c r="CF404"/>
      <c r="CQ404"/>
      <c r="CR404"/>
      <c r="CS404"/>
      <c r="DS404"/>
      <c r="DT404"/>
      <c r="DU404"/>
    </row>
    <row r="405" spans="1:125">
      <c r="A405"/>
      <c r="AJ405"/>
      <c r="AK405"/>
      <c r="AR405"/>
      <c r="AS405"/>
      <c r="AT405"/>
      <c r="AU405"/>
      <c r="AV405"/>
      <c r="AW405"/>
      <c r="AX405"/>
      <c r="AY405"/>
      <c r="AZ405"/>
      <c r="BA405"/>
      <c r="BB405"/>
      <c r="BC405"/>
      <c r="BD405"/>
      <c r="BE405"/>
      <c r="BL405"/>
      <c r="BP405"/>
      <c r="BQ405"/>
      <c r="BR405"/>
      <c r="CD405"/>
      <c r="CE405"/>
      <c r="CF405"/>
      <c r="CQ405"/>
      <c r="CR405"/>
      <c r="CS405"/>
      <c r="DS405"/>
      <c r="DT405"/>
      <c r="DU405"/>
    </row>
    <row r="406" spans="1:125">
      <c r="A406"/>
      <c r="AJ406"/>
      <c r="AK406"/>
      <c r="AR406"/>
      <c r="AS406"/>
      <c r="AT406"/>
      <c r="AU406"/>
      <c r="AV406"/>
      <c r="AW406"/>
      <c r="AX406"/>
      <c r="AY406"/>
      <c r="AZ406"/>
      <c r="BA406"/>
      <c r="BB406"/>
      <c r="BC406"/>
      <c r="BD406"/>
      <c r="BE406"/>
      <c r="BL406"/>
      <c r="BP406"/>
      <c r="BQ406"/>
      <c r="BR406"/>
      <c r="CD406"/>
      <c r="CE406"/>
      <c r="CF406"/>
      <c r="CQ406"/>
      <c r="CR406"/>
      <c r="CS406"/>
      <c r="DS406"/>
      <c r="DT406"/>
      <c r="DU406"/>
    </row>
    <row r="407" spans="1:125">
      <c r="A407"/>
      <c r="AJ407"/>
      <c r="AK407"/>
      <c r="AR407"/>
      <c r="AS407"/>
      <c r="AT407"/>
      <c r="AU407"/>
      <c r="AV407"/>
      <c r="AW407"/>
      <c r="AX407"/>
      <c r="AY407"/>
      <c r="AZ407"/>
      <c r="BA407"/>
      <c r="BB407"/>
      <c r="BC407"/>
      <c r="BD407"/>
      <c r="BE407"/>
      <c r="BL407"/>
      <c r="BP407"/>
      <c r="BQ407"/>
      <c r="BR407"/>
      <c r="CD407"/>
      <c r="CE407"/>
      <c r="CF407"/>
      <c r="CQ407"/>
      <c r="CR407"/>
      <c r="CS407"/>
      <c r="DS407"/>
      <c r="DT407"/>
      <c r="DU407"/>
    </row>
    <row r="408" spans="1:125">
      <c r="A408"/>
      <c r="AJ408"/>
      <c r="AK408"/>
      <c r="AR408"/>
      <c r="AS408"/>
      <c r="AT408"/>
      <c r="AU408"/>
      <c r="AV408"/>
      <c r="AW408"/>
      <c r="AX408"/>
      <c r="AY408"/>
      <c r="AZ408"/>
      <c r="BA408"/>
      <c r="BB408"/>
      <c r="BC408"/>
      <c r="BD408"/>
      <c r="BE408"/>
      <c r="BL408"/>
      <c r="BP408"/>
      <c r="BQ408"/>
      <c r="BR408"/>
      <c r="CD408"/>
      <c r="CE408"/>
      <c r="CF408"/>
      <c r="CQ408"/>
      <c r="CR408"/>
      <c r="CS408"/>
      <c r="DS408"/>
      <c r="DT408"/>
      <c r="DU408"/>
    </row>
    <row r="409" spans="1:125">
      <c r="A409"/>
      <c r="AJ409"/>
      <c r="AK409"/>
      <c r="AR409"/>
      <c r="AS409"/>
      <c r="AT409"/>
      <c r="AU409"/>
      <c r="AV409"/>
      <c r="AW409"/>
      <c r="AX409"/>
      <c r="AY409"/>
      <c r="AZ409"/>
      <c r="BA409"/>
      <c r="BB409"/>
      <c r="BC409"/>
      <c r="BD409"/>
      <c r="BE409"/>
      <c r="BL409"/>
      <c r="BP409"/>
      <c r="BQ409"/>
      <c r="BR409"/>
      <c r="CD409"/>
      <c r="CE409"/>
      <c r="CF409"/>
      <c r="CQ409"/>
      <c r="CR409"/>
      <c r="CS409"/>
      <c r="DS409"/>
      <c r="DT409"/>
      <c r="DU409"/>
    </row>
    <row r="410" spans="1:125">
      <c r="A410"/>
      <c r="AJ410"/>
      <c r="AK410"/>
      <c r="AR410"/>
      <c r="AS410"/>
      <c r="AT410"/>
      <c r="AU410"/>
      <c r="AV410"/>
      <c r="AW410"/>
      <c r="AX410"/>
      <c r="AY410"/>
      <c r="AZ410"/>
      <c r="BA410"/>
      <c r="BB410"/>
      <c r="BC410"/>
      <c r="BD410"/>
      <c r="BE410"/>
      <c r="BL410"/>
      <c r="BP410"/>
      <c r="BQ410"/>
      <c r="BR410"/>
      <c r="CD410"/>
      <c r="CE410"/>
      <c r="CF410"/>
      <c r="CQ410"/>
      <c r="CR410"/>
      <c r="CS410"/>
      <c r="DS410"/>
      <c r="DT410"/>
      <c r="DU410"/>
    </row>
    <row r="411" spans="1:125">
      <c r="A411"/>
      <c r="AJ411"/>
      <c r="AK411"/>
      <c r="AR411"/>
      <c r="AS411"/>
      <c r="AT411"/>
      <c r="AU411"/>
      <c r="AV411"/>
      <c r="AW411"/>
      <c r="AX411"/>
      <c r="AY411"/>
      <c r="AZ411"/>
      <c r="BA411"/>
      <c r="BB411"/>
      <c r="BC411"/>
      <c r="BD411"/>
      <c r="BE411"/>
      <c r="BL411"/>
      <c r="BP411"/>
      <c r="BQ411"/>
      <c r="BR411"/>
      <c r="CD411"/>
      <c r="CE411"/>
      <c r="CF411"/>
      <c r="CQ411"/>
      <c r="CR411"/>
      <c r="CS411"/>
      <c r="DS411"/>
      <c r="DT411"/>
      <c r="DU411"/>
    </row>
    <row r="412" spans="1:125">
      <c r="A412"/>
      <c r="AJ412"/>
      <c r="AK412"/>
      <c r="AR412"/>
      <c r="AS412"/>
      <c r="AT412"/>
      <c r="AU412"/>
      <c r="AV412"/>
      <c r="AW412"/>
      <c r="AX412"/>
      <c r="AY412"/>
      <c r="AZ412"/>
      <c r="BA412"/>
      <c r="BB412"/>
      <c r="BC412"/>
      <c r="BD412"/>
      <c r="BE412"/>
      <c r="BL412"/>
      <c r="BP412"/>
      <c r="BQ412"/>
      <c r="BR412"/>
      <c r="CD412"/>
      <c r="CE412"/>
      <c r="CF412"/>
      <c r="CQ412"/>
      <c r="CR412"/>
      <c r="CS412"/>
      <c r="DS412"/>
      <c r="DT412"/>
      <c r="DU412"/>
    </row>
    <row r="413" spans="1:125">
      <c r="A413"/>
      <c r="AJ413"/>
      <c r="AK413"/>
      <c r="AR413"/>
      <c r="AS413"/>
      <c r="AT413"/>
      <c r="AU413"/>
      <c r="AV413"/>
      <c r="AW413"/>
      <c r="AX413"/>
      <c r="AY413"/>
      <c r="AZ413"/>
      <c r="BA413"/>
      <c r="BB413"/>
      <c r="BC413"/>
      <c r="BD413"/>
      <c r="BE413"/>
      <c r="BL413"/>
      <c r="BP413"/>
      <c r="BQ413"/>
      <c r="BR413"/>
      <c r="CD413"/>
      <c r="CE413"/>
      <c r="CF413"/>
      <c r="CQ413"/>
      <c r="CR413"/>
      <c r="CS413"/>
      <c r="DS413"/>
      <c r="DT413"/>
      <c r="DU413"/>
    </row>
    <row r="414" spans="1:125">
      <c r="A414"/>
      <c r="AJ414"/>
      <c r="AK414"/>
      <c r="AR414"/>
      <c r="AS414"/>
      <c r="AT414"/>
      <c r="AU414"/>
      <c r="AV414"/>
      <c r="AW414"/>
      <c r="AX414"/>
      <c r="AY414"/>
      <c r="AZ414"/>
      <c r="BA414"/>
      <c r="BB414"/>
      <c r="BC414"/>
      <c r="BD414"/>
      <c r="BE414"/>
      <c r="BL414"/>
      <c r="BP414"/>
      <c r="BQ414"/>
      <c r="BR414"/>
      <c r="CD414"/>
      <c r="CE414"/>
      <c r="CF414"/>
      <c r="CQ414"/>
      <c r="CR414"/>
      <c r="CS414"/>
      <c r="DS414"/>
      <c r="DT414"/>
      <c r="DU414"/>
    </row>
    <row r="415" spans="1:125">
      <c r="A415"/>
      <c r="AJ415"/>
      <c r="AK415"/>
      <c r="AR415"/>
      <c r="AS415"/>
      <c r="AT415"/>
      <c r="AU415"/>
      <c r="AV415"/>
      <c r="AW415"/>
      <c r="AX415"/>
      <c r="AY415"/>
      <c r="AZ415"/>
      <c r="BA415"/>
      <c r="BB415"/>
      <c r="BC415"/>
      <c r="BD415"/>
      <c r="BE415"/>
      <c r="BL415"/>
      <c r="BP415"/>
      <c r="BQ415"/>
      <c r="BR415"/>
      <c r="CD415"/>
      <c r="CE415"/>
      <c r="CF415"/>
      <c r="CQ415"/>
      <c r="CR415"/>
      <c r="CS415"/>
      <c r="DS415"/>
      <c r="DT415"/>
      <c r="DU415"/>
    </row>
    <row r="416" spans="1:125">
      <c r="A416"/>
      <c r="AJ416"/>
      <c r="AK416"/>
      <c r="AR416"/>
      <c r="AS416"/>
      <c r="AT416"/>
      <c r="AU416"/>
      <c r="AV416"/>
      <c r="AW416"/>
      <c r="AX416"/>
      <c r="AY416"/>
      <c r="AZ416"/>
      <c r="BA416"/>
      <c r="BB416"/>
      <c r="BC416"/>
      <c r="BD416"/>
      <c r="BE416"/>
      <c r="BL416"/>
      <c r="BP416"/>
      <c r="BQ416"/>
      <c r="BR416"/>
      <c r="CD416"/>
      <c r="CE416"/>
      <c r="CF416"/>
      <c r="CQ416"/>
      <c r="CR416"/>
      <c r="CS416"/>
      <c r="DS416"/>
      <c r="DT416"/>
      <c r="DU416"/>
    </row>
    <row r="417" spans="1:125">
      <c r="A417"/>
      <c r="AJ417"/>
      <c r="AK417"/>
      <c r="AR417"/>
      <c r="AS417"/>
      <c r="AT417"/>
      <c r="AU417"/>
      <c r="AV417"/>
      <c r="AW417"/>
      <c r="AX417"/>
      <c r="AY417"/>
      <c r="AZ417"/>
      <c r="BA417"/>
      <c r="BB417"/>
      <c r="BC417"/>
      <c r="BD417"/>
      <c r="BE417"/>
      <c r="BL417"/>
      <c r="BP417"/>
      <c r="BQ417"/>
      <c r="BR417"/>
      <c r="CD417"/>
      <c r="CE417"/>
      <c r="CF417"/>
      <c r="CQ417"/>
      <c r="CR417"/>
      <c r="CS417"/>
      <c r="DS417"/>
      <c r="DT417"/>
      <c r="DU417"/>
    </row>
    <row r="418" spans="1:125">
      <c r="A418"/>
      <c r="AJ418"/>
      <c r="AK418"/>
      <c r="AR418"/>
      <c r="AS418"/>
      <c r="AT418"/>
      <c r="AU418"/>
      <c r="AV418"/>
      <c r="AW418"/>
      <c r="AX418"/>
      <c r="AY418"/>
      <c r="AZ418"/>
      <c r="BA418"/>
      <c r="BB418"/>
      <c r="BC418"/>
      <c r="BD418"/>
      <c r="BE418"/>
      <c r="BL418"/>
      <c r="BP418"/>
      <c r="BQ418"/>
      <c r="BR418"/>
      <c r="CD418"/>
      <c r="CE418"/>
      <c r="CF418"/>
      <c r="CQ418"/>
      <c r="CR418"/>
      <c r="CS418"/>
      <c r="DS418"/>
      <c r="DT418"/>
      <c r="DU418"/>
    </row>
    <row r="419" spans="1:125">
      <c r="A419"/>
      <c r="AJ419"/>
      <c r="AK419"/>
      <c r="AR419"/>
      <c r="AS419"/>
      <c r="AT419"/>
      <c r="AU419"/>
      <c r="AV419"/>
      <c r="AW419"/>
      <c r="AX419"/>
      <c r="AY419"/>
      <c r="AZ419"/>
      <c r="BA419"/>
      <c r="BB419"/>
      <c r="BC419"/>
      <c r="BD419"/>
      <c r="BE419"/>
      <c r="BL419"/>
      <c r="BP419"/>
      <c r="BQ419"/>
      <c r="BR419"/>
      <c r="CD419"/>
      <c r="CE419"/>
      <c r="CF419"/>
      <c r="CQ419"/>
      <c r="CR419"/>
      <c r="CS419"/>
      <c r="DS419"/>
      <c r="DT419"/>
      <c r="DU419"/>
    </row>
    <row r="420" spans="1:125">
      <c r="A420"/>
      <c r="AJ420"/>
      <c r="AK420"/>
      <c r="AR420"/>
      <c r="AS420"/>
      <c r="AT420"/>
      <c r="AU420"/>
      <c r="AV420"/>
      <c r="AW420"/>
      <c r="AX420"/>
      <c r="AY420"/>
      <c r="AZ420"/>
      <c r="BA420"/>
      <c r="BB420"/>
      <c r="BC420"/>
      <c r="BD420"/>
      <c r="BE420"/>
      <c r="BL420"/>
      <c r="BP420"/>
      <c r="BQ420"/>
      <c r="BR420"/>
      <c r="CD420"/>
      <c r="CE420"/>
      <c r="CF420"/>
      <c r="CQ420"/>
      <c r="CR420"/>
      <c r="CS420"/>
      <c r="DS420"/>
      <c r="DT420"/>
      <c r="DU420"/>
    </row>
    <row r="421" spans="1:125">
      <c r="A421"/>
      <c r="AJ421"/>
      <c r="AK421"/>
      <c r="AR421"/>
      <c r="AS421"/>
      <c r="AT421"/>
      <c r="AU421"/>
      <c r="AV421"/>
      <c r="AW421"/>
      <c r="AX421"/>
      <c r="AY421"/>
      <c r="AZ421"/>
      <c r="BA421"/>
      <c r="BB421"/>
      <c r="BC421"/>
      <c r="BD421"/>
      <c r="BE421"/>
      <c r="BL421"/>
      <c r="BP421"/>
      <c r="BQ421"/>
      <c r="BR421"/>
      <c r="CD421"/>
      <c r="CE421"/>
      <c r="CF421"/>
      <c r="CQ421"/>
      <c r="CR421"/>
      <c r="CS421"/>
      <c r="DS421"/>
      <c r="DT421"/>
      <c r="DU421"/>
    </row>
    <row r="422" spans="1:125">
      <c r="A422"/>
      <c r="AJ422"/>
      <c r="AK422"/>
      <c r="AR422"/>
      <c r="AS422"/>
      <c r="AT422"/>
      <c r="AU422"/>
      <c r="AV422"/>
      <c r="AW422"/>
      <c r="AX422"/>
      <c r="AY422"/>
      <c r="AZ422"/>
      <c r="BA422"/>
      <c r="BB422"/>
      <c r="BC422"/>
      <c r="BD422"/>
      <c r="BE422"/>
      <c r="BL422"/>
      <c r="BP422"/>
      <c r="BQ422"/>
      <c r="BR422"/>
      <c r="CD422"/>
      <c r="CE422"/>
      <c r="CF422"/>
      <c r="CQ422"/>
      <c r="CR422"/>
      <c r="CS422"/>
      <c r="DS422"/>
      <c r="DT422"/>
      <c r="DU422"/>
    </row>
    <row r="423" spans="1:125">
      <c r="A423"/>
      <c r="AJ423"/>
      <c r="AK423"/>
      <c r="AR423"/>
      <c r="AS423"/>
      <c r="AT423"/>
      <c r="AU423"/>
      <c r="AV423"/>
      <c r="AW423"/>
      <c r="AX423"/>
      <c r="AY423"/>
      <c r="AZ423"/>
      <c r="BA423"/>
      <c r="BB423"/>
      <c r="BC423"/>
      <c r="BD423"/>
      <c r="BE423"/>
      <c r="BL423"/>
      <c r="BP423"/>
      <c r="BQ423"/>
      <c r="BR423"/>
      <c r="CD423"/>
      <c r="CE423"/>
      <c r="CF423"/>
      <c r="CQ423"/>
      <c r="CR423"/>
      <c r="CS423"/>
      <c r="DS423"/>
      <c r="DT423"/>
      <c r="DU423"/>
    </row>
    <row r="424" spans="1:125">
      <c r="A424"/>
      <c r="AJ424"/>
      <c r="AK424"/>
      <c r="AR424"/>
      <c r="AS424"/>
      <c r="AT424"/>
      <c r="AU424"/>
      <c r="AV424"/>
      <c r="AW424"/>
      <c r="AX424"/>
      <c r="AY424"/>
      <c r="AZ424"/>
      <c r="BA424"/>
      <c r="BB424"/>
      <c r="BC424"/>
      <c r="BD424"/>
      <c r="BE424"/>
      <c r="BL424"/>
      <c r="BP424"/>
      <c r="BQ424"/>
      <c r="BR424"/>
      <c r="CD424"/>
      <c r="CE424"/>
      <c r="CF424"/>
      <c r="CQ424"/>
      <c r="CR424"/>
      <c r="CS424"/>
      <c r="DS424"/>
      <c r="DT424"/>
      <c r="DU424"/>
    </row>
    <row r="425" spans="1:125">
      <c r="A425"/>
      <c r="AJ425"/>
      <c r="AK425"/>
      <c r="AR425"/>
      <c r="AS425"/>
      <c r="AT425"/>
      <c r="AU425"/>
      <c r="AV425"/>
      <c r="AW425"/>
      <c r="AX425"/>
      <c r="AY425"/>
      <c r="AZ425"/>
      <c r="BA425"/>
      <c r="BB425"/>
      <c r="BC425"/>
      <c r="BD425"/>
      <c r="BE425"/>
      <c r="BL425"/>
      <c r="BP425"/>
      <c r="BQ425"/>
      <c r="BR425"/>
      <c r="CD425"/>
      <c r="CE425"/>
      <c r="CF425"/>
      <c r="CQ425"/>
      <c r="CR425"/>
      <c r="CS425"/>
      <c r="DS425"/>
      <c r="DT425"/>
      <c r="DU425"/>
    </row>
    <row r="426" spans="1:125">
      <c r="A426"/>
      <c r="AJ426"/>
      <c r="AK426"/>
      <c r="AR426"/>
      <c r="AS426"/>
      <c r="AT426"/>
      <c r="AU426"/>
      <c r="AV426"/>
      <c r="AW426"/>
      <c r="AX426"/>
      <c r="AY426"/>
      <c r="AZ426"/>
      <c r="BA426"/>
      <c r="BB426"/>
      <c r="BC426"/>
      <c r="BD426"/>
      <c r="BE426"/>
      <c r="BL426"/>
      <c r="BP426"/>
      <c r="BQ426"/>
      <c r="BR426"/>
      <c r="CD426"/>
      <c r="CE426"/>
      <c r="CF426"/>
      <c r="CQ426"/>
      <c r="CR426"/>
      <c r="CS426"/>
      <c r="DS426"/>
      <c r="DT426"/>
      <c r="DU426"/>
    </row>
    <row r="427" spans="1:125">
      <c r="A427"/>
      <c r="AJ427"/>
      <c r="AK427"/>
      <c r="AR427"/>
      <c r="AS427"/>
      <c r="AT427"/>
      <c r="AU427"/>
      <c r="AV427"/>
      <c r="AW427"/>
      <c r="AX427"/>
      <c r="AY427"/>
      <c r="AZ427"/>
      <c r="BA427"/>
      <c r="BB427"/>
      <c r="BC427"/>
      <c r="BD427"/>
      <c r="BE427"/>
      <c r="BL427"/>
      <c r="BP427"/>
      <c r="BQ427"/>
      <c r="BR427"/>
      <c r="CD427"/>
      <c r="CE427"/>
      <c r="CF427"/>
      <c r="CQ427"/>
      <c r="CR427"/>
      <c r="CS427"/>
      <c r="DS427"/>
      <c r="DT427"/>
      <c r="DU427"/>
    </row>
    <row r="428" spans="1:125">
      <c r="A428"/>
      <c r="AJ428"/>
      <c r="AK428"/>
      <c r="AR428"/>
      <c r="AS428"/>
      <c r="AT428"/>
      <c r="AU428"/>
      <c r="AV428"/>
      <c r="AW428"/>
      <c r="AX428"/>
      <c r="AY428"/>
      <c r="AZ428"/>
      <c r="BA428"/>
      <c r="BB428"/>
      <c r="BC428"/>
      <c r="BD428"/>
      <c r="BE428"/>
      <c r="BL428"/>
      <c r="BP428"/>
      <c r="BQ428"/>
      <c r="BR428"/>
      <c r="CD428"/>
      <c r="CE428"/>
      <c r="CF428"/>
      <c r="CQ428"/>
      <c r="CR428"/>
      <c r="CS428"/>
      <c r="DS428"/>
      <c r="DT428"/>
      <c r="DU428"/>
    </row>
    <row r="429" spans="1:125">
      <c r="A429"/>
      <c r="AJ429"/>
      <c r="AK429"/>
      <c r="AR429"/>
      <c r="AS429"/>
      <c r="AT429"/>
      <c r="AU429"/>
      <c r="AV429"/>
      <c r="AW429"/>
      <c r="AX429"/>
      <c r="AY429"/>
      <c r="AZ429"/>
      <c r="BA429"/>
      <c r="BB429"/>
      <c r="BC429"/>
      <c r="BD429"/>
      <c r="BE429"/>
      <c r="BL429"/>
      <c r="BP429"/>
      <c r="BQ429"/>
      <c r="BR429"/>
      <c r="CD429"/>
      <c r="CE429"/>
      <c r="CF429"/>
      <c r="CQ429"/>
      <c r="CR429"/>
      <c r="CS429"/>
      <c r="DS429"/>
      <c r="DT429"/>
      <c r="DU429"/>
    </row>
    <row r="430" spans="1:125">
      <c r="A430"/>
      <c r="AJ430"/>
      <c r="AK430"/>
      <c r="AR430"/>
      <c r="AS430"/>
      <c r="AT430"/>
      <c r="AU430"/>
      <c r="AV430"/>
      <c r="AW430"/>
      <c r="AX430"/>
      <c r="AY430"/>
      <c r="AZ430"/>
      <c r="BA430"/>
      <c r="BB430"/>
      <c r="BC430"/>
      <c r="BD430"/>
      <c r="BE430"/>
      <c r="BL430"/>
      <c r="BP430"/>
      <c r="BQ430"/>
      <c r="BR430"/>
      <c r="CD430"/>
      <c r="CE430"/>
      <c r="CF430"/>
      <c r="CQ430"/>
      <c r="CR430"/>
      <c r="CS430"/>
      <c r="DS430"/>
      <c r="DT430"/>
      <c r="DU430"/>
    </row>
    <row r="431" spans="1:125">
      <c r="A431"/>
      <c r="AJ431"/>
      <c r="AK431"/>
      <c r="AR431"/>
      <c r="AS431"/>
      <c r="AT431"/>
      <c r="AU431"/>
      <c r="AV431"/>
      <c r="AW431"/>
      <c r="AX431"/>
      <c r="AY431"/>
      <c r="AZ431"/>
      <c r="BA431"/>
      <c r="BB431"/>
      <c r="BC431"/>
      <c r="BD431"/>
      <c r="BE431"/>
      <c r="BL431"/>
      <c r="BP431"/>
      <c r="BQ431"/>
      <c r="BR431"/>
      <c r="CD431"/>
      <c r="CE431"/>
      <c r="CF431"/>
      <c r="CQ431"/>
      <c r="CR431"/>
      <c r="CS431"/>
      <c r="DS431"/>
      <c r="DT431"/>
      <c r="DU431"/>
    </row>
    <row r="432" spans="1:125">
      <c r="A432"/>
      <c r="AJ432"/>
      <c r="AK432"/>
      <c r="AR432"/>
      <c r="AS432"/>
      <c r="AT432"/>
      <c r="AU432"/>
      <c r="AV432"/>
      <c r="AW432"/>
      <c r="AX432"/>
      <c r="AY432"/>
      <c r="AZ432"/>
      <c r="BA432"/>
      <c r="BB432"/>
      <c r="BC432"/>
      <c r="BD432"/>
      <c r="BE432"/>
      <c r="BL432"/>
      <c r="BP432"/>
      <c r="BQ432"/>
      <c r="BR432"/>
      <c r="CD432"/>
      <c r="CE432"/>
      <c r="CF432"/>
      <c r="CQ432"/>
      <c r="CR432"/>
      <c r="CS432"/>
      <c r="DS432"/>
      <c r="DT432"/>
      <c r="DU432"/>
    </row>
    <row r="433" spans="1:125">
      <c r="A433"/>
      <c r="AJ433"/>
      <c r="AK433"/>
      <c r="AR433"/>
      <c r="AS433"/>
      <c r="AT433"/>
      <c r="AU433"/>
      <c r="AV433"/>
      <c r="AW433"/>
      <c r="AX433"/>
      <c r="AY433"/>
      <c r="AZ433"/>
      <c r="BA433"/>
      <c r="BB433"/>
      <c r="BC433"/>
      <c r="BD433"/>
      <c r="BE433"/>
      <c r="BL433"/>
      <c r="BP433"/>
      <c r="BQ433"/>
      <c r="BR433"/>
      <c r="CD433"/>
      <c r="CE433"/>
      <c r="CF433"/>
      <c r="CQ433"/>
      <c r="CR433"/>
      <c r="CS433"/>
      <c r="DS433"/>
      <c r="DT433"/>
      <c r="DU433"/>
    </row>
    <row r="434" spans="1:125">
      <c r="A434"/>
      <c r="AJ434"/>
      <c r="AK434"/>
      <c r="AR434"/>
      <c r="AS434"/>
      <c r="AT434"/>
      <c r="AU434"/>
      <c r="AV434"/>
      <c r="AW434"/>
      <c r="AX434"/>
      <c r="AY434"/>
      <c r="AZ434"/>
      <c r="BA434"/>
      <c r="BB434"/>
      <c r="BC434"/>
      <c r="BD434"/>
      <c r="BE434"/>
      <c r="BL434"/>
      <c r="BP434"/>
      <c r="BQ434"/>
      <c r="BR434"/>
      <c r="CD434"/>
      <c r="CE434"/>
      <c r="CF434"/>
      <c r="CQ434"/>
      <c r="CR434"/>
      <c r="CS434"/>
      <c r="DS434"/>
      <c r="DT434"/>
      <c r="DU434"/>
    </row>
    <row r="435" spans="1:125">
      <c r="A435"/>
      <c r="AJ435"/>
      <c r="AK435"/>
      <c r="AR435"/>
      <c r="AS435"/>
      <c r="AT435"/>
      <c r="AU435"/>
      <c r="AV435"/>
      <c r="AW435"/>
      <c r="AX435"/>
      <c r="AY435"/>
      <c r="AZ435"/>
      <c r="BA435"/>
      <c r="BB435"/>
      <c r="BC435"/>
      <c r="BD435"/>
      <c r="BE435"/>
      <c r="BL435"/>
      <c r="BP435"/>
      <c r="BQ435"/>
      <c r="BR435"/>
      <c r="CD435"/>
      <c r="CE435"/>
      <c r="CF435"/>
      <c r="CQ435"/>
      <c r="CR435"/>
      <c r="CS435"/>
      <c r="DS435"/>
      <c r="DT435"/>
      <c r="DU435"/>
    </row>
    <row r="436" spans="1:125">
      <c r="A436"/>
      <c r="AJ436"/>
      <c r="AK436"/>
      <c r="AR436"/>
      <c r="AS436"/>
      <c r="AT436"/>
      <c r="AU436"/>
      <c r="AV436"/>
      <c r="AW436"/>
      <c r="AX436"/>
      <c r="AY436"/>
      <c r="AZ436"/>
      <c r="BA436"/>
      <c r="BB436"/>
      <c r="BC436"/>
      <c r="BD436"/>
      <c r="BE436"/>
      <c r="BL436"/>
      <c r="BP436"/>
      <c r="BQ436"/>
      <c r="BR436"/>
      <c r="CD436"/>
      <c r="CE436"/>
      <c r="CF436"/>
      <c r="CQ436"/>
      <c r="CR436"/>
      <c r="CS436"/>
      <c r="DS436"/>
      <c r="DT436"/>
      <c r="DU436"/>
    </row>
    <row r="437" spans="1:125">
      <c r="A437"/>
      <c r="AJ437"/>
      <c r="AK437"/>
      <c r="AR437"/>
      <c r="AS437"/>
      <c r="AT437"/>
      <c r="AU437"/>
      <c r="AV437"/>
      <c r="AW437"/>
      <c r="AX437"/>
      <c r="AY437"/>
      <c r="AZ437"/>
      <c r="BA437"/>
      <c r="BB437"/>
      <c r="BC437"/>
      <c r="BD437"/>
      <c r="BE437"/>
      <c r="BL437"/>
      <c r="BP437"/>
      <c r="BQ437"/>
      <c r="BR437"/>
      <c r="CD437"/>
      <c r="CE437"/>
      <c r="CF437"/>
      <c r="CQ437"/>
      <c r="CR437"/>
      <c r="CS437"/>
      <c r="DS437"/>
      <c r="DT437"/>
      <c r="DU437"/>
    </row>
    <row r="438" spans="1:125">
      <c r="A438"/>
      <c r="AJ438"/>
      <c r="AK438"/>
      <c r="AR438"/>
      <c r="AS438"/>
      <c r="AT438"/>
      <c r="AU438"/>
      <c r="AV438"/>
      <c r="AW438"/>
      <c r="AX438"/>
      <c r="AY438"/>
      <c r="AZ438"/>
      <c r="BA438"/>
      <c r="BB438"/>
      <c r="BC438"/>
      <c r="BD438"/>
      <c r="BE438"/>
      <c r="BL438"/>
      <c r="BP438"/>
      <c r="BQ438"/>
      <c r="BR438"/>
      <c r="CD438"/>
      <c r="CE438"/>
      <c r="CF438"/>
      <c r="CQ438"/>
      <c r="CR438"/>
      <c r="CS438"/>
      <c r="DS438"/>
      <c r="DT438"/>
      <c r="DU438"/>
    </row>
    <row r="439" spans="1:125">
      <c r="A439"/>
      <c r="AJ439"/>
      <c r="AK439"/>
      <c r="AR439"/>
      <c r="AS439"/>
      <c r="AT439"/>
      <c r="AU439"/>
      <c r="AV439"/>
      <c r="AW439"/>
      <c r="AX439"/>
      <c r="AY439"/>
      <c r="AZ439"/>
      <c r="BA439"/>
      <c r="BB439"/>
      <c r="BC439"/>
      <c r="BD439"/>
      <c r="BE439"/>
      <c r="BL439"/>
      <c r="BP439"/>
      <c r="BQ439"/>
      <c r="BR439"/>
      <c r="CD439"/>
      <c r="CE439"/>
      <c r="CF439"/>
      <c r="CQ439"/>
      <c r="CR439"/>
      <c r="CS439"/>
      <c r="DS439"/>
      <c r="DT439"/>
      <c r="DU439"/>
    </row>
    <row r="440" spans="1:125">
      <c r="A440"/>
      <c r="AJ440"/>
      <c r="AK440"/>
      <c r="AR440"/>
      <c r="AS440"/>
      <c r="AT440"/>
      <c r="AU440"/>
      <c r="AV440"/>
      <c r="AW440"/>
      <c r="AX440"/>
      <c r="AY440"/>
      <c r="AZ440"/>
      <c r="BA440"/>
      <c r="BB440"/>
      <c r="BC440"/>
      <c r="BD440"/>
      <c r="BE440"/>
      <c r="BL440"/>
      <c r="BP440"/>
      <c r="BQ440"/>
      <c r="BR440"/>
      <c r="CD440"/>
      <c r="CE440"/>
      <c r="CF440"/>
      <c r="CQ440"/>
      <c r="CR440"/>
      <c r="CS440"/>
      <c r="DS440"/>
      <c r="DT440"/>
      <c r="DU440"/>
    </row>
    <row r="441" spans="1:125">
      <c r="A441"/>
      <c r="AJ441"/>
      <c r="AK441"/>
      <c r="AR441"/>
      <c r="AS441"/>
      <c r="AT441"/>
      <c r="AU441"/>
      <c r="AV441"/>
      <c r="AW441"/>
      <c r="AX441"/>
      <c r="AY441"/>
      <c r="AZ441"/>
      <c r="BA441"/>
      <c r="BB441"/>
      <c r="BC441"/>
      <c r="BD441"/>
      <c r="BE441"/>
      <c r="BL441"/>
      <c r="BP441"/>
      <c r="BQ441"/>
      <c r="BR441"/>
      <c r="CD441"/>
      <c r="CE441"/>
      <c r="CF441"/>
      <c r="CQ441"/>
      <c r="CR441"/>
      <c r="CS441"/>
      <c r="DS441"/>
      <c r="DT441"/>
      <c r="DU441"/>
    </row>
    <row r="442" spans="1:125">
      <c r="A442"/>
      <c r="AJ442"/>
      <c r="AK442"/>
      <c r="AR442"/>
      <c r="AS442"/>
      <c r="AT442"/>
      <c r="AU442"/>
      <c r="AV442"/>
      <c r="AW442"/>
      <c r="AX442"/>
      <c r="AY442"/>
      <c r="AZ442"/>
      <c r="BA442"/>
      <c r="BB442"/>
      <c r="BC442"/>
      <c r="BD442"/>
      <c r="BE442"/>
      <c r="BL442"/>
      <c r="BP442"/>
      <c r="BQ442"/>
      <c r="BR442"/>
      <c r="CD442"/>
      <c r="CE442"/>
      <c r="CF442"/>
      <c r="CQ442"/>
      <c r="CR442"/>
      <c r="CS442"/>
      <c r="DS442"/>
      <c r="DT442"/>
      <c r="DU442"/>
    </row>
    <row r="443" spans="1:125">
      <c r="A443"/>
      <c r="AJ443"/>
      <c r="AK443"/>
      <c r="AR443"/>
      <c r="AS443"/>
      <c r="AT443"/>
      <c r="AU443"/>
      <c r="AV443"/>
      <c r="AW443"/>
      <c r="AX443"/>
      <c r="AY443"/>
      <c r="AZ443"/>
      <c r="BA443"/>
      <c r="BB443"/>
      <c r="BC443"/>
      <c r="BD443"/>
      <c r="BE443"/>
      <c r="BL443"/>
      <c r="BP443"/>
      <c r="BQ443"/>
      <c r="BR443"/>
      <c r="CD443"/>
      <c r="CE443"/>
      <c r="CF443"/>
      <c r="CQ443"/>
      <c r="CR443"/>
      <c r="CS443"/>
      <c r="DS443"/>
      <c r="DT443"/>
      <c r="DU443"/>
    </row>
    <row r="444" spans="1:125">
      <c r="A444"/>
      <c r="AJ444"/>
      <c r="AK444"/>
      <c r="AR444"/>
      <c r="AS444"/>
      <c r="AT444"/>
      <c r="AU444"/>
      <c r="AV444"/>
      <c r="AW444"/>
      <c r="AX444"/>
      <c r="AY444"/>
      <c r="AZ444"/>
      <c r="BA444"/>
      <c r="BB444"/>
      <c r="BC444"/>
      <c r="BD444"/>
      <c r="BE444"/>
      <c r="BL444"/>
      <c r="BP444"/>
      <c r="BQ444"/>
      <c r="BR444"/>
      <c r="CD444"/>
      <c r="CE444"/>
      <c r="CF444"/>
      <c r="CQ444"/>
      <c r="CR444"/>
      <c r="CS444"/>
      <c r="DS444"/>
      <c r="DT444"/>
      <c r="DU444"/>
    </row>
    <row r="445" spans="1:125">
      <c r="A445"/>
      <c r="AJ445"/>
      <c r="AK445"/>
      <c r="AR445"/>
      <c r="AS445"/>
      <c r="AT445"/>
      <c r="AU445"/>
      <c r="AV445"/>
      <c r="AW445"/>
      <c r="AX445"/>
      <c r="AY445"/>
      <c r="AZ445"/>
      <c r="BA445"/>
      <c r="BB445"/>
      <c r="BC445"/>
      <c r="BD445"/>
      <c r="BE445"/>
      <c r="BL445"/>
      <c r="BP445"/>
      <c r="BQ445"/>
      <c r="BR445"/>
      <c r="CD445"/>
      <c r="CE445"/>
      <c r="CF445"/>
      <c r="CQ445"/>
      <c r="CR445"/>
      <c r="CS445"/>
      <c r="DS445"/>
      <c r="DT445"/>
      <c r="DU445"/>
    </row>
    <row r="446" spans="1:125">
      <c r="A446"/>
      <c r="AJ446"/>
      <c r="AK446"/>
      <c r="AR446"/>
      <c r="AS446"/>
      <c r="AT446"/>
      <c r="AU446"/>
      <c r="AV446"/>
      <c r="AW446"/>
      <c r="AX446"/>
      <c r="AY446"/>
      <c r="AZ446"/>
      <c r="BA446"/>
      <c r="BB446"/>
      <c r="BC446"/>
      <c r="BD446"/>
      <c r="BE446"/>
      <c r="BL446"/>
      <c r="BP446"/>
      <c r="BQ446"/>
      <c r="BR446"/>
      <c r="CD446"/>
      <c r="CE446"/>
      <c r="CF446"/>
      <c r="CQ446"/>
      <c r="CR446"/>
      <c r="CS446"/>
      <c r="DS446"/>
      <c r="DT446"/>
      <c r="DU446"/>
    </row>
    <row r="447" spans="1:125">
      <c r="A447"/>
      <c r="AJ447"/>
      <c r="AK447"/>
      <c r="AR447"/>
      <c r="AS447"/>
      <c r="AT447"/>
      <c r="AU447"/>
      <c r="AV447"/>
      <c r="AW447"/>
      <c r="AX447"/>
      <c r="AY447"/>
      <c r="AZ447"/>
      <c r="BA447"/>
      <c r="BB447"/>
      <c r="BC447"/>
      <c r="BD447"/>
      <c r="BE447"/>
      <c r="BL447"/>
      <c r="BP447"/>
      <c r="BQ447"/>
      <c r="BR447"/>
      <c r="CD447"/>
      <c r="CE447"/>
      <c r="CF447"/>
      <c r="CQ447"/>
      <c r="CR447"/>
      <c r="CS447"/>
      <c r="DS447"/>
      <c r="DT447"/>
      <c r="DU447"/>
    </row>
    <row r="448" spans="1:125">
      <c r="A448"/>
      <c r="AJ448"/>
      <c r="AK448"/>
      <c r="AR448"/>
      <c r="AS448"/>
      <c r="AT448"/>
      <c r="AU448"/>
      <c r="AV448"/>
      <c r="AW448"/>
      <c r="AX448"/>
      <c r="AY448"/>
      <c r="AZ448"/>
      <c r="BA448"/>
      <c r="BB448"/>
      <c r="BC448"/>
      <c r="BD448"/>
      <c r="BE448"/>
      <c r="BL448"/>
      <c r="BP448"/>
      <c r="BQ448"/>
      <c r="BR448"/>
      <c r="CD448"/>
      <c r="CE448"/>
      <c r="CF448"/>
      <c r="CQ448"/>
      <c r="CR448"/>
      <c r="CS448"/>
      <c r="DS448"/>
      <c r="DT448"/>
      <c r="DU448"/>
    </row>
    <row r="449" spans="1:125">
      <c r="A449"/>
      <c r="AJ449"/>
      <c r="AK449"/>
      <c r="AR449"/>
      <c r="AS449"/>
      <c r="AT449"/>
      <c r="AU449"/>
      <c r="AV449"/>
      <c r="AW449"/>
      <c r="AX449"/>
      <c r="AY449"/>
      <c r="AZ449"/>
      <c r="BA449"/>
      <c r="BB449"/>
      <c r="BC449"/>
      <c r="BD449"/>
      <c r="BE449"/>
      <c r="BL449"/>
      <c r="BP449"/>
      <c r="BQ449"/>
      <c r="BR449"/>
      <c r="CD449"/>
      <c r="CE449"/>
      <c r="CF449"/>
      <c r="CQ449"/>
      <c r="CR449"/>
      <c r="CS449"/>
      <c r="DS449"/>
      <c r="DT449"/>
      <c r="DU449"/>
    </row>
    <row r="450" spans="1:125">
      <c r="A450"/>
      <c r="AJ450"/>
      <c r="AK450"/>
      <c r="AR450"/>
      <c r="AS450"/>
      <c r="AT450"/>
      <c r="AU450"/>
      <c r="AV450"/>
      <c r="AW450"/>
      <c r="AX450"/>
      <c r="AY450"/>
      <c r="AZ450"/>
      <c r="BA450"/>
      <c r="BB450"/>
      <c r="BC450"/>
      <c r="BD450"/>
      <c r="BE450"/>
      <c r="BL450"/>
      <c r="BP450"/>
      <c r="BQ450"/>
      <c r="BR450"/>
      <c r="CD450"/>
      <c r="CE450"/>
      <c r="CF450"/>
      <c r="CQ450"/>
      <c r="CR450"/>
      <c r="CS450"/>
      <c r="DS450"/>
      <c r="DT450"/>
      <c r="DU450"/>
    </row>
    <row r="451" spans="1:125">
      <c r="A451"/>
      <c r="AJ451"/>
      <c r="AK451"/>
      <c r="AR451"/>
      <c r="AS451"/>
      <c r="AT451"/>
      <c r="AU451"/>
      <c r="AV451"/>
      <c r="AW451"/>
      <c r="AX451"/>
      <c r="AY451"/>
      <c r="AZ451"/>
      <c r="BA451"/>
      <c r="BB451"/>
      <c r="BC451"/>
      <c r="BD451"/>
      <c r="BE451"/>
      <c r="BL451"/>
      <c r="BP451"/>
      <c r="BQ451"/>
      <c r="BR451"/>
      <c r="CD451"/>
      <c r="CE451"/>
      <c r="CF451"/>
      <c r="CQ451"/>
      <c r="CR451"/>
      <c r="CS451"/>
      <c r="DS451"/>
      <c r="DT451"/>
      <c r="DU451"/>
    </row>
    <row r="452" spans="1:125">
      <c r="A452"/>
      <c r="AJ452"/>
      <c r="AK452"/>
      <c r="AR452"/>
      <c r="AS452"/>
      <c r="AT452"/>
      <c r="AU452"/>
      <c r="AV452"/>
      <c r="AW452"/>
      <c r="AX452"/>
      <c r="AY452"/>
      <c r="AZ452"/>
      <c r="BA452"/>
      <c r="BB452"/>
      <c r="BC452"/>
      <c r="BD452"/>
      <c r="BE452"/>
      <c r="BL452"/>
      <c r="BP452"/>
      <c r="BQ452"/>
      <c r="BR452"/>
      <c r="CD452"/>
      <c r="CE452"/>
      <c r="CF452"/>
      <c r="CQ452"/>
      <c r="CR452"/>
      <c r="CS452"/>
      <c r="DS452"/>
      <c r="DT452"/>
      <c r="DU452"/>
    </row>
    <row r="453" spans="1:125">
      <c r="A453"/>
      <c r="AJ453"/>
      <c r="AK453"/>
      <c r="AR453"/>
      <c r="AS453"/>
      <c r="AT453"/>
      <c r="AU453"/>
      <c r="AV453"/>
      <c r="AW453"/>
      <c r="AX453"/>
      <c r="AY453"/>
      <c r="AZ453"/>
      <c r="BA453"/>
      <c r="BB453"/>
      <c r="BC453"/>
      <c r="BD453"/>
      <c r="BE453"/>
      <c r="BL453"/>
      <c r="BP453"/>
      <c r="BQ453"/>
      <c r="BR453"/>
      <c r="CD453"/>
      <c r="CE453"/>
      <c r="CF453"/>
      <c r="CQ453"/>
      <c r="CR453"/>
      <c r="CS453"/>
      <c r="DS453"/>
      <c r="DT453"/>
      <c r="DU453"/>
    </row>
    <row r="454" spans="1:125">
      <c r="A454"/>
      <c r="AJ454"/>
      <c r="AK454"/>
      <c r="AR454"/>
      <c r="AS454"/>
      <c r="AT454"/>
      <c r="AU454"/>
      <c r="AV454"/>
      <c r="AW454"/>
      <c r="AX454"/>
      <c r="AY454"/>
      <c r="AZ454"/>
      <c r="BA454"/>
      <c r="BB454"/>
      <c r="BC454"/>
      <c r="BD454"/>
      <c r="BE454"/>
      <c r="BL454"/>
      <c r="BP454"/>
      <c r="BQ454"/>
      <c r="BR454"/>
      <c r="CD454"/>
      <c r="CE454"/>
      <c r="CF454"/>
      <c r="CQ454"/>
      <c r="CR454"/>
      <c r="CS454"/>
      <c r="DS454"/>
      <c r="DT454"/>
      <c r="DU454"/>
    </row>
    <row r="455" spans="1:125">
      <c r="A455"/>
      <c r="AJ455"/>
      <c r="AK455"/>
      <c r="AR455"/>
      <c r="AS455"/>
      <c r="AT455"/>
      <c r="AU455"/>
      <c r="AV455"/>
      <c r="AW455"/>
      <c r="AX455"/>
      <c r="AY455"/>
      <c r="AZ455"/>
      <c r="BA455"/>
      <c r="BB455"/>
      <c r="BC455"/>
      <c r="BD455"/>
      <c r="BE455"/>
      <c r="BL455"/>
      <c r="BP455"/>
      <c r="BQ455"/>
      <c r="BR455"/>
      <c r="CD455"/>
      <c r="CE455"/>
      <c r="CF455"/>
      <c r="CQ455"/>
      <c r="CR455"/>
      <c r="CS455"/>
      <c r="DS455"/>
      <c r="DT455"/>
      <c r="DU455"/>
    </row>
    <row r="456" spans="1:125">
      <c r="A456"/>
      <c r="AJ456"/>
      <c r="AK456"/>
      <c r="AR456"/>
      <c r="AS456"/>
      <c r="AT456"/>
      <c r="AU456"/>
      <c r="AV456"/>
      <c r="AW456"/>
      <c r="AX456"/>
      <c r="AY456"/>
      <c r="AZ456"/>
      <c r="BA456"/>
      <c r="BB456"/>
      <c r="BC456"/>
      <c r="BD456"/>
      <c r="BE456"/>
      <c r="BL456"/>
      <c r="BP456"/>
      <c r="BQ456"/>
      <c r="BR456"/>
      <c r="CD456"/>
      <c r="CE456"/>
      <c r="CF456"/>
      <c r="CQ456"/>
      <c r="CR456"/>
      <c r="CS456"/>
      <c r="DS456"/>
      <c r="DT456"/>
      <c r="DU456"/>
    </row>
    <row r="457" spans="1:125">
      <c r="A457"/>
      <c r="AJ457"/>
      <c r="AK457"/>
      <c r="AR457"/>
      <c r="AS457"/>
      <c r="AT457"/>
      <c r="AU457"/>
      <c r="AV457"/>
      <c r="AW457"/>
      <c r="AX457"/>
      <c r="AY457"/>
      <c r="AZ457"/>
      <c r="BA457"/>
      <c r="BB457"/>
      <c r="BC457"/>
      <c r="BD457"/>
      <c r="BE457"/>
      <c r="BL457"/>
      <c r="BP457"/>
      <c r="BQ457"/>
      <c r="BR457"/>
      <c r="CD457"/>
      <c r="CE457"/>
      <c r="CF457"/>
      <c r="CQ457"/>
      <c r="CR457"/>
      <c r="CS457"/>
      <c r="DS457"/>
      <c r="DT457"/>
      <c r="DU457"/>
    </row>
    <row r="458" spans="1:125">
      <c r="A458"/>
      <c r="AJ458"/>
      <c r="AK458"/>
      <c r="AR458"/>
      <c r="AS458"/>
      <c r="AT458"/>
      <c r="AU458"/>
      <c r="AV458"/>
      <c r="AW458"/>
      <c r="AX458"/>
      <c r="AY458"/>
      <c r="AZ458"/>
      <c r="BA458"/>
      <c r="BB458"/>
      <c r="BC458"/>
      <c r="BD458"/>
      <c r="BE458"/>
      <c r="BL458"/>
      <c r="BP458"/>
      <c r="BQ458"/>
      <c r="BR458"/>
      <c r="CD458"/>
      <c r="CE458"/>
      <c r="CF458"/>
      <c r="CQ458"/>
      <c r="CR458"/>
      <c r="CS458"/>
      <c r="DS458"/>
      <c r="DT458"/>
      <c r="DU458"/>
    </row>
    <row r="459" spans="1:125">
      <c r="A459"/>
      <c r="AJ459"/>
      <c r="AK459"/>
      <c r="AR459"/>
      <c r="AS459"/>
      <c r="AT459"/>
      <c r="AU459"/>
      <c r="AV459"/>
      <c r="AW459"/>
      <c r="AX459"/>
      <c r="AY459"/>
      <c r="AZ459"/>
      <c r="BA459"/>
      <c r="BB459"/>
      <c r="BC459"/>
      <c r="BD459"/>
      <c r="BE459"/>
      <c r="BL459"/>
      <c r="BP459"/>
      <c r="BQ459"/>
      <c r="BR459"/>
      <c r="CD459"/>
      <c r="CE459"/>
      <c r="CF459"/>
      <c r="CQ459"/>
      <c r="CR459"/>
      <c r="CS459"/>
      <c r="DS459"/>
      <c r="DT459"/>
      <c r="DU459"/>
    </row>
    <row r="460" spans="1:125">
      <c r="A460"/>
      <c r="AJ460"/>
      <c r="AK460"/>
      <c r="AR460"/>
      <c r="AS460"/>
      <c r="AT460"/>
      <c r="AU460"/>
      <c r="AV460"/>
      <c r="AW460"/>
      <c r="AX460"/>
      <c r="AY460"/>
      <c r="AZ460"/>
      <c r="BA460"/>
      <c r="BB460"/>
      <c r="BC460"/>
      <c r="BD460"/>
      <c r="BE460"/>
      <c r="BL460"/>
      <c r="BP460"/>
      <c r="BQ460"/>
      <c r="BR460"/>
      <c r="CD460"/>
      <c r="CE460"/>
      <c r="CF460"/>
      <c r="CQ460"/>
      <c r="CR460"/>
      <c r="CS460"/>
      <c r="DS460"/>
      <c r="DT460"/>
      <c r="DU460"/>
    </row>
    <row r="461" spans="1:125">
      <c r="A461"/>
      <c r="AJ461"/>
      <c r="AK461"/>
      <c r="AR461"/>
      <c r="AS461"/>
      <c r="AT461"/>
      <c r="AU461"/>
      <c r="AV461"/>
      <c r="AW461"/>
      <c r="AX461"/>
      <c r="AY461"/>
      <c r="AZ461"/>
      <c r="BA461"/>
      <c r="BB461"/>
      <c r="BC461"/>
      <c r="BD461"/>
      <c r="BE461"/>
      <c r="BL461"/>
      <c r="BP461"/>
      <c r="BQ461"/>
      <c r="BR461"/>
      <c r="CD461"/>
      <c r="CE461"/>
      <c r="CF461"/>
      <c r="CQ461"/>
      <c r="CR461"/>
      <c r="CS461"/>
      <c r="DS461"/>
      <c r="DT461"/>
      <c r="DU461"/>
    </row>
    <row r="462" spans="1:125">
      <c r="A462"/>
      <c r="AJ462"/>
      <c r="AK462"/>
      <c r="AR462"/>
      <c r="AS462"/>
      <c r="AT462"/>
      <c r="AU462"/>
      <c r="AV462"/>
      <c r="AW462"/>
      <c r="AX462"/>
      <c r="AY462"/>
      <c r="AZ462"/>
      <c r="BA462"/>
      <c r="BB462"/>
      <c r="BC462"/>
      <c r="BD462"/>
      <c r="BE462"/>
      <c r="BL462"/>
      <c r="BP462"/>
      <c r="BQ462"/>
      <c r="BR462"/>
      <c r="CD462"/>
      <c r="CE462"/>
      <c r="CF462"/>
      <c r="CQ462"/>
      <c r="CR462"/>
      <c r="CS462"/>
      <c r="DS462"/>
      <c r="DT462"/>
      <c r="DU462"/>
    </row>
    <row r="463" spans="1:125">
      <c r="A463"/>
      <c r="AJ463"/>
      <c r="AK463"/>
      <c r="AR463"/>
      <c r="AS463"/>
      <c r="AT463"/>
      <c r="AU463"/>
      <c r="AV463"/>
      <c r="AW463"/>
      <c r="AX463"/>
      <c r="AY463"/>
      <c r="AZ463"/>
      <c r="BA463"/>
      <c r="BB463"/>
      <c r="BC463"/>
      <c r="BD463"/>
      <c r="BE463"/>
      <c r="BL463"/>
      <c r="BP463"/>
      <c r="BQ463"/>
      <c r="BR463"/>
      <c r="CD463"/>
      <c r="CE463"/>
      <c r="CF463"/>
      <c r="CQ463"/>
      <c r="CR463"/>
      <c r="CS463"/>
      <c r="DS463"/>
      <c r="DT463"/>
      <c r="DU463"/>
    </row>
    <row r="464" spans="1:125">
      <c r="A464"/>
      <c r="AJ464"/>
      <c r="AK464"/>
      <c r="AR464"/>
      <c r="AS464"/>
      <c r="AT464"/>
      <c r="AU464"/>
      <c r="AV464"/>
      <c r="AW464"/>
      <c r="AX464"/>
      <c r="AY464"/>
      <c r="AZ464"/>
      <c r="BA464"/>
      <c r="BB464"/>
      <c r="BC464"/>
      <c r="BD464"/>
      <c r="BE464"/>
      <c r="BL464"/>
      <c r="BP464"/>
      <c r="BQ464"/>
      <c r="BR464"/>
      <c r="CD464"/>
      <c r="CE464"/>
      <c r="CF464"/>
      <c r="CQ464"/>
      <c r="CR464"/>
      <c r="CS464"/>
      <c r="DS464"/>
      <c r="DT464"/>
      <c r="DU464"/>
    </row>
    <row r="465" spans="1:125">
      <c r="A465"/>
      <c r="AJ465"/>
      <c r="AK465"/>
      <c r="AR465"/>
      <c r="AS465"/>
      <c r="AT465"/>
      <c r="AU465"/>
      <c r="AV465"/>
      <c r="AW465"/>
      <c r="AX465"/>
      <c r="AY465"/>
      <c r="AZ465"/>
      <c r="BA465"/>
      <c r="BB465"/>
      <c r="BC465"/>
      <c r="BD465"/>
      <c r="BE465"/>
      <c r="BL465"/>
      <c r="BP465"/>
      <c r="BQ465"/>
      <c r="BR465"/>
      <c r="CD465"/>
      <c r="CE465"/>
      <c r="CF465"/>
      <c r="CQ465"/>
      <c r="CR465"/>
      <c r="CS465"/>
      <c r="DS465"/>
      <c r="DT465"/>
      <c r="DU465"/>
    </row>
    <row r="466" spans="1:125">
      <c r="A466"/>
      <c r="AJ466"/>
      <c r="AK466"/>
      <c r="AR466"/>
      <c r="AS466"/>
      <c r="AT466"/>
      <c r="AU466"/>
      <c r="AV466"/>
      <c r="AW466"/>
      <c r="AX466"/>
      <c r="AY466"/>
      <c r="AZ466"/>
      <c r="BA466"/>
      <c r="BB466"/>
      <c r="BC466"/>
      <c r="BD466"/>
      <c r="BE466"/>
      <c r="BL466"/>
      <c r="BP466"/>
      <c r="BQ466"/>
      <c r="BR466"/>
      <c r="CD466"/>
      <c r="CE466"/>
      <c r="CF466"/>
      <c r="CQ466"/>
      <c r="CR466"/>
      <c r="CS466"/>
      <c r="DS466"/>
      <c r="DT466"/>
      <c r="DU466"/>
    </row>
    <row r="467" spans="1:125">
      <c r="A467"/>
      <c r="AJ467"/>
      <c r="AK467"/>
      <c r="AR467"/>
      <c r="AS467"/>
      <c r="AT467"/>
      <c r="AU467"/>
      <c r="AV467"/>
      <c r="AW467"/>
      <c r="AX467"/>
      <c r="AY467"/>
      <c r="AZ467"/>
      <c r="BA467"/>
      <c r="BB467"/>
      <c r="BC467"/>
      <c r="BD467"/>
      <c r="BE467"/>
      <c r="BL467"/>
      <c r="BP467"/>
      <c r="BQ467"/>
      <c r="BR467"/>
      <c r="CD467"/>
      <c r="CE467"/>
      <c r="CF467"/>
      <c r="CQ467"/>
      <c r="CR467"/>
      <c r="CS467"/>
      <c r="DS467"/>
      <c r="DT467"/>
      <c r="DU467"/>
    </row>
    <row r="468" spans="1:125">
      <c r="A468"/>
      <c r="AJ468"/>
      <c r="AK468"/>
      <c r="AR468"/>
      <c r="AS468"/>
      <c r="AT468"/>
      <c r="AU468"/>
      <c r="AV468"/>
      <c r="AW468"/>
      <c r="AX468"/>
      <c r="AY468"/>
      <c r="AZ468"/>
      <c r="BA468"/>
      <c r="BB468"/>
      <c r="BC468"/>
      <c r="BD468"/>
      <c r="BE468"/>
      <c r="BL468"/>
      <c r="BP468"/>
      <c r="BQ468"/>
      <c r="BR468"/>
      <c r="CD468"/>
      <c r="CE468"/>
      <c r="CF468"/>
      <c r="CQ468"/>
      <c r="CR468"/>
      <c r="CS468"/>
      <c r="DS468"/>
      <c r="DT468"/>
      <c r="DU468"/>
    </row>
    <row r="469" spans="1:125">
      <c r="A469"/>
      <c r="AJ469"/>
      <c r="AK469"/>
      <c r="AR469"/>
      <c r="AS469"/>
      <c r="AT469"/>
      <c r="AU469"/>
      <c r="AV469"/>
      <c r="AW469"/>
      <c r="AX469"/>
      <c r="AY469"/>
      <c r="AZ469"/>
      <c r="BA469"/>
      <c r="BB469"/>
      <c r="BC469"/>
      <c r="BD469"/>
      <c r="BE469"/>
      <c r="BL469"/>
      <c r="BP469"/>
      <c r="BQ469"/>
      <c r="BR469"/>
      <c r="CD469"/>
      <c r="CE469"/>
      <c r="CF469"/>
      <c r="CQ469"/>
      <c r="CR469"/>
      <c r="CS469"/>
      <c r="DS469"/>
      <c r="DT469"/>
      <c r="DU469"/>
    </row>
    <row r="470" spans="1:125">
      <c r="A470"/>
      <c r="AJ470"/>
      <c r="AK470"/>
      <c r="AR470"/>
      <c r="AS470"/>
      <c r="AT470"/>
      <c r="AU470"/>
      <c r="AV470"/>
      <c r="AW470"/>
      <c r="AX470"/>
      <c r="AY470"/>
      <c r="AZ470"/>
      <c r="BA470"/>
      <c r="BB470"/>
      <c r="BC470"/>
      <c r="BD470"/>
      <c r="BE470"/>
      <c r="BL470"/>
      <c r="BP470"/>
      <c r="BQ470"/>
      <c r="BR470"/>
      <c r="CD470"/>
      <c r="CE470"/>
      <c r="CF470"/>
      <c r="CQ470"/>
      <c r="CR470"/>
      <c r="CS470"/>
      <c r="DS470"/>
      <c r="DT470"/>
      <c r="DU470"/>
    </row>
    <row r="471" spans="1:125">
      <c r="A471"/>
      <c r="AJ471"/>
      <c r="AK471"/>
      <c r="AR471"/>
      <c r="AS471"/>
      <c r="AT471"/>
      <c r="AU471"/>
      <c r="AV471"/>
      <c r="AW471"/>
      <c r="AX471"/>
      <c r="AY471"/>
      <c r="AZ471"/>
      <c r="BA471"/>
      <c r="BB471"/>
      <c r="BC471"/>
      <c r="BD471"/>
      <c r="BE471"/>
      <c r="BL471"/>
      <c r="BP471"/>
      <c r="BQ471"/>
      <c r="BR471"/>
      <c r="CD471"/>
      <c r="CE471"/>
      <c r="CF471"/>
      <c r="CQ471"/>
      <c r="CR471"/>
      <c r="CS471"/>
      <c r="DS471"/>
      <c r="DT471"/>
      <c r="DU471"/>
    </row>
    <row r="472" spans="1:125">
      <c r="A472"/>
      <c r="AJ472"/>
      <c r="AK472"/>
      <c r="AR472"/>
      <c r="AS472"/>
      <c r="AT472"/>
      <c r="AU472"/>
      <c r="AV472"/>
      <c r="AW472"/>
      <c r="AX472"/>
      <c r="AY472"/>
      <c r="AZ472"/>
      <c r="BA472"/>
      <c r="BB472"/>
      <c r="BC472"/>
      <c r="BD472"/>
      <c r="BE472"/>
      <c r="BL472"/>
      <c r="BP472"/>
      <c r="BQ472"/>
      <c r="BR472"/>
      <c r="CD472"/>
      <c r="CE472"/>
      <c r="CF472"/>
      <c r="CQ472"/>
      <c r="CR472"/>
      <c r="CS472"/>
      <c r="DS472"/>
      <c r="DT472"/>
      <c r="DU472"/>
    </row>
    <row r="473" spans="1:125">
      <c r="A473"/>
      <c r="AJ473"/>
      <c r="AK473"/>
      <c r="AR473"/>
      <c r="AS473"/>
      <c r="AT473"/>
      <c r="AU473"/>
      <c r="AV473"/>
      <c r="AW473"/>
      <c r="AX473"/>
      <c r="AY473"/>
      <c r="AZ473"/>
      <c r="BA473"/>
      <c r="BB473"/>
      <c r="BC473"/>
      <c r="BD473"/>
      <c r="BE473"/>
      <c r="BL473"/>
      <c r="BP473"/>
      <c r="BQ473"/>
      <c r="BR473"/>
      <c r="CD473"/>
      <c r="CE473"/>
      <c r="CF473"/>
      <c r="CQ473"/>
      <c r="CR473"/>
      <c r="CS473"/>
      <c r="DS473"/>
      <c r="DT473"/>
      <c r="DU473"/>
    </row>
    <row r="474" spans="1:125">
      <c r="A474"/>
      <c r="AJ474"/>
      <c r="AK474"/>
      <c r="AR474"/>
      <c r="AS474"/>
      <c r="AT474"/>
      <c r="AU474"/>
      <c r="AV474"/>
      <c r="AW474"/>
      <c r="AX474"/>
      <c r="AY474"/>
      <c r="AZ474"/>
      <c r="BA474"/>
      <c r="BB474"/>
      <c r="BC474"/>
      <c r="BD474"/>
      <c r="BE474"/>
      <c r="BL474"/>
      <c r="BP474"/>
      <c r="BQ474"/>
      <c r="BR474"/>
      <c r="CD474"/>
      <c r="CE474"/>
      <c r="CF474"/>
      <c r="CQ474"/>
      <c r="CR474"/>
      <c r="CS474"/>
      <c r="DS474"/>
      <c r="DT474"/>
      <c r="DU474"/>
    </row>
    <row r="475" spans="1:125">
      <c r="A475"/>
      <c r="AJ475"/>
      <c r="AK475"/>
      <c r="AR475"/>
      <c r="AS475"/>
      <c r="AT475"/>
      <c r="AU475"/>
      <c r="AV475"/>
      <c r="AW475"/>
      <c r="AX475"/>
      <c r="AY475"/>
      <c r="AZ475"/>
      <c r="BA475"/>
      <c r="BB475"/>
      <c r="BC475"/>
      <c r="BD475"/>
      <c r="BE475"/>
      <c r="BL475"/>
      <c r="BP475"/>
      <c r="BQ475"/>
      <c r="BR475"/>
      <c r="CD475"/>
      <c r="CE475"/>
      <c r="CF475"/>
      <c r="CQ475"/>
      <c r="CR475"/>
      <c r="CS475"/>
      <c r="DS475"/>
      <c r="DT475"/>
      <c r="DU475"/>
    </row>
    <row r="476" spans="1:125">
      <c r="A476"/>
      <c r="AJ476"/>
      <c r="AK476"/>
      <c r="AR476"/>
      <c r="AS476"/>
      <c r="AT476"/>
      <c r="AU476"/>
      <c r="AV476"/>
      <c r="AW476"/>
      <c r="AX476"/>
      <c r="AY476"/>
      <c r="AZ476"/>
      <c r="BA476"/>
      <c r="BB476"/>
      <c r="BC476"/>
      <c r="BD476"/>
      <c r="BE476"/>
      <c r="BL476"/>
      <c r="BP476"/>
      <c r="BQ476"/>
      <c r="BR476"/>
      <c r="CD476"/>
      <c r="CE476"/>
      <c r="CF476"/>
      <c r="CQ476"/>
      <c r="CR476"/>
      <c r="CS476"/>
      <c r="DS476"/>
      <c r="DT476"/>
      <c r="DU476"/>
    </row>
    <row r="477" spans="1:125">
      <c r="A477"/>
      <c r="AJ477"/>
      <c r="AK477"/>
      <c r="AR477"/>
      <c r="AS477"/>
      <c r="AT477"/>
      <c r="AU477"/>
      <c r="AV477"/>
      <c r="AW477"/>
      <c r="AX477"/>
      <c r="AY477"/>
      <c r="AZ477"/>
      <c r="BA477"/>
      <c r="BB477"/>
      <c r="BC477"/>
      <c r="BD477"/>
      <c r="BE477"/>
      <c r="BL477"/>
      <c r="BP477"/>
      <c r="BQ477"/>
      <c r="BR477"/>
      <c r="CD477"/>
      <c r="CE477"/>
      <c r="CF477"/>
      <c r="CQ477"/>
      <c r="CR477"/>
      <c r="CS477"/>
      <c r="DS477"/>
      <c r="DT477"/>
      <c r="DU477"/>
    </row>
    <row r="478" spans="1:125">
      <c r="A478"/>
      <c r="AJ478"/>
      <c r="AK478"/>
      <c r="AR478"/>
      <c r="AS478"/>
      <c r="AT478"/>
      <c r="AU478"/>
      <c r="AV478"/>
      <c r="AW478"/>
      <c r="AX478"/>
      <c r="AY478"/>
      <c r="AZ478"/>
      <c r="BA478"/>
      <c r="BB478"/>
      <c r="BC478"/>
      <c r="BD478"/>
      <c r="BE478"/>
      <c r="BL478"/>
      <c r="BP478"/>
      <c r="BQ478"/>
      <c r="BR478"/>
      <c r="CD478"/>
      <c r="CE478"/>
      <c r="CF478"/>
      <c r="CQ478"/>
      <c r="CR478"/>
      <c r="CS478"/>
      <c r="DS478"/>
      <c r="DT478"/>
      <c r="DU478"/>
    </row>
    <row r="479" spans="1:125">
      <c r="A479"/>
      <c r="AJ479"/>
      <c r="AK479"/>
      <c r="AR479"/>
      <c r="AS479"/>
      <c r="AT479"/>
      <c r="AU479"/>
      <c r="AV479"/>
      <c r="AW479"/>
      <c r="AX479"/>
      <c r="AY479"/>
      <c r="AZ479"/>
      <c r="BA479"/>
      <c r="BB479"/>
      <c r="BC479"/>
      <c r="BD479"/>
      <c r="BE479"/>
      <c r="BL479"/>
      <c r="BP479"/>
      <c r="BQ479"/>
      <c r="BR479"/>
      <c r="CD479"/>
      <c r="CE479"/>
      <c r="CF479"/>
      <c r="CQ479"/>
      <c r="CR479"/>
      <c r="CS479"/>
      <c r="DS479"/>
      <c r="DT479"/>
      <c r="DU479"/>
    </row>
    <row r="480" spans="1:125">
      <c r="A480"/>
      <c r="AJ480"/>
      <c r="AK480"/>
      <c r="AR480"/>
      <c r="AS480"/>
      <c r="AT480"/>
      <c r="AU480"/>
      <c r="AV480"/>
      <c r="AW480"/>
      <c r="AX480"/>
      <c r="AY480"/>
      <c r="AZ480"/>
      <c r="BA480"/>
      <c r="BB480"/>
      <c r="BC480"/>
      <c r="BD480"/>
      <c r="BE480"/>
      <c r="BL480"/>
      <c r="BP480"/>
      <c r="BQ480"/>
      <c r="BR480"/>
      <c r="CD480"/>
      <c r="CE480"/>
      <c r="CF480"/>
      <c r="CQ480"/>
      <c r="CR480"/>
      <c r="CS480"/>
      <c r="DS480"/>
      <c r="DT480"/>
      <c r="DU480"/>
    </row>
    <row r="481" spans="1:125">
      <c r="A481"/>
      <c r="AJ481"/>
      <c r="AK481"/>
      <c r="AR481"/>
      <c r="AS481"/>
      <c r="AT481"/>
      <c r="AU481"/>
      <c r="AV481"/>
      <c r="AW481"/>
      <c r="AX481"/>
      <c r="AY481"/>
      <c r="AZ481"/>
      <c r="BA481"/>
      <c r="BB481"/>
      <c r="BC481"/>
      <c r="BD481"/>
      <c r="BE481"/>
      <c r="BL481"/>
      <c r="BP481"/>
      <c r="BQ481"/>
      <c r="BR481"/>
      <c r="CD481"/>
      <c r="CE481"/>
      <c r="CF481"/>
      <c r="CQ481"/>
      <c r="CR481"/>
      <c r="CS481"/>
      <c r="DS481"/>
      <c r="DT481"/>
      <c r="DU481"/>
    </row>
    <row r="482" spans="1:125">
      <c r="A482"/>
      <c r="AJ482"/>
      <c r="AK482"/>
      <c r="AR482"/>
      <c r="AS482"/>
      <c r="AT482"/>
      <c r="AU482"/>
      <c r="AV482"/>
      <c r="AW482"/>
      <c r="AX482"/>
      <c r="AY482"/>
      <c r="AZ482"/>
      <c r="BA482"/>
      <c r="BB482"/>
      <c r="BC482"/>
      <c r="BD482"/>
      <c r="BE482"/>
      <c r="BL482"/>
      <c r="BP482"/>
      <c r="BQ482"/>
      <c r="BR482"/>
      <c r="CD482"/>
      <c r="CE482"/>
      <c r="CF482"/>
      <c r="CQ482"/>
      <c r="CR482"/>
      <c r="CS482"/>
      <c r="DS482"/>
      <c r="DT482"/>
      <c r="DU482"/>
    </row>
    <row r="483" spans="1:125">
      <c r="A483"/>
      <c r="AJ483"/>
      <c r="AK483"/>
      <c r="AR483"/>
      <c r="AS483"/>
      <c r="AT483"/>
      <c r="AU483"/>
      <c r="AV483"/>
      <c r="AW483"/>
      <c r="AX483"/>
      <c r="AY483"/>
      <c r="AZ483"/>
      <c r="BA483"/>
      <c r="BB483"/>
      <c r="BC483"/>
      <c r="BD483"/>
      <c r="BE483"/>
      <c r="BL483"/>
      <c r="BP483"/>
      <c r="BQ483"/>
      <c r="BR483"/>
      <c r="CD483"/>
      <c r="CE483"/>
      <c r="CF483"/>
      <c r="CQ483"/>
      <c r="CR483"/>
      <c r="CS483"/>
      <c r="DS483"/>
      <c r="DT483"/>
      <c r="DU483"/>
    </row>
    <row r="484" spans="1:125">
      <c r="A484"/>
      <c r="AJ484"/>
      <c r="AK484"/>
      <c r="AR484"/>
      <c r="AS484"/>
      <c r="AT484"/>
      <c r="AU484"/>
      <c r="AV484"/>
      <c r="AW484"/>
      <c r="AX484"/>
      <c r="AY484"/>
      <c r="AZ484"/>
      <c r="BA484"/>
      <c r="BB484"/>
      <c r="BC484"/>
      <c r="BD484"/>
      <c r="BE484"/>
      <c r="BL484"/>
      <c r="BP484"/>
      <c r="BQ484"/>
      <c r="BR484"/>
      <c r="CD484"/>
      <c r="CE484"/>
      <c r="CF484"/>
      <c r="CQ484"/>
      <c r="CR484"/>
      <c r="CS484"/>
      <c r="DS484"/>
      <c r="DT484"/>
      <c r="DU484"/>
    </row>
    <row r="485" spans="1:125">
      <c r="A485"/>
      <c r="AJ485"/>
      <c r="AK485"/>
      <c r="AR485"/>
      <c r="AS485"/>
      <c r="AT485"/>
      <c r="AU485"/>
      <c r="AV485"/>
      <c r="AW485"/>
      <c r="AX485"/>
      <c r="AY485"/>
      <c r="AZ485"/>
      <c r="BA485"/>
      <c r="BB485"/>
      <c r="BC485"/>
      <c r="BD485"/>
      <c r="BE485"/>
      <c r="BL485"/>
      <c r="BP485"/>
      <c r="BQ485"/>
      <c r="BR485"/>
      <c r="CD485"/>
      <c r="CE485"/>
      <c r="CF485"/>
      <c r="CQ485"/>
      <c r="CR485"/>
      <c r="CS485"/>
      <c r="DS485"/>
      <c r="DT485"/>
      <c r="DU485"/>
    </row>
    <row r="486" spans="1:125">
      <c r="A486"/>
      <c r="AJ486"/>
      <c r="AK486"/>
      <c r="AR486"/>
      <c r="AS486"/>
      <c r="AT486"/>
      <c r="AU486"/>
      <c r="AV486"/>
      <c r="AW486"/>
      <c r="AX486"/>
      <c r="AY486"/>
      <c r="AZ486"/>
      <c r="BA486"/>
      <c r="BB486"/>
      <c r="BC486"/>
      <c r="BD486"/>
      <c r="BE486"/>
      <c r="BL486"/>
      <c r="BP486"/>
      <c r="BQ486"/>
      <c r="BR486"/>
      <c r="CD486"/>
      <c r="CE486"/>
      <c r="CF486"/>
      <c r="CQ486"/>
      <c r="CR486"/>
      <c r="CS486"/>
      <c r="DS486"/>
      <c r="DT486"/>
      <c r="DU486"/>
    </row>
    <row r="487" spans="1:125">
      <c r="A487"/>
      <c r="AJ487"/>
      <c r="AK487"/>
      <c r="AR487"/>
      <c r="AS487"/>
      <c r="AT487"/>
      <c r="AU487"/>
      <c r="AV487"/>
      <c r="AW487"/>
      <c r="AX487"/>
      <c r="AY487"/>
      <c r="AZ487"/>
      <c r="BA487"/>
      <c r="BB487"/>
      <c r="BC487"/>
      <c r="BD487"/>
      <c r="BE487"/>
      <c r="BL487"/>
      <c r="BP487"/>
      <c r="BQ487"/>
      <c r="BR487"/>
      <c r="CD487"/>
      <c r="CE487"/>
      <c r="CF487"/>
      <c r="CQ487"/>
      <c r="CR487"/>
      <c r="CS487"/>
      <c r="DS487"/>
      <c r="DT487"/>
      <c r="DU487"/>
    </row>
    <row r="488" spans="1:125">
      <c r="A488"/>
      <c r="AJ488"/>
      <c r="AK488"/>
      <c r="AR488"/>
      <c r="AS488"/>
      <c r="AT488"/>
      <c r="AU488"/>
      <c r="AV488"/>
      <c r="AW488"/>
      <c r="AX488"/>
      <c r="AY488"/>
      <c r="AZ488"/>
      <c r="BA488"/>
      <c r="BB488"/>
      <c r="BC488"/>
      <c r="BD488"/>
      <c r="BE488"/>
      <c r="BL488"/>
      <c r="BP488"/>
      <c r="BQ488"/>
      <c r="BR488"/>
      <c r="CD488"/>
      <c r="CE488"/>
      <c r="CF488"/>
      <c r="CQ488"/>
      <c r="CR488"/>
      <c r="CS488"/>
      <c r="DS488"/>
      <c r="DT488"/>
      <c r="DU488"/>
    </row>
    <row r="489" spans="1:125">
      <c r="A489"/>
      <c r="AJ489"/>
      <c r="AK489"/>
      <c r="AR489"/>
      <c r="AS489"/>
      <c r="AT489"/>
      <c r="AU489"/>
      <c r="AV489"/>
      <c r="AW489"/>
      <c r="AX489"/>
      <c r="AY489"/>
      <c r="AZ489"/>
      <c r="BA489"/>
      <c r="BB489"/>
      <c r="BC489"/>
      <c r="BD489"/>
      <c r="BE489"/>
      <c r="BL489"/>
      <c r="BP489"/>
      <c r="BQ489"/>
      <c r="BR489"/>
      <c r="CD489"/>
      <c r="CE489"/>
      <c r="CF489"/>
      <c r="CQ489"/>
      <c r="CR489"/>
      <c r="CS489"/>
      <c r="DS489"/>
      <c r="DT489"/>
      <c r="DU489"/>
    </row>
    <row r="490" spans="1:125">
      <c r="A490"/>
      <c r="AJ490"/>
      <c r="AK490"/>
      <c r="AR490"/>
      <c r="AS490"/>
      <c r="AT490"/>
      <c r="AU490"/>
      <c r="AV490"/>
      <c r="AW490"/>
      <c r="AX490"/>
      <c r="AY490"/>
      <c r="AZ490"/>
      <c r="BA490"/>
      <c r="BB490"/>
      <c r="BC490"/>
      <c r="BD490"/>
      <c r="BE490"/>
      <c r="BL490"/>
      <c r="BP490"/>
      <c r="BQ490"/>
      <c r="BR490"/>
      <c r="CD490"/>
      <c r="CE490"/>
      <c r="CF490"/>
      <c r="CQ490"/>
      <c r="CR490"/>
      <c r="CS490"/>
      <c r="DS490"/>
      <c r="DT490"/>
      <c r="DU490"/>
    </row>
    <row r="491" spans="1:125">
      <c r="A491"/>
      <c r="AJ491"/>
      <c r="AK491"/>
      <c r="AR491"/>
      <c r="AS491"/>
      <c r="AT491"/>
      <c r="AU491"/>
      <c r="AV491"/>
      <c r="AW491"/>
      <c r="AX491"/>
      <c r="AY491"/>
      <c r="AZ491"/>
      <c r="BA491"/>
      <c r="BB491"/>
      <c r="BC491"/>
      <c r="BD491"/>
      <c r="BE491"/>
      <c r="BL491"/>
      <c r="BP491"/>
      <c r="BQ491"/>
      <c r="BR491"/>
      <c r="CD491"/>
      <c r="CE491"/>
      <c r="CF491"/>
      <c r="CQ491"/>
      <c r="CR491"/>
      <c r="CS491"/>
      <c r="DS491"/>
      <c r="DT491"/>
      <c r="DU491"/>
    </row>
    <row r="492" spans="1:125">
      <c r="A492"/>
      <c r="AJ492"/>
      <c r="AK492"/>
      <c r="AR492"/>
      <c r="AS492"/>
      <c r="AT492"/>
      <c r="AU492"/>
      <c r="AV492"/>
      <c r="AW492"/>
      <c r="AX492"/>
      <c r="AY492"/>
      <c r="AZ492"/>
      <c r="BA492"/>
      <c r="BB492"/>
      <c r="BC492"/>
      <c r="BD492"/>
      <c r="BE492"/>
      <c r="BL492"/>
      <c r="BP492"/>
      <c r="BQ492"/>
      <c r="BR492"/>
      <c r="CD492"/>
      <c r="CE492"/>
      <c r="CF492"/>
      <c r="CQ492"/>
      <c r="CR492"/>
      <c r="CS492"/>
      <c r="DS492"/>
      <c r="DT492"/>
      <c r="DU492"/>
    </row>
    <row r="493" spans="1:125">
      <c r="A493"/>
      <c r="AJ493"/>
      <c r="AK493"/>
      <c r="AR493"/>
      <c r="AS493"/>
      <c r="AT493"/>
      <c r="AU493"/>
      <c r="AV493"/>
      <c r="AW493"/>
      <c r="AX493"/>
      <c r="AY493"/>
      <c r="AZ493"/>
      <c r="BA493"/>
      <c r="BB493"/>
      <c r="BC493"/>
      <c r="BD493"/>
      <c r="BE493"/>
      <c r="BL493"/>
      <c r="BP493"/>
      <c r="BQ493"/>
      <c r="BR493"/>
      <c r="CD493"/>
      <c r="CE493"/>
      <c r="CF493"/>
      <c r="CQ493"/>
      <c r="CR493"/>
      <c r="CS493"/>
      <c r="DS493"/>
      <c r="DT493"/>
      <c r="DU493"/>
    </row>
    <row r="494" spans="1:125">
      <c r="A494"/>
      <c r="AJ494"/>
      <c r="AK494"/>
      <c r="AR494"/>
      <c r="AS494"/>
      <c r="AT494"/>
      <c r="AU494"/>
      <c r="AV494"/>
      <c r="AW494"/>
      <c r="AX494"/>
      <c r="AY494"/>
      <c r="AZ494"/>
      <c r="BA494"/>
      <c r="BB494"/>
      <c r="BC494"/>
      <c r="BD494"/>
      <c r="BE494"/>
      <c r="BL494"/>
      <c r="BP494"/>
      <c r="BQ494"/>
      <c r="BR494"/>
      <c r="CD494"/>
      <c r="CE494"/>
      <c r="CF494"/>
      <c r="CQ494"/>
      <c r="CR494"/>
      <c r="CS494"/>
      <c r="DS494"/>
      <c r="DT494"/>
      <c r="DU494"/>
    </row>
    <row r="495" spans="1:125">
      <c r="A495"/>
      <c r="AJ495"/>
      <c r="AK495"/>
      <c r="AR495"/>
      <c r="AS495"/>
      <c r="AT495"/>
      <c r="AU495"/>
      <c r="AV495"/>
      <c r="AW495"/>
      <c r="AX495"/>
      <c r="AY495"/>
      <c r="AZ495"/>
      <c r="BA495"/>
      <c r="BB495"/>
      <c r="BC495"/>
      <c r="BD495"/>
      <c r="BE495"/>
      <c r="BL495"/>
      <c r="BP495"/>
      <c r="BQ495"/>
      <c r="BR495"/>
      <c r="CD495"/>
      <c r="CE495"/>
      <c r="CF495"/>
      <c r="CQ495"/>
      <c r="CR495"/>
      <c r="CS495"/>
      <c r="DS495"/>
      <c r="DT495"/>
      <c r="DU495"/>
    </row>
    <row r="496" spans="1:125">
      <c r="A496"/>
      <c r="AJ496"/>
      <c r="AK496"/>
      <c r="AR496"/>
      <c r="AS496"/>
      <c r="AT496"/>
      <c r="AU496"/>
      <c r="AV496"/>
      <c r="AW496"/>
      <c r="AX496"/>
      <c r="AY496"/>
      <c r="AZ496"/>
      <c r="BA496"/>
      <c r="BB496"/>
      <c r="BC496"/>
      <c r="BD496"/>
      <c r="BE496"/>
      <c r="BL496"/>
      <c r="BP496"/>
      <c r="BQ496"/>
      <c r="BR496"/>
      <c r="CD496"/>
      <c r="CE496"/>
      <c r="CF496"/>
      <c r="CQ496"/>
      <c r="CR496"/>
      <c r="CS496"/>
      <c r="DS496"/>
      <c r="DT496"/>
      <c r="DU496"/>
    </row>
    <row r="497" spans="1:125">
      <c r="A497"/>
      <c r="AJ497"/>
      <c r="AK497"/>
      <c r="AR497"/>
      <c r="AS497"/>
      <c r="AT497"/>
      <c r="AU497"/>
      <c r="AV497"/>
      <c r="AW497"/>
      <c r="AX497"/>
      <c r="AY497"/>
      <c r="AZ497"/>
      <c r="BA497"/>
      <c r="BB497"/>
      <c r="BC497"/>
      <c r="BD497"/>
      <c r="BE497"/>
      <c r="BL497"/>
      <c r="BP497"/>
      <c r="BQ497"/>
      <c r="BR497"/>
      <c r="CD497"/>
      <c r="CE497"/>
      <c r="CF497"/>
      <c r="CQ497"/>
      <c r="CR497"/>
      <c r="CS497"/>
      <c r="DS497"/>
      <c r="DT497"/>
      <c r="DU497"/>
    </row>
    <row r="498" spans="1:125">
      <c r="A498"/>
      <c r="AJ498"/>
      <c r="AK498"/>
      <c r="AR498"/>
      <c r="AS498"/>
      <c r="AT498"/>
      <c r="AU498"/>
      <c r="AV498"/>
      <c r="AW498"/>
      <c r="AX498"/>
      <c r="AY498"/>
      <c r="AZ498"/>
      <c r="BA498"/>
      <c r="BB498"/>
      <c r="BC498"/>
      <c r="BD498"/>
      <c r="BE498"/>
      <c r="BL498"/>
      <c r="BP498"/>
      <c r="BQ498"/>
      <c r="BR498"/>
      <c r="CD498"/>
      <c r="CE498"/>
      <c r="CF498"/>
      <c r="CQ498"/>
      <c r="CR498"/>
      <c r="CS498"/>
      <c r="DS498"/>
      <c r="DT498"/>
      <c r="DU498"/>
    </row>
    <row r="499" spans="1:125">
      <c r="A499"/>
      <c r="AJ499"/>
      <c r="AK499"/>
      <c r="AR499"/>
      <c r="AS499"/>
      <c r="AT499"/>
      <c r="AU499"/>
      <c r="AV499"/>
      <c r="AW499"/>
      <c r="AX499"/>
      <c r="AY499"/>
      <c r="AZ499"/>
      <c r="BA499"/>
      <c r="BB499"/>
      <c r="BC499"/>
      <c r="BD499"/>
      <c r="BE499"/>
      <c r="BL499"/>
      <c r="BP499"/>
      <c r="BQ499"/>
      <c r="BR499"/>
      <c r="CD499"/>
      <c r="CE499"/>
      <c r="CF499"/>
      <c r="CQ499"/>
      <c r="CR499"/>
      <c r="CS499"/>
      <c r="DS499"/>
      <c r="DT499"/>
      <c r="DU499"/>
    </row>
    <row r="500" spans="1:125">
      <c r="A500"/>
      <c r="AJ500"/>
      <c r="AK500"/>
      <c r="AR500"/>
      <c r="AS500"/>
      <c r="AT500"/>
      <c r="AU500"/>
      <c r="AV500"/>
      <c r="AW500"/>
      <c r="AX500"/>
      <c r="AY500"/>
      <c r="AZ500"/>
      <c r="BA500"/>
      <c r="BB500"/>
      <c r="BC500"/>
      <c r="BD500"/>
      <c r="BE500"/>
      <c r="BL500"/>
      <c r="BP500"/>
      <c r="BQ500"/>
      <c r="BR500"/>
      <c r="CD500"/>
      <c r="CE500"/>
      <c r="CF500"/>
      <c r="CQ500"/>
      <c r="CR500"/>
      <c r="CS500"/>
      <c r="DS500"/>
      <c r="DT500"/>
      <c r="DU500"/>
    </row>
    <row r="501" spans="1:125">
      <c r="A501"/>
      <c r="AJ501"/>
      <c r="AK501"/>
      <c r="AR501"/>
      <c r="AS501"/>
      <c r="AT501"/>
      <c r="AU501"/>
      <c r="AV501"/>
      <c r="AW501"/>
      <c r="AX501"/>
      <c r="AY501"/>
      <c r="AZ501"/>
      <c r="BA501"/>
      <c r="BB501"/>
      <c r="BC501"/>
      <c r="BD501"/>
      <c r="BE501"/>
      <c r="BL501"/>
      <c r="BP501"/>
      <c r="BQ501"/>
      <c r="BR501"/>
      <c r="CD501"/>
      <c r="CE501"/>
      <c r="CF501"/>
      <c r="CQ501"/>
      <c r="CR501"/>
      <c r="CS501"/>
      <c r="DS501"/>
      <c r="DT501"/>
      <c r="DU501"/>
    </row>
    <row r="502" spans="1:125">
      <c r="A502"/>
      <c r="AJ502"/>
      <c r="AK502"/>
      <c r="AR502"/>
      <c r="AS502"/>
      <c r="AT502"/>
      <c r="AU502"/>
      <c r="AV502"/>
      <c r="AW502"/>
      <c r="AX502"/>
      <c r="AY502"/>
      <c r="AZ502"/>
      <c r="BA502"/>
      <c r="BB502"/>
      <c r="BC502"/>
      <c r="BD502"/>
      <c r="BE502"/>
      <c r="BL502"/>
      <c r="BP502"/>
      <c r="BQ502"/>
      <c r="BR502"/>
      <c r="CD502"/>
      <c r="CE502"/>
      <c r="CF502"/>
      <c r="CQ502"/>
      <c r="CR502"/>
      <c r="CS502"/>
      <c r="DS502"/>
      <c r="DT502"/>
      <c r="DU502"/>
    </row>
    <row r="503" spans="1:125">
      <c r="A503"/>
      <c r="AJ503"/>
      <c r="AK503"/>
      <c r="AR503"/>
      <c r="AS503"/>
      <c r="AT503"/>
      <c r="AU503"/>
      <c r="AV503"/>
      <c r="AW503"/>
      <c r="AX503"/>
      <c r="AY503"/>
      <c r="AZ503"/>
      <c r="BA503"/>
      <c r="BB503"/>
      <c r="BC503"/>
      <c r="BD503"/>
      <c r="BE503"/>
      <c r="BL503"/>
      <c r="BP503"/>
      <c r="BQ503"/>
      <c r="BR503"/>
      <c r="CD503"/>
      <c r="CE503"/>
      <c r="CF503"/>
      <c r="CQ503"/>
      <c r="CR503"/>
      <c r="CS503"/>
      <c r="DS503"/>
      <c r="DT503"/>
      <c r="DU503"/>
    </row>
    <row r="504" spans="1:125">
      <c r="A504"/>
      <c r="AJ504"/>
      <c r="AK504"/>
      <c r="AR504"/>
      <c r="AS504"/>
      <c r="AT504"/>
      <c r="AU504"/>
      <c r="AV504"/>
      <c r="AW504"/>
      <c r="AX504"/>
      <c r="AY504"/>
      <c r="AZ504"/>
      <c r="BA504"/>
      <c r="BB504"/>
      <c r="BC504"/>
      <c r="BD504"/>
      <c r="BE504"/>
      <c r="BL504"/>
      <c r="BP504"/>
      <c r="BQ504"/>
      <c r="BR504"/>
      <c r="CD504"/>
      <c r="CE504"/>
      <c r="CF504"/>
      <c r="CQ504"/>
      <c r="CR504"/>
      <c r="CS504"/>
      <c r="DS504"/>
      <c r="DT504"/>
      <c r="DU504"/>
    </row>
    <row r="505" spans="1:125">
      <c r="A505"/>
      <c r="AJ505"/>
      <c r="AK505"/>
      <c r="AR505"/>
      <c r="AS505"/>
      <c r="AT505"/>
      <c r="AU505"/>
      <c r="AV505"/>
      <c r="AW505"/>
      <c r="AX505"/>
      <c r="AY505"/>
      <c r="AZ505"/>
      <c r="BA505"/>
      <c r="BB505"/>
      <c r="BC505"/>
      <c r="BD505"/>
      <c r="BE505"/>
      <c r="BL505"/>
      <c r="BP505"/>
      <c r="BQ505"/>
      <c r="BR505"/>
      <c r="CD505"/>
      <c r="CE505"/>
      <c r="CF505"/>
      <c r="CQ505"/>
      <c r="CR505"/>
      <c r="CS505"/>
      <c r="DS505"/>
      <c r="DT505"/>
      <c r="DU505"/>
    </row>
    <row r="506" spans="1:125">
      <c r="A506"/>
      <c r="AJ506"/>
      <c r="AK506"/>
      <c r="AR506"/>
      <c r="AS506"/>
      <c r="AT506"/>
      <c r="AU506"/>
      <c r="AV506"/>
      <c r="AW506"/>
      <c r="AX506"/>
      <c r="AY506"/>
      <c r="AZ506"/>
      <c r="BA506"/>
      <c r="BB506"/>
      <c r="BC506"/>
      <c r="BD506"/>
      <c r="BE506"/>
      <c r="BL506"/>
      <c r="BP506"/>
      <c r="BQ506"/>
      <c r="BR506"/>
      <c r="CD506"/>
      <c r="CE506"/>
      <c r="CF506"/>
      <c r="CQ506"/>
      <c r="CR506"/>
      <c r="CS506"/>
      <c r="DS506"/>
      <c r="DT506"/>
      <c r="DU506"/>
    </row>
    <row r="507" spans="1:125">
      <c r="A507"/>
      <c r="AJ507"/>
      <c r="AK507"/>
      <c r="AR507"/>
      <c r="AS507"/>
      <c r="AT507"/>
      <c r="AU507"/>
      <c r="AV507"/>
      <c r="AW507"/>
      <c r="AX507"/>
      <c r="AY507"/>
      <c r="AZ507"/>
      <c r="BA507"/>
      <c r="BB507"/>
      <c r="BC507"/>
      <c r="BD507"/>
      <c r="BE507"/>
      <c r="BL507"/>
      <c r="BP507"/>
      <c r="BQ507"/>
      <c r="BR507"/>
      <c r="CD507"/>
      <c r="CE507"/>
      <c r="CF507"/>
      <c r="CQ507"/>
      <c r="CR507"/>
      <c r="CS507"/>
      <c r="DS507"/>
      <c r="DT507"/>
      <c r="DU507"/>
    </row>
    <row r="508" spans="1:125">
      <c r="A508"/>
      <c r="AJ508"/>
      <c r="AK508"/>
      <c r="AR508"/>
      <c r="AS508"/>
      <c r="AT508"/>
      <c r="AU508"/>
      <c r="AV508"/>
      <c r="AW508"/>
      <c r="AX508"/>
      <c r="AY508"/>
      <c r="AZ508"/>
      <c r="BA508"/>
      <c r="BB508"/>
      <c r="BC508"/>
      <c r="BD508"/>
      <c r="BE508"/>
      <c r="BL508"/>
      <c r="BP508"/>
      <c r="BQ508"/>
      <c r="BR508"/>
      <c r="CD508"/>
      <c r="CE508"/>
      <c r="CF508"/>
      <c r="CQ508"/>
      <c r="CR508"/>
      <c r="CS508"/>
      <c r="DS508"/>
      <c r="DT508"/>
      <c r="DU508"/>
    </row>
    <row r="509" spans="1:125">
      <c r="A509"/>
      <c r="AJ509"/>
      <c r="AK509"/>
      <c r="AR509"/>
      <c r="AS509"/>
      <c r="AT509"/>
      <c r="AU509"/>
      <c r="AV509"/>
      <c r="AW509"/>
      <c r="AX509"/>
      <c r="AY509"/>
      <c r="AZ509"/>
      <c r="BA509"/>
      <c r="BB509"/>
      <c r="BC509"/>
      <c r="BD509"/>
      <c r="BE509"/>
      <c r="BL509"/>
      <c r="BP509"/>
      <c r="BQ509"/>
      <c r="BR509"/>
      <c r="CD509"/>
      <c r="CE509"/>
      <c r="CF509"/>
      <c r="CQ509"/>
      <c r="CR509"/>
      <c r="CS509"/>
      <c r="DS509"/>
      <c r="DT509"/>
      <c r="DU509"/>
    </row>
    <row r="510" spans="1:125">
      <c r="A510"/>
      <c r="AJ510"/>
      <c r="AK510"/>
      <c r="AR510"/>
      <c r="AS510"/>
      <c r="AT510"/>
      <c r="AU510"/>
      <c r="AV510"/>
      <c r="AW510"/>
      <c r="AX510"/>
      <c r="AY510"/>
      <c r="AZ510"/>
      <c r="BA510"/>
      <c r="BB510"/>
      <c r="BC510"/>
      <c r="BD510"/>
      <c r="BE510"/>
      <c r="BL510"/>
      <c r="BP510"/>
      <c r="BQ510"/>
      <c r="BR510"/>
      <c r="CD510"/>
      <c r="CE510"/>
      <c r="CF510"/>
      <c r="CQ510"/>
      <c r="CR510"/>
      <c r="CS510"/>
      <c r="DS510"/>
      <c r="DT510"/>
      <c r="DU510"/>
    </row>
    <row r="511" spans="1:125">
      <c r="A511"/>
      <c r="AJ511"/>
      <c r="AK511"/>
      <c r="AR511"/>
      <c r="AS511"/>
      <c r="AT511"/>
      <c r="AU511"/>
      <c r="AV511"/>
      <c r="AW511"/>
      <c r="AX511"/>
      <c r="AY511"/>
      <c r="AZ511"/>
      <c r="BA511"/>
      <c r="BB511"/>
      <c r="BC511"/>
      <c r="BD511"/>
      <c r="BE511"/>
      <c r="BL511"/>
      <c r="BP511"/>
      <c r="BQ511"/>
      <c r="BR511"/>
      <c r="CD511"/>
      <c r="CE511"/>
      <c r="CF511"/>
      <c r="CQ511"/>
      <c r="CR511"/>
      <c r="CS511"/>
      <c r="DS511"/>
      <c r="DT511"/>
      <c r="DU511"/>
    </row>
    <row r="512" spans="1:125">
      <c r="A512"/>
      <c r="AJ512"/>
      <c r="AK512"/>
      <c r="AR512"/>
      <c r="AS512"/>
      <c r="AT512"/>
      <c r="AU512"/>
      <c r="AV512"/>
      <c r="AW512"/>
      <c r="AX512"/>
      <c r="AY512"/>
      <c r="AZ512"/>
      <c r="BA512"/>
      <c r="BB512"/>
      <c r="BC512"/>
      <c r="BD512"/>
      <c r="BE512"/>
      <c r="BL512"/>
      <c r="BP512"/>
      <c r="BQ512"/>
      <c r="BR512"/>
      <c r="CD512"/>
      <c r="CE512"/>
      <c r="CF512"/>
      <c r="CQ512"/>
      <c r="CR512"/>
      <c r="CS512"/>
      <c r="DS512"/>
      <c r="DT512"/>
      <c r="DU512"/>
    </row>
    <row r="513" spans="1:125">
      <c r="A513"/>
      <c r="AJ513"/>
      <c r="AK513"/>
      <c r="AR513"/>
      <c r="AS513"/>
      <c r="AT513"/>
      <c r="AU513"/>
      <c r="AV513"/>
      <c r="AW513"/>
      <c r="AX513"/>
      <c r="AY513"/>
      <c r="AZ513"/>
      <c r="BA513"/>
      <c r="BB513"/>
      <c r="BC513"/>
      <c r="BD513"/>
      <c r="BE513"/>
      <c r="BL513"/>
      <c r="BP513"/>
      <c r="BQ513"/>
      <c r="BR513"/>
      <c r="CD513"/>
      <c r="CE513"/>
      <c r="CF513"/>
      <c r="CQ513"/>
      <c r="CR513"/>
      <c r="CS513"/>
      <c r="DS513"/>
      <c r="DT513"/>
      <c r="DU513"/>
    </row>
    <row r="514" spans="1:125">
      <c r="A514"/>
      <c r="AJ514"/>
      <c r="AK514"/>
      <c r="AR514"/>
      <c r="AS514"/>
      <c r="AT514"/>
      <c r="AU514"/>
      <c r="AV514"/>
      <c r="AW514"/>
      <c r="AX514"/>
      <c r="AY514"/>
      <c r="AZ514"/>
      <c r="BA514"/>
      <c r="BB514"/>
      <c r="BC514"/>
      <c r="BD514"/>
      <c r="BE514"/>
      <c r="BL514"/>
      <c r="BP514"/>
      <c r="BQ514"/>
      <c r="BR514"/>
      <c r="CD514"/>
      <c r="CE514"/>
      <c r="CF514"/>
      <c r="CQ514"/>
      <c r="CR514"/>
      <c r="CS514"/>
      <c r="DS514"/>
      <c r="DT514"/>
      <c r="DU514"/>
    </row>
    <row r="515" spans="1:125">
      <c r="A515"/>
      <c r="AJ515"/>
      <c r="AK515"/>
      <c r="AR515"/>
      <c r="AS515"/>
      <c r="AT515"/>
      <c r="AU515"/>
      <c r="AV515"/>
      <c r="AW515"/>
      <c r="AX515"/>
      <c r="AY515"/>
      <c r="AZ515"/>
      <c r="BA515"/>
      <c r="BB515"/>
      <c r="BC515"/>
      <c r="BD515"/>
      <c r="BE515"/>
      <c r="BL515"/>
      <c r="BP515"/>
      <c r="BQ515"/>
      <c r="BR515"/>
      <c r="CD515"/>
      <c r="CE515"/>
      <c r="CF515"/>
      <c r="CQ515"/>
      <c r="CR515"/>
      <c r="CS515"/>
      <c r="DS515"/>
      <c r="DT515"/>
      <c r="DU515"/>
    </row>
    <row r="516" spans="1:125">
      <c r="A516"/>
      <c r="AJ516"/>
      <c r="AK516"/>
      <c r="AR516"/>
      <c r="AS516"/>
      <c r="AT516"/>
      <c r="AU516"/>
      <c r="AV516"/>
      <c r="AW516"/>
      <c r="AX516"/>
      <c r="AY516"/>
      <c r="AZ516"/>
      <c r="BA516"/>
      <c r="BB516"/>
      <c r="BC516"/>
      <c r="BD516"/>
      <c r="BE516"/>
      <c r="BL516"/>
      <c r="BP516"/>
      <c r="BQ516"/>
      <c r="BR516"/>
      <c r="CD516"/>
      <c r="CE516"/>
      <c r="CF516"/>
      <c r="CQ516"/>
      <c r="CR516"/>
      <c r="CS516"/>
      <c r="DS516"/>
      <c r="DT516"/>
      <c r="DU516"/>
    </row>
    <row r="517" spans="1:125">
      <c r="A517"/>
      <c r="AJ517"/>
      <c r="AK517"/>
      <c r="AR517"/>
      <c r="AS517"/>
      <c r="AT517"/>
      <c r="AU517"/>
      <c r="AV517"/>
      <c r="AW517"/>
      <c r="AX517"/>
      <c r="AY517"/>
      <c r="AZ517"/>
      <c r="BA517"/>
      <c r="BB517"/>
      <c r="BC517"/>
      <c r="BD517"/>
      <c r="BE517"/>
      <c r="BL517"/>
      <c r="BP517"/>
      <c r="BQ517"/>
      <c r="BR517"/>
      <c r="CD517"/>
      <c r="CE517"/>
      <c r="CF517"/>
      <c r="CQ517"/>
      <c r="CR517"/>
      <c r="CS517"/>
      <c r="DS517"/>
      <c r="DT517"/>
      <c r="DU517"/>
    </row>
    <row r="518" spans="1:125">
      <c r="A518"/>
      <c r="AJ518"/>
      <c r="AK518"/>
      <c r="AR518"/>
      <c r="AS518"/>
      <c r="AT518"/>
      <c r="AU518"/>
      <c r="AV518"/>
      <c r="AW518"/>
      <c r="AX518"/>
      <c r="AY518"/>
      <c r="AZ518"/>
      <c r="BA518"/>
      <c r="BB518"/>
      <c r="BC518"/>
      <c r="BD518"/>
      <c r="BE518"/>
      <c r="BL518"/>
      <c r="BP518"/>
      <c r="BQ518"/>
      <c r="BR518"/>
      <c r="CD518"/>
      <c r="CE518"/>
      <c r="CF518"/>
      <c r="CQ518"/>
      <c r="CR518"/>
      <c r="CS518"/>
      <c r="DS518"/>
      <c r="DT518"/>
      <c r="DU518"/>
    </row>
    <row r="519" spans="1:125">
      <c r="A519"/>
      <c r="AJ519"/>
      <c r="AK519"/>
      <c r="AR519"/>
      <c r="AS519"/>
      <c r="AT519"/>
      <c r="AU519"/>
      <c r="AV519"/>
      <c r="AW519"/>
      <c r="AX519"/>
      <c r="AY519"/>
      <c r="AZ519"/>
      <c r="BA519"/>
      <c r="BB519"/>
      <c r="BC519"/>
      <c r="BD519"/>
      <c r="BE519"/>
      <c r="BL519"/>
      <c r="BP519"/>
      <c r="BQ519"/>
      <c r="BR519"/>
      <c r="CD519"/>
      <c r="CE519"/>
      <c r="CF519"/>
      <c r="CQ519"/>
      <c r="CR519"/>
      <c r="CS519"/>
      <c r="DS519"/>
      <c r="DT519"/>
      <c r="DU519"/>
    </row>
    <row r="520" spans="1:125">
      <c r="A520"/>
      <c r="AJ520"/>
      <c r="AK520"/>
      <c r="AR520"/>
      <c r="AS520"/>
      <c r="AT520"/>
      <c r="AU520"/>
      <c r="AV520"/>
      <c r="AW520"/>
      <c r="AX520"/>
      <c r="AY520"/>
      <c r="AZ520"/>
      <c r="BA520"/>
      <c r="BB520"/>
      <c r="BC520"/>
      <c r="BD520"/>
      <c r="BE520"/>
      <c r="BL520"/>
      <c r="BP520"/>
      <c r="BQ520"/>
      <c r="BR520"/>
      <c r="CD520"/>
      <c r="CE520"/>
      <c r="CF520"/>
      <c r="CQ520"/>
      <c r="CR520"/>
      <c r="CS520"/>
      <c r="DS520"/>
      <c r="DT520"/>
      <c r="DU520"/>
    </row>
    <row r="521" spans="1:125">
      <c r="A521"/>
      <c r="AJ521"/>
      <c r="AK521"/>
      <c r="AR521"/>
      <c r="AS521"/>
      <c r="AT521"/>
      <c r="AU521"/>
      <c r="AV521"/>
      <c r="AW521"/>
      <c r="AX521"/>
      <c r="AY521"/>
      <c r="AZ521"/>
      <c r="BA521"/>
      <c r="BB521"/>
      <c r="BC521"/>
      <c r="BD521"/>
      <c r="BE521"/>
      <c r="BL521"/>
      <c r="BP521"/>
      <c r="BQ521"/>
      <c r="BR521"/>
      <c r="CD521"/>
      <c r="CE521"/>
      <c r="CF521"/>
      <c r="CQ521"/>
      <c r="CR521"/>
      <c r="CS521"/>
      <c r="DS521"/>
      <c r="DT521"/>
      <c r="DU521"/>
    </row>
    <row r="522" spans="1:125">
      <c r="A522"/>
      <c r="AJ522"/>
      <c r="AK522"/>
      <c r="AR522"/>
      <c r="AS522"/>
      <c r="AT522"/>
      <c r="AU522"/>
      <c r="AV522"/>
      <c r="AW522"/>
      <c r="AX522"/>
      <c r="AY522"/>
      <c r="AZ522"/>
      <c r="BA522"/>
      <c r="BB522"/>
      <c r="BC522"/>
      <c r="BD522"/>
      <c r="BE522"/>
      <c r="BL522"/>
      <c r="BP522"/>
      <c r="BQ522"/>
      <c r="BR522"/>
      <c r="CD522"/>
      <c r="CE522"/>
      <c r="CF522"/>
      <c r="CQ522"/>
      <c r="CR522"/>
      <c r="CS522"/>
      <c r="DS522"/>
      <c r="DT522"/>
      <c r="DU522"/>
    </row>
    <row r="523" spans="1:125">
      <c r="A523"/>
      <c r="AJ523"/>
      <c r="AK523"/>
      <c r="AR523"/>
      <c r="AS523"/>
      <c r="AT523"/>
      <c r="AU523"/>
      <c r="AV523"/>
      <c r="AW523"/>
      <c r="AX523"/>
      <c r="AY523"/>
      <c r="AZ523"/>
      <c r="BA523"/>
      <c r="BB523"/>
      <c r="BC523"/>
      <c r="BD523"/>
      <c r="BE523"/>
      <c r="BL523"/>
      <c r="BP523"/>
      <c r="BQ523"/>
      <c r="BR523"/>
      <c r="CD523"/>
      <c r="CE523"/>
      <c r="CF523"/>
      <c r="CQ523"/>
      <c r="CR523"/>
      <c r="CS523"/>
      <c r="DS523"/>
      <c r="DT523"/>
      <c r="DU523"/>
    </row>
    <row r="524" spans="1:125">
      <c r="A524"/>
      <c r="AJ524"/>
      <c r="AK524"/>
      <c r="AR524"/>
      <c r="AS524"/>
      <c r="AT524"/>
      <c r="AU524"/>
      <c r="AV524"/>
      <c r="AW524"/>
      <c r="AX524"/>
      <c r="AY524"/>
      <c r="AZ524"/>
      <c r="BA524"/>
      <c r="BB524"/>
      <c r="BC524"/>
      <c r="BD524"/>
      <c r="BE524"/>
      <c r="BL524"/>
      <c r="BP524"/>
      <c r="BQ524"/>
      <c r="BR524"/>
      <c r="CD524"/>
      <c r="CE524"/>
      <c r="CF524"/>
      <c r="CQ524"/>
      <c r="CR524"/>
      <c r="CS524"/>
      <c r="DS524"/>
      <c r="DT524"/>
      <c r="DU524"/>
    </row>
    <row r="525" spans="1:125">
      <c r="A525"/>
      <c r="AJ525"/>
      <c r="AK525"/>
      <c r="AR525"/>
      <c r="AS525"/>
      <c r="AT525"/>
      <c r="AU525"/>
      <c r="AV525"/>
      <c r="AW525"/>
      <c r="AX525"/>
      <c r="AY525"/>
      <c r="AZ525"/>
      <c r="BA525"/>
      <c r="BB525"/>
      <c r="BC525"/>
      <c r="BD525"/>
      <c r="BE525"/>
      <c r="BL525"/>
      <c r="BP525"/>
      <c r="BQ525"/>
      <c r="BR525"/>
      <c r="CD525"/>
      <c r="CE525"/>
      <c r="CF525"/>
      <c r="CQ525"/>
      <c r="CR525"/>
      <c r="CS525"/>
      <c r="DS525"/>
      <c r="DT525"/>
      <c r="DU525"/>
    </row>
    <row r="526" spans="1:125">
      <c r="A526"/>
      <c r="AJ526"/>
      <c r="AK526"/>
      <c r="AR526"/>
      <c r="AS526"/>
      <c r="AT526"/>
      <c r="AU526"/>
      <c r="AV526"/>
      <c r="AW526"/>
      <c r="AX526"/>
      <c r="AY526"/>
      <c r="AZ526"/>
      <c r="BA526"/>
      <c r="BB526"/>
      <c r="BC526"/>
      <c r="BD526"/>
      <c r="BE526"/>
      <c r="BL526"/>
      <c r="BP526"/>
      <c r="BQ526"/>
      <c r="BR526"/>
      <c r="CD526"/>
      <c r="CE526"/>
      <c r="CF526"/>
      <c r="CQ526"/>
      <c r="CR526"/>
      <c r="CS526"/>
      <c r="DS526"/>
      <c r="DT526"/>
      <c r="DU526"/>
    </row>
    <row r="527" spans="1:125">
      <c r="A527"/>
      <c r="AJ527"/>
      <c r="AK527"/>
      <c r="AR527"/>
      <c r="AS527"/>
      <c r="AT527"/>
      <c r="AU527"/>
      <c r="AV527"/>
      <c r="AW527"/>
      <c r="AX527"/>
      <c r="AY527"/>
      <c r="AZ527"/>
      <c r="BA527"/>
      <c r="BB527"/>
      <c r="BC527"/>
      <c r="BD527"/>
      <c r="BE527"/>
      <c r="BL527"/>
      <c r="BP527"/>
      <c r="BQ527"/>
      <c r="BR527"/>
      <c r="CD527"/>
      <c r="CE527"/>
      <c r="CF527"/>
      <c r="CQ527"/>
      <c r="CR527"/>
      <c r="CS527"/>
      <c r="DS527"/>
      <c r="DT527"/>
      <c r="DU527"/>
    </row>
    <row r="528" spans="1:125">
      <c r="A528"/>
      <c r="AJ528"/>
      <c r="AK528"/>
      <c r="AR528"/>
      <c r="AS528"/>
      <c r="AT528"/>
      <c r="AU528"/>
      <c r="AV528"/>
      <c r="AW528"/>
      <c r="AX528"/>
      <c r="AY528"/>
      <c r="AZ528"/>
      <c r="BA528"/>
      <c r="BB528"/>
      <c r="BC528"/>
      <c r="BD528"/>
      <c r="BE528"/>
      <c r="BL528"/>
      <c r="BP528"/>
      <c r="BQ528"/>
      <c r="BR528"/>
      <c r="CD528"/>
      <c r="CE528"/>
      <c r="CF528"/>
      <c r="CQ528"/>
      <c r="CR528"/>
      <c r="CS528"/>
      <c r="DS528"/>
      <c r="DT528"/>
      <c r="DU528"/>
    </row>
    <row r="529" spans="1:125">
      <c r="A529"/>
      <c r="AJ529"/>
      <c r="AK529"/>
      <c r="AR529"/>
      <c r="AS529"/>
      <c r="AT529"/>
      <c r="AU529"/>
      <c r="AV529"/>
      <c r="AW529"/>
      <c r="AX529"/>
      <c r="AY529"/>
      <c r="AZ529"/>
      <c r="BA529"/>
      <c r="BB529"/>
      <c r="BC529"/>
      <c r="BD529"/>
      <c r="BE529"/>
      <c r="BL529"/>
      <c r="BP529"/>
      <c r="BQ529"/>
      <c r="BR529"/>
      <c r="CD529"/>
      <c r="CE529"/>
      <c r="CF529"/>
      <c r="CQ529"/>
      <c r="CR529"/>
      <c r="CS529"/>
      <c r="DS529"/>
      <c r="DT529"/>
      <c r="DU529"/>
    </row>
    <row r="530" spans="1:125">
      <c r="A530"/>
      <c r="AJ530"/>
      <c r="AK530"/>
      <c r="AR530"/>
      <c r="AS530"/>
      <c r="AT530"/>
      <c r="AU530"/>
      <c r="AV530"/>
      <c r="AW530"/>
      <c r="AX530"/>
      <c r="AY530"/>
      <c r="AZ530"/>
      <c r="BA530"/>
      <c r="BB530"/>
      <c r="BC530"/>
      <c r="BD530"/>
      <c r="BE530"/>
      <c r="BL530"/>
      <c r="BP530"/>
      <c r="BQ530"/>
      <c r="BR530"/>
      <c r="CD530"/>
      <c r="CE530"/>
      <c r="CF530"/>
      <c r="CQ530"/>
      <c r="CR530"/>
      <c r="CS530"/>
      <c r="DS530"/>
      <c r="DT530"/>
      <c r="DU530"/>
    </row>
    <row r="531" spans="1:125">
      <c r="A531"/>
      <c r="AJ531"/>
      <c r="AK531"/>
      <c r="AR531"/>
      <c r="AS531"/>
      <c r="AT531"/>
      <c r="AU531"/>
      <c r="AV531"/>
      <c r="AW531"/>
      <c r="AX531"/>
      <c r="AY531"/>
      <c r="AZ531"/>
      <c r="BA531"/>
      <c r="BB531"/>
      <c r="BC531"/>
      <c r="BD531"/>
      <c r="BE531"/>
      <c r="BL531"/>
      <c r="BP531"/>
      <c r="BQ531"/>
      <c r="BR531"/>
      <c r="CD531"/>
      <c r="CE531"/>
      <c r="CF531"/>
      <c r="CQ531"/>
      <c r="CR531"/>
      <c r="CS531"/>
      <c r="DS531"/>
      <c r="DT531"/>
      <c r="DU531"/>
    </row>
    <row r="532" spans="1:125">
      <c r="A532"/>
      <c r="AJ532"/>
      <c r="AK532"/>
      <c r="AR532"/>
      <c r="AS532"/>
      <c r="AT532"/>
      <c r="AU532"/>
      <c r="AV532"/>
      <c r="AW532"/>
      <c r="AX532"/>
      <c r="AY532"/>
      <c r="AZ532"/>
      <c r="BA532"/>
      <c r="BB532"/>
      <c r="BC532"/>
      <c r="BD532"/>
      <c r="BE532"/>
      <c r="BL532"/>
      <c r="BP532"/>
      <c r="BQ532"/>
      <c r="BR532"/>
      <c r="CD532"/>
      <c r="CE532"/>
      <c r="CF532"/>
      <c r="CQ532"/>
      <c r="CR532"/>
      <c r="CS532"/>
      <c r="DS532"/>
      <c r="DT532"/>
      <c r="DU532"/>
    </row>
    <row r="533" spans="1:125">
      <c r="A533"/>
      <c r="AJ533"/>
      <c r="AK533"/>
      <c r="AR533"/>
      <c r="AS533"/>
      <c r="AT533"/>
      <c r="AU533"/>
      <c r="AV533"/>
      <c r="AW533"/>
      <c r="AX533"/>
      <c r="AY533"/>
      <c r="AZ533"/>
      <c r="BA533"/>
      <c r="BB533"/>
      <c r="BC533"/>
      <c r="BD533"/>
      <c r="BE533"/>
      <c r="BL533"/>
      <c r="BP533"/>
      <c r="BQ533"/>
      <c r="BR533"/>
      <c r="CD533"/>
      <c r="CE533"/>
      <c r="CF533"/>
      <c r="CQ533"/>
      <c r="CR533"/>
      <c r="CS533"/>
      <c r="DS533"/>
      <c r="DT533"/>
      <c r="DU533"/>
    </row>
    <row r="534" spans="1:125">
      <c r="A534"/>
      <c r="AJ534"/>
      <c r="AK534"/>
      <c r="AR534"/>
      <c r="AS534"/>
      <c r="AT534"/>
      <c r="AU534"/>
      <c r="AV534"/>
      <c r="AW534"/>
      <c r="AX534"/>
      <c r="AY534"/>
      <c r="AZ534"/>
      <c r="BA534"/>
      <c r="BB534"/>
      <c r="BC534"/>
      <c r="BD534"/>
      <c r="BE534"/>
      <c r="BL534"/>
      <c r="BP534"/>
      <c r="BQ534"/>
      <c r="BR534"/>
      <c r="CD534"/>
      <c r="CE534"/>
      <c r="CF534"/>
      <c r="CQ534"/>
      <c r="CR534"/>
      <c r="CS534"/>
      <c r="DS534"/>
      <c r="DT534"/>
      <c r="DU534"/>
    </row>
    <row r="535" spans="1:125">
      <c r="A535"/>
      <c r="AJ535"/>
      <c r="AK535"/>
      <c r="AR535"/>
      <c r="AS535"/>
      <c r="AT535"/>
      <c r="AU535"/>
      <c r="AV535"/>
      <c r="AW535"/>
      <c r="AX535"/>
      <c r="AY535"/>
      <c r="AZ535"/>
      <c r="BA535"/>
      <c r="BB535"/>
      <c r="BC535"/>
      <c r="BD535"/>
      <c r="BE535"/>
      <c r="BL535"/>
      <c r="BP535"/>
      <c r="BQ535"/>
      <c r="BR535"/>
      <c r="CD535"/>
      <c r="CE535"/>
      <c r="CF535"/>
      <c r="CQ535"/>
      <c r="CR535"/>
      <c r="CS535"/>
      <c r="DS535"/>
      <c r="DT535"/>
      <c r="DU535"/>
    </row>
    <row r="536" spans="1:125">
      <c r="A536"/>
      <c r="AJ536"/>
      <c r="AK536"/>
      <c r="AR536"/>
      <c r="AS536"/>
      <c r="AT536"/>
      <c r="AU536"/>
      <c r="AV536"/>
      <c r="AW536"/>
      <c r="AX536"/>
      <c r="AY536"/>
      <c r="AZ536"/>
      <c r="BA536"/>
      <c r="BB536"/>
      <c r="BC536"/>
      <c r="BD536"/>
      <c r="BE536"/>
      <c r="BL536"/>
      <c r="BP536"/>
      <c r="BQ536"/>
      <c r="BR536"/>
      <c r="CD536"/>
      <c r="CE536"/>
      <c r="CF536"/>
      <c r="CQ536"/>
      <c r="CR536"/>
      <c r="CS536"/>
      <c r="DS536"/>
      <c r="DT536"/>
      <c r="DU536"/>
    </row>
    <row r="537" spans="1:125">
      <c r="A537"/>
      <c r="AJ537"/>
      <c r="AK537"/>
      <c r="AR537"/>
      <c r="AS537"/>
      <c r="AT537"/>
      <c r="AU537"/>
      <c r="AV537"/>
      <c r="AW537"/>
      <c r="AX537"/>
      <c r="AY537"/>
      <c r="AZ537"/>
      <c r="BA537"/>
      <c r="BB537"/>
      <c r="BC537"/>
      <c r="BD537"/>
      <c r="BE537"/>
      <c r="BL537"/>
      <c r="BP537"/>
      <c r="BQ537"/>
      <c r="BR537"/>
      <c r="CD537"/>
      <c r="CE537"/>
      <c r="CF537"/>
      <c r="CQ537"/>
      <c r="CR537"/>
      <c r="CS537"/>
      <c r="DS537"/>
      <c r="DT537"/>
      <c r="DU537"/>
    </row>
    <row r="538" spans="1:125">
      <c r="A538"/>
      <c r="AJ538"/>
      <c r="AK538"/>
      <c r="AR538"/>
      <c r="AS538"/>
      <c r="AT538"/>
      <c r="AU538"/>
      <c r="AV538"/>
      <c r="AW538"/>
      <c r="AX538"/>
      <c r="AY538"/>
      <c r="AZ538"/>
      <c r="BA538"/>
      <c r="BB538"/>
      <c r="BC538"/>
      <c r="BD538"/>
      <c r="BE538"/>
      <c r="BL538"/>
      <c r="BP538"/>
      <c r="BQ538"/>
      <c r="BR538"/>
      <c r="CD538"/>
      <c r="CE538"/>
      <c r="CF538"/>
      <c r="CQ538"/>
      <c r="CR538"/>
      <c r="CS538"/>
      <c r="DS538"/>
      <c r="DT538"/>
      <c r="DU538"/>
    </row>
    <row r="539" spans="1:125">
      <c r="A539"/>
      <c r="AJ539"/>
      <c r="AK539"/>
      <c r="AR539"/>
      <c r="AS539"/>
      <c r="AT539"/>
      <c r="AU539"/>
      <c r="AV539"/>
      <c r="AW539"/>
      <c r="AX539"/>
      <c r="AY539"/>
      <c r="AZ539"/>
      <c r="BA539"/>
      <c r="BB539"/>
      <c r="BC539"/>
      <c r="BD539"/>
      <c r="BE539"/>
      <c r="BL539"/>
      <c r="BP539"/>
      <c r="BQ539"/>
      <c r="BR539"/>
      <c r="CD539"/>
      <c r="CE539"/>
      <c r="CF539"/>
      <c r="CQ539"/>
      <c r="CR539"/>
      <c r="CS539"/>
      <c r="DS539"/>
      <c r="DT539"/>
      <c r="DU539"/>
    </row>
    <row r="540" spans="1:125">
      <c r="A540"/>
      <c r="AJ540"/>
      <c r="AK540"/>
      <c r="AR540"/>
      <c r="AS540"/>
      <c r="AT540"/>
      <c r="AU540"/>
      <c r="AV540"/>
      <c r="AW540"/>
      <c r="AX540"/>
      <c r="AY540"/>
      <c r="AZ540"/>
      <c r="BA540"/>
      <c r="BB540"/>
      <c r="BC540"/>
      <c r="BD540"/>
      <c r="BE540"/>
      <c r="BL540"/>
      <c r="BP540"/>
      <c r="BQ540"/>
      <c r="BR540"/>
      <c r="CD540"/>
      <c r="CE540"/>
      <c r="CF540"/>
      <c r="CQ540"/>
      <c r="CR540"/>
      <c r="CS540"/>
      <c r="DS540"/>
      <c r="DT540"/>
      <c r="DU540"/>
    </row>
    <row r="541" spans="1:125">
      <c r="A541"/>
      <c r="AJ541"/>
      <c r="AK541"/>
      <c r="AR541"/>
      <c r="AS541"/>
      <c r="AT541"/>
      <c r="AU541"/>
      <c r="AV541"/>
      <c r="AW541"/>
      <c r="AX541"/>
      <c r="AY541"/>
      <c r="AZ541"/>
      <c r="BA541"/>
      <c r="BB541"/>
      <c r="BC541"/>
      <c r="BD541"/>
      <c r="BE541"/>
      <c r="BL541"/>
      <c r="BP541"/>
      <c r="BQ541"/>
      <c r="BR541"/>
      <c r="CD541"/>
      <c r="CE541"/>
      <c r="CF541"/>
      <c r="CQ541"/>
      <c r="CR541"/>
      <c r="CS541"/>
      <c r="DS541"/>
      <c r="DT541"/>
      <c r="DU541"/>
    </row>
    <row r="542" spans="1:125">
      <c r="A542"/>
      <c r="AJ542"/>
      <c r="AK542"/>
      <c r="AR542"/>
      <c r="AS542"/>
      <c r="AT542"/>
      <c r="AU542"/>
      <c r="AV542"/>
      <c r="AW542"/>
      <c r="AX542"/>
      <c r="AY542"/>
      <c r="AZ542"/>
      <c r="BA542"/>
      <c r="BB542"/>
      <c r="BC542"/>
      <c r="BD542"/>
      <c r="BE542"/>
      <c r="BL542"/>
      <c r="BP542"/>
      <c r="BQ542"/>
      <c r="BR542"/>
      <c r="CD542"/>
      <c r="CE542"/>
      <c r="CF542"/>
      <c r="CQ542"/>
      <c r="CR542"/>
      <c r="CS542"/>
      <c r="DS542"/>
      <c r="DT542"/>
      <c r="DU542"/>
    </row>
    <row r="543" spans="1:125">
      <c r="A543"/>
      <c r="AJ543"/>
      <c r="AK543"/>
      <c r="AR543"/>
      <c r="AS543"/>
      <c r="AT543"/>
      <c r="AU543"/>
      <c r="AV543"/>
      <c r="AW543"/>
      <c r="AX543"/>
      <c r="AY543"/>
      <c r="AZ543"/>
      <c r="BA543"/>
      <c r="BB543"/>
      <c r="BC543"/>
      <c r="BD543"/>
      <c r="BE543"/>
      <c r="BL543"/>
      <c r="BP543"/>
      <c r="BQ543"/>
      <c r="BR543"/>
      <c r="CD543"/>
      <c r="CE543"/>
      <c r="CF543"/>
      <c r="CQ543"/>
      <c r="CR543"/>
      <c r="CS543"/>
      <c r="DS543"/>
      <c r="DT543"/>
      <c r="DU543"/>
    </row>
    <row r="544" spans="1:125">
      <c r="A544"/>
      <c r="AJ544"/>
      <c r="AK544"/>
      <c r="AR544"/>
      <c r="AS544"/>
      <c r="AT544"/>
      <c r="AU544"/>
      <c r="AV544"/>
      <c r="AW544"/>
      <c r="AX544"/>
      <c r="AY544"/>
      <c r="AZ544"/>
      <c r="BA544"/>
      <c r="BB544"/>
      <c r="BC544"/>
      <c r="BD544"/>
      <c r="BE544"/>
      <c r="BL544"/>
      <c r="BP544"/>
      <c r="BQ544"/>
      <c r="BR544"/>
      <c r="CD544"/>
      <c r="CE544"/>
      <c r="CF544"/>
      <c r="CQ544"/>
      <c r="CR544"/>
      <c r="CS544"/>
      <c r="DS544"/>
      <c r="DT544"/>
      <c r="DU544"/>
    </row>
    <row r="545" spans="1:125">
      <c r="A545"/>
      <c r="AJ545"/>
      <c r="AK545"/>
      <c r="AR545"/>
      <c r="AS545"/>
      <c r="AT545"/>
      <c r="AU545"/>
      <c r="AV545"/>
      <c r="AW545"/>
      <c r="AX545"/>
      <c r="AY545"/>
      <c r="AZ545"/>
      <c r="BA545"/>
      <c r="BB545"/>
      <c r="BC545"/>
      <c r="BD545"/>
      <c r="BE545"/>
      <c r="BL545"/>
      <c r="BP545"/>
      <c r="BQ545"/>
      <c r="BR545"/>
      <c r="CD545"/>
      <c r="CE545"/>
      <c r="CF545"/>
      <c r="CQ545"/>
      <c r="CR545"/>
      <c r="CS545"/>
      <c r="DS545"/>
      <c r="DT545"/>
      <c r="DU545"/>
    </row>
    <row r="546" spans="1:125">
      <c r="A546"/>
      <c r="AJ546"/>
      <c r="AK546"/>
      <c r="AR546"/>
      <c r="AS546"/>
      <c r="AT546"/>
      <c r="AU546"/>
      <c r="AV546"/>
      <c r="AW546"/>
      <c r="AX546"/>
      <c r="AY546"/>
      <c r="AZ546"/>
      <c r="BA546"/>
      <c r="BB546"/>
      <c r="BC546"/>
      <c r="BD546"/>
      <c r="BE546"/>
      <c r="BL546"/>
      <c r="BP546"/>
      <c r="BQ546"/>
      <c r="BR546"/>
      <c r="CD546"/>
      <c r="CE546"/>
      <c r="CF546"/>
      <c r="CQ546"/>
      <c r="CR546"/>
      <c r="CS546"/>
      <c r="DS546"/>
      <c r="DT546"/>
      <c r="DU546"/>
    </row>
    <row r="547" spans="1:125">
      <c r="A547"/>
      <c r="AJ547"/>
      <c r="AK547"/>
      <c r="AR547"/>
      <c r="AS547"/>
      <c r="AT547"/>
      <c r="AU547"/>
      <c r="AV547"/>
      <c r="AW547"/>
      <c r="AX547"/>
      <c r="AY547"/>
      <c r="AZ547"/>
      <c r="BA547"/>
      <c r="BB547"/>
      <c r="BC547"/>
      <c r="BD547"/>
      <c r="BE547"/>
      <c r="BL547"/>
      <c r="BP547"/>
      <c r="BQ547"/>
      <c r="BR547"/>
      <c r="CD547"/>
      <c r="CE547"/>
      <c r="CF547"/>
      <c r="CQ547"/>
      <c r="CR547"/>
      <c r="CS547"/>
      <c r="DS547"/>
      <c r="DT547"/>
      <c r="DU547"/>
    </row>
    <row r="548" spans="1:125">
      <c r="A548"/>
      <c r="AJ548"/>
      <c r="AK548"/>
      <c r="AR548"/>
      <c r="AS548"/>
      <c r="AT548"/>
      <c r="AU548"/>
      <c r="AV548"/>
      <c r="AW548"/>
      <c r="AX548"/>
      <c r="AY548"/>
      <c r="AZ548"/>
      <c r="BA548"/>
      <c r="BB548"/>
      <c r="BC548"/>
      <c r="BD548"/>
      <c r="BE548"/>
      <c r="BL548"/>
      <c r="BP548"/>
      <c r="BQ548"/>
      <c r="BR548"/>
      <c r="CD548"/>
      <c r="CE548"/>
      <c r="CF548"/>
      <c r="CQ548"/>
      <c r="CR548"/>
      <c r="CS548"/>
      <c r="DS548"/>
      <c r="DT548"/>
      <c r="DU548"/>
    </row>
    <row r="549" spans="1:125">
      <c r="A549"/>
      <c r="AJ549"/>
      <c r="AK549"/>
      <c r="AR549"/>
      <c r="AS549"/>
      <c r="AT549"/>
      <c r="AU549"/>
      <c r="AV549"/>
      <c r="AW549"/>
      <c r="AX549"/>
      <c r="AY549"/>
      <c r="AZ549"/>
      <c r="BA549"/>
      <c r="BB549"/>
      <c r="BC549"/>
      <c r="BD549"/>
      <c r="BE549"/>
      <c r="BL549"/>
      <c r="BP549"/>
      <c r="BQ549"/>
      <c r="BR549"/>
      <c r="CD549"/>
      <c r="CE549"/>
      <c r="CF549"/>
      <c r="CQ549"/>
      <c r="CR549"/>
      <c r="CS549"/>
      <c r="DS549"/>
      <c r="DT549"/>
      <c r="DU549"/>
    </row>
    <row r="550" spans="1:125">
      <c r="A550"/>
      <c r="AJ550"/>
      <c r="AK550"/>
      <c r="AR550"/>
      <c r="AS550"/>
      <c r="AT550"/>
      <c r="AU550"/>
      <c r="AV550"/>
      <c r="AW550"/>
      <c r="AX550"/>
      <c r="AY550"/>
      <c r="AZ550"/>
      <c r="BA550"/>
      <c r="BB550"/>
      <c r="BC550"/>
      <c r="BD550"/>
      <c r="BE550"/>
      <c r="BL550"/>
      <c r="BP550"/>
      <c r="BQ550"/>
      <c r="BR550"/>
      <c r="CD550"/>
      <c r="CE550"/>
      <c r="CF550"/>
      <c r="CQ550"/>
      <c r="CR550"/>
      <c r="CS550"/>
      <c r="DS550"/>
      <c r="DT550"/>
      <c r="DU550"/>
    </row>
    <row r="551" spans="1:125">
      <c r="A551"/>
      <c r="AJ551"/>
      <c r="AK551"/>
      <c r="AR551"/>
      <c r="AS551"/>
      <c r="AT551"/>
      <c r="AU551"/>
      <c r="AV551"/>
      <c r="AW551"/>
      <c r="AX551"/>
      <c r="AY551"/>
      <c r="AZ551"/>
      <c r="BA551"/>
      <c r="BB551"/>
      <c r="BC551"/>
      <c r="BD551"/>
      <c r="BE551"/>
      <c r="BL551"/>
      <c r="BP551"/>
      <c r="BQ551"/>
      <c r="BR551"/>
      <c r="CD551"/>
      <c r="CE551"/>
      <c r="CF551"/>
      <c r="CQ551"/>
      <c r="CR551"/>
      <c r="CS551"/>
      <c r="DS551"/>
      <c r="DT551"/>
      <c r="DU551"/>
    </row>
    <row r="552" spans="1:125">
      <c r="A552"/>
      <c r="AJ552"/>
      <c r="AK552"/>
      <c r="AR552"/>
      <c r="AS552"/>
      <c r="AT552"/>
      <c r="AU552"/>
      <c r="AV552"/>
      <c r="AW552"/>
      <c r="AX552"/>
      <c r="AY552"/>
      <c r="AZ552"/>
      <c r="BA552"/>
      <c r="BB552"/>
      <c r="BC552"/>
      <c r="BD552"/>
      <c r="BE552"/>
      <c r="BL552"/>
      <c r="BP552"/>
      <c r="BQ552"/>
      <c r="BR552"/>
      <c r="CD552"/>
      <c r="CE552"/>
      <c r="CF552"/>
      <c r="CQ552"/>
      <c r="CR552"/>
      <c r="CS552"/>
      <c r="DS552"/>
      <c r="DT552"/>
      <c r="DU552"/>
    </row>
    <row r="553" spans="1:125">
      <c r="A553"/>
      <c r="AJ553"/>
      <c r="AK553"/>
      <c r="AR553"/>
      <c r="AS553"/>
      <c r="AT553"/>
      <c r="AU553"/>
      <c r="AV553"/>
      <c r="AW553"/>
      <c r="AX553"/>
      <c r="AY553"/>
      <c r="AZ553"/>
      <c r="BA553"/>
      <c r="BB553"/>
      <c r="BC553"/>
      <c r="BD553"/>
      <c r="BE553"/>
      <c r="BL553"/>
      <c r="BP553"/>
      <c r="BQ553"/>
      <c r="BR553"/>
      <c r="CD553"/>
      <c r="CE553"/>
      <c r="CF553"/>
      <c r="CQ553"/>
      <c r="CR553"/>
      <c r="CS553"/>
      <c r="DS553"/>
      <c r="DT553"/>
      <c r="DU553"/>
    </row>
    <row r="554" spans="1:125">
      <c r="A554"/>
      <c r="AJ554"/>
      <c r="AK554"/>
      <c r="AR554"/>
      <c r="AS554"/>
      <c r="AT554"/>
      <c r="AU554"/>
      <c r="AV554"/>
      <c r="AW554"/>
      <c r="AX554"/>
      <c r="AY554"/>
      <c r="AZ554"/>
      <c r="BA554"/>
      <c r="BB554"/>
      <c r="BC554"/>
      <c r="BD554"/>
      <c r="BE554"/>
      <c r="BL554"/>
      <c r="BP554"/>
      <c r="BQ554"/>
      <c r="BR554"/>
      <c r="CD554"/>
      <c r="CE554"/>
      <c r="CF554"/>
      <c r="CQ554"/>
      <c r="CR554"/>
      <c r="CS554"/>
      <c r="DS554"/>
      <c r="DT554"/>
      <c r="DU554"/>
    </row>
    <row r="555" spans="1:125">
      <c r="A555"/>
      <c r="AJ555"/>
      <c r="AK555"/>
      <c r="AR555"/>
      <c r="AS555"/>
      <c r="AT555"/>
      <c r="AU555"/>
      <c r="AV555"/>
      <c r="AW555"/>
      <c r="AX555"/>
      <c r="AY555"/>
      <c r="AZ555"/>
      <c r="BA555"/>
      <c r="BB555"/>
      <c r="BC555"/>
      <c r="BD555"/>
      <c r="BE555"/>
      <c r="BL555"/>
      <c r="BP555"/>
      <c r="BQ555"/>
      <c r="BR555"/>
      <c r="CD555"/>
      <c r="CE555"/>
      <c r="CF555"/>
      <c r="CQ555"/>
      <c r="CR555"/>
      <c r="CS555"/>
      <c r="DS555"/>
      <c r="DT555"/>
      <c r="DU555"/>
    </row>
    <row r="556" spans="1:125">
      <c r="A556"/>
      <c r="AJ556"/>
      <c r="AK556"/>
      <c r="AR556"/>
      <c r="AS556"/>
      <c r="AT556"/>
      <c r="AU556"/>
      <c r="AV556"/>
      <c r="AW556"/>
      <c r="AX556"/>
      <c r="AY556"/>
      <c r="AZ556"/>
      <c r="BA556"/>
      <c r="BB556"/>
      <c r="BC556"/>
      <c r="BD556"/>
      <c r="BE556"/>
      <c r="BL556"/>
      <c r="BP556"/>
      <c r="BQ556"/>
      <c r="BR556"/>
      <c r="CD556"/>
      <c r="CE556"/>
      <c r="CF556"/>
      <c r="CQ556"/>
      <c r="CR556"/>
      <c r="CS556"/>
      <c r="DS556"/>
      <c r="DT556"/>
      <c r="DU556"/>
    </row>
    <row r="557" spans="1:125">
      <c r="A557"/>
      <c r="AJ557"/>
      <c r="AK557"/>
      <c r="AR557"/>
      <c r="AS557"/>
      <c r="AT557"/>
      <c r="AU557"/>
      <c r="AV557"/>
      <c r="AW557"/>
      <c r="AX557"/>
      <c r="AY557"/>
      <c r="AZ557"/>
      <c r="BA557"/>
      <c r="BB557"/>
      <c r="BC557"/>
      <c r="BD557"/>
      <c r="BE557"/>
      <c r="BL557"/>
      <c r="BP557"/>
      <c r="BQ557"/>
      <c r="BR557"/>
      <c r="CD557"/>
      <c r="CE557"/>
      <c r="CF557"/>
      <c r="CQ557"/>
      <c r="CR557"/>
      <c r="CS557"/>
      <c r="DS557"/>
      <c r="DT557"/>
      <c r="DU557"/>
    </row>
    <row r="558" spans="1:125">
      <c r="A558"/>
      <c r="AJ558"/>
      <c r="AK558"/>
      <c r="AR558"/>
      <c r="AS558"/>
      <c r="AT558"/>
      <c r="AU558"/>
      <c r="AV558"/>
      <c r="AW558"/>
      <c r="AX558"/>
      <c r="AY558"/>
      <c r="AZ558"/>
      <c r="BA558"/>
      <c r="BB558"/>
      <c r="BC558"/>
      <c r="BD558"/>
      <c r="BE558"/>
      <c r="BL558"/>
      <c r="BP558"/>
      <c r="BQ558"/>
      <c r="BR558"/>
      <c r="CD558"/>
      <c r="CE558"/>
      <c r="CF558"/>
      <c r="CQ558"/>
      <c r="CR558"/>
      <c r="CS558"/>
      <c r="DS558"/>
      <c r="DT558"/>
      <c r="DU558"/>
    </row>
    <row r="559" spans="1:125">
      <c r="A559"/>
      <c r="AJ559"/>
      <c r="AK559"/>
      <c r="AR559"/>
      <c r="AS559"/>
      <c r="AT559"/>
      <c r="AU559"/>
      <c r="AV559"/>
      <c r="AW559"/>
      <c r="AX559"/>
      <c r="AY559"/>
      <c r="AZ559"/>
      <c r="BA559"/>
      <c r="BB559"/>
      <c r="BC559"/>
      <c r="BD559"/>
      <c r="BE559"/>
      <c r="BL559"/>
      <c r="BP559"/>
      <c r="BQ559"/>
      <c r="BR559"/>
      <c r="CD559"/>
      <c r="CE559"/>
      <c r="CF559"/>
      <c r="CQ559"/>
      <c r="CR559"/>
      <c r="CS559"/>
      <c r="DS559"/>
      <c r="DT559"/>
      <c r="DU559"/>
    </row>
    <row r="560" spans="1:125">
      <c r="A560"/>
      <c r="AJ560"/>
      <c r="AK560"/>
      <c r="AR560"/>
      <c r="AS560"/>
      <c r="AT560"/>
      <c r="AU560"/>
      <c r="AV560"/>
      <c r="AW560"/>
      <c r="AX560"/>
      <c r="AY560"/>
      <c r="AZ560"/>
      <c r="BA560"/>
      <c r="BB560"/>
      <c r="BC560"/>
      <c r="BD560"/>
      <c r="BE560"/>
      <c r="BL560"/>
      <c r="BP560"/>
      <c r="BQ560"/>
      <c r="BR560"/>
      <c r="CD560"/>
      <c r="CE560"/>
      <c r="CF560"/>
      <c r="CQ560"/>
      <c r="CR560"/>
      <c r="CS560"/>
      <c r="DS560"/>
      <c r="DT560"/>
      <c r="DU560"/>
    </row>
    <row r="561" spans="1:125">
      <c r="A561"/>
      <c r="AJ561"/>
      <c r="AK561"/>
      <c r="AR561"/>
      <c r="AS561"/>
      <c r="AT561"/>
      <c r="AU561"/>
      <c r="AV561"/>
      <c r="AW561"/>
      <c r="AX561"/>
      <c r="AY561"/>
      <c r="AZ561"/>
      <c r="BA561"/>
      <c r="BB561"/>
      <c r="BC561"/>
      <c r="BD561"/>
      <c r="BE561"/>
      <c r="BL561"/>
      <c r="BP561"/>
      <c r="BQ561"/>
      <c r="BR561"/>
      <c r="CD561"/>
      <c r="CE561"/>
      <c r="CF561"/>
      <c r="CQ561"/>
      <c r="CR561"/>
      <c r="CS561"/>
      <c r="DS561"/>
      <c r="DT561"/>
      <c r="DU561"/>
    </row>
    <row r="562" spans="1:125">
      <c r="A562"/>
      <c r="AJ562"/>
      <c r="AK562"/>
      <c r="AR562"/>
      <c r="AS562"/>
      <c r="AT562"/>
      <c r="AU562"/>
      <c r="AV562"/>
      <c r="AW562"/>
      <c r="AX562"/>
      <c r="AY562"/>
      <c r="AZ562"/>
      <c r="BA562"/>
      <c r="BB562"/>
      <c r="BC562"/>
      <c r="BD562"/>
      <c r="BE562"/>
      <c r="BL562"/>
      <c r="BP562"/>
      <c r="BQ562"/>
      <c r="BR562"/>
      <c r="CD562"/>
      <c r="CE562"/>
      <c r="CF562"/>
      <c r="CQ562"/>
      <c r="CR562"/>
      <c r="CS562"/>
      <c r="DS562"/>
      <c r="DT562"/>
      <c r="DU562"/>
    </row>
    <row r="563" spans="1:125">
      <c r="A563"/>
      <c r="AJ563"/>
      <c r="AK563"/>
      <c r="AR563"/>
      <c r="AS563"/>
      <c r="AT563"/>
      <c r="AU563"/>
      <c r="AV563"/>
      <c r="AW563"/>
      <c r="AX563"/>
      <c r="AY563"/>
      <c r="AZ563"/>
      <c r="BA563"/>
      <c r="BB563"/>
      <c r="BC563"/>
      <c r="BD563"/>
      <c r="BE563"/>
      <c r="BL563"/>
      <c r="BP563"/>
      <c r="BQ563"/>
      <c r="BR563"/>
      <c r="CD563"/>
      <c r="CE563"/>
      <c r="CF563"/>
      <c r="CQ563"/>
      <c r="CR563"/>
      <c r="CS563"/>
      <c r="DS563"/>
      <c r="DT563"/>
      <c r="DU563"/>
    </row>
    <row r="564" spans="1:125">
      <c r="A564"/>
      <c r="AJ564"/>
      <c r="AK564"/>
      <c r="AR564"/>
      <c r="AS564"/>
      <c r="AT564"/>
      <c r="AU564"/>
      <c r="AV564"/>
      <c r="AW564"/>
      <c r="AX564"/>
      <c r="AY564"/>
      <c r="AZ564"/>
      <c r="BA564"/>
      <c r="BB564"/>
      <c r="BC564"/>
      <c r="BD564"/>
      <c r="BE564"/>
      <c r="BL564"/>
      <c r="BP564"/>
      <c r="BQ564"/>
      <c r="BR564"/>
      <c r="CD564"/>
      <c r="CE564"/>
      <c r="CF564"/>
      <c r="CQ564"/>
      <c r="CR564"/>
      <c r="CS564"/>
      <c r="DS564"/>
      <c r="DT564"/>
      <c r="DU564"/>
    </row>
    <row r="565" spans="1:125">
      <c r="A565"/>
      <c r="AJ565"/>
      <c r="AK565"/>
      <c r="AR565"/>
      <c r="AS565"/>
      <c r="AT565"/>
      <c r="AU565"/>
      <c r="AV565"/>
      <c r="AW565"/>
      <c r="AX565"/>
      <c r="AY565"/>
      <c r="AZ565"/>
      <c r="BA565"/>
      <c r="BB565"/>
      <c r="BC565"/>
      <c r="BD565"/>
      <c r="BE565"/>
      <c r="BL565"/>
      <c r="BP565"/>
      <c r="BQ565"/>
      <c r="BR565"/>
      <c r="CD565"/>
      <c r="CE565"/>
      <c r="CF565"/>
      <c r="CQ565"/>
      <c r="CR565"/>
      <c r="CS565"/>
      <c r="DS565"/>
      <c r="DT565"/>
      <c r="DU565"/>
    </row>
    <row r="566" spans="1:125">
      <c r="A566"/>
      <c r="AJ566"/>
      <c r="AK566"/>
      <c r="AR566"/>
      <c r="AS566"/>
      <c r="AT566"/>
      <c r="AU566"/>
      <c r="AV566"/>
      <c r="AW566"/>
      <c r="AX566"/>
      <c r="AY566"/>
      <c r="AZ566"/>
      <c r="BA566"/>
      <c r="BB566"/>
      <c r="BC566"/>
      <c r="BD566"/>
      <c r="BE566"/>
      <c r="BL566"/>
      <c r="BP566"/>
      <c r="BQ566"/>
      <c r="BR566"/>
      <c r="CD566"/>
      <c r="CE566"/>
      <c r="CF566"/>
      <c r="CQ566"/>
      <c r="CR566"/>
      <c r="CS566"/>
      <c r="DS566"/>
      <c r="DT566"/>
      <c r="DU566"/>
    </row>
    <row r="567" spans="1:125">
      <c r="A567"/>
      <c r="AJ567"/>
      <c r="AK567"/>
      <c r="AR567"/>
      <c r="AS567"/>
      <c r="AT567"/>
      <c r="AU567"/>
      <c r="AV567"/>
      <c r="AW567"/>
      <c r="AX567"/>
      <c r="AY567"/>
      <c r="AZ567"/>
      <c r="BA567"/>
      <c r="BB567"/>
      <c r="BC567"/>
      <c r="BD567"/>
      <c r="BE567"/>
      <c r="BL567"/>
      <c r="BP567"/>
      <c r="BQ567"/>
      <c r="BR567"/>
      <c r="CD567"/>
      <c r="CE567"/>
      <c r="CF567"/>
      <c r="CQ567"/>
      <c r="CR567"/>
      <c r="CS567"/>
      <c r="DS567"/>
      <c r="DT567"/>
      <c r="DU567"/>
    </row>
    <row r="568" spans="1:125">
      <c r="A568"/>
      <c r="AJ568"/>
      <c r="AK568"/>
      <c r="AR568"/>
      <c r="AS568"/>
      <c r="AT568"/>
      <c r="AU568"/>
      <c r="AV568"/>
      <c r="AW568"/>
      <c r="AX568"/>
      <c r="AY568"/>
      <c r="AZ568"/>
      <c r="BA568"/>
      <c r="BB568"/>
      <c r="BC568"/>
      <c r="BD568"/>
      <c r="BE568"/>
      <c r="BL568"/>
      <c r="BP568"/>
      <c r="BQ568"/>
      <c r="BR568"/>
      <c r="CD568"/>
      <c r="CE568"/>
      <c r="CF568"/>
      <c r="CQ568"/>
      <c r="CR568"/>
      <c r="CS568"/>
      <c r="DS568"/>
      <c r="DT568"/>
      <c r="DU568"/>
    </row>
    <row r="569" spans="1:125">
      <c r="A569"/>
      <c r="AJ569"/>
      <c r="AK569"/>
      <c r="AR569"/>
      <c r="AS569"/>
      <c r="AT569"/>
      <c r="AU569"/>
      <c r="AV569"/>
      <c r="AW569"/>
      <c r="AX569"/>
      <c r="AY569"/>
      <c r="AZ569"/>
      <c r="BA569"/>
      <c r="BB569"/>
      <c r="BC569"/>
      <c r="BD569"/>
      <c r="BE569"/>
      <c r="BL569"/>
      <c r="BP569"/>
      <c r="BQ569"/>
      <c r="BR569"/>
      <c r="CD569"/>
      <c r="CE569"/>
      <c r="CF569"/>
      <c r="CQ569"/>
      <c r="CR569"/>
      <c r="CS569"/>
      <c r="DS569"/>
      <c r="DT569"/>
      <c r="DU569"/>
    </row>
    <row r="570" spans="1:125">
      <c r="A570"/>
      <c r="AJ570"/>
      <c r="AK570"/>
      <c r="AR570"/>
      <c r="AS570"/>
      <c r="AT570"/>
      <c r="AU570"/>
      <c r="AV570"/>
      <c r="AW570"/>
      <c r="AX570"/>
      <c r="AY570"/>
      <c r="AZ570"/>
      <c r="BA570"/>
      <c r="BB570"/>
      <c r="BC570"/>
      <c r="BD570"/>
      <c r="BE570"/>
      <c r="BL570"/>
      <c r="BP570"/>
      <c r="BQ570"/>
      <c r="BR570"/>
      <c r="CD570"/>
      <c r="CE570"/>
      <c r="CF570"/>
      <c r="CQ570"/>
      <c r="CR570"/>
      <c r="CS570"/>
      <c r="DS570"/>
      <c r="DT570"/>
      <c r="DU570"/>
    </row>
    <row r="571" spans="1:125">
      <c r="A571"/>
      <c r="AJ571"/>
      <c r="AK571"/>
      <c r="AR571"/>
      <c r="AS571"/>
      <c r="AT571"/>
      <c r="AU571"/>
      <c r="AV571"/>
      <c r="AW571"/>
      <c r="AX571"/>
      <c r="AY571"/>
      <c r="AZ571"/>
      <c r="BA571"/>
      <c r="BB571"/>
      <c r="BC571"/>
      <c r="BD571"/>
      <c r="BE571"/>
      <c r="BL571"/>
      <c r="BP571"/>
      <c r="BQ571"/>
      <c r="BR571"/>
      <c r="CD571"/>
      <c r="CE571"/>
      <c r="CF571"/>
      <c r="CQ571"/>
      <c r="CR571"/>
      <c r="CS571"/>
      <c r="DS571"/>
      <c r="DT571"/>
      <c r="DU571"/>
    </row>
    <row r="572" spans="1:125">
      <c r="A572"/>
      <c r="AJ572"/>
      <c r="AK572"/>
      <c r="AR572"/>
      <c r="AS572"/>
      <c r="AT572"/>
      <c r="AU572"/>
      <c r="AV572"/>
      <c r="AW572"/>
      <c r="AX572"/>
      <c r="AY572"/>
      <c r="AZ572"/>
      <c r="BA572"/>
      <c r="BB572"/>
      <c r="BC572"/>
      <c r="BD572"/>
      <c r="BE572"/>
      <c r="BL572"/>
      <c r="BP572"/>
      <c r="BQ572"/>
      <c r="BR572"/>
      <c r="CD572"/>
      <c r="CE572"/>
      <c r="CF572"/>
      <c r="CQ572"/>
      <c r="CR572"/>
      <c r="CS572"/>
      <c r="DS572"/>
      <c r="DT572"/>
      <c r="DU572"/>
    </row>
    <row r="573" spans="1:125">
      <c r="A573"/>
      <c r="AJ573"/>
      <c r="AK573"/>
      <c r="AR573"/>
      <c r="AS573"/>
      <c r="AT573"/>
      <c r="AU573"/>
      <c r="AV573"/>
      <c r="AW573"/>
      <c r="AX573"/>
      <c r="AY573"/>
      <c r="AZ573"/>
      <c r="BA573"/>
      <c r="BB573"/>
      <c r="BC573"/>
      <c r="BD573"/>
      <c r="BE573"/>
      <c r="BL573"/>
      <c r="BP573"/>
      <c r="BQ573"/>
      <c r="BR573"/>
      <c r="CD573"/>
      <c r="CE573"/>
      <c r="CF573"/>
      <c r="CQ573"/>
      <c r="CR573"/>
      <c r="CS573"/>
      <c r="DS573"/>
      <c r="DT573"/>
      <c r="DU573"/>
    </row>
    <row r="574" spans="1:125">
      <c r="A574"/>
      <c r="AJ574"/>
      <c r="AK574"/>
      <c r="AR574"/>
      <c r="AS574"/>
      <c r="AT574"/>
      <c r="AU574"/>
      <c r="AV574"/>
      <c r="AW574"/>
      <c r="AX574"/>
      <c r="AY574"/>
      <c r="AZ574"/>
      <c r="BA574"/>
      <c r="BB574"/>
      <c r="BC574"/>
      <c r="BD574"/>
      <c r="BE574"/>
      <c r="BL574"/>
      <c r="BP574"/>
      <c r="BQ574"/>
      <c r="BR574"/>
      <c r="CD574"/>
      <c r="CE574"/>
      <c r="CF574"/>
      <c r="CQ574"/>
      <c r="CR574"/>
      <c r="CS574"/>
      <c r="DS574"/>
      <c r="DT574"/>
      <c r="DU574"/>
    </row>
    <row r="575" spans="1:125">
      <c r="A575"/>
      <c r="AJ575"/>
      <c r="AK575"/>
      <c r="AR575"/>
      <c r="AS575"/>
      <c r="AT575"/>
      <c r="AU575"/>
      <c r="AV575"/>
      <c r="AW575"/>
      <c r="AX575"/>
      <c r="AY575"/>
      <c r="AZ575"/>
      <c r="BA575"/>
      <c r="BB575"/>
      <c r="BC575"/>
      <c r="BD575"/>
      <c r="BE575"/>
      <c r="BL575"/>
      <c r="BP575"/>
      <c r="BQ575"/>
      <c r="BR575"/>
      <c r="CD575"/>
      <c r="CE575"/>
      <c r="CF575"/>
      <c r="CQ575"/>
      <c r="CR575"/>
      <c r="CS575"/>
      <c r="DS575"/>
      <c r="DT575"/>
      <c r="DU575"/>
    </row>
    <row r="576" spans="1:125">
      <c r="A576"/>
      <c r="AJ576"/>
      <c r="AK576"/>
      <c r="AR576"/>
      <c r="AS576"/>
      <c r="AT576"/>
      <c r="AU576"/>
      <c r="AV576"/>
      <c r="AW576"/>
      <c r="AX576"/>
      <c r="AY576"/>
      <c r="AZ576"/>
      <c r="BA576"/>
      <c r="BB576"/>
      <c r="BC576"/>
      <c r="BD576"/>
      <c r="BE576"/>
      <c r="BL576"/>
      <c r="BP576"/>
      <c r="BQ576"/>
      <c r="BR576"/>
      <c r="CD576"/>
      <c r="CE576"/>
      <c r="CF576"/>
      <c r="CQ576"/>
      <c r="CR576"/>
      <c r="CS576"/>
      <c r="DS576"/>
      <c r="DT576"/>
      <c r="DU576"/>
    </row>
    <row r="577" spans="1:125">
      <c r="A577"/>
      <c r="AJ577"/>
      <c r="AK577"/>
      <c r="AR577"/>
      <c r="AS577"/>
      <c r="AT577"/>
      <c r="AU577"/>
      <c r="AV577"/>
      <c r="AW577"/>
      <c r="AX577"/>
      <c r="AY577"/>
      <c r="AZ577"/>
      <c r="BA577"/>
      <c r="BB577"/>
      <c r="BC577"/>
      <c r="BD577"/>
      <c r="BE577"/>
      <c r="BL577"/>
      <c r="BP577"/>
      <c r="BQ577"/>
      <c r="BR577"/>
      <c r="CD577"/>
      <c r="CE577"/>
      <c r="CF577"/>
      <c r="CQ577"/>
      <c r="CR577"/>
      <c r="CS577"/>
      <c r="DS577"/>
      <c r="DT577"/>
      <c r="DU577"/>
    </row>
    <row r="578" spans="1:125">
      <c r="A578"/>
      <c r="AJ578"/>
      <c r="AK578"/>
      <c r="AR578"/>
      <c r="AS578"/>
      <c r="AT578"/>
      <c r="AU578"/>
      <c r="AV578"/>
      <c r="AW578"/>
      <c r="AX578"/>
      <c r="AY578"/>
      <c r="AZ578"/>
      <c r="BA578"/>
      <c r="BB578"/>
      <c r="BC578"/>
      <c r="BD578"/>
      <c r="BE578"/>
      <c r="BL578"/>
      <c r="BP578"/>
      <c r="BQ578"/>
      <c r="BR578"/>
      <c r="CD578"/>
      <c r="CE578"/>
      <c r="CF578"/>
      <c r="CQ578"/>
      <c r="CR578"/>
      <c r="CS578"/>
      <c r="DS578"/>
      <c r="DT578"/>
      <c r="DU578"/>
    </row>
    <row r="579" spans="1:125">
      <c r="A579"/>
      <c r="AJ579"/>
      <c r="AK579"/>
      <c r="AR579"/>
      <c r="AS579"/>
      <c r="AT579"/>
      <c r="AU579"/>
      <c r="AV579"/>
      <c r="AW579"/>
      <c r="AX579"/>
      <c r="AY579"/>
      <c r="AZ579"/>
      <c r="BA579"/>
      <c r="BB579"/>
      <c r="BC579"/>
      <c r="BD579"/>
      <c r="BE579"/>
      <c r="BL579"/>
      <c r="BP579"/>
      <c r="BQ579"/>
      <c r="BR579"/>
      <c r="CD579"/>
      <c r="CE579"/>
      <c r="CF579"/>
      <c r="CQ579"/>
      <c r="CR579"/>
      <c r="CS579"/>
      <c r="DS579"/>
      <c r="DT579"/>
      <c r="DU579"/>
    </row>
    <row r="580" spans="1:125">
      <c r="A580"/>
      <c r="AJ580"/>
      <c r="AK580"/>
      <c r="AR580"/>
      <c r="AS580"/>
      <c r="AT580"/>
      <c r="AU580"/>
      <c r="AV580"/>
      <c r="AW580"/>
      <c r="AX580"/>
      <c r="AY580"/>
      <c r="AZ580"/>
      <c r="BA580"/>
      <c r="BB580"/>
      <c r="BC580"/>
      <c r="BD580"/>
      <c r="BE580"/>
      <c r="BL580"/>
      <c r="BP580"/>
      <c r="BQ580"/>
      <c r="BR580"/>
      <c r="CD580"/>
      <c r="CE580"/>
      <c r="CF580"/>
      <c r="CQ580"/>
      <c r="CR580"/>
      <c r="CS580"/>
      <c r="DS580"/>
      <c r="DT580"/>
      <c r="DU580"/>
    </row>
    <row r="581" spans="1:125">
      <c r="A581"/>
      <c r="AJ581"/>
      <c r="AK581"/>
      <c r="AR581"/>
      <c r="AS581"/>
      <c r="AT581"/>
      <c r="AU581"/>
      <c r="AV581"/>
      <c r="AW581"/>
      <c r="AX581"/>
      <c r="AY581"/>
      <c r="AZ581"/>
      <c r="BA581"/>
      <c r="BB581"/>
      <c r="BC581"/>
      <c r="BD581"/>
      <c r="BE581"/>
      <c r="BL581"/>
      <c r="BP581"/>
      <c r="BQ581"/>
      <c r="BR581"/>
      <c r="CD581"/>
      <c r="CE581"/>
      <c r="CF581"/>
      <c r="CQ581"/>
      <c r="CR581"/>
      <c r="CS581"/>
      <c r="DS581"/>
      <c r="DT581"/>
      <c r="DU581"/>
    </row>
    <row r="582" spans="1:125">
      <c r="A582"/>
      <c r="AJ582"/>
      <c r="AK582"/>
      <c r="AR582"/>
      <c r="AS582"/>
      <c r="AT582"/>
      <c r="AU582"/>
      <c r="AV582"/>
      <c r="AW582"/>
      <c r="AX582"/>
      <c r="AY582"/>
      <c r="AZ582"/>
      <c r="BA582"/>
      <c r="BB582"/>
      <c r="BC582"/>
      <c r="BD582"/>
      <c r="BE582"/>
      <c r="BL582"/>
      <c r="BP582"/>
      <c r="BQ582"/>
      <c r="BR582"/>
      <c r="CD582"/>
      <c r="CE582"/>
      <c r="CF582"/>
      <c r="CQ582"/>
      <c r="CR582"/>
      <c r="CS582"/>
      <c r="DS582"/>
      <c r="DT582"/>
      <c r="DU582"/>
    </row>
    <row r="583" spans="1:125">
      <c r="A583"/>
      <c r="AJ583"/>
      <c r="AK583"/>
      <c r="AR583"/>
      <c r="AS583"/>
      <c r="AT583"/>
      <c r="AU583"/>
      <c r="AV583"/>
      <c r="AW583"/>
      <c r="AX583"/>
      <c r="AY583"/>
      <c r="AZ583"/>
      <c r="BA583"/>
      <c r="BB583"/>
      <c r="BC583"/>
      <c r="BD583"/>
      <c r="BE583"/>
      <c r="BL583"/>
      <c r="BP583"/>
      <c r="BQ583"/>
      <c r="BR583"/>
      <c r="CD583"/>
      <c r="CE583"/>
      <c r="CF583"/>
      <c r="CQ583"/>
      <c r="CR583"/>
      <c r="CS583"/>
      <c r="DS583"/>
      <c r="DT583"/>
      <c r="DU583"/>
    </row>
    <row r="584" spans="1:125">
      <c r="A584"/>
      <c r="AJ584"/>
      <c r="AK584"/>
      <c r="AR584"/>
      <c r="AS584"/>
      <c r="AT584"/>
      <c r="AU584"/>
      <c r="AV584"/>
      <c r="AW584"/>
      <c r="AX584"/>
      <c r="AY584"/>
      <c r="AZ584"/>
      <c r="BA584"/>
      <c r="BB584"/>
      <c r="BC584"/>
      <c r="BD584"/>
      <c r="BE584"/>
      <c r="BL584"/>
      <c r="BP584"/>
      <c r="BQ584"/>
      <c r="BR584"/>
      <c r="CD584"/>
      <c r="CE584"/>
      <c r="CF584"/>
      <c r="CQ584"/>
      <c r="CR584"/>
      <c r="CS584"/>
      <c r="DS584"/>
      <c r="DT584"/>
      <c r="DU584"/>
    </row>
    <row r="585" spans="1:125">
      <c r="A585"/>
      <c r="AJ585"/>
      <c r="AK585"/>
      <c r="AR585"/>
      <c r="AS585"/>
      <c r="AT585"/>
      <c r="AU585"/>
      <c r="AV585"/>
      <c r="AW585"/>
      <c r="AX585"/>
      <c r="AY585"/>
      <c r="AZ585"/>
      <c r="BA585"/>
      <c r="BB585"/>
      <c r="BC585"/>
      <c r="BD585"/>
      <c r="BE585"/>
      <c r="BL585"/>
      <c r="BP585"/>
      <c r="BQ585"/>
      <c r="BR585"/>
      <c r="CD585"/>
      <c r="CE585"/>
      <c r="CF585"/>
      <c r="CQ585"/>
      <c r="CR585"/>
      <c r="CS585"/>
      <c r="DS585"/>
      <c r="DT585"/>
      <c r="DU585"/>
    </row>
    <row r="586" spans="1:125">
      <c r="A586"/>
      <c r="AJ586"/>
      <c r="AK586"/>
      <c r="AR586"/>
      <c r="AS586"/>
      <c r="AT586"/>
      <c r="AU586"/>
      <c r="AV586"/>
      <c r="AW586"/>
      <c r="AX586"/>
      <c r="AY586"/>
      <c r="AZ586"/>
      <c r="BA586"/>
      <c r="BB586"/>
      <c r="BC586"/>
      <c r="BD586"/>
      <c r="BE586"/>
      <c r="BL586"/>
      <c r="BP586"/>
      <c r="BQ586"/>
      <c r="BR586"/>
      <c r="CD586"/>
      <c r="CE586"/>
      <c r="CF586"/>
      <c r="CQ586"/>
      <c r="CR586"/>
      <c r="CS586"/>
      <c r="DS586"/>
      <c r="DT586"/>
      <c r="DU586"/>
    </row>
    <row r="587" spans="1:125">
      <c r="A587"/>
      <c r="AJ587"/>
      <c r="AK587"/>
      <c r="AR587"/>
      <c r="AS587"/>
      <c r="AT587"/>
      <c r="AU587"/>
      <c r="AV587"/>
      <c r="AW587"/>
      <c r="AX587"/>
      <c r="AY587"/>
      <c r="AZ587"/>
      <c r="BA587"/>
      <c r="BB587"/>
      <c r="BC587"/>
      <c r="BD587"/>
      <c r="BE587"/>
      <c r="BL587"/>
      <c r="BP587"/>
      <c r="BQ587"/>
      <c r="BR587"/>
      <c r="CD587"/>
      <c r="CE587"/>
      <c r="CF587"/>
      <c r="CQ587"/>
      <c r="CR587"/>
      <c r="CS587"/>
      <c r="DS587"/>
      <c r="DT587"/>
      <c r="DU587"/>
    </row>
    <row r="588" spans="1:125">
      <c r="A588"/>
      <c r="AJ588"/>
      <c r="AK588"/>
      <c r="AR588"/>
      <c r="AS588"/>
      <c r="AT588"/>
      <c r="AU588"/>
      <c r="AV588"/>
      <c r="AW588"/>
      <c r="AX588"/>
      <c r="AY588"/>
      <c r="AZ588"/>
      <c r="BA588"/>
      <c r="BB588"/>
      <c r="BC588"/>
      <c r="BD588"/>
      <c r="BE588"/>
      <c r="BL588"/>
      <c r="BP588"/>
      <c r="BQ588"/>
      <c r="BR588"/>
      <c r="CD588"/>
      <c r="CE588"/>
      <c r="CF588"/>
      <c r="CQ588"/>
      <c r="CR588"/>
      <c r="CS588"/>
      <c r="DS588"/>
      <c r="DT588"/>
      <c r="DU588"/>
    </row>
    <row r="589" spans="1:125">
      <c r="A589"/>
      <c r="AJ589"/>
      <c r="AK589"/>
      <c r="AR589"/>
      <c r="AS589"/>
      <c r="AT589"/>
      <c r="AU589"/>
      <c r="AV589"/>
      <c r="AW589"/>
      <c r="AX589"/>
      <c r="AY589"/>
      <c r="AZ589"/>
      <c r="BA589"/>
      <c r="BB589"/>
      <c r="BC589"/>
      <c r="BD589"/>
      <c r="BE589"/>
      <c r="BL589"/>
      <c r="BP589"/>
      <c r="BQ589"/>
      <c r="BR589"/>
      <c r="CD589"/>
      <c r="CE589"/>
      <c r="CF589"/>
      <c r="CQ589"/>
      <c r="CR589"/>
      <c r="CS589"/>
      <c r="DS589"/>
      <c r="DT589"/>
      <c r="DU589"/>
    </row>
    <row r="590" spans="1:125">
      <c r="A590"/>
      <c r="AJ590"/>
      <c r="AK590"/>
      <c r="AR590"/>
      <c r="AS590"/>
      <c r="AT590"/>
      <c r="AU590"/>
      <c r="AV590"/>
      <c r="AW590"/>
      <c r="AX590"/>
      <c r="AY590"/>
      <c r="AZ590"/>
      <c r="BA590"/>
      <c r="BB590"/>
      <c r="BC590"/>
      <c r="BD590"/>
      <c r="BE590"/>
      <c r="BL590"/>
      <c r="BP590"/>
      <c r="BQ590"/>
      <c r="BR590"/>
      <c r="CD590"/>
      <c r="CE590"/>
      <c r="CF590"/>
      <c r="CQ590"/>
      <c r="CR590"/>
      <c r="CS590"/>
      <c r="DS590"/>
      <c r="DT590"/>
      <c r="DU590"/>
    </row>
    <row r="591" spans="1:125">
      <c r="A591"/>
      <c r="AJ591"/>
      <c r="AK591"/>
      <c r="AR591"/>
      <c r="AS591"/>
      <c r="AT591"/>
      <c r="AU591"/>
      <c r="AV591"/>
      <c r="AW591"/>
      <c r="AX591"/>
      <c r="AY591"/>
      <c r="AZ591"/>
      <c r="BA591"/>
      <c r="BB591"/>
      <c r="BC591"/>
      <c r="BD591"/>
      <c r="BE591"/>
      <c r="BL591"/>
      <c r="BP591"/>
      <c r="BQ591"/>
      <c r="BR591"/>
      <c r="CD591"/>
      <c r="CE591"/>
      <c r="CF591"/>
      <c r="CQ591"/>
      <c r="CR591"/>
      <c r="CS591"/>
      <c r="DS591"/>
      <c r="DT591"/>
      <c r="DU591"/>
    </row>
    <row r="592" spans="1:125">
      <c r="A592"/>
      <c r="AJ592"/>
      <c r="AK592"/>
      <c r="AR592"/>
      <c r="AS592"/>
      <c r="AT592"/>
      <c r="AU592"/>
      <c r="AV592"/>
      <c r="AW592"/>
      <c r="AX592"/>
      <c r="AY592"/>
      <c r="AZ592"/>
      <c r="BA592"/>
      <c r="BB592"/>
      <c r="BC592"/>
      <c r="BD592"/>
      <c r="BE592"/>
      <c r="BL592"/>
      <c r="BP592"/>
      <c r="BQ592"/>
      <c r="BR592"/>
      <c r="CD592"/>
      <c r="CE592"/>
      <c r="CF592"/>
      <c r="CQ592"/>
      <c r="CR592"/>
      <c r="CS592"/>
      <c r="DS592"/>
      <c r="DT592"/>
      <c r="DU592"/>
    </row>
    <row r="593" spans="1:125">
      <c r="A593"/>
      <c r="AJ593"/>
      <c r="AK593"/>
      <c r="AR593"/>
      <c r="AS593"/>
      <c r="AT593"/>
      <c r="AU593"/>
      <c r="AV593"/>
      <c r="AW593"/>
      <c r="AX593"/>
      <c r="AY593"/>
      <c r="AZ593"/>
      <c r="BA593"/>
      <c r="BB593"/>
      <c r="BC593"/>
      <c r="BD593"/>
      <c r="BE593"/>
      <c r="BL593"/>
      <c r="BP593"/>
      <c r="BQ593"/>
      <c r="BR593"/>
      <c r="CD593"/>
      <c r="CE593"/>
      <c r="CF593"/>
      <c r="CQ593"/>
      <c r="CR593"/>
      <c r="CS593"/>
      <c r="DS593"/>
      <c r="DT593"/>
      <c r="DU593"/>
    </row>
    <row r="594" spans="1:125">
      <c r="A594"/>
      <c r="AJ594"/>
      <c r="AK594"/>
      <c r="AR594"/>
      <c r="AS594"/>
      <c r="AT594"/>
      <c r="AU594"/>
      <c r="AV594"/>
      <c r="AW594"/>
      <c r="AX594"/>
      <c r="AY594"/>
      <c r="AZ594"/>
      <c r="BA594"/>
      <c r="BB594"/>
      <c r="BC594"/>
      <c r="BD594"/>
      <c r="BE594"/>
      <c r="BL594"/>
      <c r="BP594"/>
      <c r="BQ594"/>
      <c r="BR594"/>
      <c r="CD594"/>
      <c r="CE594"/>
      <c r="CF594"/>
      <c r="CQ594"/>
      <c r="CR594"/>
      <c r="CS594"/>
      <c r="DS594"/>
      <c r="DT594"/>
      <c r="DU594"/>
    </row>
    <row r="595" spans="1:125">
      <c r="A595"/>
      <c r="AJ595"/>
      <c r="AK595"/>
      <c r="AR595"/>
      <c r="AS595"/>
      <c r="AT595"/>
      <c r="AU595"/>
      <c r="AV595"/>
      <c r="AW595"/>
      <c r="AX595"/>
      <c r="AY595"/>
      <c r="AZ595"/>
      <c r="BA595"/>
      <c r="BB595"/>
      <c r="BC595"/>
      <c r="BD595"/>
      <c r="BE595"/>
      <c r="BL595"/>
      <c r="BP595"/>
      <c r="BQ595"/>
      <c r="BR595"/>
      <c r="CD595"/>
      <c r="CE595"/>
      <c r="CF595"/>
      <c r="CQ595"/>
      <c r="CR595"/>
      <c r="CS595"/>
      <c r="DS595"/>
      <c r="DT595"/>
      <c r="DU595"/>
    </row>
    <row r="596" spans="1:125">
      <c r="A596"/>
      <c r="AJ596"/>
      <c r="AK596"/>
      <c r="AR596"/>
      <c r="AS596"/>
      <c r="AT596"/>
      <c r="AU596"/>
      <c r="AV596"/>
      <c r="AW596"/>
      <c r="AX596"/>
      <c r="AY596"/>
      <c r="AZ596"/>
      <c r="BA596"/>
      <c r="BB596"/>
      <c r="BC596"/>
      <c r="BD596"/>
      <c r="BE596"/>
      <c r="BL596"/>
      <c r="BP596"/>
      <c r="BQ596"/>
      <c r="BR596"/>
      <c r="CD596"/>
      <c r="CE596"/>
      <c r="CF596"/>
      <c r="CQ596"/>
      <c r="CR596"/>
      <c r="CS596"/>
      <c r="DS596"/>
      <c r="DT596"/>
      <c r="DU596"/>
    </row>
    <row r="597" spans="1:125">
      <c r="A597"/>
      <c r="AJ597"/>
      <c r="AK597"/>
      <c r="AR597"/>
      <c r="AS597"/>
      <c r="AT597"/>
      <c r="AU597"/>
      <c r="AV597"/>
      <c r="AW597"/>
      <c r="AX597"/>
      <c r="AY597"/>
      <c r="AZ597"/>
      <c r="BA597"/>
      <c r="BB597"/>
      <c r="BC597"/>
      <c r="BD597"/>
      <c r="BE597"/>
      <c r="BL597"/>
      <c r="BP597"/>
      <c r="BQ597"/>
      <c r="BR597"/>
      <c r="CD597"/>
      <c r="CE597"/>
      <c r="CF597"/>
      <c r="CQ597"/>
      <c r="CR597"/>
      <c r="CS597"/>
      <c r="DS597"/>
      <c r="DT597"/>
      <c r="DU597"/>
    </row>
    <row r="598" spans="1:125">
      <c r="A598"/>
      <c r="AJ598"/>
      <c r="AK598"/>
      <c r="AR598"/>
      <c r="AS598"/>
      <c r="AT598"/>
      <c r="AU598"/>
      <c r="AV598"/>
      <c r="AW598"/>
      <c r="AX598"/>
      <c r="AY598"/>
      <c r="AZ598"/>
      <c r="BA598"/>
      <c r="BB598"/>
      <c r="BC598"/>
      <c r="BD598"/>
      <c r="BE598"/>
      <c r="BL598"/>
      <c r="BP598"/>
      <c r="BQ598"/>
      <c r="BR598"/>
      <c r="CD598"/>
      <c r="CE598"/>
      <c r="CF598"/>
      <c r="CQ598"/>
      <c r="CR598"/>
      <c r="CS598"/>
      <c r="DS598"/>
      <c r="DT598"/>
      <c r="DU598"/>
    </row>
    <row r="599" spans="1:125">
      <c r="A599"/>
      <c r="AJ599"/>
      <c r="AK599"/>
      <c r="AR599"/>
      <c r="AS599"/>
      <c r="AT599"/>
      <c r="AU599"/>
      <c r="AV599"/>
      <c r="AW599"/>
      <c r="AX599"/>
      <c r="AY599"/>
      <c r="AZ599"/>
      <c r="BA599"/>
      <c r="BB599"/>
      <c r="BC599"/>
      <c r="BD599"/>
      <c r="BE599"/>
      <c r="BL599"/>
      <c r="BP599"/>
      <c r="BQ599"/>
      <c r="BR599"/>
      <c r="CD599"/>
      <c r="CE599"/>
      <c r="CF599"/>
      <c r="CQ599"/>
      <c r="CR599"/>
      <c r="CS599"/>
      <c r="DS599"/>
      <c r="DT599"/>
      <c r="DU599"/>
    </row>
    <row r="600" spans="1:125">
      <c r="A600"/>
      <c r="AJ600"/>
      <c r="AK600"/>
      <c r="AR600"/>
      <c r="AS600"/>
      <c r="AT600"/>
      <c r="AU600"/>
      <c r="AV600"/>
      <c r="AW600"/>
      <c r="AX600"/>
      <c r="AY600"/>
      <c r="AZ600"/>
      <c r="BA600"/>
      <c r="BB600"/>
      <c r="BC600"/>
      <c r="BD600"/>
      <c r="BE600"/>
      <c r="BL600"/>
      <c r="BP600"/>
      <c r="BQ600"/>
      <c r="BR600"/>
      <c r="CD600"/>
      <c r="CE600"/>
      <c r="CF600"/>
      <c r="CQ600"/>
      <c r="CR600"/>
      <c r="CS600"/>
      <c r="DS600"/>
      <c r="DT600"/>
      <c r="DU600"/>
    </row>
    <row r="601" spans="1:125">
      <c r="A601"/>
      <c r="AJ601"/>
      <c r="AK601"/>
      <c r="AR601"/>
      <c r="AS601"/>
      <c r="AT601"/>
      <c r="AU601"/>
      <c r="AV601"/>
      <c r="AW601"/>
      <c r="AX601"/>
      <c r="AY601"/>
      <c r="AZ601"/>
      <c r="BA601"/>
      <c r="BB601"/>
      <c r="BC601"/>
      <c r="BD601"/>
      <c r="BE601"/>
      <c r="BL601"/>
      <c r="BP601"/>
      <c r="BQ601"/>
      <c r="BR601"/>
      <c r="CD601"/>
      <c r="CE601"/>
      <c r="CF601"/>
      <c r="CQ601"/>
      <c r="CR601"/>
      <c r="CS601"/>
      <c r="DS601"/>
      <c r="DT601"/>
      <c r="DU601"/>
    </row>
    <row r="602" spans="1:125">
      <c r="A602"/>
      <c r="AJ602"/>
      <c r="AK602"/>
      <c r="AR602"/>
      <c r="AS602"/>
      <c r="AT602"/>
      <c r="AU602"/>
      <c r="AV602"/>
      <c r="AW602"/>
      <c r="AX602"/>
      <c r="AY602"/>
      <c r="AZ602"/>
      <c r="BA602"/>
      <c r="BB602"/>
      <c r="BC602"/>
      <c r="BD602"/>
      <c r="BE602"/>
      <c r="BL602"/>
      <c r="BP602"/>
      <c r="BQ602"/>
      <c r="BR602"/>
      <c r="CD602"/>
      <c r="CE602"/>
      <c r="CF602"/>
      <c r="CQ602"/>
      <c r="CR602"/>
      <c r="CS602"/>
      <c r="DS602"/>
      <c r="DT602"/>
      <c r="DU602"/>
    </row>
    <row r="603" spans="1:125">
      <c r="A603"/>
      <c r="AJ603"/>
      <c r="AK603"/>
      <c r="AR603"/>
      <c r="AS603"/>
      <c r="AT603"/>
      <c r="AU603"/>
      <c r="AV603"/>
      <c r="AW603"/>
      <c r="AX603"/>
      <c r="AY603"/>
      <c r="AZ603"/>
      <c r="BA603"/>
      <c r="BB603"/>
      <c r="BC603"/>
      <c r="BD603"/>
      <c r="BE603"/>
      <c r="BL603"/>
      <c r="BP603"/>
      <c r="BQ603"/>
      <c r="BR603"/>
      <c r="CD603"/>
      <c r="CE603"/>
      <c r="CF603"/>
      <c r="CQ603"/>
      <c r="CR603"/>
      <c r="CS603"/>
      <c r="DS603"/>
      <c r="DT603"/>
      <c r="DU603"/>
    </row>
    <row r="604" spans="1:125">
      <c r="A604"/>
      <c r="AJ604"/>
      <c r="AK604"/>
      <c r="AR604"/>
      <c r="AS604"/>
      <c r="AT604"/>
      <c r="AU604"/>
      <c r="AV604"/>
      <c r="AW604"/>
      <c r="AX604"/>
      <c r="AY604"/>
      <c r="AZ604"/>
      <c r="BA604"/>
      <c r="BB604"/>
      <c r="BC604"/>
      <c r="BD604"/>
      <c r="BE604"/>
      <c r="BL604"/>
      <c r="BP604"/>
      <c r="BQ604"/>
      <c r="BR604"/>
      <c r="CD604"/>
      <c r="CE604"/>
      <c r="CF604"/>
      <c r="CQ604"/>
      <c r="CR604"/>
      <c r="CS604"/>
      <c r="DS604"/>
      <c r="DT604"/>
      <c r="DU604"/>
    </row>
    <row r="605" spans="1:125">
      <c r="A605"/>
      <c r="AJ605"/>
      <c r="AK605"/>
      <c r="AR605"/>
      <c r="AS605"/>
      <c r="AT605"/>
      <c r="AU605"/>
      <c r="AV605"/>
      <c r="AW605"/>
      <c r="AX605"/>
      <c r="AY605"/>
      <c r="AZ605"/>
      <c r="BA605"/>
      <c r="BB605"/>
      <c r="BC605"/>
      <c r="BD605"/>
      <c r="BE605"/>
      <c r="BL605"/>
      <c r="BP605"/>
      <c r="BQ605"/>
      <c r="BR605"/>
      <c r="CD605"/>
      <c r="CE605"/>
      <c r="CF605"/>
      <c r="CQ605"/>
      <c r="CR605"/>
      <c r="CS605"/>
      <c r="DS605"/>
      <c r="DT605"/>
      <c r="DU605"/>
    </row>
    <row r="606" spans="1:125">
      <c r="A606"/>
      <c r="AJ606"/>
      <c r="AK606"/>
      <c r="AR606"/>
      <c r="AS606"/>
      <c r="AT606"/>
      <c r="AU606"/>
      <c r="AV606"/>
      <c r="AW606"/>
      <c r="AX606"/>
      <c r="AY606"/>
      <c r="AZ606"/>
      <c r="BA606"/>
      <c r="BB606"/>
      <c r="BC606"/>
      <c r="BD606"/>
      <c r="BE606"/>
      <c r="BL606"/>
      <c r="BP606"/>
      <c r="BQ606"/>
      <c r="BR606"/>
      <c r="CD606"/>
      <c r="CE606"/>
      <c r="CF606"/>
      <c r="CQ606"/>
      <c r="CR606"/>
      <c r="CS606"/>
      <c r="DS606"/>
      <c r="DT606"/>
      <c r="DU606"/>
    </row>
    <row r="607" spans="1:125">
      <c r="A607"/>
      <c r="AJ607"/>
      <c r="AK607"/>
      <c r="AR607"/>
      <c r="AS607"/>
      <c r="AT607"/>
      <c r="AU607"/>
      <c r="AV607"/>
      <c r="AW607"/>
      <c r="AX607"/>
      <c r="AY607"/>
      <c r="AZ607"/>
      <c r="BA607"/>
      <c r="BB607"/>
      <c r="BC607"/>
      <c r="BD607"/>
      <c r="BE607"/>
      <c r="BL607"/>
      <c r="BP607"/>
      <c r="BQ607"/>
      <c r="BR607"/>
      <c r="CD607"/>
      <c r="CE607"/>
      <c r="CF607"/>
      <c r="CQ607"/>
      <c r="CR607"/>
      <c r="CS607"/>
      <c r="DS607"/>
      <c r="DT607"/>
      <c r="DU607"/>
    </row>
    <row r="608" spans="1:125">
      <c r="A608"/>
      <c r="AJ608"/>
      <c r="AK608"/>
      <c r="AR608"/>
      <c r="AS608"/>
      <c r="AT608"/>
      <c r="AU608"/>
      <c r="AV608"/>
      <c r="AW608"/>
      <c r="AX608"/>
      <c r="AY608"/>
      <c r="AZ608"/>
      <c r="BA608"/>
      <c r="BB608"/>
      <c r="BC608"/>
      <c r="BD608"/>
      <c r="BE608"/>
      <c r="BL608"/>
      <c r="BP608"/>
      <c r="BQ608"/>
      <c r="BR608"/>
      <c r="CD608"/>
      <c r="CE608"/>
      <c r="CF608"/>
      <c r="CQ608"/>
      <c r="CR608"/>
      <c r="CS608"/>
      <c r="DS608"/>
      <c r="DT608"/>
      <c r="DU608"/>
    </row>
    <row r="609" spans="1:125">
      <c r="A609"/>
      <c r="AJ609"/>
      <c r="AK609"/>
      <c r="AR609"/>
      <c r="AS609"/>
      <c r="AT609"/>
      <c r="AU609"/>
      <c r="AV609"/>
      <c r="AW609"/>
      <c r="AX609"/>
      <c r="AY609"/>
      <c r="AZ609"/>
      <c r="BA609"/>
      <c r="BB609"/>
      <c r="BC609"/>
      <c r="BD609"/>
      <c r="BE609"/>
      <c r="BL609"/>
      <c r="BP609"/>
      <c r="BQ609"/>
      <c r="BR609"/>
      <c r="CD609"/>
      <c r="CE609"/>
      <c r="CF609"/>
      <c r="CQ609"/>
      <c r="CR609"/>
      <c r="CS609"/>
      <c r="DS609"/>
      <c r="DT609"/>
      <c r="DU609"/>
    </row>
    <row r="610" spans="1:125">
      <c r="A610"/>
      <c r="AJ610"/>
      <c r="AK610"/>
      <c r="AR610"/>
      <c r="AS610"/>
      <c r="AT610"/>
      <c r="AU610"/>
      <c r="AV610"/>
      <c r="AW610"/>
      <c r="AX610"/>
      <c r="AY610"/>
      <c r="AZ610"/>
      <c r="BA610"/>
      <c r="BB610"/>
      <c r="BC610"/>
      <c r="BD610"/>
      <c r="BE610"/>
      <c r="BL610"/>
      <c r="BP610"/>
      <c r="BQ610"/>
      <c r="BR610"/>
      <c r="CD610"/>
      <c r="CE610"/>
      <c r="CF610"/>
      <c r="CQ610"/>
      <c r="CR610"/>
      <c r="CS610"/>
      <c r="DS610"/>
      <c r="DT610"/>
      <c r="DU610"/>
    </row>
    <row r="611" spans="1:125">
      <c r="A611"/>
      <c r="AJ611"/>
      <c r="AK611"/>
      <c r="AR611"/>
      <c r="AS611"/>
      <c r="AT611"/>
      <c r="AU611"/>
      <c r="AV611"/>
      <c r="AW611"/>
      <c r="AX611"/>
      <c r="AY611"/>
      <c r="AZ611"/>
      <c r="BA611"/>
      <c r="BB611"/>
      <c r="BC611"/>
      <c r="BD611"/>
      <c r="BE611"/>
      <c r="BL611"/>
      <c r="BP611"/>
      <c r="BQ611"/>
      <c r="BR611"/>
      <c r="CD611"/>
      <c r="CE611"/>
      <c r="CF611"/>
      <c r="CQ611"/>
      <c r="CR611"/>
      <c r="CS611"/>
      <c r="DS611"/>
      <c r="DT611"/>
      <c r="DU611"/>
    </row>
    <row r="612" spans="1:125">
      <c r="A612"/>
      <c r="AJ612"/>
      <c r="AK612"/>
      <c r="AR612"/>
      <c r="AS612"/>
      <c r="AT612"/>
      <c r="AU612"/>
      <c r="AV612"/>
      <c r="AW612"/>
      <c r="AX612"/>
      <c r="AY612"/>
      <c r="AZ612"/>
      <c r="BA612"/>
      <c r="BB612"/>
      <c r="BC612"/>
      <c r="BD612"/>
      <c r="BE612"/>
      <c r="BL612"/>
      <c r="BP612"/>
      <c r="BQ612"/>
      <c r="BR612"/>
      <c r="CD612"/>
      <c r="CE612"/>
      <c r="CF612"/>
      <c r="CQ612"/>
      <c r="CR612"/>
      <c r="CS612"/>
      <c r="DS612"/>
      <c r="DT612"/>
      <c r="DU612"/>
    </row>
    <row r="613" spans="1:125">
      <c r="A613"/>
      <c r="AJ613"/>
      <c r="AK613"/>
      <c r="AR613"/>
      <c r="AS613"/>
      <c r="AT613"/>
      <c r="AU613"/>
      <c r="AV613"/>
      <c r="AW613"/>
      <c r="AX613"/>
      <c r="AY613"/>
      <c r="AZ613"/>
      <c r="BA613"/>
      <c r="BB613"/>
      <c r="BC613"/>
      <c r="BD613"/>
      <c r="BE613"/>
      <c r="BL613"/>
      <c r="BP613"/>
      <c r="BQ613"/>
      <c r="BR613"/>
      <c r="CD613"/>
      <c r="CE613"/>
      <c r="CF613"/>
      <c r="CQ613"/>
      <c r="CR613"/>
      <c r="CS613"/>
      <c r="DS613"/>
      <c r="DT613"/>
      <c r="DU613"/>
    </row>
    <row r="614" spans="1:125">
      <c r="A614"/>
      <c r="AJ614"/>
      <c r="AK614"/>
      <c r="AR614"/>
      <c r="AS614"/>
      <c r="AT614"/>
      <c r="AU614"/>
      <c r="AV614"/>
      <c r="AW614"/>
      <c r="AX614"/>
      <c r="AY614"/>
      <c r="AZ614"/>
      <c r="BA614"/>
      <c r="BB614"/>
      <c r="BC614"/>
      <c r="BD614"/>
      <c r="BE614"/>
      <c r="BL614"/>
      <c r="BP614"/>
      <c r="BQ614"/>
      <c r="BR614"/>
      <c r="CD614"/>
      <c r="CE614"/>
      <c r="CF614"/>
      <c r="CQ614"/>
      <c r="CR614"/>
      <c r="CS614"/>
      <c r="DS614"/>
      <c r="DT614"/>
      <c r="DU614"/>
    </row>
    <row r="615" spans="1:125">
      <c r="A615"/>
      <c r="AJ615"/>
      <c r="AK615"/>
      <c r="AR615"/>
      <c r="AS615"/>
      <c r="AT615"/>
      <c r="AU615"/>
      <c r="AV615"/>
      <c r="AW615"/>
      <c r="AX615"/>
      <c r="AY615"/>
      <c r="AZ615"/>
      <c r="BA615"/>
      <c r="BB615"/>
      <c r="BC615"/>
      <c r="BD615"/>
      <c r="BE615"/>
      <c r="BL615"/>
      <c r="BP615"/>
      <c r="BQ615"/>
      <c r="BR615"/>
      <c r="CD615"/>
      <c r="CE615"/>
      <c r="CF615"/>
      <c r="CQ615"/>
      <c r="CR615"/>
      <c r="CS615"/>
      <c r="DS615"/>
      <c r="DT615"/>
      <c r="DU615"/>
    </row>
    <row r="616" spans="1:125">
      <c r="A616"/>
      <c r="AJ616"/>
      <c r="AK616"/>
      <c r="AR616"/>
      <c r="AS616"/>
      <c r="AT616"/>
      <c r="AU616"/>
      <c r="AV616"/>
      <c r="AW616"/>
      <c r="AX616"/>
      <c r="AY616"/>
      <c r="AZ616"/>
      <c r="BA616"/>
      <c r="BB616"/>
      <c r="BC616"/>
      <c r="BD616"/>
      <c r="BE616"/>
      <c r="BL616"/>
      <c r="BP616"/>
      <c r="BQ616"/>
      <c r="BR616"/>
      <c r="CD616"/>
      <c r="CE616"/>
      <c r="CF616"/>
      <c r="CQ616"/>
      <c r="CR616"/>
      <c r="CS616"/>
      <c r="DS616"/>
      <c r="DT616"/>
      <c r="DU616"/>
    </row>
    <row r="617" spans="1:125">
      <c r="A617"/>
      <c r="AJ617"/>
      <c r="AK617"/>
      <c r="AR617"/>
      <c r="AS617"/>
      <c r="AT617"/>
      <c r="AU617"/>
      <c r="AV617"/>
      <c r="AW617"/>
      <c r="AX617"/>
      <c r="AY617"/>
      <c r="AZ617"/>
      <c r="BA617"/>
      <c r="BB617"/>
      <c r="BC617"/>
      <c r="BD617"/>
      <c r="BE617"/>
      <c r="BL617"/>
      <c r="BP617"/>
      <c r="BQ617"/>
      <c r="BR617"/>
      <c r="CD617"/>
      <c r="CE617"/>
      <c r="CF617"/>
      <c r="CQ617"/>
      <c r="CR617"/>
      <c r="CS617"/>
      <c r="DS617"/>
      <c r="DT617"/>
      <c r="DU617"/>
    </row>
    <row r="618" spans="1:125">
      <c r="A618"/>
      <c r="AJ618"/>
      <c r="AK618"/>
      <c r="AR618"/>
      <c r="AS618"/>
      <c r="AT618"/>
      <c r="AU618"/>
      <c r="AV618"/>
      <c r="AW618"/>
      <c r="AX618"/>
      <c r="AY618"/>
      <c r="AZ618"/>
      <c r="BA618"/>
      <c r="BB618"/>
      <c r="BC618"/>
      <c r="BD618"/>
      <c r="BE618"/>
      <c r="BL618"/>
      <c r="BP618"/>
      <c r="BQ618"/>
      <c r="BR618"/>
      <c r="CD618"/>
      <c r="CE618"/>
      <c r="CF618"/>
      <c r="CQ618"/>
      <c r="CR618"/>
      <c r="CS618"/>
      <c r="DS618"/>
      <c r="DT618"/>
      <c r="DU618"/>
    </row>
    <row r="619" spans="1:125">
      <c r="A619"/>
      <c r="AJ619"/>
      <c r="AK619"/>
      <c r="AR619"/>
      <c r="AS619"/>
      <c r="AT619"/>
      <c r="AU619"/>
      <c r="AV619"/>
      <c r="AW619"/>
      <c r="AX619"/>
      <c r="AY619"/>
      <c r="AZ619"/>
      <c r="BA619"/>
      <c r="BB619"/>
      <c r="BC619"/>
      <c r="BD619"/>
      <c r="BE619"/>
      <c r="BL619"/>
      <c r="BP619"/>
      <c r="BQ619"/>
      <c r="BR619"/>
      <c r="CD619"/>
      <c r="CE619"/>
      <c r="CF619"/>
      <c r="CQ619"/>
      <c r="CR619"/>
      <c r="CS619"/>
      <c r="DS619"/>
      <c r="DT619"/>
      <c r="DU619"/>
    </row>
    <row r="620" spans="1:125">
      <c r="A620"/>
      <c r="AJ620"/>
      <c r="AK620"/>
      <c r="AR620"/>
      <c r="AS620"/>
      <c r="AT620"/>
      <c r="AU620"/>
      <c r="AV620"/>
      <c r="AW620"/>
      <c r="AX620"/>
      <c r="AY620"/>
      <c r="AZ620"/>
      <c r="BA620"/>
      <c r="BB620"/>
      <c r="BC620"/>
      <c r="BD620"/>
      <c r="BE620"/>
      <c r="BL620"/>
      <c r="BP620"/>
      <c r="BQ620"/>
      <c r="BR620"/>
      <c r="CD620"/>
      <c r="CE620"/>
      <c r="CF620"/>
      <c r="CQ620"/>
      <c r="CR620"/>
      <c r="CS620"/>
      <c r="DS620"/>
      <c r="DT620"/>
      <c r="DU620"/>
    </row>
    <row r="621" spans="1:125">
      <c r="A621"/>
      <c r="AJ621"/>
      <c r="AK621"/>
      <c r="AR621"/>
      <c r="AS621"/>
      <c r="AT621"/>
      <c r="AU621"/>
      <c r="AV621"/>
      <c r="AW621"/>
      <c r="AX621"/>
      <c r="AY621"/>
      <c r="AZ621"/>
      <c r="BA621"/>
      <c r="BB621"/>
      <c r="BC621"/>
      <c r="BD621"/>
      <c r="BE621"/>
      <c r="BL621"/>
      <c r="BP621"/>
      <c r="BQ621"/>
      <c r="BR621"/>
      <c r="CD621"/>
      <c r="CE621"/>
      <c r="CF621"/>
      <c r="CQ621"/>
      <c r="CR621"/>
      <c r="CS621"/>
      <c r="DS621"/>
      <c r="DT621"/>
      <c r="DU621"/>
    </row>
    <row r="622" spans="1:125">
      <c r="A622"/>
      <c r="AJ622"/>
      <c r="AK622"/>
      <c r="AR622"/>
      <c r="AS622"/>
      <c r="AT622"/>
      <c r="AU622"/>
      <c r="AV622"/>
      <c r="AW622"/>
      <c r="AX622"/>
      <c r="AY622"/>
      <c r="AZ622"/>
      <c r="BA622"/>
      <c r="BB622"/>
      <c r="BC622"/>
      <c r="BD622"/>
      <c r="BE622"/>
      <c r="BL622"/>
      <c r="BP622"/>
      <c r="BQ622"/>
      <c r="BR622"/>
      <c r="CD622"/>
      <c r="CE622"/>
      <c r="CF622"/>
      <c r="CQ622"/>
      <c r="CR622"/>
      <c r="CS622"/>
      <c r="DS622"/>
      <c r="DT622"/>
      <c r="DU622"/>
    </row>
    <row r="623" spans="1:125">
      <c r="A623"/>
      <c r="AJ623"/>
      <c r="AK623"/>
      <c r="AR623"/>
      <c r="AS623"/>
      <c r="AT623"/>
      <c r="AU623"/>
      <c r="AV623"/>
      <c r="AW623"/>
      <c r="AX623"/>
      <c r="AY623"/>
      <c r="AZ623"/>
      <c r="BA623"/>
      <c r="BB623"/>
      <c r="BC623"/>
      <c r="BD623"/>
      <c r="BE623"/>
      <c r="BL623"/>
      <c r="BP623"/>
      <c r="BQ623"/>
      <c r="BR623"/>
      <c r="CD623"/>
      <c r="CE623"/>
      <c r="CF623"/>
      <c r="CQ623"/>
      <c r="CR623"/>
      <c r="CS623"/>
      <c r="DS623"/>
      <c r="DT623"/>
      <c r="DU623"/>
    </row>
    <row r="624" spans="1:125">
      <c r="A624"/>
      <c r="AJ624"/>
      <c r="AK624"/>
      <c r="AR624"/>
      <c r="AS624"/>
      <c r="AT624"/>
      <c r="AU624"/>
      <c r="AV624"/>
      <c r="AW624"/>
      <c r="AX624"/>
      <c r="AY624"/>
      <c r="AZ624"/>
      <c r="BA624"/>
      <c r="BB624"/>
      <c r="BC624"/>
      <c r="BD624"/>
      <c r="BE624"/>
      <c r="BL624"/>
      <c r="BP624"/>
      <c r="BQ624"/>
      <c r="BR624"/>
      <c r="CD624"/>
      <c r="CE624"/>
      <c r="CF624"/>
      <c r="CQ624"/>
      <c r="CR624"/>
      <c r="CS624"/>
      <c r="DS624"/>
      <c r="DT624"/>
      <c r="DU624"/>
    </row>
    <row r="625" spans="1:125">
      <c r="A625"/>
      <c r="AJ625"/>
      <c r="AK625"/>
      <c r="AR625"/>
      <c r="AS625"/>
      <c r="AT625"/>
      <c r="AU625"/>
      <c r="AV625"/>
      <c r="AW625"/>
      <c r="AX625"/>
      <c r="AY625"/>
      <c r="AZ625"/>
      <c r="BA625"/>
      <c r="BB625"/>
      <c r="BC625"/>
      <c r="BD625"/>
      <c r="BE625"/>
      <c r="BL625"/>
      <c r="BP625"/>
      <c r="BQ625"/>
      <c r="BR625"/>
      <c r="CD625"/>
      <c r="CE625"/>
      <c r="CF625"/>
      <c r="CQ625"/>
      <c r="CR625"/>
      <c r="CS625"/>
      <c r="DS625"/>
      <c r="DT625"/>
      <c r="DU625"/>
    </row>
    <row r="626" spans="1:125">
      <c r="A626"/>
      <c r="AJ626"/>
      <c r="AK626"/>
      <c r="AR626"/>
      <c r="AS626"/>
      <c r="AT626"/>
      <c r="AU626"/>
      <c r="AV626"/>
      <c r="AW626"/>
      <c r="AX626"/>
      <c r="AY626"/>
      <c r="AZ626"/>
      <c r="BA626"/>
      <c r="BB626"/>
      <c r="BC626"/>
      <c r="BD626"/>
      <c r="BE626"/>
      <c r="BL626"/>
      <c r="BP626"/>
      <c r="BQ626"/>
      <c r="BR626"/>
      <c r="CD626"/>
      <c r="CE626"/>
      <c r="CF626"/>
      <c r="CQ626"/>
      <c r="CR626"/>
      <c r="CS626"/>
      <c r="DS626"/>
      <c r="DT626"/>
      <c r="DU626"/>
    </row>
    <row r="627" spans="1:125">
      <c r="A627"/>
      <c r="AJ627"/>
      <c r="AK627"/>
      <c r="AR627"/>
      <c r="AS627"/>
      <c r="AT627"/>
      <c r="AU627"/>
      <c r="AV627"/>
      <c r="AW627"/>
      <c r="AX627"/>
      <c r="AY627"/>
      <c r="AZ627"/>
      <c r="BA627"/>
      <c r="BB627"/>
      <c r="BC627"/>
      <c r="BD627"/>
      <c r="BE627"/>
      <c r="BL627"/>
      <c r="BP627"/>
      <c r="BQ627"/>
      <c r="BR627"/>
      <c r="CD627"/>
      <c r="CE627"/>
      <c r="CF627"/>
      <c r="CQ627"/>
      <c r="CR627"/>
      <c r="CS627"/>
      <c r="DS627"/>
      <c r="DT627"/>
      <c r="DU627"/>
    </row>
    <row r="628" spans="1:125">
      <c r="A628"/>
      <c r="AJ628"/>
      <c r="AK628"/>
      <c r="AR628"/>
      <c r="AS628"/>
      <c r="AT628"/>
      <c r="AU628"/>
      <c r="AV628"/>
      <c r="AW628"/>
      <c r="AX628"/>
      <c r="AY628"/>
      <c r="AZ628"/>
      <c r="BA628"/>
      <c r="BB628"/>
      <c r="BC628"/>
      <c r="BD628"/>
      <c r="BE628"/>
      <c r="BL628"/>
      <c r="BP628"/>
      <c r="BQ628"/>
      <c r="BR628"/>
      <c r="CD628"/>
      <c r="CE628"/>
      <c r="CF628"/>
      <c r="CQ628"/>
      <c r="CR628"/>
      <c r="CS628"/>
      <c r="DS628"/>
      <c r="DT628"/>
      <c r="DU628"/>
    </row>
    <row r="629" spans="1:125">
      <c r="A629"/>
      <c r="AJ629"/>
      <c r="AK629"/>
      <c r="AR629"/>
      <c r="AS629"/>
      <c r="AT629"/>
      <c r="AU629"/>
      <c r="AV629"/>
      <c r="AW629"/>
      <c r="AX629"/>
      <c r="AY629"/>
      <c r="AZ629"/>
      <c r="BA629"/>
      <c r="BB629"/>
      <c r="BC629"/>
      <c r="BD629"/>
      <c r="BE629"/>
      <c r="BL629"/>
      <c r="BP629"/>
      <c r="BQ629"/>
      <c r="BR629"/>
      <c r="CD629"/>
      <c r="CE629"/>
      <c r="CF629"/>
      <c r="CQ629"/>
      <c r="CR629"/>
      <c r="CS629"/>
      <c r="DS629"/>
      <c r="DT629"/>
      <c r="DU629"/>
    </row>
    <row r="630" spans="1:125">
      <c r="A630"/>
      <c r="AJ630"/>
      <c r="AK630"/>
      <c r="AR630"/>
      <c r="AS630"/>
      <c r="AT630"/>
      <c r="AU630"/>
      <c r="AV630"/>
      <c r="AW630"/>
      <c r="AX630"/>
      <c r="AY630"/>
      <c r="AZ630"/>
      <c r="BA630"/>
      <c r="BB630"/>
      <c r="BC630"/>
      <c r="BD630"/>
      <c r="BE630"/>
      <c r="BL630"/>
      <c r="BP630"/>
      <c r="BQ630"/>
      <c r="BR630"/>
      <c r="CD630"/>
      <c r="CE630"/>
      <c r="CF630"/>
      <c r="CQ630"/>
      <c r="CR630"/>
      <c r="CS630"/>
      <c r="DS630"/>
      <c r="DT630"/>
      <c r="DU630"/>
    </row>
    <row r="631" spans="1:125">
      <c r="A631"/>
      <c r="AJ631"/>
      <c r="AK631"/>
      <c r="AR631"/>
      <c r="AS631"/>
      <c r="AT631"/>
      <c r="AU631"/>
      <c r="AV631"/>
      <c r="AW631"/>
      <c r="AX631"/>
      <c r="AY631"/>
      <c r="AZ631"/>
      <c r="BA631"/>
      <c r="BB631"/>
      <c r="BC631"/>
      <c r="BD631"/>
      <c r="BE631"/>
      <c r="BL631"/>
      <c r="BP631"/>
      <c r="BQ631"/>
      <c r="BR631"/>
      <c r="CD631"/>
      <c r="CE631"/>
      <c r="CF631"/>
      <c r="CQ631"/>
      <c r="CR631"/>
      <c r="CS631"/>
      <c r="DS631"/>
      <c r="DT631"/>
      <c r="DU631"/>
    </row>
    <row r="632" spans="1:125">
      <c r="A632"/>
      <c r="AJ632"/>
      <c r="AK632"/>
      <c r="AR632"/>
      <c r="AS632"/>
      <c r="AT632"/>
      <c r="AU632"/>
      <c r="AV632"/>
      <c r="AW632"/>
      <c r="AX632"/>
      <c r="AY632"/>
      <c r="AZ632"/>
      <c r="BA632"/>
      <c r="BB632"/>
      <c r="BC632"/>
      <c r="BD632"/>
      <c r="BE632"/>
      <c r="BL632"/>
      <c r="BP632"/>
      <c r="BQ632"/>
      <c r="BR632"/>
      <c r="CD632"/>
      <c r="CE632"/>
      <c r="CF632"/>
      <c r="CQ632"/>
      <c r="CR632"/>
      <c r="CS632"/>
      <c r="DS632"/>
      <c r="DT632"/>
      <c r="DU632"/>
    </row>
    <row r="633" spans="1:125">
      <c r="A633"/>
      <c r="AJ633"/>
      <c r="AK633"/>
      <c r="AR633"/>
      <c r="AS633"/>
      <c r="AT633"/>
      <c r="AU633"/>
      <c r="AV633"/>
      <c r="AW633"/>
      <c r="AX633"/>
      <c r="AY633"/>
      <c r="AZ633"/>
      <c r="BA633"/>
      <c r="BB633"/>
      <c r="BC633"/>
      <c r="BD633"/>
      <c r="BE633"/>
      <c r="BL633"/>
      <c r="BP633"/>
      <c r="BQ633"/>
      <c r="BR633"/>
      <c r="CD633"/>
      <c r="CE633"/>
      <c r="CF633"/>
      <c r="CQ633"/>
      <c r="CR633"/>
      <c r="CS633"/>
      <c r="DS633"/>
      <c r="DT633"/>
      <c r="DU633"/>
    </row>
    <row r="634" spans="1:125">
      <c r="A634"/>
      <c r="AJ634"/>
      <c r="AK634"/>
      <c r="AR634"/>
      <c r="AS634"/>
      <c r="AT634"/>
      <c r="AU634"/>
      <c r="AV634"/>
      <c r="AW634"/>
      <c r="AX634"/>
      <c r="AY634"/>
      <c r="AZ634"/>
      <c r="BA634"/>
      <c r="BB634"/>
      <c r="BC634"/>
      <c r="BD634"/>
      <c r="BE634"/>
      <c r="BL634"/>
      <c r="BP634"/>
      <c r="BQ634"/>
      <c r="BR634"/>
      <c r="CD634"/>
      <c r="CE634"/>
      <c r="CF634"/>
      <c r="CQ634"/>
      <c r="CR634"/>
      <c r="CS634"/>
      <c r="DS634"/>
      <c r="DT634"/>
      <c r="DU634"/>
    </row>
    <row r="635" spans="1:125">
      <c r="A635"/>
      <c r="AJ635"/>
      <c r="AK635"/>
      <c r="AR635"/>
      <c r="AS635"/>
      <c r="AT635"/>
      <c r="AU635"/>
      <c r="AV635"/>
      <c r="AW635"/>
      <c r="AX635"/>
      <c r="AY635"/>
      <c r="AZ635"/>
      <c r="BA635"/>
      <c r="BB635"/>
      <c r="BC635"/>
      <c r="BD635"/>
      <c r="BE635"/>
      <c r="BL635"/>
      <c r="BP635"/>
      <c r="BQ635"/>
      <c r="BR635"/>
      <c r="CD635"/>
      <c r="CE635"/>
      <c r="CF635"/>
      <c r="CQ635"/>
      <c r="CR635"/>
      <c r="CS635"/>
      <c r="DS635"/>
      <c r="DT635"/>
      <c r="DU635"/>
    </row>
    <row r="636" spans="1:125">
      <c r="A636"/>
      <c r="AJ636"/>
      <c r="AK636"/>
      <c r="AR636"/>
      <c r="AS636"/>
      <c r="AT636"/>
      <c r="AU636"/>
      <c r="AV636"/>
      <c r="AW636"/>
      <c r="AX636"/>
      <c r="AY636"/>
      <c r="AZ636"/>
      <c r="BA636"/>
      <c r="BB636"/>
      <c r="BC636"/>
      <c r="BD636"/>
      <c r="BE636"/>
      <c r="BL636"/>
      <c r="BP636"/>
      <c r="BQ636"/>
      <c r="BR636"/>
      <c r="CD636"/>
      <c r="CE636"/>
      <c r="CF636"/>
      <c r="CQ636"/>
      <c r="CR636"/>
      <c r="CS636"/>
      <c r="DS636"/>
      <c r="DT636"/>
      <c r="DU636"/>
    </row>
    <row r="637" spans="1:125">
      <c r="A637"/>
      <c r="AJ637"/>
      <c r="AK637"/>
      <c r="AR637"/>
      <c r="AS637"/>
      <c r="AT637"/>
      <c r="AU637"/>
      <c r="AV637"/>
      <c r="AW637"/>
      <c r="AX637"/>
      <c r="AY637"/>
      <c r="AZ637"/>
      <c r="BA637"/>
      <c r="BB637"/>
      <c r="BC637"/>
      <c r="BD637"/>
      <c r="BE637"/>
      <c r="BL637"/>
      <c r="BP637"/>
      <c r="BQ637"/>
      <c r="BR637"/>
      <c r="CD637"/>
      <c r="CE637"/>
      <c r="CF637"/>
      <c r="CQ637"/>
      <c r="CR637"/>
      <c r="CS637"/>
      <c r="DS637"/>
      <c r="DT637"/>
      <c r="DU637"/>
    </row>
    <row r="638" spans="1:125">
      <c r="A638"/>
      <c r="AJ638"/>
      <c r="AK638"/>
      <c r="AR638"/>
      <c r="AS638"/>
      <c r="AT638"/>
      <c r="AU638"/>
      <c r="AV638"/>
      <c r="AW638"/>
      <c r="AX638"/>
      <c r="AY638"/>
      <c r="AZ638"/>
      <c r="BA638"/>
      <c r="BB638"/>
      <c r="BC638"/>
      <c r="BD638"/>
      <c r="BE638"/>
      <c r="BL638"/>
      <c r="BP638"/>
      <c r="BQ638"/>
      <c r="BR638"/>
      <c r="CD638"/>
      <c r="CE638"/>
      <c r="CF638"/>
      <c r="CQ638"/>
      <c r="CR638"/>
      <c r="CS638"/>
      <c r="DS638"/>
      <c r="DT638"/>
      <c r="DU638"/>
    </row>
    <row r="639" spans="1:125">
      <c r="A639"/>
      <c r="AJ639"/>
      <c r="AK639"/>
      <c r="AR639"/>
      <c r="AS639"/>
      <c r="AT639"/>
      <c r="AU639"/>
      <c r="AV639"/>
      <c r="AW639"/>
      <c r="AX639"/>
      <c r="AY639"/>
      <c r="AZ639"/>
      <c r="BA639"/>
      <c r="BB639"/>
      <c r="BC639"/>
      <c r="BD639"/>
      <c r="BE639"/>
      <c r="BL639"/>
      <c r="BP639"/>
      <c r="BQ639"/>
      <c r="BR639"/>
      <c r="CD639"/>
      <c r="CE639"/>
      <c r="CF639"/>
      <c r="CQ639"/>
      <c r="CR639"/>
      <c r="CS639"/>
      <c r="DS639"/>
      <c r="DT639"/>
      <c r="DU639"/>
    </row>
    <row r="640" spans="1:125">
      <c r="A640"/>
      <c r="AJ640"/>
      <c r="AK640"/>
      <c r="AR640"/>
      <c r="AS640"/>
      <c r="AT640"/>
      <c r="AU640"/>
      <c r="AV640"/>
      <c r="AW640"/>
      <c r="AX640"/>
      <c r="AY640"/>
      <c r="AZ640"/>
      <c r="BA640"/>
      <c r="BB640"/>
      <c r="BC640"/>
      <c r="BD640"/>
      <c r="BE640"/>
      <c r="BL640"/>
      <c r="BP640"/>
      <c r="BQ640"/>
      <c r="BR640"/>
      <c r="CD640"/>
      <c r="CE640"/>
      <c r="CF640"/>
      <c r="CQ640"/>
      <c r="CR640"/>
      <c r="CS640"/>
      <c r="DS640"/>
      <c r="DT640"/>
      <c r="DU640"/>
    </row>
    <row r="641" spans="1:125">
      <c r="A641"/>
      <c r="AJ641"/>
      <c r="AK641"/>
      <c r="AR641"/>
      <c r="AS641"/>
      <c r="AT641"/>
      <c r="AU641"/>
      <c r="AV641"/>
      <c r="AW641"/>
      <c r="AX641"/>
      <c r="AY641"/>
      <c r="AZ641"/>
      <c r="BA641"/>
      <c r="BB641"/>
      <c r="BC641"/>
      <c r="BD641"/>
      <c r="BE641"/>
      <c r="BL641"/>
      <c r="BP641"/>
      <c r="BQ641"/>
      <c r="BR641"/>
      <c r="CD641"/>
      <c r="CE641"/>
      <c r="CF641"/>
      <c r="CQ641"/>
      <c r="CR641"/>
      <c r="CS641"/>
      <c r="DS641"/>
      <c r="DT641"/>
      <c r="DU641"/>
    </row>
    <row r="642" spans="1:125">
      <c r="A642"/>
      <c r="AJ642"/>
      <c r="AK642"/>
      <c r="AR642"/>
      <c r="AS642"/>
      <c r="AT642"/>
      <c r="AU642"/>
      <c r="AV642"/>
      <c r="AW642"/>
      <c r="AX642"/>
      <c r="AY642"/>
      <c r="AZ642"/>
      <c r="BA642"/>
      <c r="BB642"/>
      <c r="BC642"/>
      <c r="BD642"/>
      <c r="BE642"/>
      <c r="BL642"/>
      <c r="BP642"/>
      <c r="BQ642"/>
      <c r="BR642"/>
      <c r="CD642"/>
      <c r="CE642"/>
      <c r="CF642"/>
      <c r="CQ642"/>
      <c r="CR642"/>
      <c r="CS642"/>
      <c r="DS642"/>
      <c r="DT642"/>
      <c r="DU642"/>
    </row>
    <row r="643" spans="1:125">
      <c r="A643"/>
      <c r="AJ643"/>
      <c r="AK643"/>
      <c r="AR643"/>
      <c r="AS643"/>
      <c r="AT643"/>
      <c r="AU643"/>
      <c r="AV643"/>
      <c r="AW643"/>
      <c r="AX643"/>
      <c r="AY643"/>
      <c r="AZ643"/>
      <c r="BA643"/>
      <c r="BB643"/>
      <c r="BC643"/>
      <c r="BD643"/>
      <c r="BE643"/>
      <c r="BL643"/>
      <c r="BP643"/>
      <c r="BQ643"/>
      <c r="BR643"/>
      <c r="CD643"/>
      <c r="CE643"/>
      <c r="CF643"/>
      <c r="CQ643"/>
      <c r="CR643"/>
      <c r="CS643"/>
      <c r="DS643"/>
      <c r="DT643"/>
      <c r="DU643"/>
    </row>
    <row r="644" spans="1:125">
      <c r="A644"/>
      <c r="AJ644"/>
      <c r="AK644"/>
      <c r="AR644"/>
      <c r="AS644"/>
      <c r="AT644"/>
      <c r="AU644"/>
      <c r="AV644"/>
      <c r="AW644"/>
      <c r="AX644"/>
      <c r="AY644"/>
      <c r="AZ644"/>
      <c r="BA644"/>
      <c r="BB644"/>
      <c r="BC644"/>
      <c r="BD644"/>
      <c r="BE644"/>
      <c r="BL644"/>
      <c r="BP644"/>
      <c r="BQ644"/>
      <c r="BR644"/>
      <c r="CD644"/>
      <c r="CE644"/>
      <c r="CF644"/>
      <c r="CQ644"/>
      <c r="CR644"/>
      <c r="CS644"/>
      <c r="DS644"/>
      <c r="DT644"/>
      <c r="DU644"/>
    </row>
    <row r="645" spans="1:125">
      <c r="A645"/>
      <c r="AJ645"/>
      <c r="AK645"/>
      <c r="AR645"/>
      <c r="AS645"/>
      <c r="AT645"/>
      <c r="AU645"/>
      <c r="AV645"/>
      <c r="AW645"/>
      <c r="AX645"/>
      <c r="AY645"/>
      <c r="AZ645"/>
      <c r="BA645"/>
      <c r="BB645"/>
      <c r="BC645"/>
      <c r="BD645"/>
      <c r="BE645"/>
      <c r="BL645"/>
      <c r="BP645"/>
      <c r="BQ645"/>
      <c r="BR645"/>
      <c r="CD645"/>
      <c r="CE645"/>
      <c r="CF645"/>
      <c r="CQ645"/>
      <c r="CR645"/>
      <c r="CS645"/>
      <c r="DS645"/>
      <c r="DT645"/>
      <c r="DU645"/>
    </row>
    <row r="646" spans="1:125">
      <c r="A646"/>
      <c r="AJ646"/>
      <c r="AK646"/>
      <c r="AR646"/>
      <c r="AS646"/>
      <c r="AT646"/>
      <c r="AU646"/>
      <c r="AV646"/>
      <c r="AW646"/>
      <c r="AX646"/>
      <c r="AY646"/>
      <c r="AZ646"/>
      <c r="BA646"/>
      <c r="BB646"/>
      <c r="BC646"/>
      <c r="BD646"/>
      <c r="BE646"/>
      <c r="BL646"/>
      <c r="BP646"/>
      <c r="BQ646"/>
      <c r="BR646"/>
      <c r="CD646"/>
      <c r="CE646"/>
      <c r="CF646"/>
      <c r="CQ646"/>
      <c r="CR646"/>
      <c r="CS646"/>
      <c r="DS646"/>
      <c r="DT646"/>
      <c r="DU646"/>
    </row>
    <row r="647" spans="1:125">
      <c r="A647"/>
      <c r="AJ647"/>
      <c r="AK647"/>
      <c r="AR647"/>
      <c r="AS647"/>
      <c r="AT647"/>
      <c r="AU647"/>
      <c r="AV647"/>
      <c r="AW647"/>
      <c r="AX647"/>
      <c r="AY647"/>
      <c r="AZ647"/>
      <c r="BA647"/>
      <c r="BB647"/>
      <c r="BC647"/>
      <c r="BD647"/>
      <c r="BE647"/>
      <c r="BL647"/>
      <c r="BP647"/>
      <c r="BQ647"/>
      <c r="BR647"/>
      <c r="CD647"/>
      <c r="CE647"/>
      <c r="CF647"/>
      <c r="CQ647"/>
      <c r="CR647"/>
      <c r="CS647"/>
      <c r="DS647"/>
      <c r="DT647"/>
      <c r="DU647"/>
    </row>
    <row r="648" spans="1:125">
      <c r="A648"/>
      <c r="AJ648"/>
      <c r="AK648"/>
      <c r="AR648"/>
      <c r="AS648"/>
      <c r="AT648"/>
      <c r="AU648"/>
      <c r="AV648"/>
      <c r="AW648"/>
      <c r="AX648"/>
      <c r="AY648"/>
      <c r="AZ648"/>
      <c r="BA648"/>
      <c r="BB648"/>
      <c r="BC648"/>
      <c r="BD648"/>
      <c r="BE648"/>
      <c r="BL648"/>
      <c r="BP648"/>
      <c r="BQ648"/>
      <c r="BR648"/>
      <c r="CD648"/>
      <c r="CE648"/>
      <c r="CF648"/>
      <c r="CQ648"/>
      <c r="CR648"/>
      <c r="CS648"/>
      <c r="DS648"/>
      <c r="DT648"/>
      <c r="DU648"/>
    </row>
    <row r="649" spans="1:125">
      <c r="A649"/>
      <c r="AJ649"/>
      <c r="AK649"/>
      <c r="AR649"/>
      <c r="AS649"/>
      <c r="AT649"/>
      <c r="AU649"/>
      <c r="AV649"/>
      <c r="AW649"/>
      <c r="AX649"/>
      <c r="AY649"/>
      <c r="AZ649"/>
      <c r="BA649"/>
      <c r="BB649"/>
      <c r="BC649"/>
      <c r="BD649"/>
      <c r="BE649"/>
      <c r="BL649"/>
      <c r="BP649"/>
      <c r="BQ649"/>
      <c r="BR649"/>
      <c r="CD649"/>
      <c r="CE649"/>
      <c r="CF649"/>
      <c r="CQ649"/>
      <c r="CR649"/>
      <c r="CS649"/>
      <c r="DS649"/>
      <c r="DT649"/>
      <c r="DU649"/>
    </row>
    <row r="650" spans="1:125">
      <c r="A650"/>
      <c r="AJ650"/>
      <c r="AK650"/>
      <c r="AR650"/>
      <c r="AS650"/>
      <c r="AT650"/>
      <c r="AU650"/>
      <c r="AV650"/>
      <c r="AW650"/>
      <c r="AX650"/>
      <c r="AY650"/>
      <c r="AZ650"/>
      <c r="BA650"/>
      <c r="BB650"/>
      <c r="BC650"/>
      <c r="BD650"/>
      <c r="BE650"/>
      <c r="BL650"/>
      <c r="BP650"/>
      <c r="BQ650"/>
      <c r="BR650"/>
      <c r="CD650"/>
      <c r="CE650"/>
      <c r="CF650"/>
      <c r="CQ650"/>
      <c r="CR650"/>
      <c r="CS650"/>
      <c r="DS650"/>
      <c r="DT650"/>
      <c r="DU650"/>
    </row>
    <row r="651" spans="1:125">
      <c r="A651"/>
      <c r="AJ651"/>
      <c r="AK651"/>
      <c r="AR651"/>
      <c r="AS651"/>
      <c r="AT651"/>
      <c r="AU651"/>
      <c r="AV651"/>
      <c r="AW651"/>
      <c r="AX651"/>
      <c r="AY651"/>
      <c r="AZ651"/>
      <c r="BA651"/>
      <c r="BB651"/>
      <c r="BC651"/>
      <c r="BD651"/>
      <c r="BE651"/>
      <c r="BL651"/>
      <c r="BP651"/>
      <c r="BQ651"/>
      <c r="BR651"/>
      <c r="CD651"/>
      <c r="CE651"/>
      <c r="CF651"/>
      <c r="CQ651"/>
      <c r="CR651"/>
      <c r="CS651"/>
      <c r="DS651"/>
      <c r="DT651"/>
      <c r="DU651"/>
    </row>
    <row r="652" spans="1:125">
      <c r="A652"/>
      <c r="AJ652"/>
      <c r="AK652"/>
      <c r="AR652"/>
      <c r="AS652"/>
      <c r="AT652"/>
      <c r="AU652"/>
      <c r="AV652"/>
      <c r="AW652"/>
      <c r="AX652"/>
      <c r="AY652"/>
      <c r="AZ652"/>
      <c r="BA652"/>
      <c r="BB652"/>
      <c r="BC652"/>
      <c r="BD652"/>
      <c r="BE652"/>
      <c r="BL652"/>
      <c r="BP652"/>
      <c r="BQ652"/>
      <c r="BR652"/>
      <c r="CD652"/>
      <c r="CE652"/>
      <c r="CF652"/>
      <c r="CQ652"/>
      <c r="CR652"/>
      <c r="CS652"/>
      <c r="DS652"/>
      <c r="DT652"/>
      <c r="DU652"/>
    </row>
    <row r="653" spans="1:125">
      <c r="A653"/>
      <c r="AJ653"/>
      <c r="AK653"/>
      <c r="AR653"/>
      <c r="AS653"/>
      <c r="AT653"/>
      <c r="AU653"/>
      <c r="AV653"/>
      <c r="AW653"/>
      <c r="AX653"/>
      <c r="AY653"/>
      <c r="AZ653"/>
      <c r="BA653"/>
      <c r="BB653"/>
      <c r="BC653"/>
      <c r="BD653"/>
      <c r="BE653"/>
      <c r="BL653"/>
      <c r="BP653"/>
      <c r="BQ653"/>
      <c r="BR653"/>
      <c r="CD653"/>
      <c r="CE653"/>
      <c r="CF653"/>
      <c r="CQ653"/>
      <c r="CR653"/>
      <c r="CS653"/>
      <c r="DS653"/>
      <c r="DT653"/>
      <c r="DU653"/>
    </row>
    <row r="654" spans="1:125">
      <c r="A654"/>
      <c r="AJ654"/>
      <c r="AK654"/>
      <c r="AR654"/>
      <c r="AS654"/>
      <c r="AT654"/>
      <c r="AU654"/>
      <c r="AV654"/>
      <c r="AW654"/>
      <c r="AX654"/>
      <c r="AY654"/>
      <c r="AZ654"/>
      <c r="BA654"/>
      <c r="BB654"/>
      <c r="BC654"/>
      <c r="BD654"/>
      <c r="BE654"/>
      <c r="BL654"/>
      <c r="BP654"/>
      <c r="BQ654"/>
      <c r="BR654"/>
      <c r="CD654"/>
      <c r="CE654"/>
      <c r="CF654"/>
      <c r="CQ654"/>
      <c r="CR654"/>
      <c r="CS654"/>
      <c r="DS654"/>
      <c r="DT654"/>
      <c r="DU654"/>
    </row>
    <row r="655" spans="1:125">
      <c r="A655"/>
      <c r="AJ655"/>
      <c r="AK655"/>
      <c r="AR655"/>
      <c r="AS655"/>
      <c r="AT655"/>
      <c r="AU655"/>
      <c r="AV655"/>
      <c r="AW655"/>
      <c r="AX655"/>
      <c r="AY655"/>
      <c r="AZ655"/>
      <c r="BA655"/>
      <c r="BB655"/>
      <c r="BC655"/>
      <c r="BD655"/>
      <c r="BE655"/>
      <c r="BL655"/>
      <c r="BP655"/>
      <c r="BQ655"/>
      <c r="BR655"/>
      <c r="CD655"/>
      <c r="CE655"/>
      <c r="CF655"/>
      <c r="CQ655"/>
      <c r="CR655"/>
      <c r="CS655"/>
      <c r="DS655"/>
      <c r="DT655"/>
      <c r="DU655"/>
    </row>
    <row r="656" spans="1:125">
      <c r="A656"/>
      <c r="AJ656"/>
      <c r="AK656"/>
      <c r="AR656"/>
      <c r="AS656"/>
      <c r="AT656"/>
      <c r="AU656"/>
      <c r="AV656"/>
      <c r="AW656"/>
      <c r="AX656"/>
      <c r="AY656"/>
      <c r="AZ656"/>
      <c r="BA656"/>
      <c r="BB656"/>
      <c r="BC656"/>
      <c r="BD656"/>
      <c r="BE656"/>
      <c r="BL656"/>
      <c r="BP656"/>
      <c r="BQ656"/>
      <c r="BR656"/>
      <c r="CD656"/>
      <c r="CE656"/>
      <c r="CF656"/>
      <c r="CQ656"/>
      <c r="CR656"/>
      <c r="CS656"/>
      <c r="DS656"/>
      <c r="DT656"/>
      <c r="DU656"/>
    </row>
    <row r="657" spans="1:125">
      <c r="A657"/>
      <c r="AJ657"/>
      <c r="AK657"/>
      <c r="AR657"/>
      <c r="AS657"/>
      <c r="AT657"/>
      <c r="AU657"/>
      <c r="AV657"/>
      <c r="AW657"/>
      <c r="AX657"/>
      <c r="AY657"/>
      <c r="AZ657"/>
      <c r="BA657"/>
      <c r="BB657"/>
      <c r="BC657"/>
      <c r="BD657"/>
      <c r="BE657"/>
      <c r="BL657"/>
      <c r="BP657"/>
      <c r="BQ657"/>
      <c r="BR657"/>
      <c r="CD657"/>
      <c r="CE657"/>
      <c r="CF657"/>
      <c r="CQ657"/>
      <c r="CR657"/>
      <c r="CS657"/>
      <c r="DS657"/>
      <c r="DT657"/>
      <c r="DU657"/>
    </row>
    <row r="658" spans="1:125">
      <c r="A658"/>
      <c r="AJ658"/>
      <c r="AK658"/>
      <c r="AR658"/>
      <c r="AS658"/>
      <c r="AT658"/>
      <c r="AU658"/>
      <c r="AV658"/>
      <c r="AW658"/>
      <c r="AX658"/>
      <c r="AY658"/>
      <c r="AZ658"/>
      <c r="BA658"/>
      <c r="BB658"/>
      <c r="BC658"/>
      <c r="BD658"/>
      <c r="BE658"/>
      <c r="BL658"/>
      <c r="BP658"/>
      <c r="BQ658"/>
      <c r="BR658"/>
      <c r="CD658"/>
      <c r="CE658"/>
      <c r="CF658"/>
      <c r="CQ658"/>
      <c r="CR658"/>
      <c r="CS658"/>
      <c r="DS658"/>
      <c r="DT658"/>
      <c r="DU658"/>
    </row>
    <row r="659" spans="1:125">
      <c r="A659"/>
      <c r="AJ659"/>
      <c r="AK659"/>
      <c r="AR659"/>
      <c r="AS659"/>
      <c r="AT659"/>
      <c r="AU659"/>
      <c r="AV659"/>
      <c r="AW659"/>
      <c r="AX659"/>
      <c r="AY659"/>
      <c r="AZ659"/>
      <c r="BA659"/>
      <c r="BB659"/>
      <c r="BC659"/>
      <c r="BD659"/>
      <c r="BE659"/>
      <c r="BL659"/>
      <c r="BP659"/>
      <c r="BQ659"/>
      <c r="BR659"/>
      <c r="CD659"/>
      <c r="CE659"/>
      <c r="CF659"/>
      <c r="CQ659"/>
      <c r="CR659"/>
      <c r="CS659"/>
      <c r="DS659"/>
      <c r="DT659"/>
      <c r="DU659"/>
    </row>
    <row r="660" spans="1:125">
      <c r="A660"/>
      <c r="AJ660"/>
      <c r="AK660"/>
      <c r="AR660"/>
      <c r="AS660"/>
      <c r="AT660"/>
      <c r="AU660"/>
      <c r="AV660"/>
      <c r="AW660"/>
      <c r="AX660"/>
      <c r="AY660"/>
      <c r="AZ660"/>
      <c r="BA660"/>
      <c r="BB660"/>
      <c r="BC660"/>
      <c r="BD660"/>
      <c r="BE660"/>
      <c r="BL660"/>
      <c r="BP660"/>
      <c r="BQ660"/>
      <c r="BR660"/>
      <c r="CD660"/>
      <c r="CE660"/>
      <c r="CF660"/>
      <c r="CQ660"/>
      <c r="CR660"/>
      <c r="CS660"/>
      <c r="DS660"/>
      <c r="DT660"/>
      <c r="DU660"/>
    </row>
    <row r="661" spans="1:125">
      <c r="A661"/>
      <c r="AJ661"/>
      <c r="AK661"/>
      <c r="AR661"/>
      <c r="AS661"/>
      <c r="AT661"/>
      <c r="AU661"/>
      <c r="AV661"/>
      <c r="AW661"/>
      <c r="AX661"/>
      <c r="AY661"/>
      <c r="AZ661"/>
      <c r="BA661"/>
      <c r="BB661"/>
      <c r="BC661"/>
      <c r="BD661"/>
      <c r="BE661"/>
      <c r="BL661"/>
      <c r="BP661"/>
      <c r="BQ661"/>
      <c r="BR661"/>
      <c r="CD661"/>
      <c r="CE661"/>
      <c r="CF661"/>
      <c r="CQ661"/>
      <c r="CR661"/>
      <c r="CS661"/>
      <c r="DS661"/>
      <c r="DT661"/>
      <c r="DU661"/>
    </row>
    <row r="662" spans="1:125">
      <c r="A662"/>
      <c r="AJ662"/>
      <c r="AK662"/>
      <c r="AR662"/>
      <c r="AS662"/>
      <c r="AT662"/>
      <c r="AU662"/>
      <c r="AV662"/>
      <c r="AW662"/>
      <c r="AX662"/>
      <c r="AY662"/>
      <c r="AZ662"/>
      <c r="BA662"/>
      <c r="BB662"/>
      <c r="BC662"/>
      <c r="BD662"/>
      <c r="BE662"/>
      <c r="BL662"/>
      <c r="BP662"/>
      <c r="BQ662"/>
      <c r="BR662"/>
      <c r="CD662"/>
      <c r="CE662"/>
      <c r="CF662"/>
      <c r="CQ662"/>
      <c r="CR662"/>
      <c r="CS662"/>
      <c r="DS662"/>
      <c r="DT662"/>
      <c r="DU662"/>
    </row>
    <row r="663" spans="1:125">
      <c r="A663"/>
      <c r="AJ663"/>
      <c r="AK663"/>
      <c r="AR663"/>
      <c r="AS663"/>
      <c r="AT663"/>
      <c r="AU663"/>
      <c r="AV663"/>
      <c r="AW663"/>
      <c r="AX663"/>
      <c r="AY663"/>
      <c r="AZ663"/>
      <c r="BA663"/>
      <c r="BB663"/>
      <c r="BC663"/>
      <c r="BD663"/>
      <c r="BE663"/>
      <c r="BL663"/>
      <c r="BP663"/>
      <c r="BQ663"/>
      <c r="BR663"/>
      <c r="CD663"/>
      <c r="CE663"/>
      <c r="CF663"/>
      <c r="CQ663"/>
      <c r="CR663"/>
      <c r="CS663"/>
      <c r="DS663"/>
      <c r="DT663"/>
      <c r="DU663"/>
    </row>
    <row r="664" spans="1:125">
      <c r="A664"/>
      <c r="AJ664"/>
      <c r="AK664"/>
      <c r="AR664"/>
      <c r="AS664"/>
      <c r="AT664"/>
      <c r="AU664"/>
      <c r="AV664"/>
      <c r="AW664"/>
      <c r="AX664"/>
      <c r="AY664"/>
      <c r="AZ664"/>
      <c r="BA664"/>
      <c r="BB664"/>
      <c r="BC664"/>
      <c r="BD664"/>
      <c r="BE664"/>
      <c r="BL664"/>
      <c r="BP664"/>
      <c r="BQ664"/>
      <c r="BR664"/>
      <c r="CD664"/>
      <c r="CE664"/>
      <c r="CF664"/>
      <c r="CQ664"/>
      <c r="CR664"/>
      <c r="CS664"/>
      <c r="DS664"/>
      <c r="DT664"/>
      <c r="DU664"/>
    </row>
    <row r="665" spans="1:125">
      <c r="A665"/>
      <c r="AJ665"/>
      <c r="AK665"/>
      <c r="AR665"/>
      <c r="AS665"/>
      <c r="AT665"/>
      <c r="AU665"/>
      <c r="AV665"/>
      <c r="AW665"/>
      <c r="AX665"/>
      <c r="AY665"/>
      <c r="AZ665"/>
      <c r="BA665"/>
      <c r="BB665"/>
      <c r="BC665"/>
      <c r="BD665"/>
      <c r="BE665"/>
      <c r="BL665"/>
      <c r="BP665"/>
      <c r="BQ665"/>
      <c r="BR665"/>
      <c r="CD665"/>
      <c r="CE665"/>
      <c r="CF665"/>
      <c r="CQ665"/>
      <c r="CR665"/>
      <c r="CS665"/>
      <c r="DS665"/>
      <c r="DT665"/>
      <c r="DU665"/>
    </row>
    <row r="666" spans="1:125">
      <c r="A666"/>
      <c r="AJ666"/>
      <c r="AK666"/>
      <c r="AR666"/>
      <c r="AS666"/>
      <c r="AT666"/>
      <c r="AU666"/>
      <c r="AV666"/>
      <c r="AW666"/>
      <c r="AX666"/>
      <c r="AY666"/>
      <c r="AZ666"/>
      <c r="BA666"/>
      <c r="BB666"/>
      <c r="BC666"/>
      <c r="BD666"/>
      <c r="BE666"/>
      <c r="BL666"/>
      <c r="BP666"/>
      <c r="BQ666"/>
      <c r="BR666"/>
      <c r="CD666"/>
      <c r="CE666"/>
      <c r="CF666"/>
      <c r="CQ666"/>
      <c r="CR666"/>
      <c r="CS666"/>
      <c r="DS666"/>
      <c r="DT666"/>
      <c r="DU666"/>
    </row>
    <row r="667" spans="1:125">
      <c r="A667"/>
      <c r="AJ667"/>
      <c r="AK667"/>
      <c r="AR667"/>
      <c r="AS667"/>
      <c r="AT667"/>
      <c r="AU667"/>
      <c r="AV667"/>
      <c r="AW667"/>
      <c r="AX667"/>
      <c r="AY667"/>
      <c r="AZ667"/>
      <c r="BA667"/>
      <c r="BB667"/>
      <c r="BC667"/>
      <c r="BD667"/>
      <c r="BE667"/>
      <c r="BL667"/>
      <c r="BP667"/>
      <c r="BQ667"/>
      <c r="BR667"/>
      <c r="CD667"/>
      <c r="CE667"/>
      <c r="CF667"/>
      <c r="CQ667"/>
      <c r="CR667"/>
      <c r="CS667"/>
      <c r="DS667"/>
      <c r="DT667"/>
      <c r="DU667"/>
    </row>
    <row r="668" spans="1:125">
      <c r="A668"/>
      <c r="AJ668"/>
      <c r="AK668"/>
      <c r="AR668"/>
      <c r="AS668"/>
      <c r="AT668"/>
      <c r="AU668"/>
      <c r="AV668"/>
      <c r="AW668"/>
      <c r="AX668"/>
      <c r="AY668"/>
      <c r="AZ668"/>
      <c r="BA668"/>
      <c r="BB668"/>
      <c r="BC668"/>
      <c r="BD668"/>
      <c r="BE668"/>
      <c r="BL668"/>
      <c r="BP668"/>
      <c r="BQ668"/>
      <c r="BR668"/>
      <c r="CD668"/>
      <c r="CE668"/>
      <c r="CF668"/>
      <c r="CQ668"/>
      <c r="CR668"/>
      <c r="CS668"/>
      <c r="DS668"/>
      <c r="DT668"/>
      <c r="DU668"/>
    </row>
    <row r="669" spans="1:125">
      <c r="A669"/>
      <c r="AJ669"/>
      <c r="AK669"/>
      <c r="AR669"/>
      <c r="AS669"/>
      <c r="AT669"/>
      <c r="AU669"/>
      <c r="AV669"/>
      <c r="AW669"/>
      <c r="AX669"/>
      <c r="AY669"/>
      <c r="AZ669"/>
      <c r="BA669"/>
      <c r="BB669"/>
      <c r="BC669"/>
      <c r="BD669"/>
      <c r="BE669"/>
      <c r="BL669"/>
      <c r="BP669"/>
      <c r="BQ669"/>
      <c r="BR669"/>
      <c r="CD669"/>
      <c r="CE669"/>
      <c r="CF669"/>
      <c r="CQ669"/>
      <c r="CR669"/>
      <c r="CS669"/>
      <c r="DS669"/>
      <c r="DT669"/>
      <c r="DU669"/>
    </row>
    <row r="670" spans="1:125">
      <c r="A670"/>
      <c r="AJ670"/>
      <c r="AK670"/>
      <c r="AR670"/>
      <c r="AS670"/>
      <c r="AT670"/>
      <c r="AU670"/>
      <c r="AV670"/>
      <c r="AW670"/>
      <c r="AX670"/>
      <c r="AY670"/>
      <c r="AZ670"/>
      <c r="BA670"/>
      <c r="BB670"/>
      <c r="BC670"/>
      <c r="BD670"/>
      <c r="BE670"/>
      <c r="BL670"/>
      <c r="BP670"/>
      <c r="BQ670"/>
      <c r="BR670"/>
      <c r="CD670"/>
      <c r="CE670"/>
      <c r="CF670"/>
      <c r="CQ670"/>
      <c r="CR670"/>
      <c r="CS670"/>
      <c r="DS670"/>
      <c r="DT670"/>
      <c r="DU670"/>
    </row>
    <row r="671" spans="1:125">
      <c r="A671"/>
      <c r="AJ671"/>
      <c r="AK671"/>
      <c r="AR671"/>
      <c r="AS671"/>
      <c r="AT671"/>
      <c r="AU671"/>
      <c r="AV671"/>
      <c r="AW671"/>
      <c r="AX671"/>
      <c r="AY671"/>
      <c r="AZ671"/>
      <c r="BA671"/>
      <c r="BB671"/>
      <c r="BC671"/>
      <c r="BD671"/>
      <c r="BE671"/>
      <c r="BL671"/>
      <c r="BP671"/>
      <c r="BQ671"/>
      <c r="BR671"/>
      <c r="CD671"/>
      <c r="CE671"/>
      <c r="CF671"/>
      <c r="CQ671"/>
      <c r="CR671"/>
      <c r="CS671"/>
      <c r="DS671"/>
      <c r="DT671"/>
      <c r="DU671"/>
    </row>
    <row r="672" spans="1:125">
      <c r="A672"/>
      <c r="AJ672"/>
      <c r="AK672"/>
      <c r="AR672"/>
      <c r="AS672"/>
      <c r="AT672"/>
      <c r="AU672"/>
      <c r="AV672"/>
      <c r="AW672"/>
      <c r="AX672"/>
      <c r="AY672"/>
      <c r="AZ672"/>
      <c r="BA672"/>
      <c r="BB672"/>
      <c r="BC672"/>
      <c r="BD672"/>
      <c r="BE672"/>
      <c r="BL672"/>
      <c r="BP672"/>
      <c r="BQ672"/>
      <c r="BR672"/>
      <c r="CD672"/>
      <c r="CE672"/>
      <c r="CF672"/>
      <c r="CQ672"/>
      <c r="CR672"/>
      <c r="CS672"/>
      <c r="DS672"/>
      <c r="DT672"/>
      <c r="DU672"/>
    </row>
    <row r="673" spans="1:125">
      <c r="A673"/>
      <c r="AJ673"/>
      <c r="AK673"/>
      <c r="AR673"/>
      <c r="AS673"/>
      <c r="AT673"/>
      <c r="AU673"/>
      <c r="AV673"/>
      <c r="AW673"/>
      <c r="AX673"/>
      <c r="AY673"/>
      <c r="AZ673"/>
      <c r="BA673"/>
      <c r="BB673"/>
      <c r="BC673"/>
      <c r="BD673"/>
      <c r="BE673"/>
      <c r="BL673"/>
      <c r="BP673"/>
      <c r="BQ673"/>
      <c r="BR673"/>
      <c r="CD673"/>
      <c r="CE673"/>
      <c r="CF673"/>
      <c r="CQ673"/>
      <c r="CR673"/>
      <c r="CS673"/>
      <c r="DS673"/>
      <c r="DT673"/>
      <c r="DU673"/>
    </row>
    <row r="674" spans="1:125">
      <c r="A674"/>
      <c r="AJ674"/>
      <c r="AK674"/>
      <c r="AR674"/>
      <c r="AS674"/>
      <c r="AT674"/>
      <c r="AU674"/>
      <c r="AV674"/>
      <c r="AW674"/>
      <c r="AX674"/>
      <c r="AY674"/>
      <c r="AZ674"/>
      <c r="BA674"/>
      <c r="BB674"/>
      <c r="BC674"/>
      <c r="BD674"/>
      <c r="BE674"/>
      <c r="BL674"/>
      <c r="BP674"/>
      <c r="BQ674"/>
      <c r="BR674"/>
      <c r="CD674"/>
      <c r="CE674"/>
      <c r="CF674"/>
      <c r="CQ674"/>
      <c r="CR674"/>
      <c r="CS674"/>
      <c r="DS674"/>
      <c r="DT674"/>
      <c r="DU674"/>
    </row>
    <row r="675" spans="1:125">
      <c r="A675"/>
      <c r="AJ675"/>
      <c r="AK675"/>
      <c r="AR675"/>
      <c r="AS675"/>
      <c r="AT675"/>
      <c r="AU675"/>
      <c r="AV675"/>
      <c r="AW675"/>
      <c r="AX675"/>
      <c r="AY675"/>
      <c r="AZ675"/>
      <c r="BA675"/>
      <c r="BB675"/>
      <c r="BC675"/>
      <c r="BD675"/>
      <c r="BE675"/>
      <c r="BL675"/>
      <c r="BP675"/>
      <c r="BQ675"/>
      <c r="BR675"/>
      <c r="CD675"/>
      <c r="CE675"/>
      <c r="CF675"/>
      <c r="CQ675"/>
      <c r="CR675"/>
      <c r="CS675"/>
      <c r="DS675"/>
      <c r="DT675"/>
      <c r="DU675"/>
    </row>
    <row r="676" spans="1:125">
      <c r="A676"/>
      <c r="AJ676"/>
      <c r="AK676"/>
      <c r="AR676"/>
      <c r="AS676"/>
      <c r="AT676"/>
      <c r="AU676"/>
      <c r="AV676"/>
      <c r="AW676"/>
      <c r="AX676"/>
      <c r="AY676"/>
      <c r="AZ676"/>
      <c r="BA676"/>
      <c r="BB676"/>
      <c r="BC676"/>
      <c r="BD676"/>
      <c r="BE676"/>
      <c r="BL676"/>
      <c r="BP676"/>
      <c r="BQ676"/>
      <c r="BR676"/>
      <c r="CD676"/>
      <c r="CE676"/>
      <c r="CF676"/>
      <c r="CQ676"/>
      <c r="CR676"/>
      <c r="CS676"/>
      <c r="DS676"/>
      <c r="DT676"/>
      <c r="DU676"/>
    </row>
    <row r="677" spans="1:125">
      <c r="A677"/>
      <c r="AJ677"/>
      <c r="AK677"/>
      <c r="AR677"/>
      <c r="AS677"/>
      <c r="AT677"/>
      <c r="AU677"/>
      <c r="AV677"/>
      <c r="AW677"/>
      <c r="AX677"/>
      <c r="AY677"/>
      <c r="AZ677"/>
      <c r="BA677"/>
      <c r="BB677"/>
      <c r="BC677"/>
      <c r="BD677"/>
      <c r="BE677"/>
      <c r="BL677"/>
      <c r="BP677"/>
      <c r="BQ677"/>
      <c r="BR677"/>
      <c r="CD677"/>
      <c r="CE677"/>
      <c r="CF677"/>
      <c r="CQ677"/>
      <c r="CR677"/>
      <c r="CS677"/>
      <c r="DS677"/>
      <c r="DT677"/>
      <c r="DU677"/>
    </row>
    <row r="678" spans="1:125">
      <c r="A678"/>
      <c r="AJ678"/>
      <c r="AK678"/>
      <c r="AR678"/>
      <c r="AS678"/>
      <c r="AT678"/>
      <c r="AU678"/>
      <c r="AV678"/>
      <c r="AW678"/>
      <c r="AX678"/>
      <c r="AY678"/>
      <c r="AZ678"/>
      <c r="BA678"/>
      <c r="BB678"/>
      <c r="BC678"/>
      <c r="BD678"/>
      <c r="BE678"/>
      <c r="BL678"/>
      <c r="BP678"/>
      <c r="BQ678"/>
      <c r="BR678"/>
      <c r="CD678"/>
      <c r="CE678"/>
      <c r="CF678"/>
      <c r="CQ678"/>
      <c r="CR678"/>
      <c r="CS678"/>
      <c r="DS678"/>
      <c r="DT678"/>
      <c r="DU678"/>
    </row>
    <row r="679" spans="1:125">
      <c r="A679"/>
      <c r="AJ679"/>
      <c r="AK679"/>
      <c r="AR679"/>
      <c r="AS679"/>
      <c r="AT679"/>
      <c r="AU679"/>
      <c r="AV679"/>
      <c r="AW679"/>
      <c r="AX679"/>
      <c r="AY679"/>
      <c r="AZ679"/>
      <c r="BA679"/>
      <c r="BB679"/>
      <c r="BC679"/>
      <c r="BD679"/>
      <c r="BE679"/>
      <c r="BL679"/>
      <c r="BP679"/>
      <c r="BQ679"/>
      <c r="BR679"/>
      <c r="CD679"/>
      <c r="CE679"/>
      <c r="CF679"/>
      <c r="CQ679"/>
      <c r="CR679"/>
      <c r="CS679"/>
      <c r="DS679"/>
      <c r="DT679"/>
      <c r="DU679"/>
    </row>
    <row r="680" spans="1:125">
      <c r="A680"/>
      <c r="AJ680"/>
      <c r="AK680"/>
      <c r="AR680"/>
      <c r="AS680"/>
      <c r="AT680"/>
      <c r="AU680"/>
      <c r="AV680"/>
      <c r="AW680"/>
      <c r="AX680"/>
      <c r="AY680"/>
      <c r="AZ680"/>
      <c r="BA680"/>
      <c r="BB680"/>
      <c r="BC680"/>
      <c r="BD680"/>
      <c r="BE680"/>
      <c r="BL680"/>
      <c r="BP680"/>
      <c r="BQ680"/>
      <c r="BR680"/>
      <c r="CD680"/>
      <c r="CE680"/>
      <c r="CF680"/>
      <c r="CQ680"/>
      <c r="CR680"/>
      <c r="CS680"/>
      <c r="DS680"/>
      <c r="DT680"/>
      <c r="DU680"/>
    </row>
    <row r="681" spans="1:125">
      <c r="A681"/>
      <c r="AJ681"/>
      <c r="AK681"/>
      <c r="AR681"/>
      <c r="AS681"/>
      <c r="AT681"/>
      <c r="AU681"/>
      <c r="AV681"/>
      <c r="AW681"/>
      <c r="AX681"/>
      <c r="AY681"/>
      <c r="AZ681"/>
      <c r="BA681"/>
      <c r="BB681"/>
      <c r="BC681"/>
      <c r="BD681"/>
      <c r="BE681"/>
      <c r="BL681"/>
      <c r="BP681"/>
      <c r="BQ681"/>
      <c r="BR681"/>
      <c r="CD681"/>
      <c r="CE681"/>
      <c r="CF681"/>
      <c r="CQ681"/>
      <c r="CR681"/>
      <c r="CS681"/>
      <c r="DS681"/>
      <c r="DT681"/>
      <c r="DU681"/>
    </row>
    <row r="682" spans="1:125">
      <c r="A682"/>
      <c r="AJ682"/>
      <c r="AK682"/>
      <c r="AR682"/>
      <c r="AS682"/>
      <c r="AT682"/>
      <c r="AU682"/>
      <c r="AV682"/>
      <c r="AW682"/>
      <c r="AX682"/>
      <c r="AY682"/>
      <c r="AZ682"/>
      <c r="BA682"/>
      <c r="BB682"/>
      <c r="BC682"/>
      <c r="BD682"/>
      <c r="BE682"/>
      <c r="BL682"/>
      <c r="BP682"/>
      <c r="BQ682"/>
      <c r="BR682"/>
      <c r="CD682"/>
      <c r="CE682"/>
      <c r="CF682"/>
      <c r="CQ682"/>
      <c r="CR682"/>
      <c r="CS682"/>
      <c r="DS682"/>
      <c r="DT682"/>
      <c r="DU682"/>
    </row>
    <row r="683" spans="1:125">
      <c r="A683"/>
      <c r="AJ683"/>
      <c r="AK683"/>
      <c r="AR683"/>
      <c r="AS683"/>
      <c r="AT683"/>
      <c r="AU683"/>
      <c r="AV683"/>
      <c r="AW683"/>
      <c r="AX683"/>
      <c r="AY683"/>
      <c r="AZ683"/>
      <c r="BA683"/>
      <c r="BB683"/>
      <c r="BC683"/>
      <c r="BD683"/>
      <c r="BE683"/>
      <c r="BL683"/>
      <c r="BP683"/>
      <c r="BQ683"/>
      <c r="BR683"/>
      <c r="CD683"/>
      <c r="CE683"/>
      <c r="CF683"/>
      <c r="CQ683"/>
      <c r="CR683"/>
      <c r="CS683"/>
      <c r="DS683"/>
      <c r="DT683"/>
      <c r="DU683"/>
    </row>
    <row r="684" spans="1:125">
      <c r="A684"/>
      <c r="AJ684"/>
      <c r="AK684"/>
      <c r="AR684"/>
      <c r="AS684"/>
      <c r="AT684"/>
      <c r="AU684"/>
      <c r="AV684"/>
      <c r="AW684"/>
      <c r="AX684"/>
      <c r="AY684"/>
      <c r="AZ684"/>
      <c r="BA684"/>
      <c r="BB684"/>
      <c r="BC684"/>
      <c r="BD684"/>
      <c r="BE684"/>
      <c r="BL684"/>
      <c r="BP684"/>
      <c r="BQ684"/>
      <c r="BR684"/>
      <c r="CD684"/>
      <c r="CE684"/>
      <c r="CF684"/>
      <c r="CQ684"/>
      <c r="CR684"/>
      <c r="CS684"/>
      <c r="DS684"/>
      <c r="DT684"/>
      <c r="DU684"/>
    </row>
    <row r="685" spans="1:125">
      <c r="A685"/>
      <c r="AJ685"/>
      <c r="AK685"/>
      <c r="AR685"/>
      <c r="AS685"/>
      <c r="AT685"/>
      <c r="AU685"/>
      <c r="AV685"/>
      <c r="AW685"/>
      <c r="AX685"/>
      <c r="AY685"/>
      <c r="AZ685"/>
      <c r="BA685"/>
      <c r="BB685"/>
      <c r="BC685"/>
      <c r="BD685"/>
      <c r="BE685"/>
      <c r="BL685"/>
      <c r="BP685"/>
      <c r="BQ685"/>
      <c r="BR685"/>
      <c r="CD685"/>
      <c r="CE685"/>
      <c r="CF685"/>
      <c r="CQ685"/>
      <c r="CR685"/>
      <c r="CS685"/>
      <c r="DS685"/>
      <c r="DT685"/>
      <c r="DU685"/>
    </row>
    <row r="686" spans="1:125">
      <c r="A686"/>
      <c r="AJ686"/>
      <c r="AK686"/>
      <c r="AR686"/>
      <c r="AS686"/>
      <c r="AT686"/>
      <c r="AU686"/>
      <c r="AV686"/>
      <c r="AW686"/>
      <c r="AX686"/>
      <c r="AY686"/>
      <c r="AZ686"/>
      <c r="BA686"/>
      <c r="BB686"/>
      <c r="BC686"/>
      <c r="BD686"/>
      <c r="BE686"/>
      <c r="BL686"/>
      <c r="BP686"/>
      <c r="BQ686"/>
      <c r="BR686"/>
      <c r="CD686"/>
      <c r="CE686"/>
      <c r="CF686"/>
      <c r="CQ686"/>
      <c r="CR686"/>
      <c r="CS686"/>
      <c r="DS686"/>
      <c r="DT686"/>
      <c r="DU686"/>
    </row>
    <row r="687" spans="1:125">
      <c r="A687"/>
      <c r="AJ687"/>
      <c r="AK687"/>
      <c r="AR687"/>
      <c r="AS687"/>
      <c r="AT687"/>
      <c r="AU687"/>
      <c r="AV687"/>
      <c r="AW687"/>
      <c r="AX687"/>
      <c r="AY687"/>
      <c r="AZ687"/>
      <c r="BA687"/>
      <c r="BB687"/>
      <c r="BC687"/>
      <c r="BD687"/>
      <c r="BE687"/>
      <c r="BL687"/>
      <c r="BP687"/>
      <c r="BQ687"/>
      <c r="BR687"/>
      <c r="CD687"/>
      <c r="CE687"/>
      <c r="CF687"/>
      <c r="CQ687"/>
      <c r="CR687"/>
      <c r="CS687"/>
      <c r="DS687"/>
      <c r="DT687"/>
      <c r="DU687"/>
    </row>
    <row r="688" spans="1:125">
      <c r="A688"/>
      <c r="AJ688"/>
      <c r="AK688"/>
      <c r="AR688"/>
      <c r="AS688"/>
      <c r="AT688"/>
      <c r="AU688"/>
      <c r="AV688"/>
      <c r="AW688"/>
      <c r="AX688"/>
      <c r="AY688"/>
      <c r="AZ688"/>
      <c r="BA688"/>
      <c r="BB688"/>
      <c r="BC688"/>
      <c r="BD688"/>
      <c r="BE688"/>
      <c r="BL688"/>
      <c r="BP688"/>
      <c r="BQ688"/>
      <c r="BR688"/>
      <c r="CD688"/>
      <c r="CE688"/>
      <c r="CF688"/>
      <c r="CQ688"/>
      <c r="CR688"/>
      <c r="CS688"/>
      <c r="DS688"/>
      <c r="DT688"/>
      <c r="DU688"/>
    </row>
    <row r="689" spans="1:125">
      <c r="A689"/>
      <c r="AJ689"/>
      <c r="AK689"/>
      <c r="AR689"/>
      <c r="AS689"/>
      <c r="AT689"/>
      <c r="AU689"/>
      <c r="AV689"/>
      <c r="AW689"/>
      <c r="AX689"/>
      <c r="AY689"/>
      <c r="AZ689"/>
      <c r="BA689"/>
      <c r="BB689"/>
      <c r="BC689"/>
      <c r="BD689"/>
      <c r="BE689"/>
      <c r="BL689"/>
      <c r="BP689"/>
      <c r="BQ689"/>
      <c r="BR689"/>
      <c r="CD689"/>
      <c r="CE689"/>
      <c r="CF689"/>
      <c r="CQ689"/>
      <c r="CR689"/>
      <c r="CS689"/>
      <c r="DS689"/>
      <c r="DT689"/>
      <c r="DU689"/>
    </row>
    <row r="690" spans="1:125">
      <c r="A690"/>
      <c r="AJ690"/>
      <c r="AK690"/>
      <c r="AR690"/>
      <c r="AS690"/>
      <c r="AT690"/>
      <c r="AU690"/>
      <c r="AV690"/>
      <c r="AW690"/>
      <c r="AX690"/>
      <c r="AY690"/>
      <c r="AZ690"/>
      <c r="BA690"/>
      <c r="BB690"/>
      <c r="BC690"/>
      <c r="BD690"/>
      <c r="BE690"/>
      <c r="BL690"/>
      <c r="BP690"/>
      <c r="BQ690"/>
      <c r="BR690"/>
      <c r="CD690"/>
      <c r="CE690"/>
      <c r="CF690"/>
      <c r="CQ690"/>
      <c r="CR690"/>
      <c r="CS690"/>
      <c r="DS690"/>
      <c r="DT690"/>
      <c r="DU690"/>
    </row>
    <row r="691" spans="1:125">
      <c r="A691"/>
      <c r="AJ691"/>
      <c r="AK691"/>
      <c r="AR691"/>
      <c r="AS691"/>
      <c r="AT691"/>
      <c r="AU691"/>
      <c r="AV691"/>
      <c r="AW691"/>
      <c r="AX691"/>
      <c r="AY691"/>
      <c r="AZ691"/>
      <c r="BA691"/>
      <c r="BB691"/>
      <c r="BC691"/>
      <c r="BD691"/>
      <c r="BE691"/>
      <c r="BL691"/>
      <c r="BP691"/>
      <c r="BQ691"/>
      <c r="BR691"/>
      <c r="CD691"/>
      <c r="CE691"/>
      <c r="CF691"/>
      <c r="CQ691"/>
      <c r="CR691"/>
      <c r="CS691"/>
      <c r="DS691"/>
      <c r="DT691"/>
      <c r="DU691"/>
    </row>
    <row r="692" spans="1:125">
      <c r="A692"/>
      <c r="AJ692"/>
      <c r="AK692"/>
      <c r="AR692"/>
      <c r="AS692"/>
      <c r="AT692"/>
      <c r="AU692"/>
      <c r="AV692"/>
      <c r="AW692"/>
      <c r="AX692"/>
      <c r="AY692"/>
      <c r="AZ692"/>
      <c r="BA692"/>
      <c r="BB692"/>
      <c r="BC692"/>
      <c r="BD692"/>
      <c r="BE692"/>
      <c r="BL692"/>
      <c r="BP692"/>
      <c r="BQ692"/>
      <c r="BR692"/>
      <c r="CD692"/>
      <c r="CE692"/>
      <c r="CF692"/>
      <c r="CQ692"/>
      <c r="CR692"/>
      <c r="CS692"/>
      <c r="DS692"/>
      <c r="DT692"/>
      <c r="DU692"/>
    </row>
    <row r="693" spans="1:125">
      <c r="A693"/>
      <c r="AJ693"/>
      <c r="AK693"/>
      <c r="AR693"/>
      <c r="AS693"/>
      <c r="AT693"/>
      <c r="AU693"/>
      <c r="AV693"/>
      <c r="AW693"/>
      <c r="AX693"/>
      <c r="AY693"/>
      <c r="AZ693"/>
      <c r="BA693"/>
      <c r="BB693"/>
      <c r="BC693"/>
      <c r="BD693"/>
      <c r="BE693"/>
      <c r="BL693"/>
      <c r="BP693"/>
      <c r="BQ693"/>
      <c r="BR693"/>
      <c r="CD693"/>
      <c r="CE693"/>
      <c r="CF693"/>
      <c r="CQ693"/>
      <c r="CR693"/>
      <c r="CS693"/>
      <c r="DS693"/>
      <c r="DT693"/>
      <c r="DU693"/>
    </row>
    <row r="694" spans="1:125">
      <c r="A694"/>
      <c r="AJ694"/>
      <c r="AK694"/>
      <c r="AR694"/>
      <c r="AS694"/>
      <c r="AT694"/>
      <c r="AU694"/>
      <c r="AV694"/>
      <c r="AW694"/>
      <c r="AX694"/>
      <c r="AY694"/>
      <c r="AZ694"/>
      <c r="BA694"/>
      <c r="BB694"/>
      <c r="BC694"/>
      <c r="BD694"/>
      <c r="BE694"/>
      <c r="BL694"/>
      <c r="BP694"/>
      <c r="BQ694"/>
      <c r="BR694"/>
      <c r="CD694"/>
      <c r="CE694"/>
      <c r="CF694"/>
      <c r="CQ694"/>
      <c r="CR694"/>
      <c r="CS694"/>
      <c r="DS694"/>
      <c r="DT694"/>
      <c r="DU694"/>
    </row>
    <row r="695" spans="1:125">
      <c r="A695"/>
      <c r="AJ695"/>
      <c r="AK695"/>
      <c r="AR695"/>
      <c r="AS695"/>
      <c r="AT695"/>
      <c r="AU695"/>
      <c r="AV695"/>
      <c r="AW695"/>
      <c r="AX695"/>
      <c r="AY695"/>
      <c r="AZ695"/>
      <c r="BA695"/>
      <c r="BB695"/>
      <c r="BC695"/>
      <c r="BD695"/>
      <c r="BE695"/>
      <c r="BL695"/>
      <c r="BP695"/>
      <c r="BQ695"/>
      <c r="BR695"/>
      <c r="CD695"/>
      <c r="CE695"/>
      <c r="CF695"/>
      <c r="CQ695"/>
      <c r="CR695"/>
      <c r="CS695"/>
      <c r="DS695"/>
      <c r="DT695"/>
      <c r="DU695"/>
    </row>
    <row r="696" spans="1:125">
      <c r="A696"/>
      <c r="AJ696"/>
      <c r="AK696"/>
      <c r="AR696"/>
      <c r="AS696"/>
      <c r="AT696"/>
      <c r="AU696"/>
      <c r="AV696"/>
      <c r="AW696"/>
      <c r="AX696"/>
      <c r="AY696"/>
      <c r="AZ696"/>
      <c r="BA696"/>
      <c r="BB696"/>
      <c r="BC696"/>
      <c r="BD696"/>
      <c r="BE696"/>
      <c r="BL696"/>
      <c r="BP696"/>
      <c r="BQ696"/>
      <c r="BR696"/>
      <c r="CD696"/>
      <c r="CE696"/>
      <c r="CF696"/>
      <c r="CQ696"/>
      <c r="CR696"/>
      <c r="CS696"/>
      <c r="DS696"/>
      <c r="DT696"/>
      <c r="DU696"/>
    </row>
    <row r="697" spans="1:125">
      <c r="A697"/>
      <c r="AJ697"/>
      <c r="AK697"/>
      <c r="AR697"/>
      <c r="AS697"/>
      <c r="AT697"/>
      <c r="AU697"/>
      <c r="AV697"/>
      <c r="AW697"/>
      <c r="AX697"/>
      <c r="AY697"/>
      <c r="AZ697"/>
      <c r="BA697"/>
      <c r="BB697"/>
      <c r="BC697"/>
      <c r="BD697"/>
      <c r="BE697"/>
      <c r="BL697"/>
      <c r="BP697"/>
      <c r="BQ697"/>
      <c r="BR697"/>
      <c r="CD697"/>
      <c r="CE697"/>
      <c r="CF697"/>
      <c r="CQ697"/>
      <c r="CR697"/>
      <c r="CS697"/>
      <c r="DS697"/>
      <c r="DT697"/>
      <c r="DU697"/>
    </row>
    <row r="698" spans="1:125">
      <c r="A698"/>
      <c r="AJ698"/>
      <c r="AK698"/>
      <c r="AR698"/>
      <c r="AS698"/>
      <c r="AT698"/>
      <c r="AU698"/>
      <c r="AV698"/>
      <c r="AW698"/>
      <c r="AX698"/>
      <c r="AY698"/>
      <c r="AZ698"/>
      <c r="BA698"/>
      <c r="BB698"/>
      <c r="BC698"/>
      <c r="BD698"/>
      <c r="BE698"/>
      <c r="BL698"/>
      <c r="BP698"/>
      <c r="BQ698"/>
      <c r="BR698"/>
      <c r="CD698"/>
      <c r="CE698"/>
      <c r="CF698"/>
      <c r="CQ698"/>
      <c r="CR698"/>
      <c r="CS698"/>
      <c r="DS698"/>
      <c r="DT698"/>
      <c r="DU698"/>
    </row>
    <row r="699" spans="1:125">
      <c r="A699"/>
      <c r="AJ699"/>
      <c r="AK699"/>
      <c r="AR699"/>
      <c r="AS699"/>
      <c r="AT699"/>
      <c r="AU699"/>
      <c r="AV699"/>
      <c r="AW699"/>
      <c r="AX699"/>
      <c r="AY699"/>
      <c r="AZ699"/>
      <c r="BA699"/>
      <c r="BB699"/>
      <c r="BC699"/>
      <c r="BD699"/>
      <c r="BE699"/>
      <c r="BL699"/>
      <c r="BP699"/>
      <c r="BQ699"/>
      <c r="BR699"/>
      <c r="CD699"/>
      <c r="CE699"/>
      <c r="CF699"/>
      <c r="CQ699"/>
      <c r="CR699"/>
      <c r="CS699"/>
      <c r="DS699"/>
      <c r="DT699"/>
      <c r="DU699"/>
    </row>
    <row r="700" spans="1:125">
      <c r="A700"/>
      <c r="AJ700"/>
      <c r="AK700"/>
      <c r="AR700"/>
      <c r="AS700"/>
      <c r="AT700"/>
      <c r="AU700"/>
      <c r="AV700"/>
      <c r="AW700"/>
      <c r="AX700"/>
      <c r="AY700"/>
      <c r="AZ700"/>
      <c r="BA700"/>
      <c r="BB700"/>
      <c r="BC700"/>
      <c r="BD700"/>
      <c r="BE700"/>
      <c r="BL700"/>
      <c r="BP700"/>
      <c r="BQ700"/>
      <c r="BR700"/>
      <c r="CD700"/>
      <c r="CE700"/>
      <c r="CF700"/>
      <c r="CQ700"/>
      <c r="CR700"/>
      <c r="CS700"/>
      <c r="DS700"/>
      <c r="DT700"/>
      <c r="DU700"/>
    </row>
    <row r="701" spans="1:125">
      <c r="A701"/>
      <c r="AJ701"/>
      <c r="AK701"/>
      <c r="AR701"/>
      <c r="AS701"/>
      <c r="AT701"/>
      <c r="AU701"/>
      <c r="AV701"/>
      <c r="AW701"/>
      <c r="AX701"/>
      <c r="AY701"/>
      <c r="AZ701"/>
      <c r="BA701"/>
      <c r="BB701"/>
      <c r="BC701"/>
      <c r="BD701"/>
      <c r="BE701"/>
      <c r="BL701"/>
      <c r="BP701"/>
      <c r="BQ701"/>
      <c r="BR701"/>
      <c r="CD701"/>
      <c r="CE701"/>
      <c r="CF701"/>
      <c r="CQ701"/>
      <c r="CR701"/>
      <c r="CS701"/>
      <c r="DS701"/>
      <c r="DT701"/>
      <c r="DU701"/>
    </row>
    <row r="702" spans="1:125">
      <c r="A702"/>
      <c r="AJ702"/>
      <c r="AK702"/>
      <c r="AR702"/>
      <c r="AS702"/>
      <c r="AT702"/>
      <c r="AU702"/>
      <c r="AV702"/>
      <c r="AW702"/>
      <c r="AX702"/>
      <c r="AY702"/>
      <c r="AZ702"/>
      <c r="BA702"/>
      <c r="BB702"/>
      <c r="BC702"/>
      <c r="BD702"/>
      <c r="BE702"/>
      <c r="BL702"/>
      <c r="BP702"/>
      <c r="BQ702"/>
      <c r="BR702"/>
      <c r="CD702"/>
      <c r="CE702"/>
      <c r="CF702"/>
      <c r="CQ702"/>
      <c r="CR702"/>
      <c r="CS702"/>
      <c r="DS702"/>
      <c r="DT702"/>
      <c r="DU702"/>
    </row>
    <row r="703" spans="1:125">
      <c r="A703"/>
      <c r="AJ703"/>
      <c r="AK703"/>
      <c r="AR703"/>
      <c r="AS703"/>
      <c r="AT703"/>
      <c r="AU703"/>
      <c r="AV703"/>
      <c r="AW703"/>
      <c r="AX703"/>
      <c r="AY703"/>
      <c r="AZ703"/>
      <c r="BA703"/>
      <c r="BB703"/>
      <c r="BC703"/>
      <c r="BD703"/>
      <c r="BE703"/>
      <c r="BL703"/>
      <c r="BP703"/>
      <c r="BQ703"/>
      <c r="BR703"/>
      <c r="CD703"/>
      <c r="CE703"/>
      <c r="CF703"/>
      <c r="CQ703"/>
      <c r="CR703"/>
      <c r="CS703"/>
      <c r="DS703"/>
      <c r="DT703"/>
      <c r="DU703"/>
    </row>
    <row r="704" spans="1:125">
      <c r="A704"/>
      <c r="AJ704"/>
      <c r="AK704"/>
      <c r="AR704"/>
      <c r="AS704"/>
      <c r="AT704"/>
      <c r="AU704"/>
      <c r="AV704"/>
      <c r="AW704"/>
      <c r="AX704"/>
      <c r="AY704"/>
      <c r="AZ704"/>
      <c r="BA704"/>
      <c r="BB704"/>
      <c r="BC704"/>
      <c r="BD704"/>
      <c r="BE704"/>
      <c r="BL704"/>
      <c r="BP704"/>
      <c r="BQ704"/>
      <c r="BR704"/>
      <c r="CD704"/>
      <c r="CE704"/>
      <c r="CF704"/>
      <c r="CQ704"/>
      <c r="CR704"/>
      <c r="CS704"/>
      <c r="DS704"/>
      <c r="DT704"/>
      <c r="DU704"/>
    </row>
    <row r="705" spans="1:125">
      <c r="A705"/>
      <c r="AJ705"/>
      <c r="AK705"/>
      <c r="AR705"/>
      <c r="AS705"/>
      <c r="AT705"/>
      <c r="AU705"/>
      <c r="AV705"/>
      <c r="AW705"/>
      <c r="AX705"/>
      <c r="AY705"/>
      <c r="AZ705"/>
      <c r="BA705"/>
      <c r="BB705"/>
      <c r="BC705"/>
      <c r="BD705"/>
      <c r="BE705"/>
      <c r="BL705"/>
      <c r="BP705"/>
      <c r="BQ705"/>
      <c r="BR705"/>
      <c r="CD705"/>
      <c r="CE705"/>
      <c r="CF705"/>
      <c r="CQ705"/>
      <c r="CR705"/>
      <c r="CS705"/>
      <c r="DS705"/>
      <c r="DT705"/>
      <c r="DU705"/>
    </row>
    <row r="706" spans="1:125">
      <c r="A706"/>
      <c r="AJ706"/>
      <c r="AK706"/>
      <c r="AR706"/>
      <c r="AS706"/>
      <c r="AT706"/>
      <c r="AU706"/>
      <c r="AV706"/>
      <c r="AW706"/>
      <c r="AX706"/>
      <c r="AY706"/>
      <c r="AZ706"/>
      <c r="BA706"/>
      <c r="BB706"/>
      <c r="BC706"/>
      <c r="BD706"/>
      <c r="BE706"/>
      <c r="BL706"/>
      <c r="BP706"/>
      <c r="BQ706"/>
      <c r="BR706"/>
      <c r="CD706"/>
      <c r="CE706"/>
      <c r="CF706"/>
      <c r="CQ706"/>
      <c r="CR706"/>
      <c r="CS706"/>
      <c r="DS706"/>
      <c r="DT706"/>
      <c r="DU706"/>
    </row>
    <row r="707" spans="1:125">
      <c r="A707"/>
      <c r="AJ707"/>
      <c r="AK707"/>
      <c r="AR707"/>
      <c r="AS707"/>
      <c r="AT707"/>
      <c r="AU707"/>
      <c r="AV707"/>
      <c r="AW707"/>
      <c r="AX707"/>
      <c r="AY707"/>
      <c r="AZ707"/>
      <c r="BA707"/>
      <c r="BB707"/>
      <c r="BC707"/>
      <c r="BD707"/>
      <c r="BE707"/>
      <c r="BL707"/>
      <c r="BP707"/>
      <c r="BQ707"/>
      <c r="BR707"/>
      <c r="CD707"/>
      <c r="CE707"/>
      <c r="CF707"/>
      <c r="CQ707"/>
      <c r="CR707"/>
      <c r="CS707"/>
      <c r="DS707"/>
      <c r="DT707"/>
      <c r="DU707"/>
    </row>
    <row r="708" spans="1:125">
      <c r="A708"/>
      <c r="AJ708"/>
      <c r="AK708"/>
      <c r="AR708"/>
      <c r="AS708"/>
      <c r="AT708"/>
      <c r="AU708"/>
      <c r="AV708"/>
      <c r="AW708"/>
      <c r="AX708"/>
      <c r="AY708"/>
      <c r="AZ708"/>
      <c r="BA708"/>
      <c r="BB708"/>
      <c r="BC708"/>
      <c r="BD708"/>
      <c r="BE708"/>
      <c r="BL708"/>
      <c r="BP708"/>
      <c r="BQ708"/>
      <c r="BR708"/>
      <c r="CD708"/>
      <c r="CE708"/>
      <c r="CF708"/>
      <c r="CQ708"/>
      <c r="CR708"/>
      <c r="CS708"/>
      <c r="DS708"/>
      <c r="DT708"/>
      <c r="DU708"/>
    </row>
    <row r="709" spans="1:125">
      <c r="A709"/>
      <c r="AJ709"/>
      <c r="AK709"/>
      <c r="AR709"/>
      <c r="AS709"/>
      <c r="AT709"/>
      <c r="AU709"/>
      <c r="AV709"/>
      <c r="AW709"/>
      <c r="AX709"/>
      <c r="AY709"/>
      <c r="AZ709"/>
      <c r="BA709"/>
      <c r="BB709"/>
      <c r="BC709"/>
      <c r="BD709"/>
      <c r="BE709"/>
      <c r="BL709"/>
      <c r="BP709"/>
      <c r="BQ709"/>
      <c r="BR709"/>
      <c r="CD709"/>
      <c r="CE709"/>
      <c r="CF709"/>
      <c r="CQ709"/>
      <c r="CR709"/>
      <c r="CS709"/>
      <c r="DS709"/>
      <c r="DT709"/>
      <c r="DU709"/>
    </row>
    <row r="710" spans="1:125">
      <c r="A710"/>
      <c r="AJ710"/>
      <c r="AK710"/>
      <c r="AR710"/>
      <c r="AS710"/>
      <c r="AT710"/>
      <c r="AU710"/>
      <c r="AV710"/>
      <c r="AW710"/>
      <c r="AX710"/>
      <c r="AY710"/>
      <c r="AZ710"/>
      <c r="BA710"/>
      <c r="BB710"/>
      <c r="BC710"/>
      <c r="BD710"/>
      <c r="BE710"/>
      <c r="BL710"/>
      <c r="BP710"/>
      <c r="BQ710"/>
      <c r="BR710"/>
      <c r="CD710"/>
      <c r="CE710"/>
      <c r="CF710"/>
      <c r="CQ710"/>
      <c r="CR710"/>
      <c r="CS710"/>
      <c r="DS710"/>
      <c r="DT710"/>
      <c r="DU710"/>
    </row>
    <row r="711" spans="1:125">
      <c r="A711"/>
      <c r="AJ711"/>
      <c r="AK711"/>
      <c r="AR711"/>
      <c r="AS711"/>
      <c r="AT711"/>
      <c r="AU711"/>
      <c r="AV711"/>
      <c r="AW711"/>
      <c r="AX711"/>
      <c r="AY711"/>
      <c r="AZ711"/>
      <c r="BA711"/>
      <c r="BB711"/>
      <c r="BC711"/>
      <c r="BD711"/>
      <c r="BE711"/>
      <c r="BL711"/>
      <c r="BP711"/>
      <c r="BQ711"/>
      <c r="BR711"/>
      <c r="CD711"/>
      <c r="CE711"/>
      <c r="CF711"/>
      <c r="CQ711"/>
      <c r="CR711"/>
      <c r="CS711"/>
      <c r="DS711"/>
      <c r="DT711"/>
      <c r="DU711"/>
    </row>
    <row r="712" spans="1:125">
      <c r="A712"/>
      <c r="AJ712"/>
      <c r="AK712"/>
      <c r="AR712"/>
      <c r="AS712"/>
      <c r="AT712"/>
      <c r="AU712"/>
      <c r="AV712"/>
      <c r="AW712"/>
      <c r="AX712"/>
      <c r="AY712"/>
      <c r="AZ712"/>
      <c r="BA712"/>
      <c r="BB712"/>
      <c r="BC712"/>
      <c r="BD712"/>
      <c r="BE712"/>
      <c r="BL712"/>
      <c r="BP712"/>
      <c r="BQ712"/>
      <c r="BR712"/>
      <c r="CD712"/>
      <c r="CE712"/>
      <c r="CF712"/>
      <c r="CQ712"/>
      <c r="CR712"/>
      <c r="CS712"/>
      <c r="DS712"/>
      <c r="DT712"/>
      <c r="DU712"/>
    </row>
    <row r="713" spans="1:125">
      <c r="A713"/>
      <c r="AJ713"/>
      <c r="AK713"/>
      <c r="AR713"/>
      <c r="AS713"/>
      <c r="AT713"/>
      <c r="AU713"/>
      <c r="AV713"/>
      <c r="AW713"/>
      <c r="AX713"/>
      <c r="AY713"/>
      <c r="AZ713"/>
      <c r="BA713"/>
      <c r="BB713"/>
      <c r="BC713"/>
      <c r="BD713"/>
      <c r="BE713"/>
      <c r="BL713"/>
      <c r="BP713"/>
      <c r="BQ713"/>
      <c r="BR713"/>
      <c r="CD713"/>
      <c r="CE713"/>
      <c r="CF713"/>
      <c r="CQ713"/>
      <c r="CR713"/>
      <c r="CS713"/>
      <c r="DS713"/>
      <c r="DT713"/>
      <c r="DU713"/>
    </row>
    <row r="714" spans="1:125">
      <c r="A714"/>
      <c r="AJ714"/>
      <c r="AK714"/>
      <c r="AR714"/>
      <c r="AS714"/>
      <c r="AT714"/>
      <c r="AU714"/>
      <c r="AV714"/>
      <c r="AW714"/>
      <c r="AX714"/>
      <c r="AY714"/>
      <c r="AZ714"/>
      <c r="BA714"/>
      <c r="BB714"/>
      <c r="BC714"/>
      <c r="BD714"/>
      <c r="BE714"/>
      <c r="BL714"/>
      <c r="BP714"/>
      <c r="BQ714"/>
      <c r="BR714"/>
      <c r="CD714"/>
      <c r="CE714"/>
      <c r="CF714"/>
      <c r="CQ714"/>
      <c r="CR714"/>
      <c r="CS714"/>
      <c r="DS714"/>
      <c r="DT714"/>
      <c r="DU714"/>
    </row>
    <row r="715" spans="1:125">
      <c r="A715"/>
      <c r="AJ715"/>
      <c r="AK715"/>
      <c r="AR715"/>
      <c r="AS715"/>
      <c r="AT715"/>
      <c r="AU715"/>
      <c r="AV715"/>
      <c r="AW715"/>
      <c r="AX715"/>
      <c r="AY715"/>
      <c r="AZ715"/>
      <c r="BA715"/>
      <c r="BB715"/>
      <c r="BC715"/>
      <c r="BD715"/>
      <c r="BE715"/>
      <c r="BL715"/>
      <c r="BP715"/>
      <c r="BQ715"/>
      <c r="BR715"/>
      <c r="CD715"/>
      <c r="CE715"/>
      <c r="CF715"/>
      <c r="CQ715"/>
      <c r="CR715"/>
      <c r="CS715"/>
      <c r="DS715"/>
      <c r="DT715"/>
      <c r="DU715"/>
    </row>
    <row r="716" spans="1:125">
      <c r="A716"/>
      <c r="AJ716"/>
      <c r="AK716"/>
      <c r="AR716"/>
      <c r="AS716"/>
      <c r="AT716"/>
      <c r="AU716"/>
      <c r="AV716"/>
      <c r="AW716"/>
      <c r="AX716"/>
      <c r="AY716"/>
      <c r="AZ716"/>
      <c r="BA716"/>
      <c r="BB716"/>
      <c r="BC716"/>
      <c r="BD716"/>
      <c r="BE716"/>
      <c r="BL716"/>
      <c r="BP716"/>
      <c r="BQ716"/>
      <c r="BR716"/>
      <c r="CD716"/>
      <c r="CE716"/>
      <c r="CF716"/>
      <c r="CQ716"/>
      <c r="CR716"/>
      <c r="CS716"/>
      <c r="DS716"/>
      <c r="DT716"/>
      <c r="DU716"/>
    </row>
    <row r="717" spans="1:125">
      <c r="A717"/>
      <c r="AJ717"/>
      <c r="AK717"/>
      <c r="AR717"/>
      <c r="AS717"/>
      <c r="AT717"/>
      <c r="AU717"/>
      <c r="AV717"/>
      <c r="AW717"/>
      <c r="AX717"/>
      <c r="AY717"/>
      <c r="AZ717"/>
      <c r="BA717"/>
      <c r="BB717"/>
      <c r="BC717"/>
      <c r="BD717"/>
      <c r="BE717"/>
      <c r="BL717"/>
      <c r="BP717"/>
      <c r="BQ717"/>
      <c r="BR717"/>
      <c r="CD717"/>
      <c r="CE717"/>
      <c r="CF717"/>
      <c r="CQ717"/>
      <c r="CR717"/>
      <c r="CS717"/>
      <c r="DS717"/>
      <c r="DT717"/>
      <c r="DU717"/>
    </row>
    <row r="718" spans="1:125">
      <c r="A718"/>
      <c r="AJ718"/>
      <c r="AK718"/>
      <c r="AR718"/>
      <c r="AS718"/>
      <c r="AT718"/>
      <c r="AU718"/>
      <c r="AV718"/>
      <c r="AW718"/>
      <c r="AX718"/>
      <c r="AY718"/>
      <c r="AZ718"/>
      <c r="BA718"/>
      <c r="BB718"/>
      <c r="BC718"/>
      <c r="BD718"/>
      <c r="BE718"/>
      <c r="BL718"/>
      <c r="BP718"/>
      <c r="BQ718"/>
      <c r="BR718"/>
      <c r="CD718"/>
      <c r="CE718"/>
      <c r="CF718"/>
      <c r="CQ718"/>
      <c r="CR718"/>
      <c r="CS718"/>
      <c r="DS718"/>
      <c r="DT718"/>
      <c r="DU718"/>
    </row>
    <row r="719" spans="1:125">
      <c r="A719"/>
      <c r="AJ719"/>
      <c r="AK719"/>
      <c r="AR719"/>
      <c r="AS719"/>
      <c r="AT719"/>
      <c r="AU719"/>
      <c r="AV719"/>
      <c r="AW719"/>
      <c r="AX719"/>
      <c r="AY719"/>
      <c r="AZ719"/>
      <c r="BA719"/>
      <c r="BB719"/>
      <c r="BC719"/>
      <c r="BD719"/>
      <c r="BE719"/>
      <c r="BL719"/>
      <c r="BP719"/>
      <c r="BQ719"/>
      <c r="BR719"/>
      <c r="CD719"/>
      <c r="CE719"/>
      <c r="CF719"/>
      <c r="CQ719"/>
      <c r="CR719"/>
      <c r="CS719"/>
      <c r="DS719"/>
      <c r="DT719"/>
      <c r="DU719"/>
    </row>
    <row r="720" spans="1:125">
      <c r="A720"/>
      <c r="AJ720"/>
      <c r="AK720"/>
      <c r="AR720"/>
      <c r="AS720"/>
      <c r="AT720"/>
      <c r="AU720"/>
      <c r="AV720"/>
      <c r="AW720"/>
      <c r="AX720"/>
      <c r="AY720"/>
      <c r="AZ720"/>
      <c r="BA720"/>
      <c r="BB720"/>
      <c r="BC720"/>
      <c r="BD720"/>
      <c r="BE720"/>
      <c r="BL720"/>
      <c r="BP720"/>
      <c r="BQ720"/>
      <c r="BR720"/>
      <c r="CD720"/>
      <c r="CE720"/>
      <c r="CF720"/>
      <c r="CQ720"/>
      <c r="CR720"/>
      <c r="CS720"/>
      <c r="DS720"/>
      <c r="DT720"/>
      <c r="DU720"/>
    </row>
    <row r="721" spans="1:125">
      <c r="A721"/>
      <c r="AJ721"/>
      <c r="AK721"/>
      <c r="AR721"/>
      <c r="AS721"/>
      <c r="AT721"/>
      <c r="AU721"/>
      <c r="AV721"/>
      <c r="AW721"/>
      <c r="AX721"/>
      <c r="AY721"/>
      <c r="AZ721"/>
      <c r="BA721"/>
      <c r="BB721"/>
      <c r="BC721"/>
      <c r="BD721"/>
      <c r="BE721"/>
      <c r="BL721"/>
      <c r="BP721"/>
      <c r="BQ721"/>
      <c r="BR721"/>
      <c r="CD721"/>
      <c r="CE721"/>
      <c r="CF721"/>
      <c r="CQ721"/>
      <c r="CR721"/>
      <c r="CS721"/>
      <c r="DS721"/>
      <c r="DT721"/>
      <c r="DU721"/>
    </row>
    <row r="722" spans="1:125">
      <c r="A722"/>
      <c r="AJ722"/>
      <c r="AK722"/>
      <c r="AR722"/>
      <c r="AS722"/>
      <c r="AT722"/>
      <c r="AU722"/>
      <c r="AV722"/>
      <c r="AW722"/>
      <c r="AX722"/>
      <c r="AY722"/>
      <c r="AZ722"/>
      <c r="BA722"/>
      <c r="BB722"/>
      <c r="BC722"/>
      <c r="BD722"/>
      <c r="BE722"/>
      <c r="BL722"/>
      <c r="BP722"/>
      <c r="BQ722"/>
      <c r="BR722"/>
      <c r="CD722"/>
      <c r="CE722"/>
      <c r="CF722"/>
      <c r="CQ722"/>
      <c r="CR722"/>
      <c r="CS722"/>
      <c r="DS722"/>
      <c r="DT722"/>
      <c r="DU722"/>
    </row>
    <row r="723" spans="1:125">
      <c r="A723"/>
      <c r="AJ723"/>
      <c r="AK723"/>
      <c r="AR723"/>
      <c r="AS723"/>
      <c r="AT723"/>
      <c r="AU723"/>
      <c r="AV723"/>
      <c r="AW723"/>
      <c r="AX723"/>
      <c r="AY723"/>
      <c r="AZ723"/>
      <c r="BA723"/>
      <c r="BB723"/>
      <c r="BC723"/>
      <c r="BD723"/>
      <c r="BE723"/>
      <c r="BL723"/>
      <c r="BP723"/>
      <c r="BQ723"/>
      <c r="BR723"/>
      <c r="CD723"/>
      <c r="CE723"/>
      <c r="CF723"/>
      <c r="CQ723"/>
      <c r="CR723"/>
      <c r="CS723"/>
      <c r="DS723"/>
      <c r="DT723"/>
      <c r="DU723"/>
    </row>
    <row r="724" spans="1:125">
      <c r="A724"/>
      <c r="AJ724"/>
      <c r="AK724"/>
      <c r="AR724"/>
      <c r="AS724"/>
      <c r="AT724"/>
      <c r="AU724"/>
      <c r="AV724"/>
      <c r="AW724"/>
      <c r="AX724"/>
      <c r="AY724"/>
      <c r="AZ724"/>
      <c r="BA724"/>
      <c r="BB724"/>
      <c r="BC724"/>
      <c r="BD724"/>
      <c r="BE724"/>
      <c r="BL724"/>
      <c r="BP724"/>
      <c r="BQ724"/>
      <c r="BR724"/>
      <c r="CD724"/>
      <c r="CE724"/>
      <c r="CF724"/>
      <c r="CQ724"/>
      <c r="CR724"/>
      <c r="CS724"/>
      <c r="DS724"/>
      <c r="DT724"/>
      <c r="DU724"/>
    </row>
    <row r="725" spans="1:125">
      <c r="A725"/>
      <c r="AJ725"/>
      <c r="AK725"/>
      <c r="AR725"/>
      <c r="AS725"/>
      <c r="AT725"/>
      <c r="AU725"/>
      <c r="AV725"/>
      <c r="AW725"/>
      <c r="AX725"/>
      <c r="AY725"/>
      <c r="AZ725"/>
      <c r="BA725"/>
      <c r="BB725"/>
      <c r="BC725"/>
      <c r="BD725"/>
      <c r="BE725"/>
      <c r="BL725"/>
      <c r="BP725"/>
      <c r="BQ725"/>
      <c r="BR725"/>
      <c r="CD725"/>
      <c r="CE725"/>
      <c r="CF725"/>
      <c r="CQ725"/>
      <c r="CR725"/>
      <c r="CS725"/>
      <c r="DS725"/>
      <c r="DT725"/>
      <c r="DU725"/>
    </row>
    <row r="726" spans="1:125">
      <c r="A726"/>
      <c r="AJ726"/>
      <c r="AK726"/>
      <c r="AR726"/>
      <c r="AS726"/>
      <c r="AT726"/>
      <c r="AU726"/>
      <c r="AV726"/>
      <c r="AW726"/>
      <c r="AX726"/>
      <c r="AY726"/>
      <c r="AZ726"/>
      <c r="BA726"/>
      <c r="BB726"/>
      <c r="BC726"/>
      <c r="BD726"/>
      <c r="BE726"/>
      <c r="BL726"/>
      <c r="BP726"/>
      <c r="BQ726"/>
      <c r="BR726"/>
      <c r="CD726"/>
      <c r="CE726"/>
      <c r="CF726"/>
      <c r="CQ726"/>
      <c r="CR726"/>
      <c r="CS726"/>
      <c r="DS726"/>
      <c r="DT726"/>
      <c r="DU726"/>
    </row>
    <row r="727" spans="1:125">
      <c r="A727"/>
      <c r="AJ727"/>
      <c r="AK727"/>
      <c r="AR727"/>
      <c r="AS727"/>
      <c r="AT727"/>
      <c r="AU727"/>
      <c r="AV727"/>
      <c r="AW727"/>
      <c r="AX727"/>
      <c r="AY727"/>
      <c r="AZ727"/>
      <c r="BA727"/>
      <c r="BB727"/>
      <c r="BC727"/>
      <c r="BD727"/>
      <c r="BE727"/>
      <c r="BL727"/>
      <c r="BP727"/>
      <c r="BQ727"/>
      <c r="BR727"/>
      <c r="CD727"/>
      <c r="CE727"/>
      <c r="CF727"/>
      <c r="CQ727"/>
      <c r="CR727"/>
      <c r="CS727"/>
      <c r="DS727"/>
      <c r="DT727"/>
      <c r="DU727"/>
    </row>
    <row r="728" spans="1:125">
      <c r="A728"/>
      <c r="AJ728"/>
      <c r="AK728"/>
      <c r="AR728"/>
      <c r="AS728"/>
      <c r="AT728"/>
      <c r="AU728"/>
      <c r="AV728"/>
      <c r="AW728"/>
      <c r="AX728"/>
      <c r="AY728"/>
      <c r="AZ728"/>
      <c r="BA728"/>
      <c r="BB728"/>
      <c r="BC728"/>
      <c r="BD728"/>
      <c r="BE728"/>
      <c r="BL728"/>
      <c r="BP728"/>
      <c r="BQ728"/>
      <c r="BR728"/>
      <c r="CD728"/>
      <c r="CE728"/>
      <c r="CF728"/>
      <c r="CQ728"/>
      <c r="CR728"/>
      <c r="CS728"/>
      <c r="DS728"/>
      <c r="DT728"/>
      <c r="DU728"/>
    </row>
    <row r="729" spans="1:125">
      <c r="A729"/>
      <c r="AJ729"/>
      <c r="AK729"/>
      <c r="AR729"/>
      <c r="AS729"/>
      <c r="AT729"/>
      <c r="AU729"/>
      <c r="AV729"/>
      <c r="AW729"/>
      <c r="AX729"/>
      <c r="AY729"/>
      <c r="AZ729"/>
      <c r="BA729"/>
      <c r="BB729"/>
      <c r="BC729"/>
      <c r="BD729"/>
      <c r="BE729"/>
      <c r="BL729"/>
      <c r="BP729"/>
      <c r="BQ729"/>
      <c r="BR729"/>
      <c r="CD729"/>
      <c r="CE729"/>
      <c r="CF729"/>
      <c r="CQ729"/>
      <c r="CR729"/>
      <c r="CS729"/>
      <c r="DS729"/>
      <c r="DT729"/>
      <c r="DU729"/>
    </row>
    <row r="730" spans="1:125">
      <c r="A730"/>
      <c r="AJ730"/>
      <c r="AK730"/>
      <c r="AR730"/>
      <c r="AS730"/>
      <c r="AT730"/>
      <c r="AU730"/>
      <c r="AV730"/>
      <c r="AW730"/>
      <c r="AX730"/>
      <c r="AY730"/>
      <c r="AZ730"/>
      <c r="BA730"/>
      <c r="BB730"/>
      <c r="BC730"/>
      <c r="BD730"/>
      <c r="BE730"/>
      <c r="BL730"/>
      <c r="BP730"/>
      <c r="BQ730"/>
      <c r="BR730"/>
      <c r="CD730"/>
      <c r="CE730"/>
      <c r="CF730"/>
      <c r="CQ730"/>
      <c r="CR730"/>
      <c r="CS730"/>
      <c r="DS730"/>
      <c r="DT730"/>
      <c r="DU730"/>
    </row>
    <row r="731" spans="1:125">
      <c r="A731"/>
      <c r="AJ731"/>
      <c r="AK731"/>
      <c r="AR731"/>
      <c r="AS731"/>
      <c r="AT731"/>
      <c r="AU731"/>
      <c r="AV731"/>
      <c r="AW731"/>
      <c r="AX731"/>
      <c r="AY731"/>
      <c r="AZ731"/>
      <c r="BA731"/>
      <c r="BB731"/>
      <c r="BC731"/>
      <c r="BD731"/>
      <c r="BE731"/>
      <c r="BL731"/>
      <c r="BP731"/>
      <c r="BQ731"/>
      <c r="BR731"/>
      <c r="CD731"/>
      <c r="CE731"/>
      <c r="CF731"/>
      <c r="CQ731"/>
      <c r="CR731"/>
      <c r="CS731"/>
      <c r="DS731"/>
      <c r="DT731"/>
      <c r="DU731"/>
    </row>
    <row r="732" spans="1:125">
      <c r="A732"/>
      <c r="AJ732"/>
      <c r="AK732"/>
      <c r="AR732"/>
      <c r="AS732"/>
      <c r="AT732"/>
      <c r="AU732"/>
      <c r="AV732"/>
      <c r="AW732"/>
      <c r="AX732"/>
      <c r="AY732"/>
      <c r="AZ732"/>
      <c r="BA732"/>
      <c r="BB732"/>
      <c r="BC732"/>
      <c r="BD732"/>
      <c r="BE732"/>
      <c r="BL732"/>
      <c r="BP732"/>
      <c r="BQ732"/>
      <c r="BR732"/>
      <c r="CD732"/>
      <c r="CE732"/>
      <c r="CF732"/>
      <c r="CQ732"/>
      <c r="CR732"/>
      <c r="CS732"/>
      <c r="DS732"/>
      <c r="DT732"/>
      <c r="DU732"/>
    </row>
    <row r="733" spans="1:125">
      <c r="A733"/>
      <c r="AJ733"/>
      <c r="AK733"/>
      <c r="AR733"/>
      <c r="AS733"/>
      <c r="AT733"/>
      <c r="AU733"/>
      <c r="AV733"/>
      <c r="AW733"/>
      <c r="AX733"/>
      <c r="AY733"/>
      <c r="AZ733"/>
      <c r="BA733"/>
      <c r="BB733"/>
      <c r="BC733"/>
      <c r="BD733"/>
      <c r="BE733"/>
      <c r="BL733"/>
      <c r="BP733"/>
      <c r="BQ733"/>
      <c r="BR733"/>
      <c r="CD733"/>
      <c r="CE733"/>
      <c r="CF733"/>
      <c r="CQ733"/>
      <c r="CR733"/>
      <c r="CS733"/>
      <c r="DS733"/>
      <c r="DT733"/>
      <c r="DU733"/>
    </row>
    <row r="734" spans="1:125">
      <c r="A734"/>
      <c r="AJ734"/>
      <c r="AK734"/>
      <c r="AR734"/>
      <c r="AS734"/>
      <c r="AT734"/>
      <c r="AU734"/>
      <c r="AV734"/>
      <c r="AW734"/>
      <c r="AX734"/>
      <c r="AY734"/>
      <c r="AZ734"/>
      <c r="BA734"/>
      <c r="BB734"/>
      <c r="BC734"/>
      <c r="BD734"/>
      <c r="BE734"/>
      <c r="BL734"/>
      <c r="BP734"/>
      <c r="BQ734"/>
      <c r="BR734"/>
      <c r="CD734"/>
      <c r="CE734"/>
      <c r="CF734"/>
      <c r="CQ734"/>
      <c r="CR734"/>
      <c r="CS734"/>
      <c r="DS734"/>
      <c r="DT734"/>
      <c r="DU734"/>
    </row>
    <row r="735" spans="1:125">
      <c r="A735"/>
      <c r="AJ735"/>
      <c r="AK735"/>
      <c r="AR735"/>
      <c r="AS735"/>
      <c r="AT735"/>
      <c r="AU735"/>
      <c r="AV735"/>
      <c r="AW735"/>
      <c r="AX735"/>
      <c r="AY735"/>
      <c r="AZ735"/>
      <c r="BA735"/>
      <c r="BB735"/>
      <c r="BC735"/>
      <c r="BD735"/>
      <c r="BE735"/>
      <c r="BL735"/>
      <c r="BP735"/>
      <c r="BQ735"/>
      <c r="BR735"/>
      <c r="CD735"/>
      <c r="CE735"/>
      <c r="CF735"/>
      <c r="CQ735"/>
      <c r="CR735"/>
      <c r="CS735"/>
      <c r="DS735"/>
      <c r="DT735"/>
      <c r="DU735"/>
    </row>
    <row r="736" spans="1:125">
      <c r="A736"/>
      <c r="AJ736"/>
      <c r="AK736"/>
      <c r="AR736"/>
      <c r="AS736"/>
      <c r="AT736"/>
      <c r="AU736"/>
      <c r="AV736"/>
      <c r="AW736"/>
      <c r="AX736"/>
      <c r="AY736"/>
      <c r="AZ736"/>
      <c r="BA736"/>
      <c r="BB736"/>
      <c r="BC736"/>
      <c r="BD736"/>
      <c r="BE736"/>
      <c r="BL736"/>
      <c r="BP736"/>
      <c r="BQ736"/>
      <c r="BR736"/>
      <c r="CD736"/>
      <c r="CE736"/>
      <c r="CF736"/>
      <c r="CQ736"/>
      <c r="CR736"/>
      <c r="CS736"/>
      <c r="DS736"/>
      <c r="DT736"/>
      <c r="DU736"/>
    </row>
    <row r="737" spans="1:125">
      <c r="A737"/>
      <c r="AJ737"/>
      <c r="AK737"/>
      <c r="AR737"/>
      <c r="AS737"/>
      <c r="AT737"/>
      <c r="AU737"/>
      <c r="AV737"/>
      <c r="AW737"/>
      <c r="AX737"/>
      <c r="AY737"/>
      <c r="AZ737"/>
      <c r="BA737"/>
      <c r="BB737"/>
      <c r="BC737"/>
      <c r="BD737"/>
      <c r="BE737"/>
      <c r="BL737"/>
      <c r="BP737"/>
      <c r="BQ737"/>
      <c r="BR737"/>
      <c r="CD737"/>
      <c r="CE737"/>
      <c r="CF737"/>
      <c r="CQ737"/>
      <c r="CR737"/>
      <c r="CS737"/>
      <c r="DS737"/>
      <c r="DT737"/>
      <c r="DU737"/>
    </row>
    <row r="738" spans="1:125">
      <c r="A738"/>
      <c r="AJ738"/>
      <c r="AK738"/>
      <c r="AR738"/>
      <c r="AS738"/>
      <c r="AT738"/>
      <c r="AU738"/>
      <c r="AV738"/>
      <c r="AW738"/>
      <c r="AX738"/>
      <c r="AY738"/>
      <c r="AZ738"/>
      <c r="BA738"/>
      <c r="BB738"/>
      <c r="BC738"/>
      <c r="BD738"/>
      <c r="BE738"/>
      <c r="BL738"/>
      <c r="BP738"/>
      <c r="BQ738"/>
      <c r="BR738"/>
      <c r="CD738"/>
      <c r="CE738"/>
      <c r="CF738"/>
      <c r="CQ738"/>
      <c r="CR738"/>
      <c r="CS738"/>
      <c r="DS738"/>
      <c r="DT738"/>
      <c r="DU738"/>
    </row>
    <row r="739" spans="1:125">
      <c r="A739"/>
      <c r="AJ739"/>
      <c r="AK739"/>
      <c r="AR739"/>
      <c r="AS739"/>
      <c r="AT739"/>
      <c r="AU739"/>
      <c r="AV739"/>
      <c r="AW739"/>
      <c r="AX739"/>
      <c r="AY739"/>
      <c r="AZ739"/>
      <c r="BA739"/>
      <c r="BB739"/>
      <c r="BC739"/>
      <c r="BD739"/>
      <c r="BE739"/>
      <c r="BL739"/>
      <c r="BP739"/>
      <c r="BQ739"/>
      <c r="BR739"/>
      <c r="CD739"/>
      <c r="CE739"/>
      <c r="CF739"/>
      <c r="CQ739"/>
      <c r="CR739"/>
      <c r="CS739"/>
      <c r="DS739"/>
      <c r="DT739"/>
      <c r="DU739"/>
    </row>
    <row r="740" spans="1:125">
      <c r="A740"/>
      <c r="AJ740"/>
      <c r="AK740"/>
      <c r="AR740"/>
      <c r="AS740"/>
      <c r="AT740"/>
      <c r="AU740"/>
      <c r="AV740"/>
      <c r="AW740"/>
      <c r="AX740"/>
      <c r="AY740"/>
      <c r="AZ740"/>
      <c r="BA740"/>
      <c r="BB740"/>
      <c r="BC740"/>
      <c r="BD740"/>
      <c r="BE740"/>
      <c r="BL740"/>
      <c r="BP740"/>
      <c r="BQ740"/>
      <c r="BR740"/>
      <c r="CD740"/>
      <c r="CE740"/>
      <c r="CF740"/>
      <c r="CQ740"/>
      <c r="CR740"/>
      <c r="CS740"/>
      <c r="DS740"/>
      <c r="DT740"/>
      <c r="DU740"/>
    </row>
    <row r="741" spans="1:125">
      <c r="A741"/>
      <c r="AJ741"/>
      <c r="AK741"/>
      <c r="AR741"/>
      <c r="AS741"/>
      <c r="AT741"/>
      <c r="AU741"/>
      <c r="AV741"/>
      <c r="AW741"/>
      <c r="AX741"/>
      <c r="AY741"/>
      <c r="AZ741"/>
      <c r="BA741"/>
      <c r="BB741"/>
      <c r="BC741"/>
      <c r="BD741"/>
      <c r="BE741"/>
      <c r="BL741"/>
      <c r="BP741"/>
      <c r="BQ741"/>
      <c r="BR741"/>
      <c r="CD741"/>
      <c r="CE741"/>
      <c r="CF741"/>
      <c r="CQ741"/>
      <c r="CR741"/>
      <c r="CS741"/>
      <c r="DS741"/>
      <c r="DT741"/>
      <c r="DU741"/>
    </row>
    <row r="742" spans="1:125">
      <c r="A742"/>
      <c r="AJ742"/>
      <c r="AK742"/>
      <c r="AR742"/>
      <c r="AS742"/>
      <c r="AT742"/>
      <c r="AU742"/>
      <c r="AV742"/>
      <c r="AW742"/>
      <c r="AX742"/>
      <c r="AY742"/>
      <c r="AZ742"/>
      <c r="BA742"/>
      <c r="BB742"/>
      <c r="BC742"/>
      <c r="BD742"/>
      <c r="BE742"/>
      <c r="BL742"/>
      <c r="BP742"/>
      <c r="BQ742"/>
      <c r="BR742"/>
      <c r="CD742"/>
      <c r="CE742"/>
      <c r="CF742"/>
      <c r="CQ742"/>
      <c r="CR742"/>
      <c r="CS742"/>
      <c r="DS742"/>
      <c r="DT742"/>
      <c r="DU742"/>
    </row>
    <row r="743" spans="1:125">
      <c r="A743"/>
      <c r="AJ743"/>
      <c r="AK743"/>
      <c r="AR743"/>
      <c r="AS743"/>
      <c r="AT743"/>
      <c r="AU743"/>
      <c r="AV743"/>
      <c r="AW743"/>
      <c r="AX743"/>
      <c r="AY743"/>
      <c r="AZ743"/>
      <c r="BA743"/>
      <c r="BB743"/>
      <c r="BC743"/>
      <c r="BD743"/>
      <c r="BE743"/>
      <c r="BL743"/>
      <c r="BP743"/>
      <c r="BQ743"/>
      <c r="BR743"/>
      <c r="CD743"/>
      <c r="CE743"/>
      <c r="CF743"/>
      <c r="CQ743"/>
      <c r="CR743"/>
      <c r="CS743"/>
      <c r="DS743"/>
      <c r="DT743"/>
      <c r="DU743"/>
    </row>
    <row r="744" spans="1:125">
      <c r="A744"/>
      <c r="AJ744"/>
      <c r="AK744"/>
      <c r="AR744"/>
      <c r="AS744"/>
      <c r="AT744"/>
      <c r="AU744"/>
      <c r="AV744"/>
      <c r="AW744"/>
      <c r="AX744"/>
      <c r="AY744"/>
      <c r="AZ744"/>
      <c r="BA744"/>
      <c r="BB744"/>
      <c r="BC744"/>
      <c r="BD744"/>
      <c r="BE744"/>
      <c r="BL744"/>
      <c r="BP744"/>
      <c r="BQ744"/>
      <c r="BR744"/>
      <c r="CD744"/>
      <c r="CE744"/>
      <c r="CF744"/>
      <c r="CQ744"/>
      <c r="CR744"/>
      <c r="CS744"/>
      <c r="DS744"/>
      <c r="DT744"/>
      <c r="DU744"/>
    </row>
    <row r="745" spans="1:125">
      <c r="A745"/>
      <c r="AJ745"/>
      <c r="AK745"/>
      <c r="AR745"/>
      <c r="AS745"/>
      <c r="AT745"/>
      <c r="AU745"/>
      <c r="AV745"/>
      <c r="AW745"/>
      <c r="AX745"/>
      <c r="AY745"/>
      <c r="AZ745"/>
      <c r="BA745"/>
      <c r="BB745"/>
      <c r="BC745"/>
      <c r="BD745"/>
      <c r="BE745"/>
      <c r="BL745"/>
      <c r="BP745"/>
      <c r="BQ745"/>
      <c r="BR745"/>
      <c r="CD745"/>
      <c r="CE745"/>
      <c r="CF745"/>
      <c r="CQ745"/>
      <c r="CR745"/>
      <c r="CS745"/>
      <c r="DS745"/>
      <c r="DT745"/>
      <c r="DU745"/>
    </row>
    <row r="746" spans="1:125">
      <c r="A746"/>
      <c r="AJ746"/>
      <c r="AK746"/>
      <c r="AR746"/>
      <c r="AS746"/>
      <c r="AT746"/>
      <c r="AU746"/>
      <c r="AV746"/>
      <c r="AW746"/>
      <c r="AX746"/>
      <c r="AY746"/>
      <c r="AZ746"/>
      <c r="BA746"/>
      <c r="BB746"/>
      <c r="BC746"/>
      <c r="BD746"/>
      <c r="BE746"/>
      <c r="BL746"/>
      <c r="BP746"/>
      <c r="BQ746"/>
      <c r="BR746"/>
      <c r="CD746"/>
      <c r="CE746"/>
      <c r="CF746"/>
      <c r="CQ746"/>
      <c r="CR746"/>
      <c r="CS746"/>
      <c r="DS746"/>
      <c r="DT746"/>
      <c r="DU746"/>
    </row>
    <row r="747" spans="1:125">
      <c r="A747"/>
      <c r="AJ747"/>
      <c r="AK747"/>
      <c r="AR747"/>
      <c r="AS747"/>
      <c r="AT747"/>
      <c r="AU747"/>
      <c r="AV747"/>
      <c r="AW747"/>
      <c r="AX747"/>
      <c r="AY747"/>
      <c r="AZ747"/>
      <c r="BA747"/>
      <c r="BB747"/>
      <c r="BC747"/>
      <c r="BD747"/>
      <c r="BE747"/>
      <c r="BL747"/>
      <c r="BP747"/>
      <c r="BQ747"/>
      <c r="BR747"/>
      <c r="CD747"/>
      <c r="CE747"/>
      <c r="CF747"/>
      <c r="CQ747"/>
      <c r="CR747"/>
      <c r="CS747"/>
      <c r="DS747"/>
      <c r="DT747"/>
      <c r="DU747"/>
    </row>
    <row r="748" spans="1:125">
      <c r="A748"/>
      <c r="AJ748"/>
      <c r="AK748"/>
      <c r="AR748"/>
      <c r="AS748"/>
      <c r="AT748"/>
      <c r="AU748"/>
      <c r="AV748"/>
      <c r="AW748"/>
      <c r="AX748"/>
      <c r="AY748"/>
      <c r="AZ748"/>
      <c r="BA748"/>
      <c r="BB748"/>
      <c r="BC748"/>
      <c r="BD748"/>
      <c r="BE748"/>
      <c r="BL748"/>
      <c r="BP748"/>
      <c r="BQ748"/>
      <c r="BR748"/>
      <c r="CD748"/>
      <c r="CE748"/>
      <c r="CF748"/>
      <c r="CQ748"/>
      <c r="CR748"/>
      <c r="CS748"/>
      <c r="DS748"/>
      <c r="DT748"/>
      <c r="DU748"/>
    </row>
    <row r="749" spans="1:125">
      <c r="A749"/>
      <c r="AJ749"/>
      <c r="AK749"/>
      <c r="AR749"/>
      <c r="AS749"/>
      <c r="AT749"/>
      <c r="AU749"/>
      <c r="AV749"/>
      <c r="AW749"/>
      <c r="AX749"/>
      <c r="AY749"/>
      <c r="AZ749"/>
      <c r="BA749"/>
      <c r="BB749"/>
      <c r="BC749"/>
      <c r="BD749"/>
      <c r="BE749"/>
      <c r="BL749"/>
      <c r="BP749"/>
      <c r="BQ749"/>
      <c r="BR749"/>
      <c r="CD749"/>
      <c r="CE749"/>
      <c r="CF749"/>
      <c r="CQ749"/>
      <c r="CR749"/>
      <c r="CS749"/>
      <c r="DS749"/>
      <c r="DT749"/>
      <c r="DU749"/>
    </row>
    <row r="750" spans="1:125">
      <c r="A750"/>
      <c r="AJ750"/>
      <c r="AK750"/>
      <c r="AR750"/>
      <c r="AS750"/>
      <c r="AT750"/>
      <c r="AU750"/>
      <c r="AV750"/>
      <c r="AW750"/>
      <c r="AX750"/>
      <c r="AY750"/>
      <c r="AZ750"/>
      <c r="BA750"/>
      <c r="BB750"/>
      <c r="BC750"/>
      <c r="BD750"/>
      <c r="BE750"/>
      <c r="BL750"/>
      <c r="BP750"/>
      <c r="BQ750"/>
      <c r="BR750"/>
      <c r="CD750"/>
      <c r="CE750"/>
      <c r="CF750"/>
      <c r="CQ750"/>
      <c r="CR750"/>
      <c r="CS750"/>
      <c r="DS750"/>
      <c r="DT750"/>
      <c r="DU750"/>
    </row>
    <row r="751" spans="1:125">
      <c r="A751"/>
      <c r="AJ751"/>
      <c r="AK751"/>
      <c r="AR751"/>
      <c r="AS751"/>
      <c r="AT751"/>
      <c r="AU751"/>
      <c r="AV751"/>
      <c r="AW751"/>
      <c r="AX751"/>
      <c r="AY751"/>
      <c r="AZ751"/>
      <c r="BA751"/>
      <c r="BB751"/>
      <c r="BC751"/>
      <c r="BD751"/>
      <c r="BE751"/>
      <c r="BL751"/>
      <c r="BP751"/>
      <c r="BQ751"/>
      <c r="BR751"/>
      <c r="CD751"/>
      <c r="CE751"/>
      <c r="CF751"/>
      <c r="CQ751"/>
      <c r="CR751"/>
      <c r="CS751"/>
      <c r="DS751"/>
      <c r="DT751"/>
      <c r="DU751"/>
    </row>
    <row r="752" spans="1:125">
      <c r="A752"/>
      <c r="AJ752"/>
      <c r="AK752"/>
      <c r="AR752"/>
      <c r="AS752"/>
      <c r="AT752"/>
      <c r="AU752"/>
      <c r="AV752"/>
      <c r="AW752"/>
      <c r="AX752"/>
      <c r="AY752"/>
      <c r="AZ752"/>
      <c r="BA752"/>
      <c r="BB752"/>
      <c r="BC752"/>
      <c r="BD752"/>
      <c r="BE752"/>
      <c r="BL752"/>
      <c r="BP752"/>
      <c r="BQ752"/>
      <c r="BR752"/>
      <c r="CD752"/>
      <c r="CE752"/>
      <c r="CF752"/>
      <c r="CQ752"/>
      <c r="CR752"/>
      <c r="CS752"/>
      <c r="DS752"/>
      <c r="DT752"/>
      <c r="DU752"/>
    </row>
    <row r="753" spans="1:125">
      <c r="A753"/>
      <c r="AJ753"/>
      <c r="AK753"/>
      <c r="AR753"/>
      <c r="AS753"/>
      <c r="AT753"/>
      <c r="AU753"/>
      <c r="AV753"/>
      <c r="AW753"/>
      <c r="AX753"/>
      <c r="AY753"/>
      <c r="AZ753"/>
      <c r="BA753"/>
      <c r="BB753"/>
      <c r="BC753"/>
      <c r="BD753"/>
      <c r="BE753"/>
      <c r="BL753"/>
      <c r="BP753"/>
      <c r="BQ753"/>
      <c r="BR753"/>
      <c r="CD753"/>
      <c r="CE753"/>
      <c r="CF753"/>
      <c r="CQ753"/>
      <c r="CR753"/>
      <c r="CS753"/>
      <c r="DS753"/>
      <c r="DT753"/>
      <c r="DU753"/>
    </row>
    <row r="754" spans="1:125">
      <c r="A754"/>
      <c r="AJ754"/>
      <c r="AK754"/>
      <c r="AR754"/>
      <c r="AS754"/>
      <c r="AT754"/>
      <c r="AU754"/>
      <c r="AV754"/>
      <c r="AW754"/>
      <c r="AX754"/>
      <c r="AY754"/>
      <c r="AZ754"/>
      <c r="BA754"/>
      <c r="BB754"/>
      <c r="BC754"/>
      <c r="BD754"/>
      <c r="BE754"/>
      <c r="BL754"/>
      <c r="BP754"/>
      <c r="BQ754"/>
      <c r="BR754"/>
      <c r="CD754"/>
      <c r="CE754"/>
      <c r="CF754"/>
      <c r="CQ754"/>
      <c r="CR754"/>
      <c r="CS754"/>
      <c r="DS754"/>
      <c r="DT754"/>
      <c r="DU754"/>
    </row>
    <row r="755" spans="1:125">
      <c r="A755"/>
      <c r="AJ755"/>
      <c r="AK755"/>
      <c r="AR755"/>
      <c r="AS755"/>
      <c r="AT755"/>
      <c r="AU755"/>
      <c r="AV755"/>
      <c r="AW755"/>
      <c r="AX755"/>
      <c r="AY755"/>
      <c r="AZ755"/>
      <c r="BA755"/>
      <c r="BB755"/>
      <c r="BC755"/>
      <c r="BD755"/>
      <c r="BE755"/>
      <c r="BL755"/>
      <c r="BP755"/>
      <c r="BQ755"/>
      <c r="BR755"/>
      <c r="CD755"/>
      <c r="CE755"/>
      <c r="CF755"/>
      <c r="CQ755"/>
      <c r="CR755"/>
      <c r="CS755"/>
      <c r="DS755"/>
      <c r="DT755"/>
      <c r="DU755"/>
    </row>
    <row r="756" spans="1:125">
      <c r="A756"/>
      <c r="AJ756"/>
      <c r="AK756"/>
      <c r="AR756"/>
      <c r="AS756"/>
      <c r="AT756"/>
      <c r="AU756"/>
      <c r="AV756"/>
      <c r="AW756"/>
      <c r="AX756"/>
      <c r="AY756"/>
      <c r="AZ756"/>
      <c r="BA756"/>
      <c r="BB756"/>
      <c r="BC756"/>
      <c r="BD756"/>
      <c r="BE756"/>
      <c r="BL756"/>
      <c r="BP756"/>
      <c r="BQ756"/>
      <c r="BR756"/>
      <c r="CD756"/>
      <c r="CE756"/>
      <c r="CF756"/>
      <c r="CQ756"/>
      <c r="CR756"/>
      <c r="CS756"/>
      <c r="DS756"/>
      <c r="DT756"/>
      <c r="DU756"/>
    </row>
    <row r="757" spans="1:125">
      <c r="A757"/>
      <c r="AJ757"/>
      <c r="AK757"/>
      <c r="AR757"/>
      <c r="AS757"/>
      <c r="AT757"/>
      <c r="AU757"/>
      <c r="AV757"/>
      <c r="AW757"/>
      <c r="AX757"/>
      <c r="AY757"/>
      <c r="AZ757"/>
      <c r="BA757"/>
      <c r="BB757"/>
      <c r="BC757"/>
      <c r="BD757"/>
      <c r="BE757"/>
      <c r="BL757"/>
      <c r="BP757"/>
      <c r="BQ757"/>
      <c r="BR757"/>
      <c r="CD757"/>
      <c r="CE757"/>
      <c r="CF757"/>
      <c r="CQ757"/>
      <c r="CR757"/>
      <c r="CS757"/>
      <c r="DS757"/>
      <c r="DT757"/>
      <c r="DU757"/>
    </row>
    <row r="758" spans="1:125">
      <c r="A758"/>
      <c r="AJ758"/>
      <c r="AK758"/>
      <c r="AR758"/>
      <c r="AS758"/>
      <c r="AT758"/>
      <c r="AU758"/>
      <c r="AV758"/>
      <c r="AW758"/>
      <c r="AX758"/>
      <c r="AY758"/>
      <c r="AZ758"/>
      <c r="BA758"/>
      <c r="BB758"/>
      <c r="BC758"/>
      <c r="BD758"/>
      <c r="BE758"/>
      <c r="BL758"/>
      <c r="BP758"/>
      <c r="BQ758"/>
      <c r="BR758"/>
      <c r="CD758"/>
      <c r="CE758"/>
      <c r="CF758"/>
      <c r="CQ758"/>
      <c r="CR758"/>
      <c r="CS758"/>
      <c r="DS758"/>
      <c r="DT758"/>
      <c r="DU758"/>
    </row>
    <row r="759" spans="1:125">
      <c r="A759"/>
      <c r="AJ759"/>
      <c r="AK759"/>
      <c r="AR759"/>
      <c r="AS759"/>
      <c r="AT759"/>
      <c r="AU759"/>
      <c r="AV759"/>
      <c r="AW759"/>
      <c r="AX759"/>
      <c r="AY759"/>
      <c r="AZ759"/>
      <c r="BA759"/>
      <c r="BB759"/>
      <c r="BC759"/>
      <c r="BD759"/>
      <c r="BE759"/>
      <c r="BL759"/>
      <c r="BP759"/>
      <c r="BQ759"/>
      <c r="BR759"/>
      <c r="CD759"/>
      <c r="CE759"/>
      <c r="CF759"/>
      <c r="CQ759"/>
      <c r="CR759"/>
      <c r="CS759"/>
      <c r="DS759"/>
      <c r="DT759"/>
      <c r="DU759"/>
    </row>
    <row r="760" spans="1:125">
      <c r="A760"/>
      <c r="AJ760"/>
      <c r="AK760"/>
      <c r="AR760"/>
      <c r="AS760"/>
      <c r="AT760"/>
      <c r="AU760"/>
      <c r="AV760"/>
      <c r="AW760"/>
      <c r="AX760"/>
      <c r="AY760"/>
      <c r="AZ760"/>
      <c r="BA760"/>
      <c r="BB760"/>
      <c r="BC760"/>
      <c r="BD760"/>
      <c r="BE760"/>
      <c r="BL760"/>
      <c r="BP760"/>
      <c r="BQ760"/>
      <c r="BR760"/>
      <c r="CD760"/>
      <c r="CE760"/>
      <c r="CF760"/>
      <c r="CQ760"/>
      <c r="CR760"/>
      <c r="CS760"/>
      <c r="DS760"/>
      <c r="DT760"/>
      <c r="DU760"/>
    </row>
    <row r="761" spans="1:125">
      <c r="A761"/>
      <c r="AJ761"/>
      <c r="AK761"/>
      <c r="AR761"/>
      <c r="AS761"/>
      <c r="AT761"/>
      <c r="AU761"/>
      <c r="AV761"/>
      <c r="AW761"/>
      <c r="AX761"/>
      <c r="AY761"/>
      <c r="AZ761"/>
      <c r="BA761"/>
      <c r="BB761"/>
      <c r="BC761"/>
      <c r="BD761"/>
      <c r="BE761"/>
      <c r="BL761"/>
      <c r="BP761"/>
      <c r="BQ761"/>
      <c r="BR761"/>
      <c r="CD761"/>
      <c r="CE761"/>
      <c r="CF761"/>
      <c r="CQ761"/>
      <c r="CR761"/>
      <c r="CS761"/>
      <c r="DS761"/>
      <c r="DT761"/>
      <c r="DU761"/>
    </row>
    <row r="762" spans="1:125">
      <c r="A762"/>
      <c r="AJ762"/>
      <c r="AK762"/>
      <c r="AR762"/>
      <c r="AS762"/>
      <c r="AT762"/>
      <c r="AU762"/>
      <c r="AV762"/>
      <c r="AW762"/>
      <c r="AX762"/>
      <c r="AY762"/>
      <c r="AZ762"/>
      <c r="BA762"/>
      <c r="BB762"/>
      <c r="BC762"/>
      <c r="BD762"/>
      <c r="BE762"/>
      <c r="BL762"/>
      <c r="BP762"/>
      <c r="BQ762"/>
      <c r="BR762"/>
      <c r="CD762"/>
      <c r="CE762"/>
      <c r="CF762"/>
      <c r="CQ762"/>
      <c r="CR762"/>
      <c r="CS762"/>
      <c r="DS762"/>
      <c r="DT762"/>
      <c r="DU762"/>
    </row>
    <row r="763" spans="1:125">
      <c r="A763"/>
      <c r="AJ763"/>
      <c r="AK763"/>
      <c r="AR763"/>
      <c r="AS763"/>
      <c r="AT763"/>
      <c r="AU763"/>
      <c r="AV763"/>
      <c r="AW763"/>
      <c r="AX763"/>
      <c r="AY763"/>
      <c r="AZ763"/>
      <c r="BA763"/>
      <c r="BB763"/>
      <c r="BC763"/>
      <c r="BD763"/>
      <c r="BE763"/>
      <c r="BL763"/>
      <c r="BP763"/>
      <c r="BQ763"/>
      <c r="BR763"/>
      <c r="CD763"/>
      <c r="CE763"/>
      <c r="CF763"/>
      <c r="CQ763"/>
      <c r="CR763"/>
      <c r="CS763"/>
      <c r="DS763"/>
      <c r="DT763"/>
      <c r="DU763"/>
    </row>
    <row r="764" spans="1:125">
      <c r="A764"/>
      <c r="AJ764"/>
      <c r="AK764"/>
      <c r="AR764"/>
      <c r="AS764"/>
      <c r="AT764"/>
      <c r="AU764"/>
      <c r="AV764"/>
      <c r="AW764"/>
      <c r="AX764"/>
      <c r="AY764"/>
      <c r="AZ764"/>
      <c r="BA764"/>
      <c r="BB764"/>
      <c r="BC764"/>
      <c r="BD764"/>
      <c r="BE764"/>
      <c r="BL764"/>
      <c r="BP764"/>
      <c r="BQ764"/>
      <c r="BR764"/>
      <c r="CD764"/>
      <c r="CE764"/>
      <c r="CF764"/>
      <c r="CQ764"/>
      <c r="CR764"/>
      <c r="CS764"/>
      <c r="DS764"/>
      <c r="DT764"/>
      <c r="DU764"/>
    </row>
    <row r="765" spans="1:125">
      <c r="A765"/>
      <c r="AJ765"/>
      <c r="AK765"/>
      <c r="AR765"/>
      <c r="AS765"/>
      <c r="AT765"/>
      <c r="AU765"/>
      <c r="AV765"/>
      <c r="AW765"/>
      <c r="AX765"/>
      <c r="AY765"/>
      <c r="AZ765"/>
      <c r="BA765"/>
      <c r="BB765"/>
      <c r="BC765"/>
      <c r="BD765"/>
      <c r="BE765"/>
      <c r="BL765"/>
      <c r="BP765"/>
      <c r="BQ765"/>
      <c r="BR765"/>
      <c r="CD765"/>
      <c r="CE765"/>
      <c r="CF765"/>
      <c r="CQ765"/>
      <c r="CR765"/>
      <c r="CS765"/>
      <c r="DS765"/>
      <c r="DT765"/>
      <c r="DU765"/>
    </row>
    <row r="766" spans="1:125">
      <c r="A766"/>
      <c r="AJ766"/>
      <c r="AK766"/>
      <c r="AR766"/>
      <c r="AS766"/>
      <c r="AT766"/>
      <c r="AU766"/>
      <c r="AV766"/>
      <c r="AW766"/>
      <c r="AX766"/>
      <c r="AY766"/>
      <c r="AZ766"/>
      <c r="BA766"/>
      <c r="BB766"/>
      <c r="BC766"/>
      <c r="BD766"/>
      <c r="BE766"/>
      <c r="BL766"/>
      <c r="BP766"/>
      <c r="BQ766"/>
      <c r="BR766"/>
      <c r="CD766"/>
      <c r="CE766"/>
      <c r="CF766"/>
      <c r="CQ766"/>
      <c r="CR766"/>
      <c r="CS766"/>
      <c r="DS766"/>
      <c r="DT766"/>
      <c r="DU766"/>
    </row>
    <row r="767" spans="1:125">
      <c r="A767"/>
      <c r="AJ767"/>
      <c r="AK767"/>
      <c r="AR767"/>
      <c r="AS767"/>
      <c r="AT767"/>
      <c r="AU767"/>
      <c r="AV767"/>
      <c r="AW767"/>
      <c r="AX767"/>
      <c r="AY767"/>
      <c r="AZ767"/>
      <c r="BA767"/>
      <c r="BB767"/>
      <c r="BC767"/>
      <c r="BD767"/>
      <c r="BE767"/>
      <c r="BL767"/>
      <c r="BP767"/>
      <c r="BQ767"/>
      <c r="BR767"/>
      <c r="CD767"/>
      <c r="CE767"/>
      <c r="CF767"/>
      <c r="CQ767"/>
      <c r="CR767"/>
      <c r="CS767"/>
      <c r="DS767"/>
      <c r="DT767"/>
      <c r="DU767"/>
    </row>
    <row r="768" spans="1:125">
      <c r="A768"/>
      <c r="AJ768"/>
      <c r="AK768"/>
      <c r="AR768"/>
      <c r="AS768"/>
      <c r="AT768"/>
      <c r="AU768"/>
      <c r="AV768"/>
      <c r="AW768"/>
      <c r="AX768"/>
      <c r="AY768"/>
      <c r="AZ768"/>
      <c r="BA768"/>
      <c r="BB768"/>
      <c r="BC768"/>
      <c r="BD768"/>
      <c r="BE768"/>
      <c r="BL768"/>
      <c r="BP768"/>
      <c r="BQ768"/>
      <c r="BR768"/>
      <c r="CD768"/>
      <c r="CE768"/>
      <c r="CF768"/>
      <c r="CQ768"/>
      <c r="CR768"/>
      <c r="CS768"/>
      <c r="DS768"/>
      <c r="DT768"/>
      <c r="DU768"/>
    </row>
    <row r="769" spans="1:125">
      <c r="A769"/>
      <c r="AJ769"/>
      <c r="AK769"/>
      <c r="AR769"/>
      <c r="AS769"/>
      <c r="AT769"/>
      <c r="AU769"/>
      <c r="AV769"/>
      <c r="AW769"/>
      <c r="AX769"/>
      <c r="AY769"/>
      <c r="AZ769"/>
      <c r="BA769"/>
      <c r="BB769"/>
      <c r="BC769"/>
      <c r="BD769"/>
      <c r="BE769"/>
      <c r="BL769"/>
      <c r="BP769"/>
      <c r="BQ769"/>
      <c r="BR769"/>
      <c r="CD769"/>
      <c r="CE769"/>
      <c r="CF769"/>
      <c r="CQ769"/>
      <c r="CR769"/>
      <c r="CS769"/>
      <c r="DS769"/>
      <c r="DT769"/>
      <c r="DU769"/>
    </row>
    <row r="770" spans="1:125">
      <c r="A770"/>
      <c r="AJ770"/>
      <c r="AK770"/>
      <c r="AR770"/>
      <c r="AS770"/>
      <c r="AT770"/>
      <c r="AU770"/>
      <c r="AV770"/>
      <c r="AW770"/>
      <c r="AX770"/>
      <c r="AY770"/>
      <c r="AZ770"/>
      <c r="BA770"/>
      <c r="BB770"/>
      <c r="BC770"/>
      <c r="BD770"/>
      <c r="BE770"/>
      <c r="BL770"/>
      <c r="BP770"/>
      <c r="BQ770"/>
      <c r="BR770"/>
      <c r="CD770"/>
      <c r="CE770"/>
      <c r="CF770"/>
      <c r="CQ770"/>
      <c r="CR770"/>
      <c r="CS770"/>
      <c r="DS770"/>
      <c r="DT770"/>
      <c r="DU770"/>
    </row>
    <row r="771" spans="1:125">
      <c r="A771"/>
      <c r="AJ771"/>
      <c r="AK771"/>
      <c r="AR771"/>
      <c r="AS771"/>
      <c r="AT771"/>
      <c r="AU771"/>
      <c r="AV771"/>
      <c r="AW771"/>
      <c r="AX771"/>
      <c r="AY771"/>
      <c r="AZ771"/>
      <c r="BA771"/>
      <c r="BB771"/>
      <c r="BC771"/>
      <c r="BD771"/>
      <c r="BE771"/>
      <c r="BL771"/>
      <c r="BP771"/>
      <c r="BQ771"/>
      <c r="BR771"/>
      <c r="CD771"/>
      <c r="CE771"/>
      <c r="CF771"/>
      <c r="CQ771"/>
      <c r="CR771"/>
      <c r="CS771"/>
      <c r="DS771"/>
      <c r="DT771"/>
      <c r="DU771"/>
    </row>
    <row r="772" spans="1:125">
      <c r="A772"/>
      <c r="AJ772"/>
      <c r="AK772"/>
      <c r="AR772"/>
      <c r="AS772"/>
      <c r="AT772"/>
      <c r="AU772"/>
      <c r="AV772"/>
      <c r="AW772"/>
      <c r="AX772"/>
      <c r="AY772"/>
      <c r="AZ772"/>
      <c r="BA772"/>
      <c r="BB772"/>
      <c r="BC772"/>
      <c r="BD772"/>
      <c r="BE772"/>
      <c r="BL772"/>
      <c r="BP772"/>
      <c r="BQ772"/>
      <c r="BR772"/>
      <c r="CD772"/>
      <c r="CE772"/>
      <c r="CF772"/>
      <c r="CQ772"/>
      <c r="CR772"/>
      <c r="CS772"/>
      <c r="DS772"/>
      <c r="DT772"/>
      <c r="DU772"/>
    </row>
    <row r="773" spans="1:125">
      <c r="A773"/>
      <c r="AJ773"/>
      <c r="AK773"/>
      <c r="AR773"/>
      <c r="AS773"/>
      <c r="AT773"/>
      <c r="AU773"/>
      <c r="AV773"/>
      <c r="AW773"/>
      <c r="AX773"/>
      <c r="AY773"/>
      <c r="AZ773"/>
      <c r="BA773"/>
      <c r="BB773"/>
      <c r="BC773"/>
      <c r="BD773"/>
      <c r="BE773"/>
      <c r="BL773"/>
      <c r="BP773"/>
      <c r="BQ773"/>
      <c r="BR773"/>
      <c r="CD773"/>
      <c r="CE773"/>
      <c r="CF773"/>
      <c r="CQ773"/>
      <c r="CR773"/>
      <c r="CS773"/>
      <c r="DS773"/>
      <c r="DT773"/>
      <c r="DU773"/>
    </row>
    <row r="774" spans="1:125">
      <c r="A774"/>
      <c r="AJ774"/>
      <c r="AK774"/>
      <c r="AR774"/>
      <c r="AS774"/>
      <c r="AT774"/>
      <c r="AU774"/>
      <c r="AV774"/>
      <c r="AW774"/>
      <c r="AX774"/>
      <c r="AY774"/>
      <c r="AZ774"/>
      <c r="BA774"/>
      <c r="BB774"/>
      <c r="BC774"/>
      <c r="BD774"/>
      <c r="BE774"/>
      <c r="BL774"/>
      <c r="BP774"/>
      <c r="BQ774"/>
      <c r="BR774"/>
      <c r="CD774"/>
      <c r="CE774"/>
      <c r="CF774"/>
      <c r="CQ774"/>
      <c r="CR774"/>
      <c r="CS774"/>
      <c r="DS774"/>
      <c r="DT774"/>
      <c r="DU774"/>
    </row>
    <row r="775" spans="1:125">
      <c r="A775"/>
      <c r="AJ775"/>
      <c r="AK775"/>
      <c r="AR775"/>
      <c r="AS775"/>
      <c r="AT775"/>
      <c r="AU775"/>
      <c r="AV775"/>
      <c r="AW775"/>
      <c r="AX775"/>
      <c r="AY775"/>
      <c r="AZ775"/>
      <c r="BA775"/>
      <c r="BB775"/>
      <c r="BC775"/>
      <c r="BD775"/>
      <c r="BE775"/>
      <c r="BL775"/>
      <c r="BP775"/>
      <c r="BQ775"/>
      <c r="BR775"/>
      <c r="CD775"/>
      <c r="CE775"/>
      <c r="CF775"/>
      <c r="CQ775"/>
      <c r="CR775"/>
      <c r="CS775"/>
      <c r="DS775"/>
      <c r="DT775"/>
      <c r="DU775"/>
    </row>
    <row r="776" spans="1:125">
      <c r="A776"/>
      <c r="AJ776"/>
      <c r="AK776"/>
      <c r="AR776"/>
      <c r="AS776"/>
      <c r="AT776"/>
      <c r="AU776"/>
      <c r="AV776"/>
      <c r="AW776"/>
      <c r="AX776"/>
      <c r="AY776"/>
      <c r="AZ776"/>
      <c r="BA776"/>
      <c r="BB776"/>
      <c r="BC776"/>
      <c r="BD776"/>
      <c r="BE776"/>
      <c r="BL776"/>
      <c r="BP776"/>
      <c r="BQ776"/>
      <c r="BR776"/>
      <c r="CD776"/>
      <c r="CE776"/>
      <c r="CF776"/>
      <c r="CQ776"/>
      <c r="CR776"/>
      <c r="CS776"/>
      <c r="DS776"/>
      <c r="DT776"/>
      <c r="DU776"/>
    </row>
    <row r="777" spans="1:125">
      <c r="A777"/>
      <c r="AJ777"/>
      <c r="AK777"/>
      <c r="AR777"/>
      <c r="AS777"/>
      <c r="AT777"/>
      <c r="AU777"/>
      <c r="AV777"/>
      <c r="AW777"/>
      <c r="AX777"/>
      <c r="AY777"/>
      <c r="AZ777"/>
      <c r="BA777"/>
      <c r="BB777"/>
      <c r="BC777"/>
      <c r="BD777"/>
      <c r="BE777"/>
      <c r="BL777"/>
      <c r="BP777"/>
      <c r="BQ777"/>
      <c r="BR777"/>
      <c r="CD777"/>
      <c r="CE777"/>
      <c r="CF777"/>
      <c r="CQ777"/>
      <c r="CR777"/>
      <c r="CS777"/>
      <c r="DS777"/>
      <c r="DT777"/>
      <c r="DU777"/>
    </row>
    <row r="778" spans="1:125">
      <c r="A778"/>
      <c r="AJ778"/>
      <c r="AK778"/>
      <c r="AR778"/>
      <c r="AS778"/>
      <c r="AT778"/>
      <c r="AU778"/>
      <c r="AV778"/>
      <c r="AW778"/>
      <c r="AX778"/>
      <c r="AY778"/>
      <c r="AZ778"/>
      <c r="BA778"/>
      <c r="BB778"/>
      <c r="BC778"/>
      <c r="BD778"/>
      <c r="BE778"/>
      <c r="BL778"/>
      <c r="BP778"/>
      <c r="BQ778"/>
      <c r="BR778"/>
      <c r="CD778"/>
      <c r="CE778"/>
      <c r="CF778"/>
      <c r="CQ778"/>
      <c r="CR778"/>
      <c r="CS778"/>
      <c r="DS778"/>
      <c r="DT778"/>
      <c r="DU778"/>
    </row>
    <row r="779" spans="1:125">
      <c r="A779"/>
      <c r="AJ779"/>
      <c r="AK779"/>
      <c r="AR779"/>
      <c r="AS779"/>
      <c r="AT779"/>
      <c r="AU779"/>
      <c r="AV779"/>
      <c r="AW779"/>
      <c r="AX779"/>
      <c r="AY779"/>
      <c r="AZ779"/>
      <c r="BA779"/>
      <c r="BB779"/>
      <c r="BC779"/>
      <c r="BD779"/>
      <c r="BE779"/>
      <c r="BL779"/>
      <c r="BP779"/>
      <c r="BQ779"/>
      <c r="BR779"/>
      <c r="CD779"/>
      <c r="CE779"/>
      <c r="CF779"/>
      <c r="CQ779"/>
      <c r="CR779"/>
      <c r="CS779"/>
      <c r="DS779"/>
      <c r="DT779"/>
      <c r="DU779"/>
    </row>
    <row r="780" spans="1:125">
      <c r="A780"/>
      <c r="AJ780"/>
      <c r="AK780"/>
      <c r="AR780"/>
      <c r="AS780"/>
      <c r="AT780"/>
      <c r="AU780"/>
      <c r="AV780"/>
      <c r="AW780"/>
      <c r="AX780"/>
      <c r="AY780"/>
      <c r="AZ780"/>
      <c r="BA780"/>
      <c r="BB780"/>
      <c r="BC780"/>
      <c r="BD780"/>
      <c r="BE780"/>
      <c r="BL780"/>
      <c r="BP780"/>
      <c r="BQ780"/>
      <c r="BR780"/>
      <c r="CD780"/>
      <c r="CE780"/>
      <c r="CF780"/>
      <c r="CQ780"/>
      <c r="CR780"/>
      <c r="CS780"/>
      <c r="DS780"/>
      <c r="DT780"/>
      <c r="DU780"/>
    </row>
    <row r="781" spans="1:125">
      <c r="A781"/>
      <c r="AJ781"/>
      <c r="AK781"/>
      <c r="AR781"/>
      <c r="AS781"/>
      <c r="AT781"/>
      <c r="AU781"/>
      <c r="AV781"/>
      <c r="AW781"/>
      <c r="AX781"/>
      <c r="AY781"/>
      <c r="AZ781"/>
      <c r="BA781"/>
      <c r="BB781"/>
      <c r="BC781"/>
      <c r="BD781"/>
      <c r="BE781"/>
      <c r="BL781"/>
      <c r="BP781"/>
      <c r="BQ781"/>
      <c r="BR781"/>
      <c r="CD781"/>
      <c r="CE781"/>
      <c r="CF781"/>
      <c r="CQ781"/>
      <c r="CR781"/>
      <c r="CS781"/>
      <c r="DS781"/>
      <c r="DT781"/>
      <c r="DU781"/>
    </row>
    <row r="782" spans="1:125">
      <c r="A782"/>
      <c r="AJ782"/>
      <c r="AK782"/>
      <c r="AR782"/>
      <c r="AS782"/>
      <c r="AT782"/>
      <c r="AU782"/>
      <c r="AV782"/>
      <c r="AW782"/>
      <c r="AX782"/>
      <c r="AY782"/>
      <c r="AZ782"/>
      <c r="BA782"/>
      <c r="BB782"/>
      <c r="BC782"/>
      <c r="BD782"/>
      <c r="BE782"/>
      <c r="BL782"/>
      <c r="BP782"/>
      <c r="BQ782"/>
      <c r="BR782"/>
      <c r="CD782"/>
      <c r="CE782"/>
      <c r="CF782"/>
      <c r="CQ782"/>
      <c r="CR782"/>
      <c r="CS782"/>
      <c r="DS782"/>
      <c r="DT782"/>
      <c r="DU782"/>
    </row>
    <row r="783" spans="1:125">
      <c r="A783"/>
      <c r="AJ783"/>
      <c r="AK783"/>
      <c r="AR783"/>
      <c r="AS783"/>
      <c r="AT783"/>
      <c r="AU783"/>
      <c r="AV783"/>
      <c r="AW783"/>
      <c r="AX783"/>
      <c r="AY783"/>
      <c r="AZ783"/>
      <c r="BA783"/>
      <c r="BB783"/>
      <c r="BC783"/>
      <c r="BD783"/>
      <c r="BE783"/>
      <c r="BL783"/>
      <c r="BP783"/>
      <c r="BQ783"/>
      <c r="BR783"/>
      <c r="CD783"/>
      <c r="CE783"/>
      <c r="CF783"/>
      <c r="CQ783"/>
      <c r="CR783"/>
      <c r="CS783"/>
      <c r="DS783"/>
      <c r="DT783"/>
      <c r="DU783"/>
    </row>
    <row r="784" spans="1:125">
      <c r="A784"/>
      <c r="AJ784"/>
      <c r="AK784"/>
      <c r="AR784"/>
      <c r="AS784"/>
      <c r="AT784"/>
      <c r="AU784"/>
      <c r="AV784"/>
      <c r="AW784"/>
      <c r="AX784"/>
      <c r="AY784"/>
      <c r="AZ784"/>
      <c r="BA784"/>
      <c r="BB784"/>
      <c r="BC784"/>
      <c r="BD784"/>
      <c r="BE784"/>
      <c r="BL784"/>
      <c r="BP784"/>
      <c r="BQ784"/>
      <c r="BR784"/>
      <c r="CD784"/>
      <c r="CE784"/>
      <c r="CF784"/>
      <c r="CQ784"/>
      <c r="CR784"/>
      <c r="CS784"/>
      <c r="DS784"/>
      <c r="DT784"/>
      <c r="DU784"/>
    </row>
    <row r="785" spans="1:125">
      <c r="A785"/>
      <c r="AJ785"/>
      <c r="AK785"/>
      <c r="AR785"/>
      <c r="AS785"/>
      <c r="AT785"/>
      <c r="AU785"/>
      <c r="AV785"/>
      <c r="AW785"/>
      <c r="AX785"/>
      <c r="AY785"/>
      <c r="AZ785"/>
      <c r="BA785"/>
      <c r="BB785"/>
      <c r="BC785"/>
      <c r="BD785"/>
      <c r="BE785"/>
      <c r="BL785"/>
      <c r="BP785"/>
      <c r="BQ785"/>
      <c r="BR785"/>
      <c r="CD785"/>
      <c r="CE785"/>
      <c r="CF785"/>
      <c r="CQ785"/>
      <c r="CR785"/>
      <c r="CS785"/>
      <c r="DS785"/>
      <c r="DT785"/>
      <c r="DU785"/>
    </row>
    <row r="786" spans="1:125">
      <c r="A786"/>
      <c r="AJ786"/>
      <c r="AK786"/>
      <c r="AR786"/>
      <c r="AS786"/>
      <c r="AT786"/>
      <c r="AU786"/>
      <c r="AV786"/>
      <c r="AW786"/>
      <c r="AX786"/>
      <c r="AY786"/>
      <c r="AZ786"/>
      <c r="BA786"/>
      <c r="BB786"/>
      <c r="BC786"/>
      <c r="BD786"/>
      <c r="BE786"/>
      <c r="BL786"/>
      <c r="BP786"/>
      <c r="BQ786"/>
      <c r="BR786"/>
      <c r="CD786"/>
      <c r="CE786"/>
      <c r="CF786"/>
      <c r="CQ786"/>
      <c r="CR786"/>
      <c r="CS786"/>
      <c r="DS786"/>
      <c r="DT786"/>
      <c r="DU786"/>
    </row>
    <row r="787" spans="1:125">
      <c r="A787"/>
      <c r="AJ787"/>
      <c r="AK787"/>
      <c r="AR787"/>
      <c r="AS787"/>
      <c r="AT787"/>
      <c r="AU787"/>
      <c r="AV787"/>
      <c r="AW787"/>
      <c r="AX787"/>
      <c r="AY787"/>
      <c r="AZ787"/>
      <c r="BA787"/>
      <c r="BB787"/>
      <c r="BC787"/>
      <c r="BD787"/>
      <c r="BE787"/>
      <c r="BL787"/>
      <c r="BP787"/>
      <c r="BQ787"/>
      <c r="BR787"/>
      <c r="CD787"/>
      <c r="CE787"/>
      <c r="CF787"/>
      <c r="CQ787"/>
      <c r="CR787"/>
      <c r="CS787"/>
      <c r="DS787"/>
      <c r="DT787"/>
      <c r="DU787"/>
    </row>
    <row r="788" spans="1:125">
      <c r="A788"/>
      <c r="AJ788"/>
      <c r="AK788"/>
      <c r="AR788"/>
      <c r="AS788"/>
      <c r="AT788"/>
      <c r="AU788"/>
      <c r="AV788"/>
      <c r="AW788"/>
      <c r="AX788"/>
      <c r="AY788"/>
      <c r="AZ788"/>
      <c r="BA788"/>
      <c r="BB788"/>
      <c r="BC788"/>
      <c r="BD788"/>
      <c r="BE788"/>
      <c r="BL788"/>
      <c r="BP788"/>
      <c r="BQ788"/>
      <c r="BR788"/>
      <c r="CD788"/>
      <c r="CE788"/>
      <c r="CF788"/>
      <c r="CQ788"/>
      <c r="CR788"/>
      <c r="CS788"/>
      <c r="DS788"/>
      <c r="DT788"/>
      <c r="DU788"/>
    </row>
    <row r="789" spans="1:125">
      <c r="A789"/>
      <c r="AJ789"/>
      <c r="AK789"/>
      <c r="AR789"/>
      <c r="AS789"/>
      <c r="AT789"/>
      <c r="AU789"/>
      <c r="AV789"/>
      <c r="AW789"/>
      <c r="AX789"/>
      <c r="AY789"/>
      <c r="AZ789"/>
      <c r="BA789"/>
      <c r="BB789"/>
      <c r="BC789"/>
      <c r="BD789"/>
      <c r="BE789"/>
      <c r="BL789"/>
      <c r="BP789"/>
      <c r="BQ789"/>
      <c r="BR789"/>
      <c r="CD789"/>
      <c r="CE789"/>
      <c r="CF789"/>
      <c r="CQ789"/>
      <c r="CR789"/>
      <c r="CS789"/>
      <c r="DS789"/>
      <c r="DT789"/>
      <c r="DU789"/>
    </row>
    <row r="790" spans="1:125">
      <c r="A790"/>
      <c r="AJ790"/>
      <c r="AK790"/>
      <c r="AR790"/>
      <c r="AS790"/>
      <c r="AT790"/>
      <c r="AU790"/>
      <c r="AV790"/>
      <c r="AW790"/>
      <c r="AX790"/>
      <c r="AY790"/>
      <c r="AZ790"/>
      <c r="BA790"/>
      <c r="BB790"/>
      <c r="BC790"/>
      <c r="BD790"/>
      <c r="BE790"/>
      <c r="BL790"/>
      <c r="BP790"/>
      <c r="BQ790"/>
      <c r="BR790"/>
      <c r="CD790"/>
      <c r="CE790"/>
      <c r="CF790"/>
      <c r="CQ790"/>
      <c r="CR790"/>
      <c r="CS790"/>
      <c r="DS790"/>
      <c r="DT790"/>
      <c r="DU790"/>
    </row>
    <row r="791" spans="1:125">
      <c r="A791"/>
      <c r="AJ791"/>
      <c r="AK791"/>
      <c r="AR791"/>
      <c r="AS791"/>
      <c r="AT791"/>
      <c r="AU791"/>
      <c r="AV791"/>
      <c r="AW791"/>
      <c r="AX791"/>
      <c r="AY791"/>
      <c r="AZ791"/>
      <c r="BA791"/>
      <c r="BB791"/>
      <c r="BC791"/>
      <c r="BD791"/>
      <c r="BE791"/>
      <c r="BL791"/>
      <c r="BP791"/>
      <c r="BQ791"/>
      <c r="BR791"/>
      <c r="CD791"/>
      <c r="CE791"/>
      <c r="CF791"/>
      <c r="CQ791"/>
      <c r="CR791"/>
      <c r="CS791"/>
      <c r="DS791"/>
      <c r="DT791"/>
      <c r="DU791"/>
    </row>
    <row r="792" spans="1:125">
      <c r="A792"/>
      <c r="AJ792"/>
      <c r="AK792"/>
      <c r="AR792"/>
      <c r="AS792"/>
      <c r="AT792"/>
      <c r="AU792"/>
      <c r="AV792"/>
      <c r="AW792"/>
      <c r="AX792"/>
      <c r="AY792"/>
      <c r="AZ792"/>
      <c r="BA792"/>
      <c r="BB792"/>
      <c r="BC792"/>
      <c r="BD792"/>
      <c r="BE792"/>
      <c r="BL792"/>
      <c r="BP792"/>
      <c r="BQ792"/>
      <c r="BR792"/>
      <c r="CD792"/>
      <c r="CE792"/>
      <c r="CF792"/>
      <c r="CQ792"/>
      <c r="CR792"/>
      <c r="CS792"/>
      <c r="DS792"/>
      <c r="DT792"/>
      <c r="DU792"/>
    </row>
    <row r="793" spans="1:125">
      <c r="A793"/>
      <c r="AJ793"/>
      <c r="AK793"/>
      <c r="AR793"/>
      <c r="AS793"/>
      <c r="AT793"/>
      <c r="AU793"/>
      <c r="AV793"/>
      <c r="AW793"/>
      <c r="AX793"/>
      <c r="AY793"/>
      <c r="AZ793"/>
      <c r="BA793"/>
      <c r="BB793"/>
      <c r="BC793"/>
      <c r="BD793"/>
      <c r="BE793"/>
      <c r="BL793"/>
      <c r="BP793"/>
      <c r="BQ793"/>
      <c r="BR793"/>
      <c r="CD793"/>
      <c r="CE793"/>
      <c r="CF793"/>
      <c r="CQ793"/>
      <c r="CR793"/>
      <c r="CS793"/>
      <c r="DS793"/>
      <c r="DT793"/>
      <c r="DU793"/>
    </row>
    <row r="794" spans="1:125">
      <c r="A794"/>
      <c r="AJ794"/>
      <c r="AK794"/>
      <c r="AR794"/>
      <c r="AS794"/>
      <c r="AT794"/>
      <c r="AU794"/>
      <c r="AV794"/>
      <c r="AW794"/>
      <c r="AX794"/>
      <c r="AY794"/>
      <c r="AZ794"/>
      <c r="BA794"/>
      <c r="BB794"/>
      <c r="BC794"/>
      <c r="BD794"/>
      <c r="BE794"/>
      <c r="BL794"/>
      <c r="BP794"/>
      <c r="BQ794"/>
      <c r="BR794"/>
      <c r="CD794"/>
      <c r="CE794"/>
      <c r="CF794"/>
      <c r="CQ794"/>
      <c r="CR794"/>
      <c r="CS794"/>
      <c r="DS794"/>
      <c r="DT794"/>
      <c r="DU794"/>
    </row>
    <row r="795" spans="1:125">
      <c r="A795"/>
      <c r="AJ795"/>
      <c r="AK795"/>
      <c r="AR795"/>
      <c r="AS795"/>
      <c r="AT795"/>
      <c r="AU795"/>
      <c r="AV795"/>
      <c r="AW795"/>
      <c r="AX795"/>
      <c r="AY795"/>
      <c r="AZ795"/>
      <c r="BA795"/>
      <c r="BB795"/>
      <c r="BC795"/>
      <c r="BD795"/>
      <c r="BE795"/>
      <c r="BL795"/>
      <c r="BP795"/>
      <c r="BQ795"/>
      <c r="BR795"/>
      <c r="CD795"/>
      <c r="CE795"/>
      <c r="CF795"/>
      <c r="CQ795"/>
      <c r="CR795"/>
      <c r="CS795"/>
      <c r="DS795"/>
      <c r="DT795"/>
      <c r="DU795"/>
    </row>
    <row r="796" spans="1:125">
      <c r="A796"/>
      <c r="AJ796"/>
      <c r="AK796"/>
      <c r="AR796"/>
      <c r="AS796"/>
      <c r="AT796"/>
      <c r="AU796"/>
      <c r="AV796"/>
      <c r="AW796"/>
      <c r="AX796"/>
      <c r="AY796"/>
      <c r="AZ796"/>
      <c r="BA796"/>
      <c r="BB796"/>
      <c r="BC796"/>
      <c r="BD796"/>
      <c r="BE796"/>
      <c r="BL796"/>
      <c r="BP796"/>
      <c r="BQ796"/>
      <c r="BR796"/>
      <c r="CD796"/>
      <c r="CE796"/>
      <c r="CF796"/>
      <c r="CQ796"/>
      <c r="CR796"/>
      <c r="CS796"/>
      <c r="DS796"/>
      <c r="DT796"/>
      <c r="DU796"/>
    </row>
    <row r="797" spans="1:125">
      <c r="A797"/>
      <c r="AJ797"/>
      <c r="AK797"/>
      <c r="AR797"/>
      <c r="AS797"/>
      <c r="AT797"/>
      <c r="AU797"/>
      <c r="AV797"/>
      <c r="AW797"/>
      <c r="AX797"/>
      <c r="AY797"/>
      <c r="AZ797"/>
      <c r="BA797"/>
      <c r="BB797"/>
      <c r="BC797"/>
      <c r="BD797"/>
      <c r="BE797"/>
      <c r="BL797"/>
      <c r="BP797"/>
      <c r="BQ797"/>
      <c r="BR797"/>
      <c r="CD797"/>
      <c r="CE797"/>
      <c r="CF797"/>
      <c r="CQ797"/>
      <c r="CR797"/>
      <c r="CS797"/>
      <c r="DS797"/>
      <c r="DT797"/>
      <c r="DU797"/>
    </row>
    <row r="798" spans="1:125">
      <c r="A798"/>
      <c r="AJ798"/>
      <c r="AK798"/>
      <c r="AR798"/>
      <c r="AS798"/>
      <c r="AT798"/>
      <c r="AU798"/>
      <c r="AV798"/>
      <c r="AW798"/>
      <c r="AX798"/>
      <c r="AY798"/>
      <c r="AZ798"/>
      <c r="BA798"/>
      <c r="BB798"/>
      <c r="BC798"/>
      <c r="BD798"/>
      <c r="BE798"/>
      <c r="BL798"/>
      <c r="BP798"/>
      <c r="BQ798"/>
      <c r="BR798"/>
      <c r="CD798"/>
      <c r="CE798"/>
      <c r="CF798"/>
      <c r="CQ798"/>
      <c r="CR798"/>
      <c r="CS798"/>
      <c r="DS798"/>
      <c r="DT798"/>
      <c r="DU798"/>
    </row>
    <row r="799" spans="1:125">
      <c r="A799"/>
      <c r="AJ799"/>
      <c r="AK799"/>
      <c r="AR799"/>
      <c r="AS799"/>
      <c r="AT799"/>
      <c r="AU799"/>
      <c r="AV799"/>
      <c r="AW799"/>
      <c r="AX799"/>
      <c r="AY799"/>
      <c r="AZ799"/>
      <c r="BA799"/>
      <c r="BB799"/>
      <c r="BC799"/>
      <c r="BD799"/>
      <c r="BE799"/>
      <c r="BL799"/>
      <c r="BP799"/>
      <c r="BQ799"/>
      <c r="BR799"/>
      <c r="CD799"/>
      <c r="CE799"/>
      <c r="CF799"/>
      <c r="CQ799"/>
      <c r="CR799"/>
      <c r="CS799"/>
      <c r="DS799"/>
      <c r="DT799"/>
      <c r="DU799"/>
    </row>
    <row r="800" spans="1:125">
      <c r="A800"/>
      <c r="AJ800"/>
      <c r="AK800"/>
      <c r="AR800"/>
      <c r="AS800"/>
      <c r="AT800"/>
      <c r="AU800"/>
      <c r="AV800"/>
      <c r="AW800"/>
      <c r="AX800"/>
      <c r="AY800"/>
      <c r="AZ800"/>
      <c r="BA800"/>
      <c r="BB800"/>
      <c r="BC800"/>
      <c r="BD800"/>
      <c r="BE800"/>
      <c r="BL800"/>
      <c r="BP800"/>
      <c r="BQ800"/>
      <c r="BR800"/>
      <c r="CD800"/>
      <c r="CE800"/>
      <c r="CF800"/>
      <c r="CQ800"/>
      <c r="CR800"/>
      <c r="CS800"/>
      <c r="DS800"/>
      <c r="DT800"/>
      <c r="DU800"/>
    </row>
    <row r="801" spans="1:125">
      <c r="A801"/>
      <c r="AJ801"/>
      <c r="AK801"/>
      <c r="AR801"/>
      <c r="AS801"/>
      <c r="AT801"/>
      <c r="AU801"/>
      <c r="AV801"/>
      <c r="AW801"/>
      <c r="AX801"/>
      <c r="AY801"/>
      <c r="AZ801"/>
      <c r="BA801"/>
      <c r="BB801"/>
      <c r="BC801"/>
      <c r="BD801"/>
      <c r="BE801"/>
      <c r="BL801"/>
      <c r="BP801"/>
      <c r="BQ801"/>
      <c r="BR801"/>
      <c r="CD801"/>
      <c r="CE801"/>
      <c r="CF801"/>
      <c r="CQ801"/>
      <c r="CR801"/>
      <c r="CS801"/>
      <c r="DS801"/>
      <c r="DT801"/>
      <c r="DU801"/>
    </row>
    <row r="802" spans="1:125">
      <c r="A802"/>
      <c r="AJ802"/>
      <c r="AK802"/>
      <c r="AR802"/>
      <c r="AS802"/>
      <c r="AT802"/>
      <c r="AU802"/>
      <c r="AV802"/>
      <c r="AW802"/>
      <c r="AX802"/>
      <c r="AY802"/>
      <c r="AZ802"/>
      <c r="BA802"/>
      <c r="BB802"/>
      <c r="BC802"/>
      <c r="BD802"/>
      <c r="BE802"/>
      <c r="BL802"/>
      <c r="BP802"/>
      <c r="BQ802"/>
      <c r="BR802"/>
      <c r="CD802"/>
      <c r="CE802"/>
      <c r="CF802"/>
      <c r="CQ802"/>
      <c r="CR802"/>
      <c r="CS802"/>
      <c r="DS802"/>
      <c r="DT802"/>
      <c r="DU802"/>
    </row>
    <row r="803" spans="1:125">
      <c r="A803"/>
      <c r="AJ803"/>
      <c r="AK803"/>
      <c r="AR803"/>
      <c r="AS803"/>
      <c r="AT803"/>
      <c r="AU803"/>
      <c r="AV803"/>
      <c r="AW803"/>
      <c r="AX803"/>
      <c r="AY803"/>
      <c r="AZ803"/>
      <c r="BA803"/>
      <c r="BB803"/>
      <c r="BC803"/>
      <c r="BD803"/>
      <c r="BE803"/>
      <c r="BL803"/>
      <c r="BP803"/>
      <c r="BQ803"/>
      <c r="BR803"/>
      <c r="CD803"/>
      <c r="CE803"/>
      <c r="CF803"/>
      <c r="CQ803"/>
      <c r="CR803"/>
      <c r="CS803"/>
      <c r="DS803"/>
      <c r="DT803"/>
      <c r="DU803"/>
    </row>
    <row r="804" spans="1:125">
      <c r="A804"/>
      <c r="AJ804"/>
      <c r="AK804"/>
      <c r="AR804"/>
      <c r="AS804"/>
      <c r="AT804"/>
      <c r="AU804"/>
      <c r="AV804"/>
      <c r="AW804"/>
      <c r="AX804"/>
      <c r="AY804"/>
      <c r="AZ804"/>
      <c r="BA804"/>
      <c r="BB804"/>
      <c r="BC804"/>
      <c r="BD804"/>
      <c r="BE804"/>
      <c r="BL804"/>
      <c r="BP804"/>
      <c r="BQ804"/>
      <c r="BR804"/>
      <c r="CD804"/>
      <c r="CE804"/>
      <c r="CF804"/>
      <c r="CQ804"/>
      <c r="CR804"/>
      <c r="CS804"/>
      <c r="DS804"/>
      <c r="DT804"/>
      <c r="DU804"/>
    </row>
    <row r="805" spans="1:125">
      <c r="A805"/>
      <c r="AJ805"/>
      <c r="AK805"/>
      <c r="AR805"/>
      <c r="AS805"/>
      <c r="AT805"/>
      <c r="AU805"/>
      <c r="AV805"/>
      <c r="AW805"/>
      <c r="AX805"/>
      <c r="AY805"/>
      <c r="AZ805"/>
      <c r="BA805"/>
      <c r="BB805"/>
      <c r="BC805"/>
      <c r="BD805"/>
      <c r="BE805"/>
      <c r="BL805"/>
      <c r="BP805"/>
      <c r="BQ805"/>
      <c r="BR805"/>
      <c r="CD805"/>
      <c r="CE805"/>
      <c r="CF805"/>
      <c r="CQ805"/>
      <c r="CR805"/>
      <c r="CS805"/>
      <c r="DS805"/>
      <c r="DT805"/>
      <c r="DU805"/>
    </row>
    <row r="806" spans="1:125">
      <c r="A806"/>
      <c r="AJ806"/>
      <c r="AK806"/>
      <c r="AR806"/>
      <c r="AS806"/>
      <c r="AT806"/>
      <c r="AU806"/>
      <c r="AV806"/>
      <c r="AW806"/>
      <c r="AX806"/>
      <c r="AY806"/>
      <c r="AZ806"/>
      <c r="BA806"/>
      <c r="BB806"/>
      <c r="BC806"/>
      <c r="BD806"/>
      <c r="BE806"/>
      <c r="BL806"/>
      <c r="BP806"/>
      <c r="BQ806"/>
      <c r="BR806"/>
      <c r="CD806"/>
      <c r="CE806"/>
      <c r="CF806"/>
      <c r="CQ806"/>
      <c r="CR806"/>
      <c r="CS806"/>
      <c r="DS806"/>
      <c r="DT806"/>
      <c r="DU806"/>
    </row>
    <row r="807" spans="1:125">
      <c r="A807"/>
      <c r="AJ807"/>
      <c r="AK807"/>
      <c r="AR807"/>
      <c r="AS807"/>
      <c r="AT807"/>
      <c r="AU807"/>
      <c r="AV807"/>
      <c r="AW807"/>
      <c r="AX807"/>
      <c r="AY807"/>
      <c r="AZ807"/>
      <c r="BA807"/>
      <c r="BB807"/>
      <c r="BC807"/>
      <c r="BD807"/>
      <c r="BE807"/>
      <c r="BL807"/>
      <c r="BP807"/>
      <c r="BQ807"/>
      <c r="BR807"/>
      <c r="CD807"/>
      <c r="CE807"/>
      <c r="CF807"/>
      <c r="CQ807"/>
      <c r="CR807"/>
      <c r="CS807"/>
      <c r="DS807"/>
      <c r="DT807"/>
      <c r="DU807"/>
    </row>
    <row r="808" spans="1:125">
      <c r="A808"/>
      <c r="AJ808"/>
      <c r="AK808"/>
      <c r="AR808"/>
      <c r="AS808"/>
      <c r="AT808"/>
      <c r="AU808"/>
      <c r="AV808"/>
      <c r="AW808"/>
      <c r="AX808"/>
      <c r="AY808"/>
      <c r="AZ808"/>
      <c r="BA808"/>
      <c r="BB808"/>
      <c r="BC808"/>
      <c r="BD808"/>
      <c r="BE808"/>
      <c r="BL808"/>
      <c r="BP808"/>
      <c r="BQ808"/>
      <c r="BR808"/>
      <c r="CD808"/>
      <c r="CE808"/>
      <c r="CF808"/>
      <c r="CQ808"/>
      <c r="CR808"/>
      <c r="CS808"/>
      <c r="DS808"/>
      <c r="DT808"/>
      <c r="DU808"/>
    </row>
    <row r="809" spans="1:125">
      <c r="A809"/>
      <c r="AJ809"/>
      <c r="AK809"/>
      <c r="AR809"/>
      <c r="AS809"/>
      <c r="AT809"/>
      <c r="AU809"/>
      <c r="AV809"/>
      <c r="AW809"/>
      <c r="AX809"/>
      <c r="AY809"/>
      <c r="AZ809"/>
      <c r="BA809"/>
      <c r="BB809"/>
      <c r="BC809"/>
      <c r="BD809"/>
      <c r="BE809"/>
      <c r="BL809"/>
      <c r="BP809"/>
      <c r="BQ809"/>
      <c r="BR809"/>
      <c r="CD809"/>
      <c r="CE809"/>
      <c r="CF809"/>
      <c r="CQ809"/>
      <c r="CR809"/>
      <c r="CS809"/>
      <c r="DS809"/>
      <c r="DT809"/>
      <c r="DU809"/>
    </row>
    <row r="810" spans="1:125">
      <c r="A810"/>
      <c r="AJ810"/>
      <c r="AK810"/>
      <c r="AR810"/>
      <c r="AS810"/>
      <c r="AT810"/>
      <c r="AU810"/>
      <c r="AV810"/>
      <c r="AW810"/>
      <c r="AX810"/>
      <c r="AY810"/>
      <c r="AZ810"/>
      <c r="BA810"/>
      <c r="BB810"/>
      <c r="BC810"/>
      <c r="BD810"/>
      <c r="BE810"/>
      <c r="BL810"/>
      <c r="BP810"/>
      <c r="BQ810"/>
      <c r="BR810"/>
      <c r="CD810"/>
      <c r="CE810"/>
      <c r="CF810"/>
      <c r="CQ810"/>
      <c r="CR810"/>
      <c r="CS810"/>
      <c r="DS810"/>
      <c r="DT810"/>
      <c r="DU810"/>
    </row>
    <row r="811" spans="1:125">
      <c r="A811"/>
      <c r="AJ811"/>
      <c r="AK811"/>
      <c r="AR811"/>
      <c r="AS811"/>
      <c r="AT811"/>
      <c r="AU811"/>
      <c r="AV811"/>
      <c r="AW811"/>
      <c r="AX811"/>
      <c r="AY811"/>
      <c r="AZ811"/>
      <c r="BA811"/>
      <c r="BB811"/>
      <c r="BC811"/>
      <c r="BD811"/>
      <c r="BE811"/>
      <c r="BL811"/>
      <c r="BP811"/>
      <c r="BQ811"/>
      <c r="BR811"/>
      <c r="CD811"/>
      <c r="CE811"/>
      <c r="CF811"/>
      <c r="CQ811"/>
      <c r="CR811"/>
      <c r="CS811"/>
      <c r="DS811"/>
      <c r="DT811"/>
      <c r="DU811"/>
    </row>
    <row r="812" spans="1:125">
      <c r="A812"/>
      <c r="AJ812"/>
      <c r="AK812"/>
      <c r="AR812"/>
      <c r="AS812"/>
      <c r="AT812"/>
      <c r="AU812"/>
      <c r="AV812"/>
      <c r="AW812"/>
      <c r="AX812"/>
      <c r="AY812"/>
      <c r="AZ812"/>
      <c r="BA812"/>
      <c r="BB812"/>
      <c r="BC812"/>
      <c r="BD812"/>
      <c r="BE812"/>
      <c r="BL812"/>
      <c r="BP812"/>
      <c r="BQ812"/>
      <c r="BR812"/>
      <c r="CD812"/>
      <c r="CE812"/>
      <c r="CF812"/>
      <c r="CQ812"/>
      <c r="CR812"/>
      <c r="CS812"/>
      <c r="DS812"/>
      <c r="DT812"/>
      <c r="DU812"/>
    </row>
    <row r="813" spans="1:125">
      <c r="A813"/>
      <c r="AJ813"/>
      <c r="AK813"/>
      <c r="AR813"/>
      <c r="AS813"/>
      <c r="AT813"/>
      <c r="AU813"/>
      <c r="AV813"/>
      <c r="AW813"/>
      <c r="AX813"/>
      <c r="AY813"/>
      <c r="AZ813"/>
      <c r="BA813"/>
      <c r="BB813"/>
      <c r="BC813"/>
      <c r="BD813"/>
      <c r="BE813"/>
      <c r="BL813"/>
      <c r="BP813"/>
      <c r="BQ813"/>
      <c r="BR813"/>
      <c r="CD813"/>
      <c r="CE813"/>
      <c r="CF813"/>
      <c r="CQ813"/>
      <c r="CR813"/>
      <c r="CS813"/>
      <c r="DS813"/>
      <c r="DT813"/>
      <c r="DU813"/>
    </row>
    <row r="814" spans="1:125">
      <c r="A814"/>
      <c r="AJ814"/>
      <c r="AK814"/>
      <c r="AR814"/>
      <c r="AS814"/>
      <c r="AT814"/>
      <c r="AU814"/>
      <c r="AV814"/>
      <c r="AW814"/>
      <c r="AX814"/>
      <c r="AY814"/>
      <c r="AZ814"/>
      <c r="BA814"/>
      <c r="BB814"/>
      <c r="BC814"/>
      <c r="BD814"/>
      <c r="BE814"/>
      <c r="BL814"/>
      <c r="BP814"/>
      <c r="BQ814"/>
      <c r="BR814"/>
      <c r="CD814"/>
      <c r="CE814"/>
      <c r="CF814"/>
      <c r="CQ814"/>
      <c r="CR814"/>
      <c r="CS814"/>
      <c r="DS814"/>
      <c r="DT814"/>
      <c r="DU814"/>
    </row>
    <row r="815" spans="1:125">
      <c r="A815"/>
      <c r="AJ815"/>
      <c r="AK815"/>
      <c r="AR815"/>
      <c r="AS815"/>
      <c r="AT815"/>
      <c r="AU815"/>
      <c r="AV815"/>
      <c r="AW815"/>
      <c r="AX815"/>
      <c r="AY815"/>
      <c r="AZ815"/>
      <c r="BA815"/>
      <c r="BB815"/>
      <c r="BC815"/>
      <c r="BD815"/>
      <c r="BE815"/>
      <c r="BL815"/>
      <c r="BP815"/>
      <c r="BQ815"/>
      <c r="BR815"/>
      <c r="CD815"/>
      <c r="CE815"/>
      <c r="CF815"/>
      <c r="CQ815"/>
      <c r="CR815"/>
      <c r="CS815"/>
      <c r="DS815"/>
      <c r="DT815"/>
      <c r="DU815"/>
    </row>
    <row r="816" spans="1:125">
      <c r="A816"/>
      <c r="AJ816"/>
      <c r="AK816"/>
      <c r="AR816"/>
      <c r="AS816"/>
      <c r="AT816"/>
      <c r="AU816"/>
      <c r="AV816"/>
      <c r="AW816"/>
      <c r="AX816"/>
      <c r="AY816"/>
      <c r="AZ816"/>
      <c r="BA816"/>
      <c r="BB816"/>
      <c r="BC816"/>
      <c r="BD816"/>
      <c r="BE816"/>
      <c r="BL816"/>
      <c r="BP816"/>
      <c r="BQ816"/>
      <c r="BR816"/>
      <c r="CD816"/>
      <c r="CE816"/>
      <c r="CF816"/>
      <c r="CQ816"/>
      <c r="CR816"/>
      <c r="CS816"/>
      <c r="DS816"/>
      <c r="DT816"/>
      <c r="DU816"/>
    </row>
    <row r="817" spans="1:125">
      <c r="A817"/>
      <c r="AJ817"/>
      <c r="AK817"/>
      <c r="AR817"/>
      <c r="AS817"/>
      <c r="AT817"/>
      <c r="AU817"/>
      <c r="AV817"/>
      <c r="AW817"/>
      <c r="AX817"/>
      <c r="AY817"/>
      <c r="AZ817"/>
      <c r="BA817"/>
      <c r="BB817"/>
      <c r="BC817"/>
      <c r="BD817"/>
      <c r="BE817"/>
      <c r="BL817"/>
      <c r="BP817"/>
      <c r="BQ817"/>
      <c r="BR817"/>
      <c r="CD817"/>
      <c r="CE817"/>
      <c r="CF817"/>
      <c r="CQ817"/>
      <c r="CR817"/>
      <c r="CS817"/>
      <c r="DS817"/>
      <c r="DT817"/>
      <c r="DU817"/>
    </row>
    <row r="818" spans="1:125">
      <c r="A818"/>
      <c r="AJ818"/>
      <c r="AK818"/>
      <c r="AR818"/>
      <c r="AS818"/>
      <c r="AT818"/>
      <c r="AU818"/>
      <c r="AV818"/>
      <c r="AW818"/>
      <c r="AX818"/>
      <c r="AY818"/>
      <c r="AZ818"/>
      <c r="BA818"/>
      <c r="BB818"/>
      <c r="BC818"/>
      <c r="BD818"/>
      <c r="BE818"/>
      <c r="BL818"/>
      <c r="BP818"/>
      <c r="BQ818"/>
      <c r="BR818"/>
      <c r="CD818"/>
      <c r="CE818"/>
      <c r="CF818"/>
      <c r="CQ818"/>
      <c r="CR818"/>
      <c r="CS818"/>
      <c r="DS818"/>
      <c r="DT818"/>
      <c r="DU818"/>
    </row>
    <row r="819" spans="1:125">
      <c r="A819"/>
      <c r="AJ819"/>
      <c r="AK819"/>
      <c r="AR819"/>
      <c r="AS819"/>
      <c r="AT819"/>
      <c r="AU819"/>
      <c r="AV819"/>
      <c r="AW819"/>
      <c r="AX819"/>
      <c r="AY819"/>
      <c r="AZ819"/>
      <c r="BA819"/>
      <c r="BB819"/>
      <c r="BC819"/>
      <c r="BD819"/>
      <c r="BE819"/>
      <c r="BL819"/>
      <c r="BP819"/>
      <c r="BQ819"/>
      <c r="BR819"/>
      <c r="CD819"/>
      <c r="CE819"/>
      <c r="CF819"/>
      <c r="CQ819"/>
      <c r="CR819"/>
      <c r="CS819"/>
      <c r="DS819"/>
      <c r="DT819"/>
      <c r="DU819"/>
    </row>
    <row r="820" spans="1:125">
      <c r="A820"/>
      <c r="AJ820"/>
      <c r="AK820"/>
      <c r="AR820"/>
      <c r="AS820"/>
      <c r="AT820"/>
      <c r="AU820"/>
      <c r="AV820"/>
      <c r="AW820"/>
      <c r="AX820"/>
      <c r="AY820"/>
      <c r="AZ820"/>
      <c r="BA820"/>
      <c r="BB820"/>
      <c r="BC820"/>
      <c r="BD820"/>
      <c r="BE820"/>
      <c r="BL820"/>
      <c r="BP820"/>
      <c r="BQ820"/>
      <c r="BR820"/>
      <c r="CD820"/>
      <c r="CE820"/>
      <c r="CF820"/>
      <c r="CQ820"/>
      <c r="CR820"/>
      <c r="CS820"/>
      <c r="DS820"/>
      <c r="DT820"/>
      <c r="DU820"/>
    </row>
    <row r="821" spans="1:125">
      <c r="A821"/>
      <c r="AJ821"/>
      <c r="AK821"/>
      <c r="AR821"/>
      <c r="AS821"/>
      <c r="AT821"/>
      <c r="AU821"/>
      <c r="AV821"/>
      <c r="AW821"/>
      <c r="AX821"/>
      <c r="AY821"/>
      <c r="AZ821"/>
      <c r="BA821"/>
      <c r="BB821"/>
      <c r="BC821"/>
      <c r="BD821"/>
      <c r="BE821"/>
      <c r="BL821"/>
      <c r="BP821"/>
      <c r="BQ821"/>
      <c r="BR821"/>
      <c r="CD821"/>
      <c r="CE821"/>
      <c r="CF821"/>
      <c r="CQ821"/>
      <c r="CR821"/>
      <c r="CS821"/>
      <c r="DS821"/>
      <c r="DT821"/>
      <c r="DU821"/>
    </row>
    <row r="822" spans="1:125">
      <c r="A822"/>
      <c r="AJ822"/>
      <c r="AK822"/>
      <c r="AR822"/>
      <c r="AS822"/>
      <c r="AT822"/>
      <c r="AU822"/>
      <c r="AV822"/>
      <c r="AW822"/>
      <c r="AX822"/>
      <c r="AY822"/>
      <c r="AZ822"/>
      <c r="BA822"/>
      <c r="BB822"/>
      <c r="BC822"/>
      <c r="BD822"/>
      <c r="BE822"/>
      <c r="BL822"/>
      <c r="BP822"/>
      <c r="BQ822"/>
      <c r="BR822"/>
      <c r="CD822"/>
      <c r="CE822"/>
      <c r="CF822"/>
      <c r="CQ822"/>
      <c r="CR822"/>
      <c r="CS822"/>
      <c r="DS822"/>
      <c r="DT822"/>
      <c r="DU822"/>
    </row>
    <row r="823" spans="1:125">
      <c r="A823"/>
      <c r="AJ823"/>
      <c r="AK823"/>
      <c r="AR823"/>
      <c r="AS823"/>
      <c r="AT823"/>
      <c r="AU823"/>
      <c r="AV823"/>
      <c r="AW823"/>
      <c r="AX823"/>
      <c r="AY823"/>
      <c r="AZ823"/>
      <c r="BA823"/>
      <c r="BB823"/>
      <c r="BC823"/>
      <c r="BD823"/>
      <c r="BE823"/>
      <c r="BL823"/>
      <c r="BP823"/>
      <c r="BQ823"/>
      <c r="BR823"/>
      <c r="CD823"/>
      <c r="CE823"/>
      <c r="CF823"/>
      <c r="CQ823"/>
      <c r="CR823"/>
      <c r="CS823"/>
      <c r="DS823"/>
      <c r="DT823"/>
      <c r="DU823"/>
    </row>
    <row r="824" spans="1:125">
      <c r="A824"/>
      <c r="AJ824"/>
      <c r="AK824"/>
      <c r="AR824"/>
      <c r="AS824"/>
      <c r="AT824"/>
      <c r="AU824"/>
      <c r="AV824"/>
      <c r="AW824"/>
      <c r="AX824"/>
      <c r="AY824"/>
      <c r="AZ824"/>
      <c r="BA824"/>
      <c r="BB824"/>
      <c r="BC824"/>
      <c r="BD824"/>
      <c r="BE824"/>
      <c r="BL824"/>
      <c r="BP824"/>
      <c r="BQ824"/>
      <c r="BR824"/>
      <c r="CD824"/>
      <c r="CE824"/>
      <c r="CF824"/>
      <c r="CQ824"/>
      <c r="CR824"/>
      <c r="CS824"/>
      <c r="DS824"/>
      <c r="DT824"/>
      <c r="DU824"/>
    </row>
    <row r="825" spans="1:125">
      <c r="A825"/>
      <c r="AJ825"/>
      <c r="AK825"/>
      <c r="AR825"/>
      <c r="AS825"/>
      <c r="AT825"/>
      <c r="AU825"/>
      <c r="AV825"/>
      <c r="AW825"/>
      <c r="AX825"/>
      <c r="AY825"/>
      <c r="AZ825"/>
      <c r="BA825"/>
      <c r="BB825"/>
      <c r="BC825"/>
      <c r="BD825"/>
      <c r="BE825"/>
      <c r="BL825"/>
      <c r="BP825"/>
      <c r="BQ825"/>
      <c r="BR825"/>
      <c r="CD825"/>
      <c r="CE825"/>
      <c r="CF825"/>
      <c r="CQ825"/>
      <c r="CR825"/>
      <c r="CS825"/>
      <c r="DS825"/>
      <c r="DT825"/>
      <c r="DU825"/>
    </row>
    <row r="826" spans="1:125">
      <c r="A826"/>
      <c r="AJ826"/>
      <c r="AK826"/>
      <c r="AR826"/>
      <c r="AS826"/>
      <c r="AT826"/>
      <c r="AU826"/>
      <c r="AV826"/>
      <c r="AW826"/>
      <c r="AX826"/>
      <c r="AY826"/>
      <c r="AZ826"/>
      <c r="BA826"/>
      <c r="BB826"/>
      <c r="BC826"/>
      <c r="BD826"/>
      <c r="BE826"/>
      <c r="BL826"/>
      <c r="BP826"/>
      <c r="BQ826"/>
      <c r="BR826"/>
      <c r="CD826"/>
      <c r="CE826"/>
      <c r="CF826"/>
      <c r="CQ826"/>
      <c r="CR826"/>
      <c r="CS826"/>
      <c r="DS826"/>
      <c r="DT826"/>
      <c r="DU826"/>
    </row>
    <row r="827" spans="1:125">
      <c r="A827"/>
      <c r="AJ827"/>
      <c r="AK827"/>
      <c r="AR827"/>
      <c r="AS827"/>
      <c r="AT827"/>
      <c r="AU827"/>
      <c r="AV827"/>
      <c r="AW827"/>
      <c r="AX827"/>
      <c r="AY827"/>
      <c r="AZ827"/>
      <c r="BA827"/>
      <c r="BB827"/>
      <c r="BC827"/>
      <c r="BD827"/>
      <c r="BE827"/>
      <c r="BL827"/>
      <c r="BP827"/>
      <c r="BQ827"/>
      <c r="BR827"/>
      <c r="CD827"/>
      <c r="CE827"/>
      <c r="CF827"/>
      <c r="CQ827"/>
      <c r="CR827"/>
      <c r="CS827"/>
      <c r="DS827"/>
      <c r="DT827"/>
      <c r="DU827"/>
    </row>
    <row r="828" spans="1:125">
      <c r="A828"/>
      <c r="AJ828"/>
      <c r="AK828"/>
      <c r="AR828"/>
      <c r="AS828"/>
      <c r="AT828"/>
      <c r="AU828"/>
      <c r="AV828"/>
      <c r="AW828"/>
      <c r="AX828"/>
      <c r="AY828"/>
      <c r="AZ828"/>
      <c r="BA828"/>
      <c r="BB828"/>
      <c r="BC828"/>
      <c r="BD828"/>
      <c r="BE828"/>
      <c r="BL828"/>
      <c r="BP828"/>
      <c r="BQ828"/>
      <c r="BR828"/>
      <c r="CD828"/>
      <c r="CE828"/>
      <c r="CF828"/>
      <c r="CQ828"/>
      <c r="CR828"/>
      <c r="CS828"/>
      <c r="DS828"/>
      <c r="DT828"/>
      <c r="DU828"/>
    </row>
    <row r="829" spans="1:125">
      <c r="A829"/>
      <c r="AJ829"/>
      <c r="AK829"/>
      <c r="AR829"/>
      <c r="AS829"/>
      <c r="AT829"/>
      <c r="AU829"/>
      <c r="AV829"/>
      <c r="AW829"/>
      <c r="AX829"/>
      <c r="AY829"/>
      <c r="AZ829"/>
      <c r="BA829"/>
      <c r="BB829"/>
      <c r="BC829"/>
      <c r="BD829"/>
      <c r="BE829"/>
      <c r="BL829"/>
      <c r="BP829"/>
      <c r="BQ829"/>
      <c r="BR829"/>
      <c r="CD829"/>
      <c r="CE829"/>
      <c r="CF829"/>
      <c r="CQ829"/>
      <c r="CR829"/>
      <c r="CS829"/>
      <c r="DS829"/>
      <c r="DT829"/>
      <c r="DU829"/>
    </row>
    <row r="830" spans="1:125">
      <c r="A830"/>
      <c r="AJ830"/>
      <c r="AK830"/>
      <c r="AR830"/>
      <c r="AS830"/>
      <c r="AT830"/>
      <c r="AU830"/>
      <c r="AV830"/>
      <c r="AW830"/>
      <c r="AX830"/>
      <c r="AY830"/>
      <c r="AZ830"/>
      <c r="BA830"/>
      <c r="BB830"/>
      <c r="BC830"/>
      <c r="BD830"/>
      <c r="BE830"/>
      <c r="BL830"/>
      <c r="BP830"/>
      <c r="BQ830"/>
      <c r="BR830"/>
      <c r="CD830"/>
      <c r="CE830"/>
      <c r="CF830"/>
      <c r="CQ830"/>
      <c r="CR830"/>
      <c r="CS830"/>
      <c r="DS830"/>
      <c r="DT830"/>
      <c r="DU830"/>
    </row>
    <row r="831" spans="1:125">
      <c r="A831"/>
      <c r="AJ831"/>
      <c r="AK831"/>
      <c r="AR831"/>
      <c r="AS831"/>
      <c r="AT831"/>
      <c r="AU831"/>
      <c r="AV831"/>
      <c r="AW831"/>
      <c r="AX831"/>
      <c r="AY831"/>
      <c r="AZ831"/>
      <c r="BA831"/>
      <c r="BB831"/>
      <c r="BC831"/>
      <c r="BD831"/>
      <c r="BE831"/>
      <c r="BL831"/>
      <c r="BP831"/>
      <c r="BQ831"/>
      <c r="BR831"/>
      <c r="CD831"/>
      <c r="CE831"/>
      <c r="CF831"/>
      <c r="CQ831"/>
      <c r="CR831"/>
      <c r="CS831"/>
      <c r="DS831"/>
      <c r="DT831"/>
      <c r="DU831"/>
    </row>
    <row r="832" spans="1:125">
      <c r="A832"/>
      <c r="AJ832"/>
      <c r="AK832"/>
      <c r="AR832"/>
      <c r="AS832"/>
      <c r="AT832"/>
      <c r="AU832"/>
      <c r="AV832"/>
      <c r="AW832"/>
      <c r="AX832"/>
      <c r="AY832"/>
      <c r="AZ832"/>
      <c r="BA832"/>
      <c r="BB832"/>
      <c r="BC832"/>
      <c r="BD832"/>
      <c r="BE832"/>
      <c r="BL832"/>
      <c r="BP832"/>
      <c r="BQ832"/>
      <c r="BR832"/>
      <c r="CD832"/>
      <c r="CE832"/>
      <c r="CF832"/>
      <c r="CQ832"/>
      <c r="CR832"/>
      <c r="CS832"/>
      <c r="DS832"/>
      <c r="DT832"/>
      <c r="DU832"/>
    </row>
    <row r="833" spans="1:125">
      <c r="A833"/>
      <c r="AJ833"/>
      <c r="AK833"/>
      <c r="AR833"/>
      <c r="AS833"/>
      <c r="AT833"/>
      <c r="AU833"/>
      <c r="AV833"/>
      <c r="AW833"/>
      <c r="AX833"/>
      <c r="AY833"/>
      <c r="AZ833"/>
      <c r="BA833"/>
      <c r="BB833"/>
      <c r="BC833"/>
      <c r="BD833"/>
      <c r="BE833"/>
      <c r="BL833"/>
      <c r="BP833"/>
      <c r="BQ833"/>
      <c r="BR833"/>
      <c r="CD833"/>
      <c r="CE833"/>
      <c r="CF833"/>
      <c r="CQ833"/>
      <c r="CR833"/>
      <c r="CS833"/>
      <c r="DS833"/>
      <c r="DT833"/>
      <c r="DU833"/>
    </row>
    <row r="834" spans="1:125">
      <c r="A834"/>
      <c r="AJ834"/>
      <c r="AK834"/>
      <c r="AR834"/>
      <c r="AS834"/>
      <c r="AT834"/>
      <c r="AU834"/>
      <c r="AV834"/>
      <c r="AW834"/>
      <c r="AX834"/>
      <c r="AY834"/>
      <c r="AZ834"/>
      <c r="BA834"/>
      <c r="BB834"/>
      <c r="BC834"/>
      <c r="BD834"/>
      <c r="BE834"/>
      <c r="BL834"/>
      <c r="BP834"/>
      <c r="BQ834"/>
      <c r="BR834"/>
      <c r="CD834"/>
      <c r="CE834"/>
      <c r="CF834"/>
      <c r="CQ834"/>
      <c r="CR834"/>
      <c r="CS834"/>
      <c r="DS834"/>
      <c r="DT834"/>
      <c r="DU834"/>
    </row>
    <row r="835" spans="1:125">
      <c r="A835"/>
      <c r="AJ835"/>
      <c r="AK835"/>
      <c r="AR835"/>
      <c r="AS835"/>
      <c r="AT835"/>
      <c r="AU835"/>
      <c r="AV835"/>
      <c r="AW835"/>
      <c r="AX835"/>
      <c r="AY835"/>
      <c r="AZ835"/>
      <c r="BA835"/>
      <c r="BB835"/>
      <c r="BC835"/>
      <c r="BD835"/>
      <c r="BE835"/>
      <c r="BL835"/>
      <c r="BP835"/>
      <c r="BQ835"/>
      <c r="BR835"/>
      <c r="CD835"/>
      <c r="CE835"/>
      <c r="CF835"/>
      <c r="CQ835"/>
      <c r="CR835"/>
      <c r="CS835"/>
      <c r="DS835"/>
      <c r="DT835"/>
      <c r="DU835"/>
    </row>
    <row r="836" spans="1:125">
      <c r="A836"/>
      <c r="AJ836"/>
      <c r="AK836"/>
      <c r="AR836"/>
      <c r="AS836"/>
      <c r="AT836"/>
      <c r="AU836"/>
      <c r="AV836"/>
      <c r="AW836"/>
      <c r="AX836"/>
      <c r="AY836"/>
      <c r="AZ836"/>
      <c r="BA836"/>
      <c r="BB836"/>
      <c r="BC836"/>
      <c r="BD836"/>
      <c r="BE836"/>
      <c r="BL836"/>
      <c r="BP836"/>
      <c r="BQ836"/>
      <c r="BR836"/>
      <c r="CD836"/>
      <c r="CE836"/>
      <c r="CF836"/>
      <c r="CQ836"/>
      <c r="CR836"/>
      <c r="CS836"/>
      <c r="DS836"/>
      <c r="DT836"/>
      <c r="DU836"/>
    </row>
    <row r="837" spans="1:125">
      <c r="A837"/>
      <c r="AJ837"/>
      <c r="AK837"/>
      <c r="AR837"/>
      <c r="AS837"/>
      <c r="AT837"/>
      <c r="AU837"/>
      <c r="AV837"/>
      <c r="AW837"/>
      <c r="AX837"/>
      <c r="AY837"/>
      <c r="AZ837"/>
      <c r="BA837"/>
      <c r="BB837"/>
      <c r="BC837"/>
      <c r="BD837"/>
      <c r="BE837"/>
      <c r="BL837"/>
      <c r="BP837"/>
      <c r="BQ837"/>
      <c r="BR837"/>
      <c r="CD837"/>
      <c r="CE837"/>
      <c r="CF837"/>
      <c r="CQ837"/>
      <c r="CR837"/>
      <c r="CS837"/>
      <c r="DS837"/>
      <c r="DT837"/>
      <c r="DU837"/>
    </row>
    <row r="838" spans="1:125">
      <c r="A838"/>
      <c r="AJ838"/>
      <c r="AK838"/>
      <c r="AR838"/>
      <c r="AS838"/>
      <c r="AT838"/>
      <c r="AU838"/>
      <c r="AV838"/>
      <c r="AW838"/>
      <c r="AX838"/>
      <c r="AY838"/>
      <c r="AZ838"/>
      <c r="BA838"/>
      <c r="BB838"/>
      <c r="BC838"/>
      <c r="BD838"/>
      <c r="BE838"/>
      <c r="BL838"/>
      <c r="BP838"/>
      <c r="BQ838"/>
      <c r="BR838"/>
      <c r="CD838"/>
      <c r="CE838"/>
      <c r="CF838"/>
      <c r="CQ838"/>
      <c r="CR838"/>
      <c r="CS838"/>
      <c r="DS838"/>
      <c r="DT838"/>
      <c r="DU838"/>
    </row>
    <row r="839" spans="1:125">
      <c r="A839"/>
      <c r="AJ839"/>
      <c r="AK839"/>
      <c r="AR839"/>
      <c r="AS839"/>
      <c r="AT839"/>
      <c r="AU839"/>
      <c r="AV839"/>
      <c r="AW839"/>
      <c r="AX839"/>
      <c r="AY839"/>
      <c r="AZ839"/>
      <c r="BA839"/>
      <c r="BB839"/>
      <c r="BC839"/>
      <c r="BD839"/>
      <c r="BE839"/>
      <c r="BL839"/>
      <c r="BP839"/>
      <c r="BQ839"/>
      <c r="BR839"/>
      <c r="CD839"/>
      <c r="CE839"/>
      <c r="CF839"/>
      <c r="CQ839"/>
      <c r="CR839"/>
      <c r="CS839"/>
      <c r="DS839"/>
      <c r="DT839"/>
      <c r="DU839"/>
    </row>
    <row r="840" spans="1:125">
      <c r="A840"/>
      <c r="AJ840"/>
      <c r="AK840"/>
      <c r="AR840"/>
      <c r="AS840"/>
      <c r="AT840"/>
      <c r="AU840"/>
      <c r="AV840"/>
      <c r="AW840"/>
      <c r="AX840"/>
      <c r="AY840"/>
      <c r="AZ840"/>
      <c r="BA840"/>
      <c r="BB840"/>
      <c r="BC840"/>
      <c r="BD840"/>
      <c r="BE840"/>
      <c r="BL840"/>
      <c r="BP840"/>
      <c r="BQ840"/>
      <c r="BR840"/>
      <c r="CD840"/>
      <c r="CE840"/>
      <c r="CF840"/>
      <c r="CQ840"/>
      <c r="CR840"/>
      <c r="CS840"/>
      <c r="DS840"/>
      <c r="DT840"/>
      <c r="DU840"/>
    </row>
    <row r="841" spans="1:125">
      <c r="A841"/>
      <c r="AJ841"/>
      <c r="AK841"/>
      <c r="AR841"/>
      <c r="AS841"/>
      <c r="AT841"/>
      <c r="AU841"/>
      <c r="AV841"/>
      <c r="AW841"/>
      <c r="AX841"/>
      <c r="AY841"/>
      <c r="AZ841"/>
      <c r="BA841"/>
      <c r="BB841"/>
      <c r="BC841"/>
      <c r="BD841"/>
      <c r="BE841"/>
      <c r="BL841"/>
      <c r="BP841"/>
      <c r="BQ841"/>
      <c r="BR841"/>
      <c r="CD841"/>
      <c r="CE841"/>
      <c r="CF841"/>
      <c r="CQ841"/>
      <c r="CR841"/>
      <c r="CS841"/>
      <c r="DS841"/>
      <c r="DT841"/>
      <c r="DU841"/>
    </row>
    <row r="842" spans="1:125">
      <c r="A842"/>
      <c r="AJ842"/>
      <c r="AK842"/>
      <c r="AR842"/>
      <c r="AS842"/>
      <c r="AT842"/>
      <c r="AU842"/>
      <c r="AV842"/>
      <c r="AW842"/>
      <c r="AX842"/>
      <c r="AY842"/>
      <c r="AZ842"/>
      <c r="BA842"/>
      <c r="BB842"/>
      <c r="BC842"/>
      <c r="BD842"/>
      <c r="BE842"/>
      <c r="BL842"/>
      <c r="BP842"/>
      <c r="BQ842"/>
      <c r="BR842"/>
      <c r="CD842"/>
      <c r="CE842"/>
      <c r="CF842"/>
      <c r="CQ842"/>
      <c r="CR842"/>
      <c r="CS842"/>
      <c r="DS842"/>
      <c r="DT842"/>
      <c r="DU842"/>
    </row>
    <row r="843" spans="1:125">
      <c r="A843"/>
      <c r="AJ843"/>
      <c r="AK843"/>
      <c r="AR843"/>
      <c r="AS843"/>
      <c r="AT843"/>
      <c r="AU843"/>
      <c r="AV843"/>
      <c r="AW843"/>
      <c r="AX843"/>
      <c r="AY843"/>
      <c r="AZ843"/>
      <c r="BA843"/>
      <c r="BB843"/>
      <c r="BC843"/>
      <c r="BD843"/>
      <c r="BE843"/>
      <c r="BL843"/>
      <c r="BP843"/>
      <c r="BQ843"/>
      <c r="BR843"/>
      <c r="CD843"/>
      <c r="CE843"/>
      <c r="CF843"/>
      <c r="CQ843"/>
      <c r="CR843"/>
      <c r="CS843"/>
      <c r="DS843"/>
      <c r="DT843"/>
      <c r="DU843"/>
    </row>
    <row r="844" spans="1:125">
      <c r="A844"/>
      <c r="AJ844"/>
      <c r="AK844"/>
      <c r="AR844"/>
      <c r="AS844"/>
      <c r="AT844"/>
      <c r="AU844"/>
      <c r="AV844"/>
      <c r="AW844"/>
      <c r="AX844"/>
      <c r="AY844"/>
      <c r="AZ844"/>
      <c r="BA844"/>
      <c r="BB844"/>
      <c r="BC844"/>
      <c r="BD844"/>
      <c r="BE844"/>
      <c r="BL844"/>
      <c r="BP844"/>
      <c r="BQ844"/>
      <c r="BR844"/>
      <c r="CD844"/>
      <c r="CE844"/>
      <c r="CF844"/>
      <c r="CQ844"/>
      <c r="CR844"/>
      <c r="CS844"/>
      <c r="DS844"/>
      <c r="DT844"/>
      <c r="DU844"/>
    </row>
    <row r="845" spans="1:125">
      <c r="A845"/>
      <c r="AJ845"/>
      <c r="AK845"/>
      <c r="AR845"/>
      <c r="AS845"/>
      <c r="AT845"/>
      <c r="AU845"/>
      <c r="AV845"/>
      <c r="AW845"/>
      <c r="AX845"/>
      <c r="AY845"/>
      <c r="AZ845"/>
      <c r="BA845"/>
      <c r="BB845"/>
      <c r="BC845"/>
      <c r="BD845"/>
      <c r="BE845"/>
      <c r="BL845"/>
      <c r="BP845"/>
      <c r="BQ845"/>
      <c r="BR845"/>
      <c r="CD845"/>
      <c r="CE845"/>
      <c r="CF845"/>
      <c r="CQ845"/>
      <c r="CR845"/>
      <c r="CS845"/>
      <c r="DS845"/>
      <c r="DT845"/>
      <c r="DU845"/>
    </row>
    <row r="846" spans="1:125">
      <c r="A846"/>
      <c r="AJ846"/>
      <c r="AK846"/>
      <c r="AR846"/>
      <c r="AS846"/>
      <c r="AT846"/>
      <c r="AU846"/>
      <c r="AV846"/>
      <c r="AW846"/>
      <c r="AX846"/>
      <c r="AY846"/>
      <c r="AZ846"/>
      <c r="BA846"/>
      <c r="BB846"/>
      <c r="BC846"/>
      <c r="BD846"/>
      <c r="BE846"/>
      <c r="BL846"/>
      <c r="BP846"/>
      <c r="BQ846"/>
      <c r="BR846"/>
      <c r="CD846"/>
      <c r="CE846"/>
      <c r="CF846"/>
      <c r="CQ846"/>
      <c r="CR846"/>
      <c r="CS846"/>
      <c r="DS846"/>
      <c r="DT846"/>
      <c r="DU846"/>
    </row>
    <row r="847" spans="1:125">
      <c r="A847"/>
      <c r="AJ847"/>
      <c r="AK847"/>
      <c r="AR847"/>
      <c r="AS847"/>
      <c r="AT847"/>
      <c r="AU847"/>
      <c r="AV847"/>
      <c r="AW847"/>
      <c r="AX847"/>
      <c r="AY847"/>
      <c r="AZ847"/>
      <c r="BA847"/>
      <c r="BB847"/>
      <c r="BC847"/>
      <c r="BD847"/>
      <c r="BE847"/>
      <c r="BL847"/>
      <c r="BP847"/>
      <c r="BQ847"/>
      <c r="BR847"/>
      <c r="CD847"/>
      <c r="CE847"/>
      <c r="CF847"/>
      <c r="CQ847"/>
      <c r="CR847"/>
      <c r="CS847"/>
      <c r="DS847"/>
      <c r="DT847"/>
      <c r="DU847"/>
    </row>
    <row r="848" spans="1:125">
      <c r="A848"/>
      <c r="AJ848"/>
      <c r="AK848"/>
      <c r="AR848"/>
      <c r="AS848"/>
      <c r="AT848"/>
      <c r="AU848"/>
      <c r="AV848"/>
      <c r="AW848"/>
      <c r="AX848"/>
      <c r="AY848"/>
      <c r="AZ848"/>
      <c r="BA848"/>
      <c r="BB848"/>
      <c r="BC848"/>
      <c r="BD848"/>
      <c r="BE848"/>
      <c r="BL848"/>
      <c r="BP848"/>
      <c r="BQ848"/>
      <c r="BR848"/>
      <c r="CD848"/>
      <c r="CE848"/>
      <c r="CF848"/>
      <c r="CQ848"/>
      <c r="CR848"/>
      <c r="CS848"/>
      <c r="DS848"/>
      <c r="DT848"/>
      <c r="DU848"/>
    </row>
    <row r="849" spans="1:125">
      <c r="A849"/>
      <c r="AJ849"/>
      <c r="AK849"/>
      <c r="AR849"/>
      <c r="AS849"/>
      <c r="AT849"/>
      <c r="AU849"/>
      <c r="AV849"/>
      <c r="AW849"/>
      <c r="AX849"/>
      <c r="AY849"/>
      <c r="AZ849"/>
      <c r="BA849"/>
      <c r="BB849"/>
      <c r="BC849"/>
      <c r="BD849"/>
      <c r="BE849"/>
      <c r="BL849"/>
      <c r="BP849"/>
      <c r="BQ849"/>
      <c r="BR849"/>
      <c r="CD849"/>
      <c r="CE849"/>
      <c r="CF849"/>
      <c r="CQ849"/>
      <c r="CR849"/>
      <c r="CS849"/>
      <c r="DS849"/>
      <c r="DT849"/>
      <c r="DU849"/>
    </row>
    <row r="850" spans="1:125">
      <c r="A850"/>
      <c r="AJ850"/>
      <c r="AK850"/>
      <c r="AR850"/>
      <c r="AS850"/>
      <c r="AT850"/>
      <c r="AU850"/>
      <c r="AV850"/>
      <c r="AW850"/>
      <c r="AX850"/>
      <c r="AY850"/>
      <c r="AZ850"/>
      <c r="BA850"/>
      <c r="BB850"/>
      <c r="BC850"/>
      <c r="BD850"/>
      <c r="BE850"/>
      <c r="BL850"/>
      <c r="BP850"/>
      <c r="BQ850"/>
      <c r="BR850"/>
      <c r="CD850"/>
      <c r="CE850"/>
      <c r="CF850"/>
      <c r="CQ850"/>
      <c r="CR850"/>
      <c r="CS850"/>
      <c r="DS850"/>
      <c r="DT850"/>
      <c r="DU850"/>
    </row>
    <row r="851" spans="1:125">
      <c r="A851"/>
      <c r="AJ851"/>
      <c r="AK851"/>
      <c r="AR851"/>
      <c r="AS851"/>
      <c r="AT851"/>
      <c r="AU851"/>
      <c r="AV851"/>
      <c r="AW851"/>
      <c r="AX851"/>
      <c r="AY851"/>
      <c r="AZ851"/>
      <c r="BA851"/>
      <c r="BB851"/>
      <c r="BC851"/>
      <c r="BD851"/>
      <c r="BE851"/>
      <c r="BL851"/>
      <c r="BP851"/>
      <c r="BQ851"/>
      <c r="BR851"/>
      <c r="CD851"/>
      <c r="CE851"/>
      <c r="CF851"/>
      <c r="CQ851"/>
      <c r="CR851"/>
      <c r="CS851"/>
      <c r="DS851"/>
      <c r="DT851"/>
      <c r="DU851"/>
    </row>
    <row r="852" spans="1:125">
      <c r="A852"/>
      <c r="AJ852"/>
      <c r="AK852"/>
      <c r="AR852"/>
      <c r="AS852"/>
      <c r="AT852"/>
      <c r="AU852"/>
      <c r="AV852"/>
      <c r="AW852"/>
      <c r="AX852"/>
      <c r="AY852"/>
      <c r="AZ852"/>
      <c r="BA852"/>
      <c r="BB852"/>
      <c r="BC852"/>
      <c r="BD852"/>
      <c r="BE852"/>
      <c r="BL852"/>
      <c r="BP852"/>
      <c r="BQ852"/>
      <c r="BR852"/>
      <c r="CD852"/>
      <c r="CE852"/>
      <c r="CF852"/>
      <c r="CQ852"/>
      <c r="CR852"/>
      <c r="CS852"/>
      <c r="DS852"/>
      <c r="DT852"/>
      <c r="DU852"/>
    </row>
    <row r="853" spans="1:125">
      <c r="A853"/>
      <c r="AJ853"/>
      <c r="AK853"/>
      <c r="AR853"/>
      <c r="AS853"/>
      <c r="AT853"/>
      <c r="AU853"/>
      <c r="AV853"/>
      <c r="AW853"/>
      <c r="AX853"/>
      <c r="AY853"/>
      <c r="AZ853"/>
      <c r="BA853"/>
      <c r="BB853"/>
      <c r="BC853"/>
      <c r="BD853"/>
      <c r="BE853"/>
      <c r="BL853"/>
      <c r="BP853"/>
      <c r="BQ853"/>
      <c r="BR853"/>
      <c r="CD853"/>
      <c r="CE853"/>
      <c r="CF853"/>
      <c r="CQ853"/>
      <c r="CR853"/>
      <c r="CS853"/>
      <c r="DS853"/>
      <c r="DT853"/>
      <c r="DU853"/>
    </row>
    <row r="854" spans="1:125">
      <c r="A854"/>
      <c r="AJ854"/>
      <c r="AK854"/>
      <c r="AR854"/>
      <c r="AS854"/>
      <c r="AT854"/>
      <c r="AU854"/>
      <c r="AV854"/>
      <c r="AW854"/>
      <c r="AX854"/>
      <c r="AY854"/>
      <c r="AZ854"/>
      <c r="BA854"/>
      <c r="BB854"/>
      <c r="BC854"/>
      <c r="BD854"/>
      <c r="BE854"/>
      <c r="BL854"/>
      <c r="BP854"/>
      <c r="BQ854"/>
      <c r="BR854"/>
      <c r="CD854"/>
      <c r="CE854"/>
      <c r="CF854"/>
      <c r="CQ854"/>
      <c r="CR854"/>
      <c r="CS854"/>
      <c r="DS854"/>
      <c r="DT854"/>
      <c r="DU854"/>
    </row>
    <row r="855" spans="1:125">
      <c r="A855"/>
      <c r="AJ855"/>
      <c r="AK855"/>
      <c r="AR855"/>
      <c r="AS855"/>
      <c r="AT855"/>
      <c r="AU855"/>
      <c r="AV855"/>
      <c r="AW855"/>
      <c r="AX855"/>
      <c r="AY855"/>
      <c r="AZ855"/>
      <c r="BA855"/>
      <c r="BB855"/>
      <c r="BC855"/>
      <c r="BD855"/>
      <c r="BE855"/>
      <c r="BL855"/>
      <c r="BP855"/>
      <c r="BQ855"/>
      <c r="BR855"/>
      <c r="CD855"/>
      <c r="CE855"/>
      <c r="CF855"/>
      <c r="CQ855"/>
      <c r="CR855"/>
      <c r="CS855"/>
      <c r="DS855"/>
      <c r="DT855"/>
      <c r="DU855"/>
    </row>
    <row r="856" spans="1:125">
      <c r="A856"/>
      <c r="AJ856"/>
      <c r="AK856"/>
      <c r="AR856"/>
      <c r="AS856"/>
      <c r="AT856"/>
      <c r="AU856"/>
      <c r="AV856"/>
      <c r="AW856"/>
      <c r="AX856"/>
      <c r="AY856"/>
      <c r="AZ856"/>
      <c r="BA856"/>
      <c r="BB856"/>
      <c r="BC856"/>
      <c r="BD856"/>
      <c r="BE856"/>
      <c r="BL856"/>
      <c r="BP856"/>
      <c r="BQ856"/>
      <c r="BR856"/>
      <c r="CD856"/>
      <c r="CE856"/>
      <c r="CF856"/>
      <c r="CQ856"/>
      <c r="CR856"/>
      <c r="CS856"/>
      <c r="DS856"/>
      <c r="DT856"/>
      <c r="DU856"/>
    </row>
    <row r="857" spans="1:125">
      <c r="A857"/>
      <c r="AJ857"/>
      <c r="AK857"/>
      <c r="AR857"/>
      <c r="AS857"/>
      <c r="AT857"/>
      <c r="AU857"/>
      <c r="AV857"/>
      <c r="AW857"/>
      <c r="AX857"/>
      <c r="AY857"/>
      <c r="AZ857"/>
      <c r="BA857"/>
      <c r="BB857"/>
      <c r="BC857"/>
      <c r="BD857"/>
      <c r="BE857"/>
      <c r="BL857"/>
      <c r="BP857"/>
      <c r="BQ857"/>
      <c r="BR857"/>
      <c r="CD857"/>
      <c r="CE857"/>
      <c r="CF857"/>
      <c r="CQ857"/>
      <c r="CR857"/>
      <c r="CS857"/>
      <c r="DS857"/>
      <c r="DT857"/>
      <c r="DU857"/>
    </row>
    <row r="858" spans="1:125">
      <c r="A858"/>
      <c r="AJ858"/>
      <c r="AK858"/>
      <c r="AR858"/>
      <c r="AS858"/>
      <c r="AT858"/>
      <c r="AU858"/>
      <c r="AV858"/>
      <c r="AW858"/>
      <c r="AX858"/>
      <c r="AY858"/>
      <c r="AZ858"/>
      <c r="BA858"/>
      <c r="BB858"/>
      <c r="BC858"/>
      <c r="BD858"/>
      <c r="BE858"/>
      <c r="BL858"/>
      <c r="BP858"/>
      <c r="BQ858"/>
      <c r="BR858"/>
      <c r="CD858"/>
      <c r="CE858"/>
      <c r="CF858"/>
      <c r="CQ858"/>
      <c r="CR858"/>
      <c r="CS858"/>
      <c r="DS858"/>
      <c r="DT858"/>
      <c r="DU858"/>
    </row>
    <row r="859" spans="1:125">
      <c r="A859"/>
      <c r="AJ859"/>
      <c r="AK859"/>
      <c r="AR859"/>
      <c r="AS859"/>
      <c r="AT859"/>
      <c r="AU859"/>
      <c r="AV859"/>
      <c r="AW859"/>
      <c r="AX859"/>
      <c r="AY859"/>
      <c r="AZ859"/>
      <c r="BA859"/>
      <c r="BB859"/>
      <c r="BC859"/>
      <c r="BD859"/>
      <c r="BE859"/>
      <c r="BL859"/>
      <c r="BP859"/>
      <c r="BQ859"/>
      <c r="BR859"/>
      <c r="CD859"/>
      <c r="CE859"/>
      <c r="CF859"/>
      <c r="CQ859"/>
      <c r="CR859"/>
      <c r="CS859"/>
      <c r="DS859"/>
      <c r="DT859"/>
      <c r="DU859"/>
    </row>
    <row r="860" spans="1:125">
      <c r="A860"/>
      <c r="AJ860"/>
      <c r="AK860"/>
      <c r="AR860"/>
      <c r="AS860"/>
      <c r="AT860"/>
      <c r="AU860"/>
      <c r="AV860"/>
      <c r="AW860"/>
      <c r="AX860"/>
      <c r="AY860"/>
      <c r="AZ860"/>
      <c r="BA860"/>
      <c r="BB860"/>
      <c r="BC860"/>
      <c r="BD860"/>
      <c r="BE860"/>
      <c r="BL860"/>
      <c r="BP860"/>
      <c r="BQ860"/>
      <c r="BR860"/>
      <c r="CD860"/>
      <c r="CE860"/>
      <c r="CF860"/>
      <c r="CQ860"/>
      <c r="CR860"/>
      <c r="CS860"/>
      <c r="DS860"/>
      <c r="DT860"/>
      <c r="DU860"/>
    </row>
    <row r="861" spans="1:125">
      <c r="A861"/>
      <c r="AJ861"/>
      <c r="AK861"/>
      <c r="AR861"/>
      <c r="AS861"/>
      <c r="AT861"/>
      <c r="AU861"/>
      <c r="AV861"/>
      <c r="AW861"/>
      <c r="AX861"/>
      <c r="AY861"/>
      <c r="AZ861"/>
      <c r="BA861"/>
      <c r="BB861"/>
      <c r="BC861"/>
      <c r="BD861"/>
      <c r="BE861"/>
      <c r="BL861"/>
      <c r="BP861"/>
      <c r="BQ861"/>
      <c r="BR861"/>
      <c r="CD861"/>
      <c r="CE861"/>
      <c r="CF861"/>
      <c r="CQ861"/>
      <c r="CR861"/>
      <c r="CS861"/>
      <c r="DS861"/>
      <c r="DT861"/>
      <c r="DU861"/>
    </row>
    <row r="862" spans="1:125">
      <c r="A862"/>
      <c r="AJ862"/>
      <c r="AK862"/>
      <c r="AR862"/>
      <c r="AS862"/>
      <c r="AT862"/>
      <c r="AU862"/>
      <c r="AV862"/>
      <c r="AW862"/>
      <c r="AX862"/>
      <c r="AY862"/>
      <c r="AZ862"/>
      <c r="BA862"/>
      <c r="BB862"/>
      <c r="BC862"/>
      <c r="BD862"/>
      <c r="BE862"/>
      <c r="BL862"/>
      <c r="BP862"/>
      <c r="BQ862"/>
      <c r="BR862"/>
      <c r="CD862"/>
      <c r="CE862"/>
      <c r="CF862"/>
      <c r="CQ862"/>
      <c r="CR862"/>
      <c r="CS862"/>
      <c r="DS862"/>
      <c r="DT862"/>
      <c r="DU862"/>
    </row>
    <row r="863" spans="1:125">
      <c r="A863"/>
      <c r="AJ863"/>
      <c r="AK863"/>
      <c r="AR863"/>
      <c r="AS863"/>
      <c r="AT863"/>
      <c r="AU863"/>
      <c r="AV863"/>
      <c r="AW863"/>
      <c r="AX863"/>
      <c r="AY863"/>
      <c r="AZ863"/>
      <c r="BA863"/>
      <c r="BB863"/>
      <c r="BC863"/>
      <c r="BD863"/>
      <c r="BE863"/>
      <c r="BL863"/>
      <c r="BP863"/>
      <c r="BQ863"/>
      <c r="BR863"/>
      <c r="CD863"/>
      <c r="CE863"/>
      <c r="CF863"/>
      <c r="CQ863"/>
      <c r="CR863"/>
      <c r="CS863"/>
      <c r="DS863"/>
      <c r="DT863"/>
      <c r="DU863"/>
    </row>
    <row r="864" spans="1:125">
      <c r="A864"/>
      <c r="AJ864"/>
      <c r="AK864"/>
      <c r="AR864"/>
      <c r="AS864"/>
      <c r="AT864"/>
      <c r="AU864"/>
      <c r="AV864"/>
      <c r="AW864"/>
      <c r="AX864"/>
      <c r="AY864"/>
      <c r="AZ864"/>
      <c r="BA864"/>
      <c r="BB864"/>
      <c r="BC864"/>
      <c r="BD864"/>
      <c r="BE864"/>
      <c r="BL864"/>
      <c r="BP864"/>
      <c r="BQ864"/>
      <c r="BR864"/>
      <c r="CD864"/>
      <c r="CE864"/>
      <c r="CF864"/>
      <c r="CQ864"/>
      <c r="CR864"/>
      <c r="CS864"/>
      <c r="DS864"/>
      <c r="DT864"/>
      <c r="DU864"/>
    </row>
    <row r="865" spans="1:125">
      <c r="A865"/>
      <c r="AJ865"/>
      <c r="AK865"/>
      <c r="AR865"/>
      <c r="AS865"/>
      <c r="AT865"/>
      <c r="AU865"/>
      <c r="AV865"/>
      <c r="AW865"/>
      <c r="AX865"/>
      <c r="AY865"/>
      <c r="AZ865"/>
      <c r="BA865"/>
      <c r="BB865"/>
      <c r="BC865"/>
      <c r="BD865"/>
      <c r="BE865"/>
      <c r="BL865"/>
      <c r="BP865"/>
      <c r="BQ865"/>
      <c r="BR865"/>
      <c r="CD865"/>
      <c r="CE865"/>
      <c r="CF865"/>
      <c r="CQ865"/>
      <c r="CR865"/>
      <c r="CS865"/>
      <c r="DS865"/>
      <c r="DT865"/>
      <c r="DU865"/>
    </row>
    <row r="866" spans="1:125">
      <c r="A866"/>
      <c r="AJ866"/>
      <c r="AK866"/>
      <c r="AR866"/>
      <c r="AS866"/>
      <c r="AT866"/>
      <c r="AU866"/>
      <c r="AV866"/>
      <c r="AW866"/>
      <c r="AX866"/>
      <c r="AY866"/>
      <c r="AZ866"/>
      <c r="BA866"/>
      <c r="BB866"/>
      <c r="BC866"/>
      <c r="BD866"/>
      <c r="BE866"/>
      <c r="BL866"/>
      <c r="BP866"/>
      <c r="BQ866"/>
      <c r="BR866"/>
      <c r="CD866"/>
      <c r="CE866"/>
      <c r="CF866"/>
      <c r="CQ866"/>
      <c r="CR866"/>
      <c r="CS866"/>
      <c r="DS866"/>
      <c r="DT866"/>
      <c r="DU866"/>
    </row>
    <row r="867" spans="1:125">
      <c r="A867"/>
      <c r="AJ867"/>
      <c r="AK867"/>
      <c r="AR867"/>
      <c r="AS867"/>
      <c r="AT867"/>
      <c r="AU867"/>
      <c r="AV867"/>
      <c r="AW867"/>
      <c r="AX867"/>
      <c r="AY867"/>
      <c r="AZ867"/>
      <c r="BA867"/>
      <c r="BB867"/>
      <c r="BC867"/>
      <c r="BD867"/>
      <c r="BE867"/>
      <c r="BL867"/>
      <c r="BP867"/>
      <c r="BQ867"/>
      <c r="BR867"/>
      <c r="CD867"/>
      <c r="CE867"/>
      <c r="CF867"/>
      <c r="CQ867"/>
      <c r="CR867"/>
      <c r="CS867"/>
      <c r="DS867"/>
      <c r="DT867"/>
      <c r="DU867"/>
    </row>
    <row r="868" spans="1:125"/>
    <row r="869" spans="1:125"/>
    <row r="870" spans="1:125"/>
    <row r="871" spans="1:125"/>
    <row r="872" spans="1:125"/>
    <row r="873" spans="1:125"/>
    <row r="874" spans="1:125"/>
    <row r="875" spans="1:125"/>
    <row r="876" spans="1:125"/>
    <row r="877" spans="1:125"/>
    <row r="878" spans="1:125"/>
    <row r="879" spans="1:125"/>
    <row r="880" spans="1:125"/>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sheetData>
  <sheetProtection algorithmName="SHA-512" hashValue="BHfs+TRouA4stpuzIoVivq5E0Sepo3rL0a7+aBID9uLAgVJiKau06f3rqzYs7NPIqQLke/pTO1WnHT9VOOcfwg==" saltValue="o9sSrG61pP5oE2CZmujRdQ==" spinCount="100000" sheet="1" objects="1" scenarios="1"/>
  <hyperlinks>
    <hyperlink ref="A3" location="'M03-S02'!A1" display="'M03-S02'!A1" xr:uid="{A8305E27-1129-4141-A0E3-4EE71F9D9795}"/>
    <hyperlink ref="A34" location="'M03-S03'!A1" display="'M03-S03'!A1" xr:uid="{F4CEE002-2D5B-49CB-8945-FA5BD6B02642}"/>
    <hyperlink ref="A50" location="'M03-S04'!A1" display="'M03-S04'!A1" xr:uid="{9ECB5328-9BDB-43CE-B9D7-856A638BCD30}"/>
    <hyperlink ref="A66" location="'M03-S05'!A1" display="'M03-S05'!A1" xr:uid="{1C6C1C41-6411-49EA-ABA7-4F39C3644221}"/>
    <hyperlink ref="A102" location="'M03-S06'!A1" display="'M03-S06'!A1" xr:uid="{384B9B0B-B7A2-46BD-A6B1-2598700BEBB6}"/>
    <hyperlink ref="A118" location="'M03-S07'!A1" display="'M03-S07'!A1" xr:uid="{E0C6D4BA-C076-41E9-9492-113440BE62F2}"/>
    <hyperlink ref="A134" location="'M03-S08'!A1" display="'M03-S08'!A1" xr:uid="{2847CA4D-CDFA-4CF2-BE88-6650566B4311}"/>
    <hyperlink ref="A150" location="'M04-S02'!A1" display="'M04-S02'!A1" xr:uid="{2CBB8A1D-5937-4363-99FF-1E18C7879B72}"/>
    <hyperlink ref="A181" location="'M04-S03'!A1" display="'M04-S03'!A1" xr:uid="{9974DEC0-7D40-4E60-80CA-B94B88752D0F}"/>
    <hyperlink ref="A197" location="'M04-S04'!A1" display="'M04-S04'!A1" xr:uid="{D7FC858A-BC8D-4299-813B-4FE1E889B16C}"/>
    <hyperlink ref="A213" location="'M04-S05'!A1" display="'M04-S05'!A1" xr:uid="{F0173D88-9438-4BAE-9117-2C9FD253DDB0}"/>
    <hyperlink ref="A229" location="'M04-S06'!A1" display="'M04-S06'!A1" xr:uid="{DEC352C7-DD30-4B26-8900-6ACAC8F6A8C7}"/>
    <hyperlink ref="A245" location="'M04-S07'!A1" display="'M04-S07'!A1" xr:uid="{1A059226-98CE-4F9A-B037-DAE4AB8D2001}"/>
    <hyperlink ref="A277" location="'M04-S09'!A1" display="'M04-S09'!A1" xr:uid="{521F4C8E-70DB-4D12-B58D-4548A83D3169}"/>
    <hyperlink ref="A261" location="'M04-S07'!A1" display="'M04-S07'!A1" xr:uid="{757E56FC-9471-4F7E-86B4-26DD046A59D3}"/>
  </hyperlinks>
  <pageMargins left="0" right="0" top="0" bottom="0" header="0" footer="0"/>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01280FBAB335408FE94E23FA349284" ma:contentTypeVersion="6" ma:contentTypeDescription="Create a new document." ma:contentTypeScope="" ma:versionID="35b4d82f238b132eb1ffc6ef9693bac1">
  <xsd:schema xmlns:xsd="http://www.w3.org/2001/XMLSchema" xmlns:xs="http://www.w3.org/2001/XMLSchema" xmlns:p="http://schemas.microsoft.com/office/2006/metadata/properties" xmlns:ns1="http://schemas.microsoft.com/sharepoint/v3" xmlns:ns2="46183eef-e5b6-4449-b443-53ec3f5c91f4" targetNamespace="http://schemas.microsoft.com/office/2006/metadata/properties" ma:root="true" ma:fieldsID="ac01c184c107ce71003efce501051dba" ns1:_="" ns2:_="">
    <xsd:import namespace="http://schemas.microsoft.com/sharepoint/v3"/>
    <xsd:import namespace="46183eef-e5b6-4449-b443-53ec3f5c91f4"/>
    <xsd:element name="properties">
      <xsd:complexType>
        <xsd:sequence>
          <xsd:element name="documentManagement">
            <xsd:complexType>
              <xsd:all>
                <xsd:element ref="ns2:SIP_Label_Document"/>
                <xsd:element ref="ns1:AverageRating" minOccurs="0"/>
                <xsd:element ref="ns1:RatingCount" minOccurs="0"/>
                <xsd:element ref="ns2:TaxKeywordTaxHTField"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9" nillable="true" ma:displayName="Rating (0-5)" ma:decimals="2" ma:description="Average value of all the ratings that have been submitted" ma:internalName="Rating_x0020__x0028_0_x002d_5_x0029_" ma:readOnly="true">
      <xsd:simpleType>
        <xsd:restriction base="dms:Number"/>
      </xsd:simpleType>
    </xsd:element>
    <xsd:element name="RatingCount" ma:index="10" nillable="true" ma:displayName="Number of Ratings" ma:decimals="0" ma:description="Number of ratings submitted" ma:internalName="Number_x0020_of_x0020_Ratings"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46183eef-e5b6-4449-b443-53ec3f5c91f4" elementFormDefault="qualified">
    <xsd:import namespace="http://schemas.microsoft.com/office/2006/documentManagement/types"/>
    <xsd:import namespace="http://schemas.microsoft.com/office/infopath/2007/PartnerControls"/>
    <xsd:element name="SIP_Label_Document" ma:index="8" ma:displayName="Sensitive Information Protection (SIP) Label" ma:internalName="Sensitive_x0020_Information_x0020_Protection_x0020__x0028_SIP_x0029__x0020_Label" ma:readOnly="false">
      <xsd:simpleType>
        <xsd:restriction base="dms:Unknown"/>
      </xsd:simpleType>
    </xsd:element>
    <xsd:element name="TaxKeywordTaxHTField" ma:index="12"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3" nillable="true" ma:displayName="Taxonomy Catch All Column" ma:description="" ma:hidden="true" ma:list="{753d8634-2b7c-4526-89f6-3645dfc673ae}" ma:internalName="TaxCatchAll" ma:showField="CatchAllData" ma:web="46183eef-e5b6-4449-b443-53ec3f5c91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KeywordTaxHTField xmlns="46183eef-e5b6-4449-b443-53ec3f5c91f4">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4cffd3a7-2ade-464a-a981-d0ee87995263</TermId>
        </TermInfo>
      </Terms>
    </TaxKeywordTaxHTField>
    <SIP_Label_Document xmlns="46183eef-e5b6-4449-b443-53ec3f5c91f4">;#0;#Unrestricted;#True;#;#;#;#</SIP_Label_Document>
    <TaxCatchAll xmlns="46183eef-e5b6-4449-b443-53ec3f5c91f4"/>
    <AverageRating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9D496F-F1A5-4012-A22E-A042A7A3FC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183eef-e5b6-4449-b443-53ec3f5c9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62B438-2CAC-41AA-86A3-35BAB28DE6C6}">
  <ds:schemaRefs>
    <ds:schemaRef ds:uri="http://purl.org/dc/terms/"/>
    <ds:schemaRef ds:uri="http://purl.org/dc/elements/1.1/"/>
    <ds:schemaRef ds:uri="http://www.w3.org/XML/1998/namespace"/>
    <ds:schemaRef ds:uri="46183eef-e5b6-4449-b443-53ec3f5c91f4"/>
    <ds:schemaRef ds:uri="http://schemas.microsoft.com/office/infopath/2007/PartnerControls"/>
    <ds:schemaRef ds:uri="http://schemas.microsoft.com/office/2006/documentManagement/types"/>
    <ds:schemaRef ds:uri="http://schemas.openxmlformats.org/package/2006/metadata/core-properties"/>
    <ds:schemaRef ds:uri="http://schemas.microsoft.com/sharepoint/v3"/>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873FAEBE-E07F-4BA5-B41F-5529F479EA3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384</vt:i4>
      </vt:variant>
    </vt:vector>
  </HeadingPairs>
  <TitlesOfParts>
    <vt:vector size="423" baseType="lpstr">
      <vt:lpstr>Changelog</vt:lpstr>
      <vt:lpstr>MASTER</vt:lpstr>
      <vt:lpstr>DATA TABLES</vt:lpstr>
      <vt:lpstr>CBDATA</vt:lpstr>
      <vt:lpstr>TEMPLATE</vt:lpstr>
      <vt:lpstr>MEASURES1_M</vt:lpstr>
      <vt:lpstr>MEASURES2_M</vt:lpstr>
      <vt:lpstr>MEASURES3_M</vt:lpstr>
      <vt:lpstr>EXPORT</vt:lpstr>
      <vt:lpstr>M01-S01</vt:lpstr>
      <vt:lpstr>M01-S02</vt:lpstr>
      <vt:lpstr>M01-S03</vt:lpstr>
      <vt:lpstr>M02-S01</vt:lpstr>
      <vt:lpstr>M02-S02</vt:lpstr>
      <vt:lpstr>M02-S03</vt:lpstr>
      <vt:lpstr>M02-S04</vt:lpstr>
      <vt:lpstr>M03-S01</vt:lpstr>
      <vt:lpstr>M03-S02</vt:lpstr>
      <vt:lpstr>M03-S03</vt:lpstr>
      <vt:lpstr>M03-S04</vt:lpstr>
      <vt:lpstr>M03-S05</vt:lpstr>
      <vt:lpstr>M03-S08</vt:lpstr>
      <vt:lpstr>M03-S06</vt:lpstr>
      <vt:lpstr>M03-S07</vt:lpstr>
      <vt:lpstr>M04-S02</vt:lpstr>
      <vt:lpstr>M04-S03</vt:lpstr>
      <vt:lpstr>M04-S04</vt:lpstr>
      <vt:lpstr>M04-S05</vt:lpstr>
      <vt:lpstr>M04-S08</vt:lpstr>
      <vt:lpstr>M04-S06</vt:lpstr>
      <vt:lpstr>M04-S07</vt:lpstr>
      <vt:lpstr>M04-S09</vt:lpstr>
      <vt:lpstr>M05-S01</vt:lpstr>
      <vt:lpstr>M05-S02</vt:lpstr>
      <vt:lpstr>M05-S02-1</vt:lpstr>
      <vt:lpstr>M05-S03</vt:lpstr>
      <vt:lpstr>M05-S04</vt:lpstr>
      <vt:lpstr>M05-S05</vt:lpstr>
      <vt:lpstr>M05-S07</vt:lpstr>
      <vt:lpstr>ACTIVEBLOCK</vt:lpstr>
      <vt:lpstr>ACTIVEBONUS</vt:lpstr>
      <vt:lpstr>ACTIVECOMPL</vt:lpstr>
      <vt:lpstr>ACTIVEOFFER</vt:lpstr>
      <vt:lpstr>APP_TYPE</vt:lpstr>
      <vt:lpstr>BLOCKBIDRATE</vt:lpstr>
      <vt:lpstr>BUILDING</vt:lpstr>
      <vt:lpstr>BUSDEVELNAME</vt:lpstr>
      <vt:lpstr>CBALL</vt:lpstr>
      <vt:lpstr>CBCUSE</vt:lpstr>
      <vt:lpstr>CBPRESE</vt:lpstr>
      <vt:lpstr>CBREQ</vt:lpstr>
      <vt:lpstr>CITIES_LIST</vt:lpstr>
      <vt:lpstr>CMELIGHTACTUALW</vt:lpstr>
      <vt:lpstr>CMELIGHTBASE1</vt:lpstr>
      <vt:lpstr>CMELIGHTBASEW</vt:lpstr>
      <vt:lpstr>'M03-S01'!CMELIGHTEFF1</vt:lpstr>
      <vt:lpstr>'M04-S08'!CMELIGHTEFF1</vt:lpstr>
      <vt:lpstr>'M04-S09'!CMELIGHTEFF1</vt:lpstr>
      <vt:lpstr>CMELIGHTEFF1</vt:lpstr>
      <vt:lpstr>'M03-S01'!CMELIGHTEFFBASEW</vt:lpstr>
      <vt:lpstr>'M04-S08'!CMELIGHTEFFBASEW</vt:lpstr>
      <vt:lpstr>'M04-S09'!CMELIGHTEFFBASEW</vt:lpstr>
      <vt:lpstr>CMELIGHTEFFBASEW</vt:lpstr>
      <vt:lpstr>CMEMISC2DESC</vt:lpstr>
      <vt:lpstr>COMPBUILD</vt:lpstr>
      <vt:lpstr>COMPCUSTOMER</vt:lpstr>
      <vt:lpstr>COMPMEASURE</vt:lpstr>
      <vt:lpstr>COMPPAY</vt:lpstr>
      <vt:lpstr>COMPSUMMARY</vt:lpstr>
      <vt:lpstr>COMPTA</vt:lpstr>
      <vt:lpstr>COMPTERMS</vt:lpstr>
      <vt:lpstr>COSTTOTAL</vt:lpstr>
      <vt:lpstr>COSTTOTALALL</vt:lpstr>
      <vt:lpstr>COSTTOTALALLCUSE</vt:lpstr>
      <vt:lpstr>COSTTOTALALLPRESE</vt:lpstr>
      <vt:lpstr>COSTTOTALCUSE</vt:lpstr>
      <vt:lpstr>COSTTOTALPRESE</vt:lpstr>
      <vt:lpstr>COSTTYPELIST</vt:lpstr>
      <vt:lpstr>CUSTINFOLIST</vt:lpstr>
      <vt:lpstr>CUSTLIGHTCONTLIST</vt:lpstr>
      <vt:lpstr>CUSTOMPROJECTTYPE</vt:lpstr>
      <vt:lpstr>DESIGNTEAMLIST</vt:lpstr>
      <vt:lpstr>EDR</vt:lpstr>
      <vt:lpstr>ELECPHASES</vt:lpstr>
      <vt:lpstr>ELOSS</vt:lpstr>
      <vt:lpstr>'M04-S08'!ENDUSECAT</vt:lpstr>
      <vt:lpstr>'M04-S09'!ENDUSECAT</vt:lpstr>
      <vt:lpstr>ENDUSECAT</vt:lpstr>
      <vt:lpstr>ENERGYCODESLIST</vt:lpstr>
      <vt:lpstr>ENERGYMODELLIST</vt:lpstr>
      <vt:lpstr>ENGCALC</vt:lpstr>
      <vt:lpstr>ENGDATE</vt:lpstr>
      <vt:lpstr>'M04-S08'!ENGNRSNAMES</vt:lpstr>
      <vt:lpstr>'M04-S09'!ENGNRSNAMES</vt:lpstr>
      <vt:lpstr>ENGNRSNAMES</vt:lpstr>
      <vt:lpstr>ENGSIGN</vt:lpstr>
      <vt:lpstr>EXPIRATION</vt:lpstr>
      <vt:lpstr>EXPIRATION_DATE</vt:lpstr>
      <vt:lpstr>EXPNOTICE</vt:lpstr>
      <vt:lpstr>FOOT1</vt:lpstr>
      <vt:lpstr>FOOT2</vt:lpstr>
      <vt:lpstr>FOOT3</vt:lpstr>
      <vt:lpstr>FOOT4</vt:lpstr>
      <vt:lpstr>FOOT5</vt:lpstr>
      <vt:lpstr>FOOT6</vt:lpstr>
      <vt:lpstr>FOOTDISCLAIM</vt:lpstr>
      <vt:lpstr>FOOTDISCLAIM_N</vt:lpstr>
      <vt:lpstr>FOOTDISCLAIM_X</vt:lpstr>
      <vt:lpstr>GDR</vt:lpstr>
      <vt:lpstr>GLOSS</vt:lpstr>
      <vt:lpstr>'M04-S08'!IMPLSPECNAME</vt:lpstr>
      <vt:lpstr>'M04-S09'!IMPLSPECNAME</vt:lpstr>
      <vt:lpstr>IMPLSPECNAME</vt:lpstr>
      <vt:lpstr>INCCOSTCAP</vt:lpstr>
      <vt:lpstr>INCENSTATUS</vt:lpstr>
      <vt:lpstr>INCENTOTAL</vt:lpstr>
      <vt:lpstr>INCENTOTALCUSE</vt:lpstr>
      <vt:lpstr>INCENTOTALPRESE</vt:lpstr>
      <vt:lpstr>INCENTTYPE_LIST</vt:lpstr>
      <vt:lpstr>INCPREAPPROVAL</vt:lpstr>
      <vt:lpstr>'M04-S08'!INSTALL</vt:lpstr>
      <vt:lpstr>'M04-S09'!INSTALL</vt:lpstr>
      <vt:lpstr>INSTALL</vt:lpstr>
      <vt:lpstr>'M04-S08'!INSTALLERLIST</vt:lpstr>
      <vt:lpstr>'M04-S09'!INSTALLERLIST</vt:lpstr>
      <vt:lpstr>INSTALLERLIST</vt:lpstr>
      <vt:lpstr>KWHRATEMAX</vt:lpstr>
      <vt:lpstr>KWHRATEMIN</vt:lpstr>
      <vt:lpstr>KWHSTATUS</vt:lpstr>
      <vt:lpstr>KWHTOTAL</vt:lpstr>
      <vt:lpstr>KWHTOTALALL</vt:lpstr>
      <vt:lpstr>KWHTOTALALLCUSE</vt:lpstr>
      <vt:lpstr>KWHTOTALALLPRESE</vt:lpstr>
      <vt:lpstr>KWHTOTALCUSE</vt:lpstr>
      <vt:lpstr>KWHTOTALPRESE</vt:lpstr>
      <vt:lpstr>KWRATE</vt:lpstr>
      <vt:lpstr>KWTOTAL</vt:lpstr>
      <vt:lpstr>KWTOTALALL</vt:lpstr>
      <vt:lpstr>KWTOTALALLCUSE</vt:lpstr>
      <vt:lpstr>KWTOTALALLPRESE</vt:lpstr>
      <vt:lpstr>KWTOTALCUSE</vt:lpstr>
      <vt:lpstr>KWTOTALPRESE</vt:lpstr>
      <vt:lpstr>LIST_Transformer_LF</vt:lpstr>
      <vt:lpstr>LOCATIONTYPELIST</vt:lpstr>
      <vt:lpstr>M02S01F01</vt:lpstr>
      <vt:lpstr>M02S01F02</vt:lpstr>
      <vt:lpstr>M02S01F03</vt:lpstr>
      <vt:lpstr>M02S02F01</vt:lpstr>
      <vt:lpstr>M02S02F02</vt:lpstr>
      <vt:lpstr>M02S02F03</vt:lpstr>
      <vt:lpstr>M02S02F04</vt:lpstr>
      <vt:lpstr>M02S02F05</vt:lpstr>
      <vt:lpstr>M02S02F06</vt:lpstr>
      <vt:lpstr>M02S02F07</vt:lpstr>
      <vt:lpstr>M02S02F08</vt:lpstr>
      <vt:lpstr>M02S02F09</vt:lpstr>
      <vt:lpstr>M02S02F10</vt:lpstr>
      <vt:lpstr>M02S02F11</vt:lpstr>
      <vt:lpstr>M02S02F12</vt:lpstr>
      <vt:lpstr>M02S02F13</vt:lpstr>
      <vt:lpstr>M02S02F14</vt:lpstr>
      <vt:lpstr>M02S02F15</vt:lpstr>
      <vt:lpstr>M02S02F16</vt:lpstr>
      <vt:lpstr>M02S02F17</vt:lpstr>
      <vt:lpstr>M02S03F01</vt:lpstr>
      <vt:lpstr>M02S03F02</vt:lpstr>
      <vt:lpstr>M02S03F03</vt:lpstr>
      <vt:lpstr>M02S03F04</vt:lpstr>
      <vt:lpstr>M02S03F05</vt:lpstr>
      <vt:lpstr>M02S03F06</vt:lpstr>
      <vt:lpstr>M02S03F07</vt:lpstr>
      <vt:lpstr>M02S03F08</vt:lpstr>
      <vt:lpstr>M02S03F09</vt:lpstr>
      <vt:lpstr>M02S03F10</vt:lpstr>
      <vt:lpstr>M02S04F01</vt:lpstr>
      <vt:lpstr>M02S04F02</vt:lpstr>
      <vt:lpstr>M02S04F03</vt:lpstr>
      <vt:lpstr>M02S04F04</vt:lpstr>
      <vt:lpstr>M02S04F05</vt:lpstr>
      <vt:lpstr>M02S04F06</vt:lpstr>
      <vt:lpstr>M02S04F07</vt:lpstr>
      <vt:lpstr>M02S04F08</vt:lpstr>
      <vt:lpstr>M02S04F09</vt:lpstr>
      <vt:lpstr>M02S04F10</vt:lpstr>
      <vt:lpstr>M02S04F11</vt:lpstr>
      <vt:lpstr>M02S04F12</vt:lpstr>
      <vt:lpstr>M02S04F13</vt:lpstr>
      <vt:lpstr>M02S04F14</vt:lpstr>
      <vt:lpstr>M02S04F15</vt:lpstr>
      <vt:lpstr>M02S04F16</vt:lpstr>
      <vt:lpstr>M02S04F17</vt:lpstr>
      <vt:lpstr>M02S04F18</vt:lpstr>
      <vt:lpstr>M02S04F19</vt:lpstr>
      <vt:lpstr>M02S04F20</vt:lpstr>
      <vt:lpstr>M02S04F21</vt:lpstr>
      <vt:lpstr>M02S04F22</vt:lpstr>
      <vt:lpstr>M02S04F23</vt:lpstr>
      <vt:lpstr>M02S04F24</vt:lpstr>
      <vt:lpstr>M02S04F25</vt:lpstr>
      <vt:lpstr>M05S01F01</vt:lpstr>
      <vt:lpstr>M05S01F02</vt:lpstr>
      <vt:lpstr>M05S01F03</vt:lpstr>
      <vt:lpstr>M05S01F04</vt:lpstr>
      <vt:lpstr>M05S01F05</vt:lpstr>
      <vt:lpstr>M05S01F06</vt:lpstr>
      <vt:lpstr>M05S01F07</vt:lpstr>
      <vt:lpstr>M05S01F08</vt:lpstr>
      <vt:lpstr>M05S01F09</vt:lpstr>
      <vt:lpstr>M05S01F10</vt:lpstr>
      <vt:lpstr>M05S01F11</vt:lpstr>
      <vt:lpstr>M05S01F12</vt:lpstr>
      <vt:lpstr>M05S01F13</vt:lpstr>
      <vt:lpstr>M05S01F14</vt:lpstr>
      <vt:lpstr>M05S02F01</vt:lpstr>
      <vt:lpstr>M05S02F02</vt:lpstr>
      <vt:lpstr>M05S02HIDE</vt:lpstr>
      <vt:lpstr>M05S04F01</vt:lpstr>
      <vt:lpstr>M05S04F02</vt:lpstr>
      <vt:lpstr>M05S04F03</vt:lpstr>
      <vt:lpstr>M05S04F04</vt:lpstr>
      <vt:lpstr>M05S05F01</vt:lpstr>
      <vt:lpstr>M05S05F02</vt:lpstr>
      <vt:lpstr>M05S07F02</vt:lpstr>
      <vt:lpstr>M05S07F03</vt:lpstr>
      <vt:lpstr>M05S07F04</vt:lpstr>
      <vt:lpstr>M05S07F05</vt:lpstr>
      <vt:lpstr>M05S07F06</vt:lpstr>
      <vt:lpstr>M05S07F07</vt:lpstr>
      <vt:lpstr>M05S07F08</vt:lpstr>
      <vt:lpstr>M05S07F09</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M3S5ErrorCheck</vt:lpstr>
      <vt:lpstr>M3S6</vt:lpstr>
      <vt:lpstr>M3S7</vt:lpstr>
      <vt:lpstr>M3S8</vt:lpstr>
      <vt:lpstr>M4S1</vt:lpstr>
      <vt:lpstr>M4S2</vt:lpstr>
      <vt:lpstr>M4S3</vt:lpstr>
      <vt:lpstr>M4S4</vt:lpstr>
      <vt:lpstr>M4S4UNITCHECK</vt:lpstr>
      <vt:lpstr>M4S5</vt:lpstr>
      <vt:lpstr>M4S5UNITCHECK</vt:lpstr>
      <vt:lpstr>M4S6</vt:lpstr>
      <vt:lpstr>M4S6UNITCHECK</vt:lpstr>
      <vt:lpstr>M4S7</vt:lpstr>
      <vt:lpstr>M4S7UNITCHECK</vt:lpstr>
      <vt:lpstr>M4S8</vt:lpstr>
      <vt:lpstr>M4S8UNITCHECK</vt:lpstr>
      <vt:lpstr>M4S9</vt:lpstr>
      <vt:lpstr>M4S9UNITCHECK</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MEASTOTALALL</vt:lpstr>
      <vt:lpstr>MEASTOTALCUSE</vt:lpstr>
      <vt:lpstr>MEASTOTALPRESE</vt:lpstr>
      <vt:lpstr>MEASUREBLDG</vt:lpstr>
      <vt:lpstr>MEASURECB</vt:lpstr>
      <vt:lpstr>MEASUREELI</vt:lpstr>
      <vt:lpstr>MEASUREINCR</vt:lpstr>
      <vt:lpstr>MEASURELPD</vt:lpstr>
      <vt:lpstr>MEASUREPAY</vt:lpstr>
      <vt:lpstr>MEASURERATE</vt:lpstr>
      <vt:lpstr>MEASURESAVE</vt:lpstr>
      <vt:lpstr>MEASURESITE</vt:lpstr>
      <vt:lpstr>MEASURESTEP1</vt:lpstr>
      <vt:lpstr>MEASURESUBMIT</vt:lpstr>
      <vt:lpstr>NCLIGHTINGCAP</vt:lpstr>
      <vt:lpstr>NCLIGHTINGRATE</vt:lpstr>
      <vt:lpstr>OVERRIDETOTAL</vt:lpstr>
      <vt:lpstr>PAYALL</vt:lpstr>
      <vt:lpstr>PAYBACKREQ</vt:lpstr>
      <vt:lpstr>PAYCUSE</vt:lpstr>
      <vt:lpstr>PayeeChckBox</vt:lpstr>
      <vt:lpstr>'M04-S08'!PAYMENTLIST</vt:lpstr>
      <vt:lpstr>'M04-S09'!PAYMENTLIST</vt:lpstr>
      <vt:lpstr>PAYMENTLIST</vt:lpstr>
      <vt:lpstr>PAYMENTLIST_N</vt:lpstr>
      <vt:lpstr>Paymentlist_x</vt:lpstr>
      <vt:lpstr>PAYPRESE</vt:lpstr>
      <vt:lpstr>'M04-S08'!PAYTO</vt:lpstr>
      <vt:lpstr>'M04-S09'!PAYTO</vt:lpstr>
      <vt:lpstr>PAYTO</vt:lpstr>
      <vt:lpstr>PEAKTD</vt:lpstr>
      <vt:lpstr>PNAME</vt:lpstr>
      <vt:lpstr>'M01-S01'!Print_Area</vt:lpstr>
      <vt:lpstr>'M01-S02'!Print_Area</vt:lpstr>
      <vt:lpstr>'M01-S03'!Print_Area</vt:lpstr>
      <vt:lpstr>'M02-S01'!Print_Area</vt:lpstr>
      <vt:lpstr>'M02-S02'!Print_Area</vt:lpstr>
      <vt:lpstr>'M02-S03'!Print_Area</vt:lpstr>
      <vt:lpstr>'M02-S04'!Print_Area</vt:lpstr>
      <vt:lpstr>'M03-S01'!Print_Area</vt:lpstr>
      <vt:lpstr>'M03-S02'!Print_Area</vt:lpstr>
      <vt:lpstr>'M03-S03'!Print_Area</vt:lpstr>
      <vt:lpstr>'M03-S04'!Print_Area</vt:lpstr>
      <vt:lpstr>'M03-S05'!Print_Area</vt:lpstr>
      <vt:lpstr>'M03-S06'!Print_Area</vt:lpstr>
      <vt:lpstr>'M03-S07'!Print_Area</vt:lpstr>
      <vt:lpstr>'M03-S08'!Print_Area</vt:lpstr>
      <vt:lpstr>'M04-S02'!Print_Area</vt:lpstr>
      <vt:lpstr>'M04-S03'!Print_Area</vt:lpstr>
      <vt:lpstr>'M04-S04'!Print_Area</vt:lpstr>
      <vt:lpstr>'M04-S05'!Print_Area</vt:lpstr>
      <vt:lpstr>'M04-S06'!Print_Area</vt:lpstr>
      <vt:lpstr>'M04-S07'!Print_Area</vt:lpstr>
      <vt:lpstr>'M04-S08'!Print_Area</vt:lpstr>
      <vt:lpstr>'M04-S09'!Print_Area</vt:lpstr>
      <vt:lpstr>'M05-S01'!Print_Area</vt:lpstr>
      <vt:lpstr>'M05-S02'!Print_Area</vt:lpstr>
      <vt:lpstr>'M05-S02-1'!Print_Area</vt:lpstr>
      <vt:lpstr>'M05-S03'!Print_Area</vt:lpstr>
      <vt:lpstr>'M05-S04'!Print_Area</vt:lpstr>
      <vt:lpstr>'M05-S05'!Print_Area</vt:lpstr>
      <vt:lpstr>'M05-S07'!Print_Area</vt:lpstr>
      <vt:lpstr>'M04-S08'!PROGRAM</vt:lpstr>
      <vt:lpstr>'M04-S09'!PROGRAM</vt:lpstr>
      <vt:lpstr>PROGRAM</vt:lpstr>
      <vt:lpstr>PROGRESSSTATUS</vt:lpstr>
      <vt:lpstr>PROJECTSTATCB</vt:lpstr>
      <vt:lpstr>PROJECTSTATPAYBACK</vt:lpstr>
      <vt:lpstr>PROJECTSTATPAYBACKCUS</vt:lpstr>
      <vt:lpstr>PROJECTSTATPAYBACKRCX</vt:lpstr>
      <vt:lpstr>PROJECTTYPELIST</vt:lpstr>
      <vt:lpstr>PROJID</vt:lpstr>
      <vt:lpstr>PROJSTATELI</vt:lpstr>
      <vt:lpstr>PROJSTATEXP</vt:lpstr>
      <vt:lpstr>PROJSTATMEASURE</vt:lpstr>
      <vt:lpstr>PROJSTATPREAPPROVE</vt:lpstr>
      <vt:lpstr>PROJSTATRES</vt:lpstr>
      <vt:lpstr>PROJSTATREVIEW</vt:lpstr>
      <vt:lpstr>PROJSTATSTANDARD</vt:lpstr>
      <vt:lpstr>PROJSTATUNDER</vt:lpstr>
      <vt:lpstr>PROJSTATUS</vt:lpstr>
      <vt:lpstr>PROJTYPELIST_N</vt:lpstr>
      <vt:lpstr>RATECLASSLIST</vt:lpstr>
      <vt:lpstr>RCXTHRESH</vt:lpstr>
      <vt:lpstr>SHEAT</vt:lpstr>
      <vt:lpstr>SPILLOVERNUMBER</vt:lpstr>
      <vt:lpstr>STATESABBREV</vt:lpstr>
      <vt:lpstr>STDCOMPRESSINC</vt:lpstr>
      <vt:lpstr>STDCOMPRESSLIST</vt:lpstr>
      <vt:lpstr>STDHVACEFFMIN</vt:lpstr>
      <vt:lpstr>STDHVACINC</vt:lpstr>
      <vt:lpstr>STDHVACLIST</vt:lpstr>
      <vt:lpstr>STDHVACMEASURES</vt:lpstr>
      <vt:lpstr>STDHVACTONMAX</vt:lpstr>
      <vt:lpstr>STDHVACTONMIN</vt:lpstr>
      <vt:lpstr>STDLIGHTBASEMAX</vt:lpstr>
      <vt:lpstr>STDLIGHTBASEMIN</vt:lpstr>
      <vt:lpstr>STDLIGHTCATLIST</vt:lpstr>
      <vt:lpstr>STDLIGHTCONTINC</vt:lpstr>
      <vt:lpstr>STDLIGHTCONTLIST</vt:lpstr>
      <vt:lpstr>STDLIGHTEFFMAX</vt:lpstr>
      <vt:lpstr>STDLIGHTEFFMIN</vt:lpstr>
      <vt:lpstr>STDLIGHTINC</vt:lpstr>
      <vt:lpstr>STDLIGHTINEFCAT2DROP</vt:lpstr>
      <vt:lpstr>STDLIGHTINEFCAT2NAME</vt:lpstr>
      <vt:lpstr>STDLIGHTINEFCAT2W</vt:lpstr>
      <vt:lpstr>STDLIGHTLIST</vt:lpstr>
      <vt:lpstr>STDLIGHTMEASURES</vt:lpstr>
      <vt:lpstr>STDMOTORSHPMAX</vt:lpstr>
      <vt:lpstr>STDMOTORSHPMIN</vt:lpstr>
      <vt:lpstr>STDMOTORSINC</vt:lpstr>
      <vt:lpstr>STDMOTORSLIST</vt:lpstr>
      <vt:lpstr>STDREFRIGINC</vt:lpstr>
      <vt:lpstr>STDREFRIGLIST</vt:lpstr>
      <vt:lpstr>STDWATERINC</vt:lpstr>
      <vt:lpstr>STDWATERLIST</vt:lpstr>
      <vt:lpstr>TAXLIST</vt:lpstr>
      <vt:lpstr>TOTCOSTCAP</vt:lpstr>
      <vt:lpstr>TRANSFERID</vt:lpstr>
      <vt:lpstr>VERSION</vt:lpstr>
      <vt:lpstr>WBPCAP</vt:lpstr>
      <vt:lpstr>YESNOLIST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Gary Gao</dc:creator>
  <cp:keywords>Unrestricted</cp:keywords>
  <cp:lastModifiedBy>Jones, Travis</cp:lastModifiedBy>
  <cp:lastPrinted>2022-01-21T19:48:33Z</cp:lastPrinted>
  <dcterms:created xsi:type="dcterms:W3CDTF">2015-10-07T20:52:11Z</dcterms:created>
  <dcterms:modified xsi:type="dcterms:W3CDTF">2025-03-07T15:33:49Z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0x0101007401280FBAB335408FE94E23FA349284</vt:lpwstr>
  </property>
  <property fmtid="{D5CDD505-2E9C-101B-9397-08002B2CF9AE}" pid="3" name="Enterprise Keywords">
    <vt:lpwstr/>
  </property>
  <property fmtid="{D5CDD505-2E9C-101B-9397-08002B2CF9AE}" pid="4" name="SIP_Label_Display">
    <vt:lpwstr>Unrestricted; </vt:lpwstr>
  </property>
  <property fmtid="{D5CDD505-2E9C-101B-9397-08002B2CF9AE}" pid="5" name="SIP_Label_Data">
    <vt:lpwstr>;#0;#Unrestricted;#True;#;#;#;#</vt:lpwstr>
  </property>
  <property fmtid="{D5CDD505-2E9C-101B-9397-08002B2CF9AE}" pid="6" name="checkedProgramsCount">
    <vt:i4>0</vt:i4>
  </property>
  <property fmtid="{D5CDD505-2E9C-101B-9397-08002B2CF9AE}" pid="7" name="LM SIP Document Sensitivity">
    <vt:lpwstr/>
  </property>
  <property fmtid="{D5CDD505-2E9C-101B-9397-08002B2CF9AE}" pid="8" name="Document Author">
    <vt:lpwstr>US\e343379</vt:lpwstr>
  </property>
  <property fmtid="{D5CDD505-2E9C-101B-9397-08002B2CF9AE}" pid="9" name="Document Sensitivity">
    <vt:lpwstr>1</vt:lpwstr>
  </property>
  <property fmtid="{D5CDD505-2E9C-101B-9397-08002B2CF9AE}" pid="10" name="ThirdParty">
    <vt:lpwstr/>
  </property>
  <property fmtid="{D5CDD505-2E9C-101B-9397-08002B2CF9AE}" pid="11" name="OCI Restriction">
    <vt:bool>false</vt:bool>
  </property>
  <property fmtid="{D5CDD505-2E9C-101B-9397-08002B2CF9AE}" pid="12" name="OCI Additional Info">
    <vt:lpwstr/>
  </property>
  <property fmtid="{D5CDD505-2E9C-101B-9397-08002B2CF9AE}" pid="13" name="Allow Header Overwrite">
    <vt:bool>false</vt:bool>
  </property>
  <property fmtid="{D5CDD505-2E9C-101B-9397-08002B2CF9AE}" pid="14" name="Allow Footer Overwrite">
    <vt:bool>false</vt:bool>
  </property>
  <property fmtid="{D5CDD505-2E9C-101B-9397-08002B2CF9AE}" pid="15" name="Multiple Selected">
    <vt:lpwstr>-1</vt:lpwstr>
  </property>
  <property fmtid="{D5CDD505-2E9C-101B-9397-08002B2CF9AE}" pid="16" name="SIPLongWording">
    <vt:lpwstr>_x000d_
_x000d_
</vt:lpwstr>
  </property>
  <property fmtid="{D5CDD505-2E9C-101B-9397-08002B2CF9AE}" pid="17" name="ExpCountry">
    <vt:lpwstr/>
  </property>
</Properties>
</file>